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pivotTables/pivotTable3.xml" ContentType="application/vnd.openxmlformats-officedocument.spreadsheetml.pivot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codeName="{00000000-0000-0000-0000-000000000000}"/>
  <workbookPr codeName="ThisWorkbook"/>
  <mc:AlternateContent xmlns:mc="http://schemas.openxmlformats.org/markup-compatibility/2006">
    <mc:Choice Requires="x15">
      <x15ac:absPath xmlns:x15ac="http://schemas.microsoft.com/office/spreadsheetml/2010/11/ac" url="https://fundacioncambiandohistorias-my.sharepoint.com/personal/administrativo_fundacioncambiandohistorias_org/Documents/MarcelaG/1.AlcaldíaLocalSuba/2026_FDLS/EstudiosMercado2026/20260513_Huertas_Procedas/"/>
    </mc:Choice>
  </mc:AlternateContent>
  <xr:revisionPtr revIDLastSave="1007" documentId="8_{0B6F7867-2FDA-482C-B143-1CEF7C86FAFE}" xr6:coauthVersionLast="47" xr6:coauthVersionMax="47" xr10:uidLastSave="{1557E00C-C31E-4D4C-ADFC-B29A5C441715}"/>
  <bookViews>
    <workbookView xWindow="-108" yWindow="-108" windowWidth="23256" windowHeight="13896" firstSheet="7" activeTab="7" xr2:uid="{00000000-000D-0000-FFFF-FFFF00000000}"/>
  </bookViews>
  <sheets>
    <sheet name="Hoja1" sheetId="1" state="hidden" r:id="rId1"/>
    <sheet name="TablaD_3Provedores" sheetId="2" state="hidden" r:id="rId2"/>
    <sheet name="Tres_Entidad" sheetId="3" state="hidden" r:id="rId3"/>
    <sheet name="TablaDinamicaTres_Entidad" sheetId="4" state="hidden" r:id="rId4"/>
    <sheet name="Lista" sheetId="5" state="hidden" r:id="rId5"/>
    <sheet name="Estudio_Mercado_Ori" sheetId="9" state="hidden" r:id="rId6"/>
    <sheet name="Estudio_Mercado_REV" sheetId="6" state="hidden" r:id="rId7"/>
    <sheet name="Estudio_Mercado_VF" sheetId="10" r:id="rId8"/>
    <sheet name="FORMATO DE OFERTA ECONÓMICA" sheetId="7" state="hidden" r:id="rId9"/>
    <sheet name="listaBolsa" sheetId="8" state="hidden" r:id="rId10"/>
  </sheets>
  <externalReferences>
    <externalReference r:id="rId11"/>
    <externalReference r:id="rId12"/>
  </externalReferences>
  <definedNames>
    <definedName name="_xlnm._FilterDatabase" localSheetId="5" hidden="1">Estudio_Mercado_Ori!$A$118:$DR$265</definedName>
    <definedName name="_xlnm._FilterDatabase" localSheetId="6" hidden="1">Estudio_Mercado_REV!$A$11:$DU$261</definedName>
    <definedName name="_xlnm._FilterDatabase" localSheetId="7" hidden="1">Estudio_Mercado_VF!$B$11:$DV$261</definedName>
    <definedName name="_xlnm._FilterDatabase" localSheetId="9" hidden="1">listaBolsa!$A$2:$BA$473</definedName>
    <definedName name="_xleta.ROUND" hidden="1" xlm="1">#NAME?</definedName>
    <definedName name="_xlnm.Print_Area" localSheetId="5">Estudio_Mercado_Ori!$A$1:$AE$296</definedName>
    <definedName name="_xlnm.Print_Area" localSheetId="6">Estudio_Mercado_REV!$A$1:$AE$292</definedName>
    <definedName name="_xlnm.Print_Area" localSheetId="7">Estudio_Mercado_VF!$B$1:$AF$291</definedName>
  </definedNames>
  <calcPr calcId="191028"/>
  <pivotCaches>
    <pivotCache cacheId="325" r:id="rId13"/>
    <pivotCache cacheId="326" r:id="rId14"/>
    <pivotCache cacheId="327"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59" i="10" l="1"/>
  <c r="L259" i="10"/>
  <c r="C272" i="7"/>
  <c r="D272" i="7"/>
  <c r="E272" i="7"/>
  <c r="F272" i="7"/>
  <c r="G272" i="7"/>
  <c r="G273" i="7"/>
  <c r="C274" i="7"/>
  <c r="D274" i="7"/>
  <c r="E274" i="7"/>
  <c r="F274" i="7"/>
  <c r="G274" i="7"/>
  <c r="C275" i="7"/>
  <c r="D275" i="7"/>
  <c r="E275" i="7"/>
  <c r="F275" i="7"/>
  <c r="G275" i="7"/>
  <c r="K12" i="7" l="1"/>
  <c r="M12" i="7"/>
  <c r="K13" i="7"/>
  <c r="M13" i="7"/>
  <c r="K14" i="7"/>
  <c r="M14" i="7"/>
  <c r="K15" i="7"/>
  <c r="L15" i="7"/>
  <c r="M15" i="7"/>
  <c r="K16" i="7"/>
  <c r="M16" i="7"/>
  <c r="K17" i="7"/>
  <c r="M17" i="7"/>
  <c r="K18" i="7"/>
  <c r="M18" i="7"/>
  <c r="K19" i="7"/>
  <c r="M19" i="7"/>
  <c r="K20" i="7"/>
  <c r="M20" i="7"/>
  <c r="K21" i="7"/>
  <c r="M21" i="7"/>
  <c r="K22" i="7"/>
  <c r="M22" i="7"/>
  <c r="K23" i="7"/>
  <c r="M23" i="7"/>
  <c r="K24" i="7"/>
  <c r="M24" i="7"/>
  <c r="K25" i="7"/>
  <c r="M25" i="7"/>
  <c r="K26" i="7"/>
  <c r="M26" i="7"/>
  <c r="K27" i="7"/>
  <c r="M27" i="7"/>
  <c r="K28" i="7"/>
  <c r="M28" i="7"/>
  <c r="K29" i="7"/>
  <c r="M29" i="7"/>
  <c r="K30" i="7"/>
  <c r="M30" i="7"/>
  <c r="K31" i="7"/>
  <c r="M31" i="7"/>
  <c r="K32" i="7"/>
  <c r="M32" i="7"/>
  <c r="K33" i="7"/>
  <c r="M33" i="7"/>
  <c r="K34" i="7"/>
  <c r="M34" i="7"/>
  <c r="K35" i="7"/>
  <c r="M35" i="7"/>
  <c r="K36" i="7"/>
  <c r="M36" i="7"/>
  <c r="K37" i="7"/>
  <c r="M37" i="7"/>
  <c r="K38" i="7"/>
  <c r="M38" i="7"/>
  <c r="K39" i="7"/>
  <c r="M39" i="7"/>
  <c r="K40" i="7"/>
  <c r="M40" i="7"/>
  <c r="K41" i="7"/>
  <c r="M41" i="7"/>
  <c r="K42" i="7"/>
  <c r="M42" i="7"/>
  <c r="K43" i="7"/>
  <c r="M43" i="7"/>
  <c r="K44" i="7"/>
  <c r="M44" i="7"/>
  <c r="K45" i="7"/>
  <c r="M45" i="7"/>
  <c r="K46" i="7"/>
  <c r="M46" i="7"/>
  <c r="K47" i="7"/>
  <c r="M47" i="7"/>
  <c r="K48" i="7"/>
  <c r="M48" i="7"/>
  <c r="K49" i="7"/>
  <c r="M49" i="7"/>
  <c r="K50" i="7"/>
  <c r="M50" i="7"/>
  <c r="K51" i="7"/>
  <c r="M51" i="7"/>
  <c r="K52" i="7"/>
  <c r="M52" i="7"/>
  <c r="K53" i="7"/>
  <c r="M53" i="7"/>
  <c r="K54" i="7"/>
  <c r="M54" i="7"/>
  <c r="K55" i="7"/>
  <c r="M55" i="7"/>
  <c r="K56" i="7"/>
  <c r="M56" i="7"/>
  <c r="K57" i="7"/>
  <c r="M57" i="7"/>
  <c r="K58" i="7"/>
  <c r="M58" i="7"/>
  <c r="K59" i="7"/>
  <c r="M59" i="7"/>
  <c r="K60" i="7"/>
  <c r="M60" i="7"/>
  <c r="K61" i="7"/>
  <c r="M61" i="7"/>
  <c r="K62" i="7"/>
  <c r="M62" i="7"/>
  <c r="K63" i="7"/>
  <c r="M63" i="7"/>
  <c r="K64" i="7"/>
  <c r="M64" i="7"/>
  <c r="K65" i="7"/>
  <c r="M65" i="7"/>
  <c r="K66" i="7"/>
  <c r="M66" i="7"/>
  <c r="K67" i="7"/>
  <c r="M67" i="7"/>
  <c r="K68" i="7"/>
  <c r="M68" i="7"/>
  <c r="K69" i="7"/>
  <c r="M69" i="7"/>
  <c r="K70" i="7"/>
  <c r="M70" i="7"/>
  <c r="K71" i="7"/>
  <c r="M71" i="7"/>
  <c r="K72" i="7"/>
  <c r="M72" i="7"/>
  <c r="K73" i="7"/>
  <c r="M73" i="7"/>
  <c r="K74" i="7"/>
  <c r="M74" i="7"/>
  <c r="K75" i="7"/>
  <c r="M75" i="7"/>
  <c r="K76" i="7"/>
  <c r="M76" i="7"/>
  <c r="K77" i="7"/>
  <c r="M77" i="7"/>
  <c r="K78" i="7"/>
  <c r="M78" i="7"/>
  <c r="K79" i="7"/>
  <c r="M79" i="7"/>
  <c r="K80" i="7"/>
  <c r="M80" i="7"/>
  <c r="K81" i="7"/>
  <c r="M81" i="7"/>
  <c r="K82" i="7"/>
  <c r="M82" i="7"/>
  <c r="K83" i="7"/>
  <c r="M83" i="7"/>
  <c r="K84" i="7"/>
  <c r="M84" i="7"/>
  <c r="K85" i="7"/>
  <c r="M85" i="7"/>
  <c r="K86" i="7"/>
  <c r="M86" i="7"/>
  <c r="K87" i="7"/>
  <c r="M87" i="7"/>
  <c r="K88" i="7"/>
  <c r="M88" i="7"/>
  <c r="K89" i="7"/>
  <c r="L89" i="7"/>
  <c r="M89" i="7"/>
  <c r="K90" i="7"/>
  <c r="M90" i="7"/>
  <c r="K91" i="7"/>
  <c r="M91" i="7"/>
  <c r="K92" i="7"/>
  <c r="M92" i="7"/>
  <c r="K93" i="7"/>
  <c r="M93" i="7"/>
  <c r="K94" i="7"/>
  <c r="M94" i="7"/>
  <c r="K95" i="7"/>
  <c r="M95" i="7"/>
  <c r="K96" i="7"/>
  <c r="M96" i="7"/>
  <c r="K97" i="7"/>
  <c r="M97" i="7"/>
  <c r="K98" i="7"/>
  <c r="M98" i="7"/>
  <c r="K99" i="7"/>
  <c r="M99" i="7"/>
  <c r="K100" i="7"/>
  <c r="M100" i="7"/>
  <c r="K101" i="7"/>
  <c r="M101" i="7"/>
  <c r="K102" i="7"/>
  <c r="M102" i="7"/>
  <c r="K103" i="7"/>
  <c r="M103" i="7"/>
  <c r="K104" i="7"/>
  <c r="M104" i="7"/>
  <c r="K105" i="7"/>
  <c r="M105" i="7"/>
  <c r="K106" i="7"/>
  <c r="M106" i="7"/>
  <c r="K107" i="7"/>
  <c r="M107" i="7"/>
  <c r="K108" i="7"/>
  <c r="M108" i="7"/>
  <c r="K109" i="7"/>
  <c r="M109" i="7"/>
  <c r="K110" i="7"/>
  <c r="M110" i="7"/>
  <c r="K111" i="7"/>
  <c r="M111" i="7"/>
  <c r="K112" i="7"/>
  <c r="M112" i="7"/>
  <c r="K113" i="7"/>
  <c r="M113" i="7"/>
  <c r="K114" i="7"/>
  <c r="M114" i="7"/>
  <c r="K115" i="7"/>
  <c r="M115" i="7"/>
  <c r="K116" i="7"/>
  <c r="M116" i="7"/>
  <c r="K117" i="7"/>
  <c r="M117" i="7"/>
  <c r="K118" i="7"/>
  <c r="M118" i="7"/>
  <c r="K119" i="7"/>
  <c r="M119" i="7"/>
  <c r="K120" i="7"/>
  <c r="M120" i="7"/>
  <c r="K121" i="7"/>
  <c r="M121" i="7"/>
  <c r="K122" i="7"/>
  <c r="M122" i="7"/>
  <c r="K123" i="7"/>
  <c r="M123" i="7"/>
  <c r="K124" i="7"/>
  <c r="M124" i="7"/>
  <c r="K125" i="7"/>
  <c r="M125" i="7"/>
  <c r="K126" i="7"/>
  <c r="M126" i="7"/>
  <c r="K127" i="7"/>
  <c r="M127" i="7"/>
  <c r="K128" i="7"/>
  <c r="M128" i="7"/>
  <c r="K129" i="7"/>
  <c r="M129" i="7"/>
  <c r="K130" i="7"/>
  <c r="M130" i="7"/>
  <c r="K131" i="7"/>
  <c r="M131" i="7"/>
  <c r="K132" i="7"/>
  <c r="M132" i="7"/>
  <c r="K133" i="7"/>
  <c r="M133" i="7"/>
  <c r="K134" i="7"/>
  <c r="M134" i="7"/>
  <c r="K135" i="7"/>
  <c r="M135" i="7"/>
  <c r="K136" i="7"/>
  <c r="M136" i="7"/>
  <c r="K137" i="7"/>
  <c r="M137" i="7"/>
  <c r="K138" i="7"/>
  <c r="M138" i="7"/>
  <c r="K139" i="7"/>
  <c r="M139" i="7"/>
  <c r="K140" i="7"/>
  <c r="M140" i="7"/>
  <c r="K141" i="7"/>
  <c r="M141" i="7"/>
  <c r="K142" i="7"/>
  <c r="M142" i="7"/>
  <c r="K143" i="7"/>
  <c r="M143" i="7"/>
  <c r="K144" i="7"/>
  <c r="M144" i="7"/>
  <c r="K145" i="7"/>
  <c r="M145" i="7"/>
  <c r="K146" i="7"/>
  <c r="M146" i="7"/>
  <c r="K147" i="7"/>
  <c r="M147" i="7"/>
  <c r="K148" i="7"/>
  <c r="M148" i="7"/>
  <c r="K149" i="7"/>
  <c r="M149" i="7"/>
  <c r="K150" i="7"/>
  <c r="M150" i="7"/>
  <c r="K151" i="7"/>
  <c r="M151" i="7"/>
  <c r="K152" i="7"/>
  <c r="M152" i="7"/>
  <c r="K153" i="7"/>
  <c r="M153" i="7"/>
  <c r="K154" i="7"/>
  <c r="M154" i="7"/>
  <c r="K155" i="7"/>
  <c r="M155" i="7"/>
  <c r="K156" i="7"/>
  <c r="M156" i="7"/>
  <c r="K157" i="7"/>
  <c r="M157" i="7"/>
  <c r="K158" i="7"/>
  <c r="M158" i="7"/>
  <c r="K159" i="7"/>
  <c r="M159" i="7"/>
  <c r="K160" i="7"/>
  <c r="M160" i="7"/>
  <c r="K161" i="7"/>
  <c r="M161" i="7"/>
  <c r="K162" i="7"/>
  <c r="M162" i="7"/>
  <c r="K163" i="7"/>
  <c r="M163" i="7"/>
  <c r="K164" i="7"/>
  <c r="M164" i="7"/>
  <c r="K165" i="7"/>
  <c r="M165" i="7"/>
  <c r="K166" i="7"/>
  <c r="M166" i="7"/>
  <c r="K167" i="7"/>
  <c r="M167" i="7"/>
  <c r="K168" i="7"/>
  <c r="M168" i="7"/>
  <c r="K169" i="7"/>
  <c r="M169" i="7"/>
  <c r="K170" i="7"/>
  <c r="M170" i="7"/>
  <c r="K171" i="7"/>
  <c r="M171" i="7"/>
  <c r="K172" i="7"/>
  <c r="M172" i="7"/>
  <c r="K173" i="7"/>
  <c r="M173" i="7"/>
  <c r="K174" i="7"/>
  <c r="M174" i="7"/>
  <c r="K175" i="7"/>
  <c r="M175" i="7"/>
  <c r="K176" i="7"/>
  <c r="M176" i="7"/>
  <c r="K177" i="7"/>
  <c r="M177" i="7"/>
  <c r="K178" i="7"/>
  <c r="M178" i="7"/>
  <c r="K179" i="7"/>
  <c r="M179" i="7"/>
  <c r="K180" i="7"/>
  <c r="M180" i="7"/>
  <c r="K181" i="7"/>
  <c r="M181" i="7"/>
  <c r="K182" i="7"/>
  <c r="M182" i="7"/>
  <c r="K183" i="7"/>
  <c r="M183" i="7"/>
  <c r="K184" i="7"/>
  <c r="M184" i="7"/>
  <c r="K185" i="7"/>
  <c r="M185" i="7"/>
  <c r="K186" i="7"/>
  <c r="M186" i="7"/>
  <c r="K187" i="7"/>
  <c r="M187" i="7"/>
  <c r="K188" i="7"/>
  <c r="M188" i="7"/>
  <c r="K189" i="7"/>
  <c r="M189" i="7"/>
  <c r="K190" i="7"/>
  <c r="M190" i="7"/>
  <c r="K191" i="7"/>
  <c r="M191" i="7"/>
  <c r="K192" i="7"/>
  <c r="M192" i="7"/>
  <c r="K193" i="7"/>
  <c r="M193" i="7"/>
  <c r="K194" i="7"/>
  <c r="M194" i="7"/>
  <c r="K195" i="7"/>
  <c r="M195" i="7"/>
  <c r="K196" i="7"/>
  <c r="M196" i="7"/>
  <c r="K197" i="7"/>
  <c r="M197" i="7"/>
  <c r="K198" i="7"/>
  <c r="M198" i="7"/>
  <c r="K199" i="7"/>
  <c r="M199" i="7"/>
  <c r="K200" i="7"/>
  <c r="M200" i="7"/>
  <c r="K201" i="7"/>
  <c r="M201" i="7"/>
  <c r="K202" i="7"/>
  <c r="M202" i="7"/>
  <c r="K203" i="7"/>
  <c r="M203" i="7"/>
  <c r="K204" i="7"/>
  <c r="M204" i="7"/>
  <c r="K205" i="7"/>
  <c r="M205" i="7"/>
  <c r="K206" i="7"/>
  <c r="M206" i="7"/>
  <c r="K207" i="7"/>
  <c r="M207" i="7"/>
  <c r="K208" i="7"/>
  <c r="M208" i="7"/>
  <c r="K209" i="7"/>
  <c r="M209" i="7"/>
  <c r="K210" i="7"/>
  <c r="M210" i="7"/>
  <c r="K211" i="7"/>
  <c r="M211" i="7"/>
  <c r="K212" i="7"/>
  <c r="M212" i="7"/>
  <c r="K213" i="7"/>
  <c r="M213" i="7"/>
  <c r="K214" i="7"/>
  <c r="M214" i="7"/>
  <c r="K215" i="7"/>
  <c r="M215" i="7"/>
  <c r="K216" i="7"/>
  <c r="M216" i="7"/>
  <c r="K217" i="7"/>
  <c r="M217" i="7"/>
  <c r="K218" i="7"/>
  <c r="M218" i="7"/>
  <c r="K219" i="7"/>
  <c r="M219" i="7"/>
  <c r="K220" i="7"/>
  <c r="M220" i="7"/>
  <c r="K221" i="7"/>
  <c r="M221" i="7"/>
  <c r="K222" i="7"/>
  <c r="M222" i="7"/>
  <c r="K223" i="7"/>
  <c r="M223" i="7"/>
  <c r="K224" i="7"/>
  <c r="M224" i="7"/>
  <c r="K225" i="7"/>
  <c r="M225" i="7"/>
  <c r="K226" i="7"/>
  <c r="M226" i="7"/>
  <c r="K227" i="7"/>
  <c r="M227" i="7"/>
  <c r="K228" i="7"/>
  <c r="M228" i="7"/>
  <c r="K229" i="7"/>
  <c r="M229" i="7"/>
  <c r="K230" i="7"/>
  <c r="M230" i="7"/>
  <c r="K231" i="7"/>
  <c r="M231" i="7"/>
  <c r="K232" i="7"/>
  <c r="M232" i="7"/>
  <c r="K233" i="7"/>
  <c r="M233" i="7"/>
  <c r="K234" i="7"/>
  <c r="M234" i="7"/>
  <c r="K235" i="7"/>
  <c r="M235" i="7"/>
  <c r="K236" i="7"/>
  <c r="M236" i="7"/>
  <c r="K237" i="7"/>
  <c r="M237" i="7"/>
  <c r="K238" i="7"/>
  <c r="M238" i="7"/>
  <c r="K239" i="7"/>
  <c r="M239" i="7"/>
  <c r="K240" i="7"/>
  <c r="M240" i="7"/>
  <c r="K241" i="7"/>
  <c r="M241" i="7"/>
  <c r="K242" i="7"/>
  <c r="M242" i="7"/>
  <c r="K243" i="7"/>
  <c r="M243" i="7"/>
  <c r="K244" i="7"/>
  <c r="M244" i="7"/>
  <c r="K245" i="7"/>
  <c r="M245" i="7"/>
  <c r="K246" i="7"/>
  <c r="M246" i="7"/>
  <c r="K247" i="7"/>
  <c r="M247" i="7"/>
  <c r="K248" i="7"/>
  <c r="M248" i="7"/>
  <c r="K249" i="7"/>
  <c r="M249" i="7"/>
  <c r="K250" i="7"/>
  <c r="M250" i="7"/>
  <c r="K251" i="7"/>
  <c r="M251" i="7"/>
  <c r="K252" i="7"/>
  <c r="M252" i="7"/>
  <c r="K253" i="7"/>
  <c r="M253" i="7"/>
  <c r="K254" i="7"/>
  <c r="M254" i="7"/>
  <c r="M11" i="7"/>
  <c r="C250" i="7"/>
  <c r="D250" i="7"/>
  <c r="E250" i="7"/>
  <c r="C251" i="7"/>
  <c r="D251" i="7"/>
  <c r="E251" i="7"/>
  <c r="C252" i="7"/>
  <c r="D252" i="7"/>
  <c r="E252" i="7"/>
  <c r="C253" i="7"/>
  <c r="D253" i="7"/>
  <c r="E253" i="7"/>
  <c r="C254" i="7"/>
  <c r="D254" i="7"/>
  <c r="E254" i="7"/>
  <c r="C204" i="7"/>
  <c r="D204" i="7"/>
  <c r="E204" i="7"/>
  <c r="C205" i="7"/>
  <c r="D205" i="7"/>
  <c r="E205" i="7"/>
  <c r="C206" i="7"/>
  <c r="D206" i="7"/>
  <c r="E206" i="7"/>
  <c r="C207" i="7"/>
  <c r="D207" i="7"/>
  <c r="E207" i="7"/>
  <c r="C208" i="7"/>
  <c r="D208" i="7"/>
  <c r="E208" i="7"/>
  <c r="C209" i="7"/>
  <c r="D209" i="7"/>
  <c r="E209" i="7"/>
  <c r="C210" i="7"/>
  <c r="D210" i="7"/>
  <c r="E210" i="7"/>
  <c r="C211" i="7"/>
  <c r="D211" i="7"/>
  <c r="E211" i="7"/>
  <c r="C212" i="7"/>
  <c r="D212" i="7"/>
  <c r="E212" i="7"/>
  <c r="C213" i="7"/>
  <c r="D213" i="7"/>
  <c r="E213" i="7"/>
  <c r="C214" i="7"/>
  <c r="D214" i="7"/>
  <c r="E214" i="7"/>
  <c r="C215" i="7"/>
  <c r="D215" i="7"/>
  <c r="E215" i="7"/>
  <c r="C216" i="7"/>
  <c r="D216" i="7"/>
  <c r="E216" i="7"/>
  <c r="C217" i="7"/>
  <c r="D217" i="7"/>
  <c r="E217" i="7"/>
  <c r="C218" i="7"/>
  <c r="D218" i="7"/>
  <c r="E218" i="7"/>
  <c r="C219" i="7"/>
  <c r="D219" i="7"/>
  <c r="E219" i="7"/>
  <c r="C220" i="7"/>
  <c r="D220" i="7"/>
  <c r="E220" i="7"/>
  <c r="C221" i="7"/>
  <c r="D221" i="7"/>
  <c r="E221" i="7"/>
  <c r="C222" i="7"/>
  <c r="D222" i="7"/>
  <c r="E222" i="7"/>
  <c r="C223" i="7"/>
  <c r="D223" i="7"/>
  <c r="E223" i="7"/>
  <c r="C224" i="7"/>
  <c r="D224" i="7"/>
  <c r="E224" i="7"/>
  <c r="C225" i="7"/>
  <c r="D225" i="7"/>
  <c r="E225" i="7"/>
  <c r="C226" i="7"/>
  <c r="D226" i="7"/>
  <c r="E226" i="7"/>
  <c r="C227" i="7"/>
  <c r="D227" i="7"/>
  <c r="E227" i="7"/>
  <c r="C228" i="7"/>
  <c r="D228" i="7"/>
  <c r="E228" i="7"/>
  <c r="C229" i="7"/>
  <c r="D229" i="7"/>
  <c r="E229" i="7"/>
  <c r="C230" i="7"/>
  <c r="D230" i="7"/>
  <c r="E230" i="7"/>
  <c r="C231" i="7"/>
  <c r="D231" i="7"/>
  <c r="E231" i="7"/>
  <c r="C232" i="7"/>
  <c r="D232" i="7"/>
  <c r="E232" i="7"/>
  <c r="C233" i="7"/>
  <c r="D233" i="7"/>
  <c r="E233" i="7"/>
  <c r="C234" i="7"/>
  <c r="D234" i="7"/>
  <c r="E234" i="7"/>
  <c r="C235" i="7"/>
  <c r="D235" i="7"/>
  <c r="E235" i="7"/>
  <c r="C236" i="7"/>
  <c r="D236" i="7"/>
  <c r="E236" i="7"/>
  <c r="C237" i="7"/>
  <c r="D237" i="7"/>
  <c r="E237" i="7"/>
  <c r="C238" i="7"/>
  <c r="D238" i="7"/>
  <c r="E238" i="7"/>
  <c r="C239" i="7"/>
  <c r="D239" i="7"/>
  <c r="E239" i="7"/>
  <c r="C240" i="7"/>
  <c r="D240" i="7"/>
  <c r="E240" i="7"/>
  <c r="C241" i="7"/>
  <c r="D241" i="7"/>
  <c r="E241" i="7"/>
  <c r="C242" i="7"/>
  <c r="D242" i="7"/>
  <c r="E242" i="7"/>
  <c r="C243" i="7"/>
  <c r="D243" i="7"/>
  <c r="E243" i="7"/>
  <c r="C244" i="7"/>
  <c r="D244" i="7"/>
  <c r="E244" i="7"/>
  <c r="C245" i="7"/>
  <c r="D245" i="7"/>
  <c r="E245" i="7"/>
  <c r="C246" i="7"/>
  <c r="D246" i="7"/>
  <c r="E246" i="7"/>
  <c r="C247" i="7"/>
  <c r="D247" i="7"/>
  <c r="E247" i="7"/>
  <c r="C248" i="7"/>
  <c r="D248" i="7"/>
  <c r="E248" i="7"/>
  <c r="C249" i="7"/>
  <c r="D249" i="7"/>
  <c r="E249" i="7"/>
  <c r="C159" i="7"/>
  <c r="D159" i="7"/>
  <c r="E159" i="7"/>
  <c r="C160" i="7"/>
  <c r="D160" i="7"/>
  <c r="E160" i="7"/>
  <c r="C161" i="7"/>
  <c r="D161" i="7"/>
  <c r="E161" i="7"/>
  <c r="C162" i="7"/>
  <c r="D162" i="7"/>
  <c r="E162" i="7"/>
  <c r="C163" i="7"/>
  <c r="D163" i="7"/>
  <c r="E163" i="7"/>
  <c r="C164" i="7"/>
  <c r="D164" i="7"/>
  <c r="E164" i="7"/>
  <c r="C165" i="7"/>
  <c r="D165" i="7"/>
  <c r="E165" i="7"/>
  <c r="C166" i="7"/>
  <c r="D166" i="7"/>
  <c r="E166" i="7"/>
  <c r="C167" i="7"/>
  <c r="D167" i="7"/>
  <c r="E167" i="7"/>
  <c r="C168" i="7"/>
  <c r="D168" i="7"/>
  <c r="E168" i="7"/>
  <c r="C169" i="7"/>
  <c r="D169" i="7"/>
  <c r="E169" i="7"/>
  <c r="C170" i="7"/>
  <c r="D170" i="7"/>
  <c r="E170" i="7"/>
  <c r="C171" i="7"/>
  <c r="D171" i="7"/>
  <c r="E171" i="7"/>
  <c r="C172" i="7"/>
  <c r="D172" i="7"/>
  <c r="E172" i="7"/>
  <c r="C173" i="7"/>
  <c r="D173" i="7"/>
  <c r="E173" i="7"/>
  <c r="C174" i="7"/>
  <c r="D174" i="7"/>
  <c r="E174" i="7"/>
  <c r="C175" i="7"/>
  <c r="D175" i="7"/>
  <c r="E175" i="7"/>
  <c r="C176" i="7"/>
  <c r="D176" i="7"/>
  <c r="E176" i="7"/>
  <c r="C177" i="7"/>
  <c r="D177" i="7"/>
  <c r="E177" i="7"/>
  <c r="C178" i="7"/>
  <c r="D178" i="7"/>
  <c r="E178" i="7"/>
  <c r="C179" i="7"/>
  <c r="D179" i="7"/>
  <c r="E179" i="7"/>
  <c r="C180" i="7"/>
  <c r="D180" i="7"/>
  <c r="E180" i="7"/>
  <c r="C181" i="7"/>
  <c r="D181" i="7"/>
  <c r="E181" i="7"/>
  <c r="C182" i="7"/>
  <c r="D182" i="7"/>
  <c r="E182" i="7"/>
  <c r="C183" i="7"/>
  <c r="D183" i="7"/>
  <c r="E183" i="7"/>
  <c r="C184" i="7"/>
  <c r="D184" i="7"/>
  <c r="E184" i="7"/>
  <c r="C185" i="7"/>
  <c r="D185" i="7"/>
  <c r="E185" i="7"/>
  <c r="C186" i="7"/>
  <c r="D186" i="7"/>
  <c r="E186" i="7"/>
  <c r="C187" i="7"/>
  <c r="D187" i="7"/>
  <c r="E187" i="7"/>
  <c r="C188" i="7"/>
  <c r="D188" i="7"/>
  <c r="E188" i="7"/>
  <c r="C189" i="7"/>
  <c r="D189" i="7"/>
  <c r="E189" i="7"/>
  <c r="C190" i="7"/>
  <c r="D190" i="7"/>
  <c r="E190" i="7"/>
  <c r="C191" i="7"/>
  <c r="D191" i="7"/>
  <c r="E191" i="7"/>
  <c r="C192" i="7"/>
  <c r="D192" i="7"/>
  <c r="E192" i="7"/>
  <c r="C193" i="7"/>
  <c r="D193" i="7"/>
  <c r="E193" i="7"/>
  <c r="C194" i="7"/>
  <c r="D194" i="7"/>
  <c r="E194" i="7"/>
  <c r="C195" i="7"/>
  <c r="D195" i="7"/>
  <c r="E195" i="7"/>
  <c r="C196" i="7"/>
  <c r="D196" i="7"/>
  <c r="E196" i="7"/>
  <c r="C197" i="7"/>
  <c r="D197" i="7"/>
  <c r="E197" i="7"/>
  <c r="C198" i="7"/>
  <c r="D198" i="7"/>
  <c r="E198" i="7"/>
  <c r="C199" i="7"/>
  <c r="D199" i="7"/>
  <c r="E199" i="7"/>
  <c r="C200" i="7"/>
  <c r="D200" i="7"/>
  <c r="E200" i="7"/>
  <c r="C201" i="7"/>
  <c r="D201" i="7"/>
  <c r="E201" i="7"/>
  <c r="C202" i="7"/>
  <c r="D202" i="7"/>
  <c r="E202" i="7"/>
  <c r="C203" i="7"/>
  <c r="D203" i="7"/>
  <c r="E203" i="7"/>
  <c r="C14" i="7"/>
  <c r="D14" i="7"/>
  <c r="E14" i="7"/>
  <c r="C15" i="7"/>
  <c r="E15" i="7"/>
  <c r="F15" i="7"/>
  <c r="G15" i="7"/>
  <c r="N15" i="7" s="1"/>
  <c r="C16" i="7"/>
  <c r="D16" i="7"/>
  <c r="E16" i="7"/>
  <c r="C17" i="7"/>
  <c r="D17" i="7"/>
  <c r="E17" i="7"/>
  <c r="C18" i="7"/>
  <c r="E18" i="7"/>
  <c r="C19" i="7"/>
  <c r="E19" i="7"/>
  <c r="C20" i="7"/>
  <c r="D20" i="7"/>
  <c r="E20" i="7"/>
  <c r="C21" i="7"/>
  <c r="D21" i="7"/>
  <c r="E21" i="7"/>
  <c r="C22" i="7"/>
  <c r="D22" i="7"/>
  <c r="E22" i="7"/>
  <c r="C23" i="7"/>
  <c r="E23" i="7"/>
  <c r="C24" i="7"/>
  <c r="D24" i="7"/>
  <c r="E24" i="7"/>
  <c r="C25" i="7"/>
  <c r="D25" i="7"/>
  <c r="E25" i="7"/>
  <c r="C26" i="7"/>
  <c r="D26" i="7"/>
  <c r="E26" i="7"/>
  <c r="C27" i="7"/>
  <c r="D27" i="7"/>
  <c r="E27" i="7"/>
  <c r="C28" i="7"/>
  <c r="D28" i="7"/>
  <c r="E28" i="7"/>
  <c r="C29" i="7"/>
  <c r="D29" i="7"/>
  <c r="E29" i="7"/>
  <c r="C30" i="7"/>
  <c r="D30" i="7"/>
  <c r="E30" i="7"/>
  <c r="C31" i="7"/>
  <c r="D31" i="7"/>
  <c r="E31" i="7"/>
  <c r="C32" i="7"/>
  <c r="D32" i="7"/>
  <c r="E32" i="7"/>
  <c r="C33" i="7"/>
  <c r="D33" i="7"/>
  <c r="E33" i="7"/>
  <c r="C34" i="7"/>
  <c r="D34" i="7"/>
  <c r="E34" i="7"/>
  <c r="C35" i="7"/>
  <c r="D35" i="7"/>
  <c r="E35" i="7"/>
  <c r="C36" i="7"/>
  <c r="D36" i="7"/>
  <c r="E36" i="7"/>
  <c r="C37" i="7"/>
  <c r="E37" i="7"/>
  <c r="C38" i="7"/>
  <c r="D38" i="7"/>
  <c r="E38" i="7"/>
  <c r="C39" i="7"/>
  <c r="D39" i="7"/>
  <c r="E39" i="7"/>
  <c r="C40" i="7"/>
  <c r="D40" i="7"/>
  <c r="E40" i="7"/>
  <c r="C41" i="7"/>
  <c r="E41" i="7"/>
  <c r="C42" i="7"/>
  <c r="E42" i="7"/>
  <c r="C43" i="7"/>
  <c r="E43" i="7"/>
  <c r="C44" i="7"/>
  <c r="E44" i="7"/>
  <c r="C45" i="7"/>
  <c r="E45" i="7"/>
  <c r="F45" i="7"/>
  <c r="L45" i="7" s="1"/>
  <c r="C46" i="7"/>
  <c r="D46" i="7"/>
  <c r="E46" i="7"/>
  <c r="C47" i="7"/>
  <c r="E47" i="7"/>
  <c r="C48" i="7"/>
  <c r="E48" i="7"/>
  <c r="C49" i="7"/>
  <c r="D49" i="7"/>
  <c r="E49" i="7"/>
  <c r="C50" i="7"/>
  <c r="D50" i="7"/>
  <c r="E50" i="7"/>
  <c r="C51" i="7"/>
  <c r="D51" i="7"/>
  <c r="E51" i="7"/>
  <c r="C52" i="7"/>
  <c r="D52" i="7"/>
  <c r="E52" i="7"/>
  <c r="C53" i="7"/>
  <c r="D53" i="7"/>
  <c r="E53" i="7"/>
  <c r="C54" i="7"/>
  <c r="D54" i="7"/>
  <c r="E54" i="7"/>
  <c r="C55" i="7"/>
  <c r="D55" i="7"/>
  <c r="E55" i="7"/>
  <c r="C56" i="7"/>
  <c r="D56" i="7"/>
  <c r="E56" i="7"/>
  <c r="C57" i="7"/>
  <c r="D57" i="7"/>
  <c r="E57" i="7"/>
  <c r="C58" i="7"/>
  <c r="D58" i="7"/>
  <c r="E58" i="7"/>
  <c r="C59" i="7"/>
  <c r="D59" i="7"/>
  <c r="E59" i="7"/>
  <c r="C60" i="7"/>
  <c r="D60" i="7"/>
  <c r="E60" i="7"/>
  <c r="C61" i="7"/>
  <c r="D61" i="7"/>
  <c r="E61" i="7"/>
  <c r="C62" i="7"/>
  <c r="D62" i="7"/>
  <c r="E62" i="7"/>
  <c r="C63" i="7"/>
  <c r="D63" i="7"/>
  <c r="E63" i="7"/>
  <c r="C64" i="7"/>
  <c r="D64" i="7"/>
  <c r="E64" i="7"/>
  <c r="C65" i="7"/>
  <c r="D65" i="7"/>
  <c r="E65" i="7"/>
  <c r="C66" i="7"/>
  <c r="D66" i="7"/>
  <c r="E66" i="7"/>
  <c r="C67" i="7"/>
  <c r="D67" i="7"/>
  <c r="E67" i="7"/>
  <c r="C68" i="7"/>
  <c r="D68" i="7"/>
  <c r="E68" i="7"/>
  <c r="C69" i="7"/>
  <c r="D69" i="7"/>
  <c r="E69" i="7"/>
  <c r="C70" i="7"/>
  <c r="D70" i="7"/>
  <c r="E70" i="7"/>
  <c r="C71" i="7"/>
  <c r="D71" i="7"/>
  <c r="E71" i="7"/>
  <c r="C72" i="7"/>
  <c r="D72" i="7"/>
  <c r="E72" i="7"/>
  <c r="C73" i="7"/>
  <c r="D73" i="7"/>
  <c r="E73" i="7"/>
  <c r="C74" i="7"/>
  <c r="D74" i="7"/>
  <c r="E74" i="7"/>
  <c r="C75" i="7"/>
  <c r="D75" i="7"/>
  <c r="E75" i="7"/>
  <c r="C76" i="7"/>
  <c r="D76" i="7"/>
  <c r="E76" i="7"/>
  <c r="C77" i="7"/>
  <c r="D77" i="7"/>
  <c r="E77" i="7"/>
  <c r="C78" i="7"/>
  <c r="D78" i="7"/>
  <c r="E78" i="7"/>
  <c r="C79" i="7"/>
  <c r="D79" i="7"/>
  <c r="E79" i="7"/>
  <c r="C80" i="7"/>
  <c r="D80" i="7"/>
  <c r="E80" i="7"/>
  <c r="C81" i="7"/>
  <c r="D81" i="7"/>
  <c r="E81" i="7"/>
  <c r="C82" i="7"/>
  <c r="D82" i="7"/>
  <c r="E82" i="7"/>
  <c r="C83" i="7"/>
  <c r="D83" i="7"/>
  <c r="E83" i="7"/>
  <c r="C84" i="7"/>
  <c r="D84" i="7"/>
  <c r="E84" i="7"/>
  <c r="C85" i="7"/>
  <c r="D85" i="7"/>
  <c r="E85" i="7"/>
  <c r="C86" i="7"/>
  <c r="D86" i="7"/>
  <c r="E86" i="7"/>
  <c r="C87" i="7"/>
  <c r="D87" i="7"/>
  <c r="E87" i="7"/>
  <c r="C88" i="7"/>
  <c r="D88" i="7"/>
  <c r="E88" i="7"/>
  <c r="C89" i="7"/>
  <c r="D89" i="7"/>
  <c r="E89" i="7"/>
  <c r="F89" i="7"/>
  <c r="G89" i="7"/>
  <c r="N89" i="7" s="1"/>
  <c r="C90" i="7"/>
  <c r="D90" i="7"/>
  <c r="E90" i="7"/>
  <c r="C91" i="7"/>
  <c r="D91" i="7"/>
  <c r="E91" i="7"/>
  <c r="C92" i="7"/>
  <c r="D92" i="7"/>
  <c r="E92" i="7"/>
  <c r="C93" i="7"/>
  <c r="D93" i="7"/>
  <c r="E93" i="7"/>
  <c r="C94" i="7"/>
  <c r="D94" i="7"/>
  <c r="E94" i="7"/>
  <c r="C95" i="7"/>
  <c r="D95" i="7"/>
  <c r="E95" i="7"/>
  <c r="C96" i="7"/>
  <c r="D96" i="7"/>
  <c r="E96" i="7"/>
  <c r="C97" i="7"/>
  <c r="D97" i="7"/>
  <c r="E97" i="7"/>
  <c r="C98" i="7"/>
  <c r="D98" i="7"/>
  <c r="E98" i="7"/>
  <c r="C99" i="7"/>
  <c r="D99" i="7"/>
  <c r="E99" i="7"/>
  <c r="C100" i="7"/>
  <c r="D100" i="7"/>
  <c r="E100" i="7"/>
  <c r="C101" i="7"/>
  <c r="D101" i="7"/>
  <c r="E101" i="7"/>
  <c r="C102" i="7"/>
  <c r="D102" i="7"/>
  <c r="E102" i="7"/>
  <c r="C103" i="7"/>
  <c r="E103" i="7"/>
  <c r="C104" i="7"/>
  <c r="E104" i="7"/>
  <c r="C105" i="7"/>
  <c r="D105" i="7"/>
  <c r="E105" i="7"/>
  <c r="C106" i="7"/>
  <c r="D106" i="7"/>
  <c r="E106" i="7"/>
  <c r="C107" i="7"/>
  <c r="D107" i="7"/>
  <c r="E107" i="7"/>
  <c r="C108" i="7"/>
  <c r="D108" i="7"/>
  <c r="E108" i="7"/>
  <c r="C109" i="7"/>
  <c r="D109" i="7"/>
  <c r="E109" i="7"/>
  <c r="C110" i="7"/>
  <c r="D110" i="7"/>
  <c r="E110" i="7"/>
  <c r="C111" i="7"/>
  <c r="D111" i="7"/>
  <c r="E111" i="7"/>
  <c r="C112" i="7"/>
  <c r="D112" i="7"/>
  <c r="E112" i="7"/>
  <c r="C113" i="7"/>
  <c r="D113" i="7"/>
  <c r="E113" i="7"/>
  <c r="C114" i="7"/>
  <c r="D114" i="7"/>
  <c r="E114" i="7"/>
  <c r="C115" i="7"/>
  <c r="D115" i="7"/>
  <c r="E115" i="7"/>
  <c r="C116" i="7"/>
  <c r="D116" i="7"/>
  <c r="E116" i="7"/>
  <c r="C117" i="7"/>
  <c r="D117" i="7"/>
  <c r="E117" i="7"/>
  <c r="C118" i="7"/>
  <c r="D118" i="7"/>
  <c r="E118" i="7"/>
  <c r="C119" i="7"/>
  <c r="D119" i="7"/>
  <c r="E119" i="7"/>
  <c r="C120" i="7"/>
  <c r="D120" i="7"/>
  <c r="E120" i="7"/>
  <c r="C121" i="7"/>
  <c r="D121" i="7"/>
  <c r="E121" i="7"/>
  <c r="C122" i="7"/>
  <c r="D122" i="7"/>
  <c r="E122" i="7"/>
  <c r="C123" i="7"/>
  <c r="D123" i="7"/>
  <c r="E123" i="7"/>
  <c r="C124" i="7"/>
  <c r="D124" i="7"/>
  <c r="E124" i="7"/>
  <c r="C125" i="7"/>
  <c r="D125" i="7"/>
  <c r="E125" i="7"/>
  <c r="C126" i="7"/>
  <c r="D126" i="7"/>
  <c r="E126" i="7"/>
  <c r="C127" i="7"/>
  <c r="D127" i="7"/>
  <c r="E127" i="7"/>
  <c r="C128" i="7"/>
  <c r="D128" i="7"/>
  <c r="E128" i="7"/>
  <c r="C129" i="7"/>
  <c r="D129" i="7"/>
  <c r="E129" i="7"/>
  <c r="C130" i="7"/>
  <c r="D130" i="7"/>
  <c r="E130" i="7"/>
  <c r="C131" i="7"/>
  <c r="D131" i="7"/>
  <c r="E131" i="7"/>
  <c r="C132" i="7"/>
  <c r="D132" i="7"/>
  <c r="E132" i="7"/>
  <c r="C133" i="7"/>
  <c r="D133" i="7"/>
  <c r="E133" i="7"/>
  <c r="C134" i="7"/>
  <c r="D134" i="7"/>
  <c r="E134" i="7"/>
  <c r="C135" i="7"/>
  <c r="D135" i="7"/>
  <c r="E135" i="7"/>
  <c r="C136" i="7"/>
  <c r="D136" i="7"/>
  <c r="E136" i="7"/>
  <c r="C137" i="7"/>
  <c r="D137" i="7"/>
  <c r="E137" i="7"/>
  <c r="C138" i="7"/>
  <c r="D138" i="7"/>
  <c r="E138" i="7"/>
  <c r="C139" i="7"/>
  <c r="D139" i="7"/>
  <c r="E139" i="7"/>
  <c r="C140" i="7"/>
  <c r="D140" i="7"/>
  <c r="E140" i="7"/>
  <c r="C141" i="7"/>
  <c r="D141" i="7"/>
  <c r="E141" i="7"/>
  <c r="C142" i="7"/>
  <c r="D142" i="7"/>
  <c r="E142" i="7"/>
  <c r="C143" i="7"/>
  <c r="D143" i="7"/>
  <c r="E143" i="7"/>
  <c r="C144" i="7"/>
  <c r="D144" i="7"/>
  <c r="E144" i="7"/>
  <c r="C145" i="7"/>
  <c r="D145" i="7"/>
  <c r="E145" i="7"/>
  <c r="C146" i="7"/>
  <c r="D146" i="7"/>
  <c r="E146" i="7"/>
  <c r="C147" i="7"/>
  <c r="D147" i="7"/>
  <c r="E147" i="7"/>
  <c r="C148" i="7"/>
  <c r="D148" i="7"/>
  <c r="E148" i="7"/>
  <c r="C149" i="7"/>
  <c r="D149" i="7"/>
  <c r="E149" i="7"/>
  <c r="C150" i="7"/>
  <c r="D150" i="7"/>
  <c r="E150" i="7"/>
  <c r="C151" i="7"/>
  <c r="D151" i="7"/>
  <c r="E151" i="7"/>
  <c r="C152" i="7"/>
  <c r="D152" i="7"/>
  <c r="E152" i="7"/>
  <c r="C153" i="7"/>
  <c r="D153" i="7"/>
  <c r="E153" i="7"/>
  <c r="C154" i="7"/>
  <c r="D154" i="7"/>
  <c r="E154" i="7"/>
  <c r="C155" i="7"/>
  <c r="D155" i="7"/>
  <c r="E155" i="7"/>
  <c r="C156" i="7"/>
  <c r="D156" i="7"/>
  <c r="E156" i="7"/>
  <c r="C157" i="7"/>
  <c r="D157" i="7"/>
  <c r="E157" i="7"/>
  <c r="C158" i="7"/>
  <c r="D158" i="7"/>
  <c r="E158" i="7"/>
  <c r="F271" i="7"/>
  <c r="E271" i="7"/>
  <c r="D271" i="7"/>
  <c r="C271" i="7"/>
  <c r="E13" i="7"/>
  <c r="D13" i="7"/>
  <c r="C13" i="7"/>
  <c r="E12" i="7"/>
  <c r="D12" i="7"/>
  <c r="C12" i="7"/>
  <c r="E11" i="7"/>
  <c r="C11" i="7"/>
  <c r="J269" i="10"/>
  <c r="K269" i="10" s="1"/>
  <c r="J268" i="10"/>
  <c r="K268" i="10" s="1"/>
  <c r="J266" i="10"/>
  <c r="J265" i="10"/>
  <c r="K265" i="10" s="1"/>
  <c r="G271" i="7" s="1"/>
  <c r="Y258" i="10"/>
  <c r="W258" i="10"/>
  <c r="X258" i="10" s="1"/>
  <c r="Z258" i="10" s="1"/>
  <c r="S258" i="10"/>
  <c r="Q258" i="10"/>
  <c r="R258" i="10" s="1"/>
  <c r="T258" i="10" s="1"/>
  <c r="M258" i="10"/>
  <c r="K258" i="10"/>
  <c r="L258" i="10" s="1"/>
  <c r="DJ257" i="10"/>
  <c r="DI257" i="10"/>
  <c r="DR257" i="10" s="1"/>
  <c r="DH257" i="10"/>
  <c r="DQ257" i="10" s="1"/>
  <c r="DG257" i="10"/>
  <c r="DP257" i="10" s="1"/>
  <c r="DF257" i="10"/>
  <c r="DO257" i="10" s="1"/>
  <c r="DE257" i="10"/>
  <c r="DN257" i="10" s="1"/>
  <c r="DD257" i="10"/>
  <c r="DM257" i="10" s="1"/>
  <c r="DC257" i="10"/>
  <c r="DL257" i="10" s="1"/>
  <c r="DB257" i="10"/>
  <c r="DK257" i="10" s="1"/>
  <c r="Y257" i="10"/>
  <c r="X257" i="10"/>
  <c r="Z257" i="10" s="1"/>
  <c r="S257" i="10"/>
  <c r="R257" i="10"/>
  <c r="M257" i="10"/>
  <c r="L257" i="10"/>
  <c r="N257" i="10" s="1"/>
  <c r="DJ256" i="10"/>
  <c r="DI256" i="10"/>
  <c r="DH256" i="10"/>
  <c r="DG256" i="10"/>
  <c r="DF256" i="10"/>
  <c r="DE256" i="10"/>
  <c r="DN256" i="10" s="1"/>
  <c r="DD256" i="10"/>
  <c r="DC256" i="10"/>
  <c r="DL256" i="10" s="1"/>
  <c r="DB256" i="10"/>
  <c r="DK256" i="10" s="1"/>
  <c r="V256" i="10"/>
  <c r="W256" i="10" s="1"/>
  <c r="X256" i="10" s="1"/>
  <c r="Z256" i="10" s="1"/>
  <c r="U256" i="10"/>
  <c r="P256" i="10"/>
  <c r="S256" i="10" s="1"/>
  <c r="O256" i="10"/>
  <c r="DO256" i="10" s="1"/>
  <c r="J256" i="10"/>
  <c r="M256" i="10" s="1"/>
  <c r="I256" i="10"/>
  <c r="DJ255" i="10"/>
  <c r="DI255" i="10"/>
  <c r="DH255" i="10"/>
  <c r="DG255" i="10"/>
  <c r="DF255" i="10"/>
  <c r="DE255" i="10"/>
  <c r="DD255" i="10"/>
  <c r="DC255" i="10"/>
  <c r="DL255" i="10" s="1"/>
  <c r="DB255" i="10"/>
  <c r="DK255" i="10" s="1"/>
  <c r="V255" i="10"/>
  <c r="Y255" i="10" s="1"/>
  <c r="U255" i="10"/>
  <c r="P255" i="10"/>
  <c r="S255" i="10" s="1"/>
  <c r="O255" i="10"/>
  <c r="J255" i="10"/>
  <c r="K255" i="10" s="1"/>
  <c r="L255" i="10" s="1"/>
  <c r="N255" i="10" s="1"/>
  <c r="I255" i="10"/>
  <c r="DJ254" i="10"/>
  <c r="DI254" i="10"/>
  <c r="DH254" i="10"/>
  <c r="DG254" i="10"/>
  <c r="DP254" i="10" s="1"/>
  <c r="DF254" i="10"/>
  <c r="DO254" i="10" s="1"/>
  <c r="DE254" i="10"/>
  <c r="DN254" i="10" s="1"/>
  <c r="DD254" i="10"/>
  <c r="DM254" i="10" s="1"/>
  <c r="DC254" i="10"/>
  <c r="DL254" i="10" s="1"/>
  <c r="DB254" i="10"/>
  <c r="DK254" i="10" s="1"/>
  <c r="V254" i="10"/>
  <c r="U254" i="10"/>
  <c r="S254" i="10"/>
  <c r="Q254" i="10"/>
  <c r="R254" i="10" s="1"/>
  <c r="M254" i="10"/>
  <c r="K254" i="10"/>
  <c r="L254" i="10" s="1"/>
  <c r="N254" i="10" s="1"/>
  <c r="H254" i="10"/>
  <c r="DJ253" i="10"/>
  <c r="DI253" i="10"/>
  <c r="DR253" i="10" s="1"/>
  <c r="DH253" i="10"/>
  <c r="DQ253" i="10" s="1"/>
  <c r="DG253" i="10"/>
  <c r="DP253" i="10" s="1"/>
  <c r="DF253" i="10"/>
  <c r="DO253" i="10" s="1"/>
  <c r="DE253" i="10"/>
  <c r="DN253" i="10" s="1"/>
  <c r="DD253" i="10"/>
  <c r="DM253" i="10" s="1"/>
  <c r="DC253" i="10"/>
  <c r="DL253" i="10" s="1"/>
  <c r="DB253" i="10"/>
  <c r="DK253" i="10" s="1"/>
  <c r="Y253" i="10"/>
  <c r="W253" i="10"/>
  <c r="X253" i="10" s="1"/>
  <c r="Z253" i="10" s="1"/>
  <c r="S253" i="10"/>
  <c r="Q253" i="10"/>
  <c r="R253" i="10" s="1"/>
  <c r="T253" i="10" s="1"/>
  <c r="M253" i="10"/>
  <c r="K253" i="10"/>
  <c r="L253" i="10" s="1"/>
  <c r="DJ252" i="10"/>
  <c r="DI252" i="10"/>
  <c r="DR252" i="10" s="1"/>
  <c r="DH252" i="10"/>
  <c r="DQ252" i="10" s="1"/>
  <c r="DG252" i="10"/>
  <c r="DP252" i="10" s="1"/>
  <c r="DF252" i="10"/>
  <c r="DO252" i="10" s="1"/>
  <c r="DE252" i="10"/>
  <c r="DN252" i="10" s="1"/>
  <c r="DD252" i="10"/>
  <c r="DM252" i="10" s="1"/>
  <c r="DC252" i="10"/>
  <c r="DL252" i="10" s="1"/>
  <c r="DB252" i="10"/>
  <c r="DK252" i="10" s="1"/>
  <c r="Y252" i="10"/>
  <c r="W252" i="10"/>
  <c r="X252" i="10" s="1"/>
  <c r="Z252" i="10" s="1"/>
  <c r="S252" i="10"/>
  <c r="Q252" i="10"/>
  <c r="R252" i="10" s="1"/>
  <c r="T252" i="10" s="1"/>
  <c r="M252" i="10"/>
  <c r="K252" i="10"/>
  <c r="L252" i="10" s="1"/>
  <c r="DJ251" i="10"/>
  <c r="DI251" i="10"/>
  <c r="DR251" i="10" s="1"/>
  <c r="DH251" i="10"/>
  <c r="DQ251" i="10" s="1"/>
  <c r="DG251" i="10"/>
  <c r="DP251" i="10" s="1"/>
  <c r="DF251" i="10"/>
  <c r="DO251" i="10" s="1"/>
  <c r="DE251" i="10"/>
  <c r="DN251" i="10" s="1"/>
  <c r="DD251" i="10"/>
  <c r="DM251" i="10" s="1"/>
  <c r="DC251" i="10"/>
  <c r="DL251" i="10" s="1"/>
  <c r="DB251" i="10"/>
  <c r="DK251" i="10" s="1"/>
  <c r="Y251" i="10"/>
  <c r="W251" i="10"/>
  <c r="X251" i="10" s="1"/>
  <c r="Z251" i="10" s="1"/>
  <c r="S251" i="10"/>
  <c r="Q251" i="10"/>
  <c r="R251" i="10" s="1"/>
  <c r="T251" i="10" s="1"/>
  <c r="N251" i="10"/>
  <c r="M251" i="10"/>
  <c r="K251" i="10"/>
  <c r="L251" i="10" s="1"/>
  <c r="DJ250" i="10"/>
  <c r="DI250" i="10"/>
  <c r="DR250" i="10" s="1"/>
  <c r="DH250" i="10"/>
  <c r="DQ250" i="10" s="1"/>
  <c r="DG250" i="10"/>
  <c r="DP250" i="10" s="1"/>
  <c r="DF250" i="10"/>
  <c r="DO250" i="10" s="1"/>
  <c r="DE250" i="10"/>
  <c r="DN250" i="10" s="1"/>
  <c r="DD250" i="10"/>
  <c r="DM250" i="10" s="1"/>
  <c r="DC250" i="10"/>
  <c r="DL250" i="10" s="1"/>
  <c r="DB250" i="10"/>
  <c r="DK250" i="10" s="1"/>
  <c r="Y250" i="10"/>
  <c r="W250" i="10"/>
  <c r="X250" i="10" s="1"/>
  <c r="Z250" i="10" s="1"/>
  <c r="S250" i="10"/>
  <c r="Q250" i="10"/>
  <c r="R250" i="10" s="1"/>
  <c r="T250" i="10" s="1"/>
  <c r="M250" i="10"/>
  <c r="K250" i="10"/>
  <c r="L250" i="10" s="1"/>
  <c r="DJ249" i="10"/>
  <c r="DI249" i="10"/>
  <c r="DR249" i="10" s="1"/>
  <c r="DH249" i="10"/>
  <c r="DQ249" i="10" s="1"/>
  <c r="DG249" i="10"/>
  <c r="DP249" i="10" s="1"/>
  <c r="DF249" i="10"/>
  <c r="DO249" i="10" s="1"/>
  <c r="DE249" i="10"/>
  <c r="DN249" i="10" s="1"/>
  <c r="DD249" i="10"/>
  <c r="DM249" i="10" s="1"/>
  <c r="DC249" i="10"/>
  <c r="DL249" i="10" s="1"/>
  <c r="DB249" i="10"/>
  <c r="DK249" i="10" s="1"/>
  <c r="Y249" i="10"/>
  <c r="W249" i="10"/>
  <c r="X249" i="10" s="1"/>
  <c r="Z249" i="10" s="1"/>
  <c r="S249" i="10"/>
  <c r="Q249" i="10"/>
  <c r="R249" i="10" s="1"/>
  <c r="T249" i="10" s="1"/>
  <c r="M249" i="10"/>
  <c r="K249" i="10"/>
  <c r="L249" i="10" s="1"/>
  <c r="N249" i="10" s="1"/>
  <c r="DJ248" i="10"/>
  <c r="DI248" i="10"/>
  <c r="DR248" i="10" s="1"/>
  <c r="DH248" i="10"/>
  <c r="DQ248" i="10" s="1"/>
  <c r="DG248" i="10"/>
  <c r="DP248" i="10" s="1"/>
  <c r="DF248" i="10"/>
  <c r="DO248" i="10" s="1"/>
  <c r="DE248" i="10"/>
  <c r="DN248" i="10" s="1"/>
  <c r="DD248" i="10"/>
  <c r="DM248" i="10" s="1"/>
  <c r="DC248" i="10"/>
  <c r="DL248" i="10" s="1"/>
  <c r="DB248" i="10"/>
  <c r="DK248" i="10" s="1"/>
  <c r="Y248" i="10"/>
  <c r="W248" i="10"/>
  <c r="X248" i="10" s="1"/>
  <c r="Z248" i="10" s="1"/>
  <c r="S248" i="10"/>
  <c r="Q248" i="10"/>
  <c r="R248" i="10" s="1"/>
  <c r="T248" i="10" s="1"/>
  <c r="M248" i="10"/>
  <c r="K248" i="10"/>
  <c r="L248" i="10" s="1"/>
  <c r="N248" i="10" s="1"/>
  <c r="DJ247" i="10"/>
  <c r="DI247" i="10"/>
  <c r="DR247" i="10" s="1"/>
  <c r="DH247" i="10"/>
  <c r="DQ247" i="10" s="1"/>
  <c r="DG247" i="10"/>
  <c r="DP247" i="10" s="1"/>
  <c r="DF247" i="10"/>
  <c r="DO247" i="10" s="1"/>
  <c r="DE247" i="10"/>
  <c r="DN247" i="10" s="1"/>
  <c r="DD247" i="10"/>
  <c r="DM247" i="10" s="1"/>
  <c r="DC247" i="10"/>
  <c r="DL247" i="10" s="1"/>
  <c r="DB247" i="10"/>
  <c r="DK247" i="10" s="1"/>
  <c r="Y247" i="10"/>
  <c r="W247" i="10"/>
  <c r="X247" i="10" s="1"/>
  <c r="Z247" i="10" s="1"/>
  <c r="S247" i="10"/>
  <c r="Q247" i="10"/>
  <c r="R247" i="10" s="1"/>
  <c r="T247" i="10" s="1"/>
  <c r="M247" i="10"/>
  <c r="K247" i="10"/>
  <c r="L247" i="10" s="1"/>
  <c r="DJ246" i="10"/>
  <c r="DI246" i="10"/>
  <c r="DR246" i="10" s="1"/>
  <c r="DH246" i="10"/>
  <c r="DQ246" i="10" s="1"/>
  <c r="DG246" i="10"/>
  <c r="DP246" i="10" s="1"/>
  <c r="DF246" i="10"/>
  <c r="DO246" i="10" s="1"/>
  <c r="DE246" i="10"/>
  <c r="DN246" i="10" s="1"/>
  <c r="DD246" i="10"/>
  <c r="DM246" i="10" s="1"/>
  <c r="DC246" i="10"/>
  <c r="DL246" i="10" s="1"/>
  <c r="DB246" i="10"/>
  <c r="DK246" i="10" s="1"/>
  <c r="Y246" i="10"/>
  <c r="W246" i="10"/>
  <c r="X246" i="10" s="1"/>
  <c r="S246" i="10"/>
  <c r="Q246" i="10"/>
  <c r="R246" i="10" s="1"/>
  <c r="T246" i="10" s="1"/>
  <c r="M246" i="10"/>
  <c r="K246" i="10"/>
  <c r="L246" i="10" s="1"/>
  <c r="N246" i="10" s="1"/>
  <c r="DJ245" i="10"/>
  <c r="DI245" i="10"/>
  <c r="DR245" i="10" s="1"/>
  <c r="DH245" i="10"/>
  <c r="DQ245" i="10" s="1"/>
  <c r="DG245" i="10"/>
  <c r="DP245" i="10" s="1"/>
  <c r="DF245" i="10"/>
  <c r="DO245" i="10" s="1"/>
  <c r="DE245" i="10"/>
  <c r="DN245" i="10" s="1"/>
  <c r="DD245" i="10"/>
  <c r="DM245" i="10" s="1"/>
  <c r="DC245" i="10"/>
  <c r="DL245" i="10" s="1"/>
  <c r="DB245" i="10"/>
  <c r="DK245" i="10" s="1"/>
  <c r="Y245" i="10"/>
  <c r="W245" i="10"/>
  <c r="X245" i="10" s="1"/>
  <c r="S245" i="10"/>
  <c r="Q245" i="10"/>
  <c r="R245" i="10" s="1"/>
  <c r="T245" i="10" s="1"/>
  <c r="M245" i="10"/>
  <c r="K245" i="10"/>
  <c r="L245" i="10" s="1"/>
  <c r="N245" i="10" s="1"/>
  <c r="DP244" i="10"/>
  <c r="DO244" i="10"/>
  <c r="DJ244" i="10"/>
  <c r="DI244" i="10"/>
  <c r="DR244" i="10" s="1"/>
  <c r="DH244" i="10"/>
  <c r="DQ244" i="10" s="1"/>
  <c r="DG244" i="10"/>
  <c r="DF244" i="10"/>
  <c r="DE244" i="10"/>
  <c r="DN244" i="10" s="1"/>
  <c r="DD244" i="10"/>
  <c r="DM244" i="10" s="1"/>
  <c r="DC244" i="10"/>
  <c r="DL244" i="10" s="1"/>
  <c r="DB244" i="10"/>
  <c r="DK244" i="10" s="1"/>
  <c r="Y244" i="10"/>
  <c r="W244" i="10"/>
  <c r="X244" i="10" s="1"/>
  <c r="Z244" i="10" s="1"/>
  <c r="S244" i="10"/>
  <c r="Q244" i="10"/>
  <c r="R244" i="10" s="1"/>
  <c r="M244" i="10"/>
  <c r="K244" i="10"/>
  <c r="L244" i="10" s="1"/>
  <c r="N244" i="10" s="1"/>
  <c r="DJ243" i="10"/>
  <c r="DI243" i="10"/>
  <c r="DR243" i="10" s="1"/>
  <c r="DH243" i="10"/>
  <c r="DQ243" i="10" s="1"/>
  <c r="DG243" i="10"/>
  <c r="DP243" i="10" s="1"/>
  <c r="DF243" i="10"/>
  <c r="DO243" i="10" s="1"/>
  <c r="DE243" i="10"/>
  <c r="DN243" i="10" s="1"/>
  <c r="DD243" i="10"/>
  <c r="DM243" i="10" s="1"/>
  <c r="DC243" i="10"/>
  <c r="DL243" i="10" s="1"/>
  <c r="DB243" i="10"/>
  <c r="DK243" i="10" s="1"/>
  <c r="Y243" i="10"/>
  <c r="W243" i="10"/>
  <c r="X243" i="10" s="1"/>
  <c r="Z243" i="10" s="1"/>
  <c r="S243" i="10"/>
  <c r="Q243" i="10"/>
  <c r="R243" i="10" s="1"/>
  <c r="M243" i="10"/>
  <c r="K243" i="10"/>
  <c r="L243" i="10" s="1"/>
  <c r="N243" i="10" s="1"/>
  <c r="DJ242" i="10"/>
  <c r="DI242" i="10"/>
  <c r="DR242" i="10" s="1"/>
  <c r="DH242" i="10"/>
  <c r="DQ242" i="10" s="1"/>
  <c r="DG242" i="10"/>
  <c r="DP242" i="10" s="1"/>
  <c r="DF242" i="10"/>
  <c r="DO242" i="10" s="1"/>
  <c r="DE242" i="10"/>
  <c r="DN242" i="10" s="1"/>
  <c r="DD242" i="10"/>
  <c r="DM242" i="10" s="1"/>
  <c r="DC242" i="10"/>
  <c r="DL242" i="10" s="1"/>
  <c r="DB242" i="10"/>
  <c r="DK242" i="10" s="1"/>
  <c r="Y242" i="10"/>
  <c r="W242" i="10"/>
  <c r="X242" i="10" s="1"/>
  <c r="Z242" i="10" s="1"/>
  <c r="S242" i="10"/>
  <c r="R242" i="10"/>
  <c r="T242" i="10" s="1"/>
  <c r="M242" i="10"/>
  <c r="L242" i="10"/>
  <c r="DJ241" i="10"/>
  <c r="DI241" i="10"/>
  <c r="DR241" i="10" s="1"/>
  <c r="DH241" i="10"/>
  <c r="DQ241" i="10" s="1"/>
  <c r="DG241" i="10"/>
  <c r="DP241" i="10" s="1"/>
  <c r="DF241" i="10"/>
  <c r="DO241" i="10" s="1"/>
  <c r="DE241" i="10"/>
  <c r="DN241" i="10" s="1"/>
  <c r="DD241" i="10"/>
  <c r="DM241" i="10" s="1"/>
  <c r="DC241" i="10"/>
  <c r="DL241" i="10" s="1"/>
  <c r="DB241" i="10"/>
  <c r="DK241" i="10" s="1"/>
  <c r="Y241" i="10"/>
  <c r="W241" i="10"/>
  <c r="X241" i="10" s="1"/>
  <c r="Z241" i="10" s="1"/>
  <c r="S241" i="10"/>
  <c r="Q241" i="10"/>
  <c r="R241" i="10" s="1"/>
  <c r="T241" i="10" s="1"/>
  <c r="M241" i="10"/>
  <c r="K241" i="10"/>
  <c r="L241" i="10" s="1"/>
  <c r="DJ240" i="10"/>
  <c r="DI240" i="10"/>
  <c r="DR240" i="10" s="1"/>
  <c r="DH240" i="10"/>
  <c r="DQ240" i="10" s="1"/>
  <c r="DG240" i="10"/>
  <c r="DP240" i="10" s="1"/>
  <c r="DF240" i="10"/>
  <c r="DO240" i="10" s="1"/>
  <c r="DE240" i="10"/>
  <c r="DN240" i="10" s="1"/>
  <c r="DD240" i="10"/>
  <c r="DM240" i="10" s="1"/>
  <c r="DC240" i="10"/>
  <c r="DL240" i="10" s="1"/>
  <c r="DB240" i="10"/>
  <c r="DK240" i="10" s="1"/>
  <c r="Y240" i="10"/>
  <c r="W240" i="10"/>
  <c r="X240" i="10" s="1"/>
  <c r="Z240" i="10" s="1"/>
  <c r="S240" i="10"/>
  <c r="Q240" i="10"/>
  <c r="R240" i="10" s="1"/>
  <c r="M240" i="10"/>
  <c r="K240" i="10"/>
  <c r="L240" i="10" s="1"/>
  <c r="N240" i="10" s="1"/>
  <c r="DL239" i="10"/>
  <c r="DJ239" i="10"/>
  <c r="DI239" i="10"/>
  <c r="DR239" i="10" s="1"/>
  <c r="DH239" i="10"/>
  <c r="DQ239" i="10" s="1"/>
  <c r="DG239" i="10"/>
  <c r="DP239" i="10" s="1"/>
  <c r="DF239" i="10"/>
  <c r="DO239" i="10" s="1"/>
  <c r="DE239" i="10"/>
  <c r="DN239" i="10" s="1"/>
  <c r="DD239" i="10"/>
  <c r="DM239" i="10" s="1"/>
  <c r="DC239" i="10"/>
  <c r="DB239" i="10"/>
  <c r="DK239" i="10" s="1"/>
  <c r="Y239" i="10"/>
  <c r="W239" i="10"/>
  <c r="X239" i="10" s="1"/>
  <c r="Z239" i="10" s="1"/>
  <c r="S239" i="10"/>
  <c r="Q239" i="10"/>
  <c r="R239" i="10" s="1"/>
  <c r="T239" i="10" s="1"/>
  <c r="M239" i="10"/>
  <c r="K239" i="10"/>
  <c r="L239" i="10" s="1"/>
  <c r="N239" i="10" s="1"/>
  <c r="DJ238" i="10"/>
  <c r="DI238" i="10"/>
  <c r="DR238" i="10" s="1"/>
  <c r="DH238" i="10"/>
  <c r="DQ238" i="10" s="1"/>
  <c r="DG238" i="10"/>
  <c r="DP238" i="10" s="1"/>
  <c r="DF238" i="10"/>
  <c r="DO238" i="10" s="1"/>
  <c r="DE238" i="10"/>
  <c r="DN238" i="10" s="1"/>
  <c r="DD238" i="10"/>
  <c r="DM238" i="10" s="1"/>
  <c r="DC238" i="10"/>
  <c r="DL238" i="10" s="1"/>
  <c r="DB238" i="10"/>
  <c r="DK238" i="10" s="1"/>
  <c r="Y238" i="10"/>
  <c r="W238" i="10"/>
  <c r="X238" i="10" s="1"/>
  <c r="Z238" i="10" s="1"/>
  <c r="S238" i="10"/>
  <c r="Q238" i="10"/>
  <c r="R238" i="10" s="1"/>
  <c r="T238" i="10" s="1"/>
  <c r="M238" i="10"/>
  <c r="K238" i="10"/>
  <c r="L238" i="10" s="1"/>
  <c r="N238" i="10" s="1"/>
  <c r="DJ237" i="10"/>
  <c r="DI237" i="10"/>
  <c r="DR237" i="10" s="1"/>
  <c r="DH237" i="10"/>
  <c r="DQ237" i="10" s="1"/>
  <c r="DG237" i="10"/>
  <c r="DP237" i="10" s="1"/>
  <c r="DF237" i="10"/>
  <c r="DO237" i="10" s="1"/>
  <c r="DE237" i="10"/>
  <c r="DN237" i="10" s="1"/>
  <c r="DD237" i="10"/>
  <c r="DM237" i="10" s="1"/>
  <c r="DC237" i="10"/>
  <c r="DL237" i="10" s="1"/>
  <c r="DB237" i="10"/>
  <c r="DK237" i="10" s="1"/>
  <c r="Y237" i="10"/>
  <c r="W237" i="10"/>
  <c r="X237" i="10" s="1"/>
  <c r="Z237" i="10" s="1"/>
  <c r="S237" i="10"/>
  <c r="Q237" i="10"/>
  <c r="R237" i="10" s="1"/>
  <c r="T237" i="10" s="1"/>
  <c r="M237" i="10"/>
  <c r="K237" i="10"/>
  <c r="L237" i="10" s="1"/>
  <c r="DJ236" i="10"/>
  <c r="DI236" i="10"/>
  <c r="DR236" i="10" s="1"/>
  <c r="DH236" i="10"/>
  <c r="DQ236" i="10" s="1"/>
  <c r="DG236" i="10"/>
  <c r="DP236" i="10" s="1"/>
  <c r="DF236" i="10"/>
  <c r="DO236" i="10" s="1"/>
  <c r="DE236" i="10"/>
  <c r="DN236" i="10" s="1"/>
  <c r="DD236" i="10"/>
  <c r="DM236" i="10" s="1"/>
  <c r="DC236" i="10"/>
  <c r="DL236" i="10" s="1"/>
  <c r="DB236" i="10"/>
  <c r="DK236" i="10" s="1"/>
  <c r="Y236" i="10"/>
  <c r="W236" i="10"/>
  <c r="X236" i="10" s="1"/>
  <c r="Z236" i="10" s="1"/>
  <c r="S236" i="10"/>
  <c r="Q236" i="10"/>
  <c r="R236" i="10" s="1"/>
  <c r="T236" i="10" s="1"/>
  <c r="M236" i="10"/>
  <c r="K236" i="10"/>
  <c r="L236" i="10" s="1"/>
  <c r="DJ235" i="10"/>
  <c r="DI235" i="10"/>
  <c r="DR235" i="10" s="1"/>
  <c r="DH235" i="10"/>
  <c r="DQ235" i="10" s="1"/>
  <c r="DG235" i="10"/>
  <c r="DP235" i="10" s="1"/>
  <c r="DF235" i="10"/>
  <c r="DO235" i="10" s="1"/>
  <c r="DE235" i="10"/>
  <c r="DN235" i="10" s="1"/>
  <c r="DD235" i="10"/>
  <c r="DM235" i="10" s="1"/>
  <c r="DC235" i="10"/>
  <c r="DL235" i="10" s="1"/>
  <c r="DB235" i="10"/>
  <c r="DK235" i="10" s="1"/>
  <c r="Y235" i="10"/>
  <c r="W235" i="10"/>
  <c r="X235" i="10" s="1"/>
  <c r="Z235" i="10" s="1"/>
  <c r="S235" i="10"/>
  <c r="Q235" i="10"/>
  <c r="R235" i="10" s="1"/>
  <c r="T235" i="10" s="1"/>
  <c r="M235" i="10"/>
  <c r="K235" i="10"/>
  <c r="L235" i="10" s="1"/>
  <c r="N235" i="10" s="1"/>
  <c r="DJ234" i="10"/>
  <c r="DI234" i="10"/>
  <c r="DR234" i="10" s="1"/>
  <c r="DH234" i="10"/>
  <c r="DQ234" i="10" s="1"/>
  <c r="DG234" i="10"/>
  <c r="DP234" i="10" s="1"/>
  <c r="DF234" i="10"/>
  <c r="DO234" i="10" s="1"/>
  <c r="DE234" i="10"/>
  <c r="DN234" i="10" s="1"/>
  <c r="DD234" i="10"/>
  <c r="DM234" i="10" s="1"/>
  <c r="DC234" i="10"/>
  <c r="DL234" i="10" s="1"/>
  <c r="DB234" i="10"/>
  <c r="DK234" i="10" s="1"/>
  <c r="Y234" i="10"/>
  <c r="W234" i="10"/>
  <c r="X234" i="10" s="1"/>
  <c r="Z234" i="10" s="1"/>
  <c r="S234" i="10"/>
  <c r="Q234" i="10"/>
  <c r="R234" i="10" s="1"/>
  <c r="M234" i="10"/>
  <c r="K234" i="10"/>
  <c r="L234" i="10" s="1"/>
  <c r="N234" i="10" s="1"/>
  <c r="DJ233" i="10"/>
  <c r="DI233" i="10"/>
  <c r="DR233" i="10" s="1"/>
  <c r="DH233" i="10"/>
  <c r="DQ233" i="10" s="1"/>
  <c r="DG233" i="10"/>
  <c r="DP233" i="10" s="1"/>
  <c r="DF233" i="10"/>
  <c r="DO233" i="10" s="1"/>
  <c r="DE233" i="10"/>
  <c r="DN233" i="10" s="1"/>
  <c r="DD233" i="10"/>
  <c r="DM233" i="10" s="1"/>
  <c r="DC233" i="10"/>
  <c r="DL233" i="10" s="1"/>
  <c r="DB233" i="10"/>
  <c r="DK233" i="10" s="1"/>
  <c r="Y233" i="10"/>
  <c r="W233" i="10"/>
  <c r="X233" i="10" s="1"/>
  <c r="Z233" i="10" s="1"/>
  <c r="S233" i="10"/>
  <c r="Q233" i="10"/>
  <c r="R233" i="10" s="1"/>
  <c r="T233" i="10" s="1"/>
  <c r="M233" i="10"/>
  <c r="K233" i="10"/>
  <c r="L233" i="10" s="1"/>
  <c r="DJ232" i="10"/>
  <c r="DI232" i="10"/>
  <c r="DR232" i="10" s="1"/>
  <c r="DH232" i="10"/>
  <c r="DQ232" i="10" s="1"/>
  <c r="DG232" i="10"/>
  <c r="DP232" i="10" s="1"/>
  <c r="DF232" i="10"/>
  <c r="DO232" i="10" s="1"/>
  <c r="DE232" i="10"/>
  <c r="DN232" i="10" s="1"/>
  <c r="DD232" i="10"/>
  <c r="DM232" i="10" s="1"/>
  <c r="DC232" i="10"/>
  <c r="DL232" i="10" s="1"/>
  <c r="DB232" i="10"/>
  <c r="DK232" i="10" s="1"/>
  <c r="Y232" i="10"/>
  <c r="W232" i="10"/>
  <c r="X232" i="10" s="1"/>
  <c r="Z232" i="10" s="1"/>
  <c r="S232" i="10"/>
  <c r="R232" i="10"/>
  <c r="T232" i="10" s="1"/>
  <c r="M232" i="10"/>
  <c r="K232" i="10"/>
  <c r="L232" i="10" s="1"/>
  <c r="N232" i="10" s="1"/>
  <c r="DJ231" i="10"/>
  <c r="DI231" i="10"/>
  <c r="DR231" i="10" s="1"/>
  <c r="DH231" i="10"/>
  <c r="DQ231" i="10" s="1"/>
  <c r="DG231" i="10"/>
  <c r="DP231" i="10" s="1"/>
  <c r="DF231" i="10"/>
  <c r="DO231" i="10" s="1"/>
  <c r="DE231" i="10"/>
  <c r="DN231" i="10" s="1"/>
  <c r="DD231" i="10"/>
  <c r="DM231" i="10" s="1"/>
  <c r="DC231" i="10"/>
  <c r="DL231" i="10" s="1"/>
  <c r="DB231" i="10"/>
  <c r="DK231" i="10" s="1"/>
  <c r="Y231" i="10"/>
  <c r="W231" i="10"/>
  <c r="X231" i="10" s="1"/>
  <c r="Z231" i="10" s="1"/>
  <c r="S231" i="10"/>
  <c r="Q231" i="10"/>
  <c r="R231" i="10" s="1"/>
  <c r="T231" i="10" s="1"/>
  <c r="M231" i="10"/>
  <c r="K231" i="10"/>
  <c r="L231" i="10" s="1"/>
  <c r="DJ230" i="10"/>
  <c r="DI230" i="10"/>
  <c r="DR230" i="10" s="1"/>
  <c r="DH230" i="10"/>
  <c r="DQ230" i="10" s="1"/>
  <c r="DG230" i="10"/>
  <c r="DP230" i="10" s="1"/>
  <c r="DF230" i="10"/>
  <c r="DO230" i="10" s="1"/>
  <c r="DE230" i="10"/>
  <c r="DN230" i="10" s="1"/>
  <c r="DD230" i="10"/>
  <c r="DM230" i="10" s="1"/>
  <c r="DC230" i="10"/>
  <c r="DL230" i="10" s="1"/>
  <c r="DB230" i="10"/>
  <c r="DK230" i="10" s="1"/>
  <c r="Y230" i="10"/>
  <c r="W230" i="10"/>
  <c r="X230" i="10" s="1"/>
  <c r="Z230" i="10" s="1"/>
  <c r="S230" i="10"/>
  <c r="Q230" i="10"/>
  <c r="R230" i="10" s="1"/>
  <c r="T230" i="10" s="1"/>
  <c r="M230" i="10"/>
  <c r="K230" i="10"/>
  <c r="L230" i="10" s="1"/>
  <c r="DJ229" i="10"/>
  <c r="DI229" i="10"/>
  <c r="DR229" i="10" s="1"/>
  <c r="DH229" i="10"/>
  <c r="DQ229" i="10" s="1"/>
  <c r="DG229" i="10"/>
  <c r="DP229" i="10" s="1"/>
  <c r="DF229" i="10"/>
  <c r="DO229" i="10" s="1"/>
  <c r="DE229" i="10"/>
  <c r="DN229" i="10" s="1"/>
  <c r="DD229" i="10"/>
  <c r="DM229" i="10" s="1"/>
  <c r="DC229" i="10"/>
  <c r="DL229" i="10" s="1"/>
  <c r="DB229" i="10"/>
  <c r="DK229" i="10" s="1"/>
  <c r="Y229" i="10"/>
  <c r="W229" i="10"/>
  <c r="X229" i="10" s="1"/>
  <c r="Z229" i="10" s="1"/>
  <c r="S229" i="10"/>
  <c r="Q229" i="10"/>
  <c r="R229" i="10" s="1"/>
  <c r="T229" i="10" s="1"/>
  <c r="M229" i="10"/>
  <c r="K229" i="10"/>
  <c r="L229" i="10" s="1"/>
  <c r="N229" i="10" s="1"/>
  <c r="DJ228" i="10"/>
  <c r="DI228" i="10"/>
  <c r="DR228" i="10" s="1"/>
  <c r="DH228" i="10"/>
  <c r="DQ228" i="10" s="1"/>
  <c r="DG228" i="10"/>
  <c r="DP228" i="10" s="1"/>
  <c r="DF228" i="10"/>
  <c r="DO228" i="10" s="1"/>
  <c r="DE228" i="10"/>
  <c r="DN228" i="10" s="1"/>
  <c r="DD228" i="10"/>
  <c r="DM228" i="10" s="1"/>
  <c r="DC228" i="10"/>
  <c r="DL228" i="10" s="1"/>
  <c r="DB228" i="10"/>
  <c r="DK228" i="10" s="1"/>
  <c r="Y228" i="10"/>
  <c r="W228" i="10"/>
  <c r="X228" i="10" s="1"/>
  <c r="Z228" i="10" s="1"/>
  <c r="S228" i="10"/>
  <c r="Q228" i="10"/>
  <c r="R228" i="10" s="1"/>
  <c r="T228" i="10" s="1"/>
  <c r="M228" i="10"/>
  <c r="K228" i="10"/>
  <c r="L228" i="10" s="1"/>
  <c r="N228" i="10" s="1"/>
  <c r="DJ227" i="10"/>
  <c r="DI227" i="10"/>
  <c r="DR227" i="10" s="1"/>
  <c r="DH227" i="10"/>
  <c r="DQ227" i="10" s="1"/>
  <c r="DG227" i="10"/>
  <c r="DP227" i="10" s="1"/>
  <c r="DF227" i="10"/>
  <c r="DO227" i="10" s="1"/>
  <c r="DE227" i="10"/>
  <c r="DN227" i="10" s="1"/>
  <c r="DD227" i="10"/>
  <c r="DM227" i="10" s="1"/>
  <c r="DC227" i="10"/>
  <c r="DL227" i="10" s="1"/>
  <c r="DB227" i="10"/>
  <c r="DK227" i="10" s="1"/>
  <c r="Y227" i="10"/>
  <c r="W227" i="10"/>
  <c r="X227" i="10" s="1"/>
  <c r="Z227" i="10" s="1"/>
  <c r="S227" i="10"/>
  <c r="Q227" i="10"/>
  <c r="R227" i="10" s="1"/>
  <c r="T227" i="10" s="1"/>
  <c r="M227" i="10"/>
  <c r="K227" i="10"/>
  <c r="L227" i="10" s="1"/>
  <c r="DJ226" i="10"/>
  <c r="DI226" i="10"/>
  <c r="DR226" i="10" s="1"/>
  <c r="DH226" i="10"/>
  <c r="DQ226" i="10" s="1"/>
  <c r="DG226" i="10"/>
  <c r="DP226" i="10" s="1"/>
  <c r="DF226" i="10"/>
  <c r="DO226" i="10" s="1"/>
  <c r="DE226" i="10"/>
  <c r="DN226" i="10" s="1"/>
  <c r="DD226" i="10"/>
  <c r="DM226" i="10" s="1"/>
  <c r="DC226" i="10"/>
  <c r="DL226" i="10" s="1"/>
  <c r="DB226" i="10"/>
  <c r="DK226" i="10" s="1"/>
  <c r="Y226" i="10"/>
  <c r="W226" i="10"/>
  <c r="X226" i="10" s="1"/>
  <c r="Z226" i="10" s="1"/>
  <c r="S226" i="10"/>
  <c r="Q226" i="10"/>
  <c r="R226" i="10" s="1"/>
  <c r="T226" i="10" s="1"/>
  <c r="M226" i="10"/>
  <c r="K226" i="10"/>
  <c r="L226" i="10" s="1"/>
  <c r="N226" i="10" s="1"/>
  <c r="DJ225" i="10"/>
  <c r="DI225" i="10"/>
  <c r="DR225" i="10" s="1"/>
  <c r="DH225" i="10"/>
  <c r="DQ225" i="10" s="1"/>
  <c r="DG225" i="10"/>
  <c r="DP225" i="10" s="1"/>
  <c r="DF225" i="10"/>
  <c r="DO225" i="10" s="1"/>
  <c r="DE225" i="10"/>
  <c r="DN225" i="10" s="1"/>
  <c r="DD225" i="10"/>
  <c r="DM225" i="10" s="1"/>
  <c r="DC225" i="10"/>
  <c r="DL225" i="10" s="1"/>
  <c r="DB225" i="10"/>
  <c r="DK225" i="10" s="1"/>
  <c r="Y225" i="10"/>
  <c r="W225" i="10"/>
  <c r="X225" i="10" s="1"/>
  <c r="Z225" i="10" s="1"/>
  <c r="S225" i="10"/>
  <c r="Q225" i="10"/>
  <c r="R225" i="10" s="1"/>
  <c r="T225" i="10" s="1"/>
  <c r="M225" i="10"/>
  <c r="K225" i="10"/>
  <c r="L225" i="10" s="1"/>
  <c r="DJ224" i="10"/>
  <c r="DI224" i="10"/>
  <c r="DR224" i="10" s="1"/>
  <c r="DH224" i="10"/>
  <c r="DQ224" i="10" s="1"/>
  <c r="DG224" i="10"/>
  <c r="DP224" i="10" s="1"/>
  <c r="DF224" i="10"/>
  <c r="DO224" i="10" s="1"/>
  <c r="DE224" i="10"/>
  <c r="DN224" i="10" s="1"/>
  <c r="DD224" i="10"/>
  <c r="DM224" i="10" s="1"/>
  <c r="DC224" i="10"/>
  <c r="DL224" i="10" s="1"/>
  <c r="DB224" i="10"/>
  <c r="DK224" i="10" s="1"/>
  <c r="Y224" i="10"/>
  <c r="W224" i="10"/>
  <c r="X224" i="10" s="1"/>
  <c r="Z224" i="10" s="1"/>
  <c r="S224" i="10"/>
  <c r="Q224" i="10"/>
  <c r="R224" i="10" s="1"/>
  <c r="T224" i="10" s="1"/>
  <c r="M224" i="10"/>
  <c r="K224" i="10"/>
  <c r="L224" i="10" s="1"/>
  <c r="DJ223" i="10"/>
  <c r="DI223" i="10"/>
  <c r="DR223" i="10" s="1"/>
  <c r="DH223" i="10"/>
  <c r="DQ223" i="10" s="1"/>
  <c r="DG223" i="10"/>
  <c r="DP223" i="10" s="1"/>
  <c r="DF223" i="10"/>
  <c r="DO223" i="10" s="1"/>
  <c r="DE223" i="10"/>
  <c r="DN223" i="10" s="1"/>
  <c r="DD223" i="10"/>
  <c r="DM223" i="10" s="1"/>
  <c r="DC223" i="10"/>
  <c r="DL223" i="10" s="1"/>
  <c r="DB223" i="10"/>
  <c r="DK223" i="10" s="1"/>
  <c r="Y223" i="10"/>
  <c r="W223" i="10"/>
  <c r="X223" i="10" s="1"/>
  <c r="Z223" i="10" s="1"/>
  <c r="S223" i="10"/>
  <c r="Q223" i="10"/>
  <c r="R223" i="10" s="1"/>
  <c r="T223" i="10" s="1"/>
  <c r="M223" i="10"/>
  <c r="K223" i="10"/>
  <c r="L223" i="10" s="1"/>
  <c r="DJ222" i="10"/>
  <c r="DI222" i="10"/>
  <c r="DR222" i="10" s="1"/>
  <c r="DH222" i="10"/>
  <c r="DQ222" i="10" s="1"/>
  <c r="DG222" i="10"/>
  <c r="DP222" i="10" s="1"/>
  <c r="DF222" i="10"/>
  <c r="DO222" i="10" s="1"/>
  <c r="DE222" i="10"/>
  <c r="DN222" i="10" s="1"/>
  <c r="DD222" i="10"/>
  <c r="DM222" i="10" s="1"/>
  <c r="DC222" i="10"/>
  <c r="DL222" i="10" s="1"/>
  <c r="DB222" i="10"/>
  <c r="DK222" i="10" s="1"/>
  <c r="Y222" i="10"/>
  <c r="W222" i="10"/>
  <c r="X222" i="10" s="1"/>
  <c r="Z222" i="10" s="1"/>
  <c r="S222" i="10"/>
  <c r="Q222" i="10"/>
  <c r="R222" i="10" s="1"/>
  <c r="T222" i="10" s="1"/>
  <c r="M222" i="10"/>
  <c r="K222" i="10"/>
  <c r="L222" i="10" s="1"/>
  <c r="DJ221" i="10"/>
  <c r="DI221" i="10"/>
  <c r="DR221" i="10" s="1"/>
  <c r="DH221" i="10"/>
  <c r="DQ221" i="10" s="1"/>
  <c r="DG221" i="10"/>
  <c r="DP221" i="10" s="1"/>
  <c r="DF221" i="10"/>
  <c r="DO221" i="10" s="1"/>
  <c r="DE221" i="10"/>
  <c r="DN221" i="10" s="1"/>
  <c r="DD221" i="10"/>
  <c r="DM221" i="10" s="1"/>
  <c r="DC221" i="10"/>
  <c r="DL221" i="10" s="1"/>
  <c r="DB221" i="10"/>
  <c r="DK221" i="10" s="1"/>
  <c r="Y221" i="10"/>
  <c r="W221" i="10"/>
  <c r="X221" i="10" s="1"/>
  <c r="Z221" i="10" s="1"/>
  <c r="S221" i="10"/>
  <c r="Q221" i="10"/>
  <c r="R221" i="10" s="1"/>
  <c r="M221" i="10"/>
  <c r="K221" i="10"/>
  <c r="L221" i="10" s="1"/>
  <c r="N221" i="10" s="1"/>
  <c r="DJ220" i="10"/>
  <c r="DI220" i="10"/>
  <c r="DR220" i="10" s="1"/>
  <c r="DH220" i="10"/>
  <c r="DQ220" i="10" s="1"/>
  <c r="DG220" i="10"/>
  <c r="DP220" i="10" s="1"/>
  <c r="DF220" i="10"/>
  <c r="DO220" i="10" s="1"/>
  <c r="DE220" i="10"/>
  <c r="DN220" i="10" s="1"/>
  <c r="DD220" i="10"/>
  <c r="DM220" i="10" s="1"/>
  <c r="DC220" i="10"/>
  <c r="DL220" i="10" s="1"/>
  <c r="DB220" i="10"/>
  <c r="DK220" i="10" s="1"/>
  <c r="Y220" i="10"/>
  <c r="W220" i="10"/>
  <c r="X220" i="10" s="1"/>
  <c r="S220" i="10"/>
  <c r="Q220" i="10"/>
  <c r="R220" i="10" s="1"/>
  <c r="T220" i="10" s="1"/>
  <c r="M220" i="10"/>
  <c r="K220" i="10"/>
  <c r="L220" i="10" s="1"/>
  <c r="N220" i="10" s="1"/>
  <c r="DJ219" i="10"/>
  <c r="DI219" i="10"/>
  <c r="DR219" i="10" s="1"/>
  <c r="DH219" i="10"/>
  <c r="DQ219" i="10" s="1"/>
  <c r="DG219" i="10"/>
  <c r="DP219" i="10" s="1"/>
  <c r="DF219" i="10"/>
  <c r="DO219" i="10" s="1"/>
  <c r="DE219" i="10"/>
  <c r="DN219" i="10" s="1"/>
  <c r="DD219" i="10"/>
  <c r="DM219" i="10" s="1"/>
  <c r="DC219" i="10"/>
  <c r="DL219" i="10" s="1"/>
  <c r="DB219" i="10"/>
  <c r="DK219" i="10" s="1"/>
  <c r="Y219" i="10"/>
  <c r="W219" i="10"/>
  <c r="X219" i="10" s="1"/>
  <c r="Z219" i="10" s="1"/>
  <c r="S219" i="10"/>
  <c r="Q219" i="10"/>
  <c r="R219" i="10" s="1"/>
  <c r="T219" i="10" s="1"/>
  <c r="M219" i="10"/>
  <c r="K219" i="10"/>
  <c r="L219" i="10" s="1"/>
  <c r="DJ218" i="10"/>
  <c r="DI218" i="10"/>
  <c r="DR218" i="10" s="1"/>
  <c r="DH218" i="10"/>
  <c r="DQ218" i="10" s="1"/>
  <c r="DG218" i="10"/>
  <c r="DP218" i="10" s="1"/>
  <c r="DF218" i="10"/>
  <c r="DO218" i="10" s="1"/>
  <c r="DE218" i="10"/>
  <c r="DN218" i="10" s="1"/>
  <c r="DD218" i="10"/>
  <c r="DM218" i="10" s="1"/>
  <c r="DC218" i="10"/>
  <c r="DL218" i="10" s="1"/>
  <c r="DB218" i="10"/>
  <c r="DK218" i="10" s="1"/>
  <c r="Y218" i="10"/>
  <c r="W218" i="10"/>
  <c r="X218" i="10" s="1"/>
  <c r="Z218" i="10" s="1"/>
  <c r="S218" i="10"/>
  <c r="R218" i="10"/>
  <c r="T218" i="10" s="1"/>
  <c r="M218" i="10"/>
  <c r="L218" i="10"/>
  <c r="N218" i="10" s="1"/>
  <c r="DJ217" i="10"/>
  <c r="DI217" i="10"/>
  <c r="DR217" i="10" s="1"/>
  <c r="DH217" i="10"/>
  <c r="DQ217" i="10" s="1"/>
  <c r="DG217" i="10"/>
  <c r="DP217" i="10" s="1"/>
  <c r="DF217" i="10"/>
  <c r="DO217" i="10" s="1"/>
  <c r="DE217" i="10"/>
  <c r="DN217" i="10" s="1"/>
  <c r="DD217" i="10"/>
  <c r="DM217" i="10" s="1"/>
  <c r="DC217" i="10"/>
  <c r="DL217" i="10" s="1"/>
  <c r="DB217" i="10"/>
  <c r="DK217" i="10" s="1"/>
  <c r="Y217" i="10"/>
  <c r="W217" i="10"/>
  <c r="X217" i="10" s="1"/>
  <c r="Z217" i="10" s="1"/>
  <c r="S217" i="10"/>
  <c r="Q217" i="10"/>
  <c r="R217" i="10" s="1"/>
  <c r="T217" i="10" s="1"/>
  <c r="M217" i="10"/>
  <c r="K217" i="10"/>
  <c r="L217" i="10" s="1"/>
  <c r="DJ216" i="10"/>
  <c r="DI216" i="10"/>
  <c r="DR216" i="10" s="1"/>
  <c r="DH216" i="10"/>
  <c r="DQ216" i="10" s="1"/>
  <c r="DG216" i="10"/>
  <c r="DP216" i="10" s="1"/>
  <c r="DF216" i="10"/>
  <c r="DO216" i="10" s="1"/>
  <c r="DE216" i="10"/>
  <c r="DN216" i="10" s="1"/>
  <c r="DD216" i="10"/>
  <c r="DM216" i="10" s="1"/>
  <c r="DC216" i="10"/>
  <c r="DL216" i="10" s="1"/>
  <c r="DB216" i="10"/>
  <c r="DK216" i="10" s="1"/>
  <c r="Y216" i="10"/>
  <c r="W216" i="10"/>
  <c r="X216" i="10" s="1"/>
  <c r="Z216" i="10" s="1"/>
  <c r="S216" i="10"/>
  <c r="Q216" i="10"/>
  <c r="R216" i="10" s="1"/>
  <c r="T216" i="10" s="1"/>
  <c r="M216" i="10"/>
  <c r="K216" i="10"/>
  <c r="L216" i="10" s="1"/>
  <c r="DO215" i="10"/>
  <c r="DM215" i="10"/>
  <c r="DJ215" i="10"/>
  <c r="DI215" i="10"/>
  <c r="DR215" i="10" s="1"/>
  <c r="DH215" i="10"/>
  <c r="DQ215" i="10" s="1"/>
  <c r="DG215" i="10"/>
  <c r="DP215" i="10" s="1"/>
  <c r="DF215" i="10"/>
  <c r="DE215" i="10"/>
  <c r="DN215" i="10" s="1"/>
  <c r="DD215" i="10"/>
  <c r="DC215" i="10"/>
  <c r="DL215" i="10" s="1"/>
  <c r="DB215" i="10"/>
  <c r="DK215" i="10" s="1"/>
  <c r="Y215" i="10"/>
  <c r="W215" i="10"/>
  <c r="X215" i="10" s="1"/>
  <c r="Z215" i="10" s="1"/>
  <c r="S215" i="10"/>
  <c r="Q215" i="10"/>
  <c r="R215" i="10" s="1"/>
  <c r="T215" i="10" s="1"/>
  <c r="M215" i="10"/>
  <c r="K215" i="10"/>
  <c r="L215" i="10" s="1"/>
  <c r="DJ214" i="10"/>
  <c r="DI214" i="10"/>
  <c r="DR214" i="10" s="1"/>
  <c r="DH214" i="10"/>
  <c r="DQ214" i="10" s="1"/>
  <c r="DG214" i="10"/>
  <c r="DP214" i="10" s="1"/>
  <c r="DF214" i="10"/>
  <c r="DO214" i="10" s="1"/>
  <c r="DE214" i="10"/>
  <c r="DN214" i="10" s="1"/>
  <c r="DD214" i="10"/>
  <c r="DM214" i="10" s="1"/>
  <c r="DC214" i="10"/>
  <c r="DL214" i="10" s="1"/>
  <c r="DB214" i="10"/>
  <c r="DK214" i="10" s="1"/>
  <c r="Y214" i="10"/>
  <c r="X214" i="10"/>
  <c r="Z214" i="10" s="1"/>
  <c r="S214" i="10"/>
  <c r="R214" i="10"/>
  <c r="T214" i="10" s="1"/>
  <c r="M214" i="10"/>
  <c r="L214" i="10"/>
  <c r="DJ213" i="10"/>
  <c r="DI213" i="10"/>
  <c r="DR213" i="10" s="1"/>
  <c r="DH213" i="10"/>
  <c r="DQ213" i="10" s="1"/>
  <c r="DG213" i="10"/>
  <c r="DP213" i="10" s="1"/>
  <c r="DF213" i="10"/>
  <c r="DO213" i="10" s="1"/>
  <c r="DE213" i="10"/>
  <c r="DN213" i="10" s="1"/>
  <c r="DD213" i="10"/>
  <c r="DM213" i="10" s="1"/>
  <c r="DC213" i="10"/>
  <c r="DL213" i="10" s="1"/>
  <c r="DB213" i="10"/>
  <c r="DK213" i="10" s="1"/>
  <c r="Y213" i="10"/>
  <c r="X213" i="10"/>
  <c r="Z213" i="10" s="1"/>
  <c r="S213" i="10"/>
  <c r="R213" i="10"/>
  <c r="T213" i="10" s="1"/>
  <c r="M213" i="10"/>
  <c r="L213" i="10"/>
  <c r="N213" i="10" s="1"/>
  <c r="DN212" i="10"/>
  <c r="DJ212" i="10"/>
  <c r="DI212" i="10"/>
  <c r="DR212" i="10" s="1"/>
  <c r="DH212" i="10"/>
  <c r="DQ212" i="10" s="1"/>
  <c r="DG212" i="10"/>
  <c r="DP212" i="10" s="1"/>
  <c r="DF212" i="10"/>
  <c r="DO212" i="10" s="1"/>
  <c r="DE212" i="10"/>
  <c r="DD212" i="10"/>
  <c r="DM212" i="10" s="1"/>
  <c r="DC212" i="10"/>
  <c r="DL212" i="10" s="1"/>
  <c r="DB212" i="10"/>
  <c r="DK212" i="10" s="1"/>
  <c r="Y212" i="10"/>
  <c r="X212" i="10"/>
  <c r="Z212" i="10" s="1"/>
  <c r="S212" i="10"/>
  <c r="R212" i="10"/>
  <c r="T212" i="10" s="1"/>
  <c r="M212" i="10"/>
  <c r="L212" i="10"/>
  <c r="DJ211" i="10"/>
  <c r="DI211" i="10"/>
  <c r="DR211" i="10" s="1"/>
  <c r="DH211" i="10"/>
  <c r="DQ211" i="10" s="1"/>
  <c r="DG211" i="10"/>
  <c r="DP211" i="10" s="1"/>
  <c r="DF211" i="10"/>
  <c r="DO211" i="10" s="1"/>
  <c r="DE211" i="10"/>
  <c r="DN211" i="10" s="1"/>
  <c r="DD211" i="10"/>
  <c r="DM211" i="10" s="1"/>
  <c r="DC211" i="10"/>
  <c r="DL211" i="10" s="1"/>
  <c r="DB211" i="10"/>
  <c r="DK211" i="10" s="1"/>
  <c r="Y211" i="10"/>
  <c r="W211" i="10"/>
  <c r="X211" i="10" s="1"/>
  <c r="Z211" i="10" s="1"/>
  <c r="S211" i="10"/>
  <c r="Q211" i="10"/>
  <c r="R211" i="10" s="1"/>
  <c r="T211" i="10" s="1"/>
  <c r="M211" i="10"/>
  <c r="K211" i="10"/>
  <c r="L211" i="10" s="1"/>
  <c r="N211" i="10" s="1"/>
  <c r="DJ210" i="10"/>
  <c r="DI210" i="10"/>
  <c r="DR210" i="10" s="1"/>
  <c r="DH210" i="10"/>
  <c r="DQ210" i="10" s="1"/>
  <c r="DG210" i="10"/>
  <c r="DP210" i="10" s="1"/>
  <c r="DF210" i="10"/>
  <c r="DO210" i="10" s="1"/>
  <c r="DE210" i="10"/>
  <c r="DN210" i="10" s="1"/>
  <c r="DD210" i="10"/>
  <c r="DM210" i="10" s="1"/>
  <c r="DC210" i="10"/>
  <c r="DL210" i="10" s="1"/>
  <c r="DB210" i="10"/>
  <c r="DK210" i="10" s="1"/>
  <c r="Y210" i="10"/>
  <c r="W210" i="10"/>
  <c r="X210" i="10" s="1"/>
  <c r="Z210" i="10" s="1"/>
  <c r="S210" i="10"/>
  <c r="Q210" i="10"/>
  <c r="R210" i="10" s="1"/>
  <c r="T210" i="10" s="1"/>
  <c r="M210" i="10"/>
  <c r="K210" i="10"/>
  <c r="L210" i="10" s="1"/>
  <c r="DJ209" i="10"/>
  <c r="DI209" i="10"/>
  <c r="DR209" i="10" s="1"/>
  <c r="DH209" i="10"/>
  <c r="DQ209" i="10" s="1"/>
  <c r="DG209" i="10"/>
  <c r="DP209" i="10" s="1"/>
  <c r="DF209" i="10"/>
  <c r="DO209" i="10" s="1"/>
  <c r="DE209" i="10"/>
  <c r="DN209" i="10" s="1"/>
  <c r="DD209" i="10"/>
  <c r="DM209" i="10" s="1"/>
  <c r="DC209" i="10"/>
  <c r="DL209" i="10" s="1"/>
  <c r="DB209" i="10"/>
  <c r="DK209" i="10" s="1"/>
  <c r="Y209" i="10"/>
  <c r="X209" i="10"/>
  <c r="Z209" i="10" s="1"/>
  <c r="S209" i="10"/>
  <c r="R209" i="10"/>
  <c r="M209" i="10"/>
  <c r="L209" i="10"/>
  <c r="N209" i="10" s="1"/>
  <c r="DJ208" i="10"/>
  <c r="DI208" i="10"/>
  <c r="DR208" i="10" s="1"/>
  <c r="DH208" i="10"/>
  <c r="DQ208" i="10" s="1"/>
  <c r="DG208" i="10"/>
  <c r="DP208" i="10" s="1"/>
  <c r="DF208" i="10"/>
  <c r="DO208" i="10" s="1"/>
  <c r="DE208" i="10"/>
  <c r="DN208" i="10" s="1"/>
  <c r="DD208" i="10"/>
  <c r="DM208" i="10" s="1"/>
  <c r="DC208" i="10"/>
  <c r="DL208" i="10" s="1"/>
  <c r="DB208" i="10"/>
  <c r="DK208" i="10" s="1"/>
  <c r="Y208" i="10"/>
  <c r="W208" i="10"/>
  <c r="X208" i="10" s="1"/>
  <c r="Z208" i="10" s="1"/>
  <c r="S208" i="10"/>
  <c r="Q208" i="10"/>
  <c r="R208" i="10" s="1"/>
  <c r="T208" i="10" s="1"/>
  <c r="M208" i="10"/>
  <c r="K208" i="10"/>
  <c r="L208" i="10" s="1"/>
  <c r="DJ207" i="10"/>
  <c r="DI207" i="10"/>
  <c r="DR207" i="10" s="1"/>
  <c r="DH207" i="10"/>
  <c r="DQ207" i="10" s="1"/>
  <c r="DG207" i="10"/>
  <c r="DP207" i="10" s="1"/>
  <c r="DF207" i="10"/>
  <c r="DO207" i="10" s="1"/>
  <c r="DE207" i="10"/>
  <c r="DN207" i="10" s="1"/>
  <c r="DD207" i="10"/>
  <c r="DM207" i="10" s="1"/>
  <c r="DC207" i="10"/>
  <c r="DL207" i="10" s="1"/>
  <c r="DB207" i="10"/>
  <c r="DK207" i="10" s="1"/>
  <c r="Y207" i="10"/>
  <c r="X207" i="10"/>
  <c r="Z207" i="10" s="1"/>
  <c r="S207" i="10"/>
  <c r="R207" i="10"/>
  <c r="M207" i="10"/>
  <c r="L207" i="10"/>
  <c r="N207" i="10" s="1"/>
  <c r="DJ206" i="10"/>
  <c r="DI206" i="10"/>
  <c r="DR206" i="10" s="1"/>
  <c r="DH206" i="10"/>
  <c r="DQ206" i="10" s="1"/>
  <c r="DG206" i="10"/>
  <c r="DP206" i="10" s="1"/>
  <c r="DF206" i="10"/>
  <c r="DO206" i="10" s="1"/>
  <c r="DE206" i="10"/>
  <c r="DN206" i="10" s="1"/>
  <c r="DD206" i="10"/>
  <c r="DM206" i="10" s="1"/>
  <c r="DC206" i="10"/>
  <c r="DL206" i="10" s="1"/>
  <c r="DB206" i="10"/>
  <c r="DK206" i="10" s="1"/>
  <c r="Y206" i="10"/>
  <c r="X206" i="10"/>
  <c r="Z206" i="10" s="1"/>
  <c r="S206" i="10"/>
  <c r="Q206" i="10"/>
  <c r="R206" i="10" s="1"/>
  <c r="T206" i="10" s="1"/>
  <c r="M206" i="10"/>
  <c r="K206" i="10"/>
  <c r="L206" i="10" s="1"/>
  <c r="DJ205" i="10"/>
  <c r="DI205" i="10"/>
  <c r="DR205" i="10" s="1"/>
  <c r="DH205" i="10"/>
  <c r="DQ205" i="10" s="1"/>
  <c r="DG205" i="10"/>
  <c r="DP205" i="10" s="1"/>
  <c r="DF205" i="10"/>
  <c r="DO205" i="10" s="1"/>
  <c r="DE205" i="10"/>
  <c r="DN205" i="10" s="1"/>
  <c r="DD205" i="10"/>
  <c r="DM205" i="10" s="1"/>
  <c r="DC205" i="10"/>
  <c r="DL205" i="10" s="1"/>
  <c r="DB205" i="10"/>
  <c r="DK205" i="10" s="1"/>
  <c r="Y205" i="10"/>
  <c r="X205" i="10"/>
  <c r="Z205" i="10" s="1"/>
  <c r="S205" i="10"/>
  <c r="R205" i="10"/>
  <c r="T205" i="10" s="1"/>
  <c r="M205" i="10"/>
  <c r="L205" i="10"/>
  <c r="DJ204" i="10"/>
  <c r="DI204" i="10"/>
  <c r="DR204" i="10" s="1"/>
  <c r="DH204" i="10"/>
  <c r="DQ204" i="10" s="1"/>
  <c r="DG204" i="10"/>
  <c r="DP204" i="10" s="1"/>
  <c r="DF204" i="10"/>
  <c r="DO204" i="10" s="1"/>
  <c r="DE204" i="10"/>
  <c r="DN204" i="10" s="1"/>
  <c r="DD204" i="10"/>
  <c r="DM204" i="10" s="1"/>
  <c r="DC204" i="10"/>
  <c r="DL204" i="10" s="1"/>
  <c r="DB204" i="10"/>
  <c r="DK204" i="10" s="1"/>
  <c r="Y204" i="10"/>
  <c r="X204" i="10"/>
  <c r="Z204" i="10" s="1"/>
  <c r="S204" i="10"/>
  <c r="R204" i="10"/>
  <c r="T204" i="10" s="1"/>
  <c r="M204" i="10"/>
  <c r="L204" i="10"/>
  <c r="DJ203" i="10"/>
  <c r="DI203" i="10"/>
  <c r="DR203" i="10" s="1"/>
  <c r="DH203" i="10"/>
  <c r="DQ203" i="10" s="1"/>
  <c r="DG203" i="10"/>
  <c r="DP203" i="10" s="1"/>
  <c r="DF203" i="10"/>
  <c r="DO203" i="10" s="1"/>
  <c r="DE203" i="10"/>
  <c r="DN203" i="10" s="1"/>
  <c r="DD203" i="10"/>
  <c r="DM203" i="10" s="1"/>
  <c r="DC203" i="10"/>
  <c r="DL203" i="10" s="1"/>
  <c r="DB203" i="10"/>
  <c r="DK203" i="10" s="1"/>
  <c r="Y203" i="10"/>
  <c r="X203" i="10"/>
  <c r="Z203" i="10" s="1"/>
  <c r="S203" i="10"/>
  <c r="R203" i="10"/>
  <c r="T203" i="10" s="1"/>
  <c r="M203" i="10"/>
  <c r="L203" i="10"/>
  <c r="DJ202" i="10"/>
  <c r="DI202" i="10"/>
  <c r="DR202" i="10" s="1"/>
  <c r="DH202" i="10"/>
  <c r="DQ202" i="10" s="1"/>
  <c r="DG202" i="10"/>
  <c r="DP202" i="10" s="1"/>
  <c r="DF202" i="10"/>
  <c r="DO202" i="10" s="1"/>
  <c r="DE202" i="10"/>
  <c r="DN202" i="10" s="1"/>
  <c r="DD202" i="10"/>
  <c r="DM202" i="10" s="1"/>
  <c r="DC202" i="10"/>
  <c r="DL202" i="10" s="1"/>
  <c r="DB202" i="10"/>
  <c r="DK202" i="10" s="1"/>
  <c r="Y202" i="10"/>
  <c r="X202" i="10"/>
  <c r="Z202" i="10" s="1"/>
  <c r="S202" i="10"/>
  <c r="R202" i="10"/>
  <c r="T202" i="10" s="1"/>
  <c r="M202" i="10"/>
  <c r="L202" i="10"/>
  <c r="DJ201" i="10"/>
  <c r="DI201" i="10"/>
  <c r="DR201" i="10" s="1"/>
  <c r="DH201" i="10"/>
  <c r="DQ201" i="10" s="1"/>
  <c r="DG201" i="10"/>
  <c r="DP201" i="10" s="1"/>
  <c r="DF201" i="10"/>
  <c r="DO201" i="10" s="1"/>
  <c r="DE201" i="10"/>
  <c r="DN201" i="10" s="1"/>
  <c r="DD201" i="10"/>
  <c r="DM201" i="10" s="1"/>
  <c r="DC201" i="10"/>
  <c r="DL201" i="10" s="1"/>
  <c r="DB201" i="10"/>
  <c r="DK201" i="10" s="1"/>
  <c r="Y201" i="10"/>
  <c r="W201" i="10"/>
  <c r="X201" i="10" s="1"/>
  <c r="Z201" i="10" s="1"/>
  <c r="S201" i="10"/>
  <c r="Q201" i="10"/>
  <c r="R201" i="10" s="1"/>
  <c r="T201" i="10" s="1"/>
  <c r="M201" i="10"/>
  <c r="K201" i="10"/>
  <c r="L201" i="10" s="1"/>
  <c r="DJ200" i="10"/>
  <c r="DI200" i="10"/>
  <c r="DR200" i="10" s="1"/>
  <c r="DH200" i="10"/>
  <c r="DQ200" i="10" s="1"/>
  <c r="DG200" i="10"/>
  <c r="DP200" i="10" s="1"/>
  <c r="DF200" i="10"/>
  <c r="DO200" i="10" s="1"/>
  <c r="DE200" i="10"/>
  <c r="DN200" i="10" s="1"/>
  <c r="DD200" i="10"/>
  <c r="DM200" i="10" s="1"/>
  <c r="DC200" i="10"/>
  <c r="DL200" i="10" s="1"/>
  <c r="DB200" i="10"/>
  <c r="DK200" i="10" s="1"/>
  <c r="Y200" i="10"/>
  <c r="W200" i="10"/>
  <c r="X200" i="10" s="1"/>
  <c r="Z200" i="10" s="1"/>
  <c r="S200" i="10"/>
  <c r="Q200" i="10"/>
  <c r="R200" i="10" s="1"/>
  <c r="T200" i="10" s="1"/>
  <c r="M200" i="10"/>
  <c r="K200" i="10"/>
  <c r="L200" i="10" s="1"/>
  <c r="N200" i="10" s="1"/>
  <c r="DJ199" i="10"/>
  <c r="DI199" i="10"/>
  <c r="DH199" i="10"/>
  <c r="DQ199" i="10" s="1"/>
  <c r="DG199" i="10"/>
  <c r="DF199" i="10"/>
  <c r="DO199" i="10" s="1"/>
  <c r="DE199" i="10"/>
  <c r="DN199" i="10" s="1"/>
  <c r="DD199" i="10"/>
  <c r="DM199" i="10" s="1"/>
  <c r="DC199" i="10"/>
  <c r="DL199" i="10" s="1"/>
  <c r="DB199" i="10"/>
  <c r="DK199" i="10" s="1"/>
  <c r="V199" i="10"/>
  <c r="P199" i="10"/>
  <c r="M199" i="10"/>
  <c r="K199" i="10"/>
  <c r="L199" i="10" s="1"/>
  <c r="DJ198" i="10"/>
  <c r="DI198" i="10"/>
  <c r="DR198" i="10" s="1"/>
  <c r="DH198" i="10"/>
  <c r="DQ198" i="10" s="1"/>
  <c r="DG198" i="10"/>
  <c r="DP198" i="10" s="1"/>
  <c r="DF198" i="10"/>
  <c r="DO198" i="10" s="1"/>
  <c r="DE198" i="10"/>
  <c r="DN198" i="10" s="1"/>
  <c r="DD198" i="10"/>
  <c r="DM198" i="10" s="1"/>
  <c r="DC198" i="10"/>
  <c r="DL198" i="10" s="1"/>
  <c r="DB198" i="10"/>
  <c r="DK198" i="10" s="1"/>
  <c r="Y198" i="10"/>
  <c r="W198" i="10"/>
  <c r="X198" i="10" s="1"/>
  <c r="S198" i="10"/>
  <c r="Q198" i="10"/>
  <c r="R198" i="10" s="1"/>
  <c r="T198" i="10" s="1"/>
  <c r="M198" i="10"/>
  <c r="K198" i="10"/>
  <c r="L198" i="10" s="1"/>
  <c r="N198" i="10" s="1"/>
  <c r="DJ197" i="10"/>
  <c r="DI197" i="10"/>
  <c r="DR197" i="10" s="1"/>
  <c r="DH197" i="10"/>
  <c r="DQ197" i="10" s="1"/>
  <c r="DG197" i="10"/>
  <c r="DP197" i="10" s="1"/>
  <c r="DF197" i="10"/>
  <c r="DO197" i="10" s="1"/>
  <c r="DE197" i="10"/>
  <c r="DN197" i="10" s="1"/>
  <c r="DD197" i="10"/>
  <c r="DM197" i="10" s="1"/>
  <c r="DC197" i="10"/>
  <c r="DL197" i="10" s="1"/>
  <c r="DB197" i="10"/>
  <c r="DK197" i="10" s="1"/>
  <c r="Y197" i="10"/>
  <c r="X197" i="10"/>
  <c r="S197" i="10"/>
  <c r="R197" i="10"/>
  <c r="T197" i="10" s="1"/>
  <c r="M197" i="10"/>
  <c r="L197" i="10"/>
  <c r="N197" i="10" s="1"/>
  <c r="DJ196" i="10"/>
  <c r="DI196" i="10"/>
  <c r="DR196" i="10" s="1"/>
  <c r="DH196" i="10"/>
  <c r="DQ196" i="10" s="1"/>
  <c r="DG196" i="10"/>
  <c r="DP196" i="10" s="1"/>
  <c r="DF196" i="10"/>
  <c r="DO196" i="10" s="1"/>
  <c r="DE196" i="10"/>
  <c r="DN196" i="10" s="1"/>
  <c r="DD196" i="10"/>
  <c r="DM196" i="10" s="1"/>
  <c r="DC196" i="10"/>
  <c r="DL196" i="10" s="1"/>
  <c r="DB196" i="10"/>
  <c r="DK196" i="10" s="1"/>
  <c r="Y196" i="10"/>
  <c r="W196" i="10"/>
  <c r="X196" i="10" s="1"/>
  <c r="Z196" i="10" s="1"/>
  <c r="S196" i="10"/>
  <c r="Q196" i="10"/>
  <c r="R196" i="10" s="1"/>
  <c r="M196" i="10"/>
  <c r="K196" i="10"/>
  <c r="L196" i="10" s="1"/>
  <c r="N196" i="10" s="1"/>
  <c r="DJ195" i="10"/>
  <c r="DI195" i="10"/>
  <c r="DR195" i="10" s="1"/>
  <c r="DH195" i="10"/>
  <c r="DQ195" i="10" s="1"/>
  <c r="DG195" i="10"/>
  <c r="DP195" i="10" s="1"/>
  <c r="DF195" i="10"/>
  <c r="DO195" i="10" s="1"/>
  <c r="DE195" i="10"/>
  <c r="DN195" i="10" s="1"/>
  <c r="DD195" i="10"/>
  <c r="DM195" i="10" s="1"/>
  <c r="DC195" i="10"/>
  <c r="DL195" i="10" s="1"/>
  <c r="DB195" i="10"/>
  <c r="DK195" i="10" s="1"/>
  <c r="Y195" i="10"/>
  <c r="W195" i="10"/>
  <c r="X195" i="10" s="1"/>
  <c r="Z195" i="10" s="1"/>
  <c r="S195" i="10"/>
  <c r="Q195" i="10"/>
  <c r="R195" i="10" s="1"/>
  <c r="M195" i="10"/>
  <c r="K195" i="10"/>
  <c r="L195" i="10" s="1"/>
  <c r="N195" i="10" s="1"/>
  <c r="DJ194" i="10"/>
  <c r="DI194" i="10"/>
  <c r="DR194" i="10" s="1"/>
  <c r="DH194" i="10"/>
  <c r="DQ194" i="10" s="1"/>
  <c r="DG194" i="10"/>
  <c r="DP194" i="10" s="1"/>
  <c r="DF194" i="10"/>
  <c r="DO194" i="10" s="1"/>
  <c r="DE194" i="10"/>
  <c r="DN194" i="10" s="1"/>
  <c r="DD194" i="10"/>
  <c r="DM194" i="10" s="1"/>
  <c r="DC194" i="10"/>
  <c r="DL194" i="10" s="1"/>
  <c r="DB194" i="10"/>
  <c r="DK194" i="10" s="1"/>
  <c r="Y194" i="10"/>
  <c r="W194" i="10"/>
  <c r="X194" i="10" s="1"/>
  <c r="Z194" i="10" s="1"/>
  <c r="S194" i="10"/>
  <c r="Q194" i="10"/>
  <c r="R194" i="10" s="1"/>
  <c r="M194" i="10"/>
  <c r="K194" i="10"/>
  <c r="L194" i="10" s="1"/>
  <c r="N194" i="10" s="1"/>
  <c r="DJ193" i="10"/>
  <c r="DI193" i="10"/>
  <c r="DR193" i="10" s="1"/>
  <c r="DH193" i="10"/>
  <c r="DQ193" i="10" s="1"/>
  <c r="DG193" i="10"/>
  <c r="DP193" i="10" s="1"/>
  <c r="DF193" i="10"/>
  <c r="DO193" i="10" s="1"/>
  <c r="DE193" i="10"/>
  <c r="DN193" i="10" s="1"/>
  <c r="DD193" i="10"/>
  <c r="DM193" i="10" s="1"/>
  <c r="DC193" i="10"/>
  <c r="DL193" i="10" s="1"/>
  <c r="DB193" i="10"/>
  <c r="DK193" i="10" s="1"/>
  <c r="Y193" i="10"/>
  <c r="W193" i="10"/>
  <c r="X193" i="10" s="1"/>
  <c r="Z193" i="10" s="1"/>
  <c r="S193" i="10"/>
  <c r="Q193" i="10"/>
  <c r="R193" i="10" s="1"/>
  <c r="T193" i="10" s="1"/>
  <c r="M193" i="10"/>
  <c r="K193" i="10"/>
  <c r="L193" i="10" s="1"/>
  <c r="DJ192" i="10"/>
  <c r="DI192" i="10"/>
  <c r="DR192" i="10" s="1"/>
  <c r="DH192" i="10"/>
  <c r="DQ192" i="10" s="1"/>
  <c r="DG192" i="10"/>
  <c r="DP192" i="10" s="1"/>
  <c r="DF192" i="10"/>
  <c r="DO192" i="10" s="1"/>
  <c r="DE192" i="10"/>
  <c r="DN192" i="10" s="1"/>
  <c r="DD192" i="10"/>
  <c r="DM192" i="10" s="1"/>
  <c r="DC192" i="10"/>
  <c r="DL192" i="10" s="1"/>
  <c r="DB192" i="10"/>
  <c r="DK192" i="10" s="1"/>
  <c r="Y192" i="10"/>
  <c r="X192" i="10"/>
  <c r="Z192" i="10" s="1"/>
  <c r="S192" i="10"/>
  <c r="R192" i="10"/>
  <c r="T192" i="10" s="1"/>
  <c r="M192" i="10"/>
  <c r="L192" i="10"/>
  <c r="DJ191" i="10"/>
  <c r="DI191" i="10"/>
  <c r="DR191" i="10" s="1"/>
  <c r="DH191" i="10"/>
  <c r="DQ191" i="10" s="1"/>
  <c r="DG191" i="10"/>
  <c r="DP191" i="10" s="1"/>
  <c r="DF191" i="10"/>
  <c r="DO191" i="10" s="1"/>
  <c r="DE191" i="10"/>
  <c r="DN191" i="10" s="1"/>
  <c r="DD191" i="10"/>
  <c r="DM191" i="10" s="1"/>
  <c r="DC191" i="10"/>
  <c r="DL191" i="10" s="1"/>
  <c r="DB191" i="10"/>
  <c r="DK191" i="10" s="1"/>
  <c r="Y191" i="10"/>
  <c r="X191" i="10"/>
  <c r="S191" i="10"/>
  <c r="R191" i="10"/>
  <c r="T191" i="10" s="1"/>
  <c r="M191" i="10"/>
  <c r="L191" i="10"/>
  <c r="N191" i="10" s="1"/>
  <c r="DJ190" i="10"/>
  <c r="DI190" i="10"/>
  <c r="DR190" i="10" s="1"/>
  <c r="DH190" i="10"/>
  <c r="DQ190" i="10" s="1"/>
  <c r="DG190" i="10"/>
  <c r="DP190" i="10" s="1"/>
  <c r="DF190" i="10"/>
  <c r="DO190" i="10" s="1"/>
  <c r="DE190" i="10"/>
  <c r="DN190" i="10" s="1"/>
  <c r="DD190" i="10"/>
  <c r="DM190" i="10" s="1"/>
  <c r="DC190" i="10"/>
  <c r="DL190" i="10" s="1"/>
  <c r="DB190" i="10"/>
  <c r="DK190" i="10" s="1"/>
  <c r="Y190" i="10"/>
  <c r="W190" i="10"/>
  <c r="X190" i="10" s="1"/>
  <c r="Z190" i="10" s="1"/>
  <c r="S190" i="10"/>
  <c r="Q190" i="10"/>
  <c r="R190" i="10" s="1"/>
  <c r="T190" i="10" s="1"/>
  <c r="M190" i="10"/>
  <c r="K190" i="10"/>
  <c r="L190" i="10" s="1"/>
  <c r="DJ189" i="10"/>
  <c r="DI189" i="10"/>
  <c r="DR189" i="10" s="1"/>
  <c r="DH189" i="10"/>
  <c r="DQ189" i="10" s="1"/>
  <c r="DG189" i="10"/>
  <c r="DP189" i="10" s="1"/>
  <c r="DF189" i="10"/>
  <c r="DO189" i="10" s="1"/>
  <c r="DE189" i="10"/>
  <c r="DN189" i="10" s="1"/>
  <c r="DD189" i="10"/>
  <c r="DM189" i="10" s="1"/>
  <c r="DC189" i="10"/>
  <c r="DL189" i="10" s="1"/>
  <c r="DB189" i="10"/>
  <c r="DK189" i="10" s="1"/>
  <c r="Y189" i="10"/>
  <c r="W189" i="10"/>
  <c r="X189" i="10" s="1"/>
  <c r="Z189" i="10" s="1"/>
  <c r="S189" i="10"/>
  <c r="Q189" i="10"/>
  <c r="R189" i="10" s="1"/>
  <c r="T189" i="10" s="1"/>
  <c r="M189" i="10"/>
  <c r="K189" i="10"/>
  <c r="L189" i="10" s="1"/>
  <c r="DJ188" i="10"/>
  <c r="DI188" i="10"/>
  <c r="DR188" i="10" s="1"/>
  <c r="DH188" i="10"/>
  <c r="DQ188" i="10" s="1"/>
  <c r="DG188" i="10"/>
  <c r="DP188" i="10" s="1"/>
  <c r="DF188" i="10"/>
  <c r="DO188" i="10" s="1"/>
  <c r="DE188" i="10"/>
  <c r="DN188" i="10" s="1"/>
  <c r="DD188" i="10"/>
  <c r="DM188" i="10" s="1"/>
  <c r="DC188" i="10"/>
  <c r="DL188" i="10" s="1"/>
  <c r="DB188" i="10"/>
  <c r="DK188" i="10" s="1"/>
  <c r="Y188" i="10"/>
  <c r="W188" i="10"/>
  <c r="X188" i="10" s="1"/>
  <c r="Z188" i="10" s="1"/>
  <c r="S188" i="10"/>
  <c r="Q188" i="10"/>
  <c r="R188" i="10" s="1"/>
  <c r="T188" i="10" s="1"/>
  <c r="M188" i="10"/>
  <c r="K188" i="10"/>
  <c r="L188" i="10" s="1"/>
  <c r="DJ187" i="10"/>
  <c r="DI187" i="10"/>
  <c r="DR187" i="10" s="1"/>
  <c r="DH187" i="10"/>
  <c r="DQ187" i="10" s="1"/>
  <c r="DG187" i="10"/>
  <c r="DP187" i="10" s="1"/>
  <c r="DF187" i="10"/>
  <c r="DO187" i="10" s="1"/>
  <c r="DE187" i="10"/>
  <c r="DN187" i="10" s="1"/>
  <c r="DD187" i="10"/>
  <c r="DM187" i="10" s="1"/>
  <c r="DC187" i="10"/>
  <c r="DL187" i="10" s="1"/>
  <c r="DB187" i="10"/>
  <c r="DK187" i="10" s="1"/>
  <c r="Y187" i="10"/>
  <c r="W187" i="10"/>
  <c r="X187" i="10" s="1"/>
  <c r="Z187" i="10" s="1"/>
  <c r="S187" i="10"/>
  <c r="Q187" i="10"/>
  <c r="R187" i="10" s="1"/>
  <c r="T187" i="10" s="1"/>
  <c r="M187" i="10"/>
  <c r="K187" i="10"/>
  <c r="L187" i="10" s="1"/>
  <c r="DJ186" i="10"/>
  <c r="DI186" i="10"/>
  <c r="DR186" i="10" s="1"/>
  <c r="DH186" i="10"/>
  <c r="DQ186" i="10" s="1"/>
  <c r="DG186" i="10"/>
  <c r="DP186" i="10" s="1"/>
  <c r="DF186" i="10"/>
  <c r="DO186" i="10" s="1"/>
  <c r="DE186" i="10"/>
  <c r="DN186" i="10" s="1"/>
  <c r="DD186" i="10"/>
  <c r="DM186" i="10" s="1"/>
  <c r="DC186" i="10"/>
  <c r="DL186" i="10" s="1"/>
  <c r="DB186" i="10"/>
  <c r="DK186" i="10" s="1"/>
  <c r="Y186" i="10"/>
  <c r="W186" i="10"/>
  <c r="X186" i="10" s="1"/>
  <c r="Z186" i="10" s="1"/>
  <c r="S186" i="10"/>
  <c r="Q186" i="10"/>
  <c r="R186" i="10" s="1"/>
  <c r="T186" i="10" s="1"/>
  <c r="M186" i="10"/>
  <c r="K186" i="10"/>
  <c r="L186" i="10" s="1"/>
  <c r="N186" i="10" s="1"/>
  <c r="DN185" i="10"/>
  <c r="DM185" i="10"/>
  <c r="DL185" i="10"/>
  <c r="DJ185" i="10"/>
  <c r="DI185" i="10"/>
  <c r="DR185" i="10" s="1"/>
  <c r="DH185" i="10"/>
  <c r="DQ185" i="10" s="1"/>
  <c r="DG185" i="10"/>
  <c r="DP185" i="10" s="1"/>
  <c r="DF185" i="10"/>
  <c r="DO185" i="10" s="1"/>
  <c r="DE185" i="10"/>
  <c r="DD185" i="10"/>
  <c r="DC185" i="10"/>
  <c r="DB185" i="10"/>
  <c r="DK185" i="10" s="1"/>
  <c r="Y185" i="10"/>
  <c r="W185" i="10"/>
  <c r="X185" i="10" s="1"/>
  <c r="Z185" i="10" s="1"/>
  <c r="S185" i="10"/>
  <c r="Q185" i="10"/>
  <c r="R185" i="10" s="1"/>
  <c r="T185" i="10" s="1"/>
  <c r="M185" i="10"/>
  <c r="K185" i="10"/>
  <c r="L185" i="10" s="1"/>
  <c r="DO184" i="10"/>
  <c r="DJ184" i="10"/>
  <c r="DI184" i="10"/>
  <c r="DR184" i="10" s="1"/>
  <c r="DH184" i="10"/>
  <c r="DQ184" i="10" s="1"/>
  <c r="DG184" i="10"/>
  <c r="DP184" i="10" s="1"/>
  <c r="DF184" i="10"/>
  <c r="DE184" i="10"/>
  <c r="DN184" i="10" s="1"/>
  <c r="DD184" i="10"/>
  <c r="DM184" i="10" s="1"/>
  <c r="DC184" i="10"/>
  <c r="DL184" i="10" s="1"/>
  <c r="DB184" i="10"/>
  <c r="DK184" i="10" s="1"/>
  <c r="Y184" i="10"/>
  <c r="W184" i="10"/>
  <c r="X184" i="10" s="1"/>
  <c r="Z184" i="10" s="1"/>
  <c r="S184" i="10"/>
  <c r="Q184" i="10"/>
  <c r="R184" i="10" s="1"/>
  <c r="T184" i="10" s="1"/>
  <c r="M184" i="10"/>
  <c r="K184" i="10"/>
  <c r="L184" i="10" s="1"/>
  <c r="DN183" i="10"/>
  <c r="DJ183" i="10"/>
  <c r="DI183" i="10"/>
  <c r="DR183" i="10" s="1"/>
  <c r="DH183" i="10"/>
  <c r="DQ183" i="10" s="1"/>
  <c r="DG183" i="10"/>
  <c r="DP183" i="10" s="1"/>
  <c r="DF183" i="10"/>
  <c r="DO183" i="10" s="1"/>
  <c r="DE183" i="10"/>
  <c r="DD183" i="10"/>
  <c r="DM183" i="10" s="1"/>
  <c r="DC183" i="10"/>
  <c r="DL183" i="10" s="1"/>
  <c r="DB183" i="10"/>
  <c r="DK183" i="10" s="1"/>
  <c r="Y183" i="10"/>
  <c r="X183" i="10"/>
  <c r="Z183" i="10" s="1"/>
  <c r="S183" i="10"/>
  <c r="R183" i="10"/>
  <c r="T183" i="10" s="1"/>
  <c r="M183" i="10"/>
  <c r="L183" i="10"/>
  <c r="DJ182" i="10"/>
  <c r="DI182" i="10"/>
  <c r="DR182" i="10" s="1"/>
  <c r="DH182" i="10"/>
  <c r="DQ182" i="10" s="1"/>
  <c r="DG182" i="10"/>
  <c r="DP182" i="10" s="1"/>
  <c r="DF182" i="10"/>
  <c r="DO182" i="10" s="1"/>
  <c r="DE182" i="10"/>
  <c r="DN182" i="10" s="1"/>
  <c r="DD182" i="10"/>
  <c r="DM182" i="10" s="1"/>
  <c r="DC182" i="10"/>
  <c r="DL182" i="10" s="1"/>
  <c r="DB182" i="10"/>
  <c r="DK182" i="10" s="1"/>
  <c r="Y182" i="10"/>
  <c r="W182" i="10"/>
  <c r="X182" i="10" s="1"/>
  <c r="Z182" i="10" s="1"/>
  <c r="S182" i="10"/>
  <c r="Q182" i="10"/>
  <c r="R182" i="10" s="1"/>
  <c r="T182" i="10" s="1"/>
  <c r="M182" i="10"/>
  <c r="K182" i="10"/>
  <c r="L182" i="10" s="1"/>
  <c r="DN181" i="10"/>
  <c r="DJ181" i="10"/>
  <c r="DI181" i="10"/>
  <c r="DR181" i="10" s="1"/>
  <c r="DH181" i="10"/>
  <c r="DQ181" i="10" s="1"/>
  <c r="DG181" i="10"/>
  <c r="DP181" i="10" s="1"/>
  <c r="DF181" i="10"/>
  <c r="DO181" i="10" s="1"/>
  <c r="DE181" i="10"/>
  <c r="DD181" i="10"/>
  <c r="DM181" i="10" s="1"/>
  <c r="DC181" i="10"/>
  <c r="DL181" i="10" s="1"/>
  <c r="DB181" i="10"/>
  <c r="DK181" i="10" s="1"/>
  <c r="Y181" i="10"/>
  <c r="W181" i="10"/>
  <c r="X181" i="10" s="1"/>
  <c r="Z181" i="10" s="1"/>
  <c r="S181" i="10"/>
  <c r="Q181" i="10"/>
  <c r="R181" i="10" s="1"/>
  <c r="T181" i="10" s="1"/>
  <c r="M181" i="10"/>
  <c r="K181" i="10"/>
  <c r="L181" i="10" s="1"/>
  <c r="AA181" i="10" s="1"/>
  <c r="DJ180" i="10"/>
  <c r="DI180" i="10"/>
  <c r="DR180" i="10" s="1"/>
  <c r="DH180" i="10"/>
  <c r="DQ180" i="10" s="1"/>
  <c r="DG180" i="10"/>
  <c r="DP180" i="10" s="1"/>
  <c r="DF180" i="10"/>
  <c r="DO180" i="10" s="1"/>
  <c r="DE180" i="10"/>
  <c r="DN180" i="10" s="1"/>
  <c r="DD180" i="10"/>
  <c r="DM180" i="10" s="1"/>
  <c r="DC180" i="10"/>
  <c r="DL180" i="10" s="1"/>
  <c r="DB180" i="10"/>
  <c r="DK180" i="10" s="1"/>
  <c r="Y180" i="10"/>
  <c r="W180" i="10"/>
  <c r="X180" i="10" s="1"/>
  <c r="Z180" i="10" s="1"/>
  <c r="S180" i="10"/>
  <c r="Q180" i="10"/>
  <c r="R180" i="10" s="1"/>
  <c r="T180" i="10" s="1"/>
  <c r="M180" i="10"/>
  <c r="K180" i="10"/>
  <c r="L180" i="10" s="1"/>
  <c r="DJ179" i="10"/>
  <c r="DI179" i="10"/>
  <c r="DR179" i="10" s="1"/>
  <c r="DH179" i="10"/>
  <c r="DQ179" i="10" s="1"/>
  <c r="DG179" i="10"/>
  <c r="DP179" i="10" s="1"/>
  <c r="DF179" i="10"/>
  <c r="DO179" i="10" s="1"/>
  <c r="DE179" i="10"/>
  <c r="DN179" i="10" s="1"/>
  <c r="DD179" i="10"/>
  <c r="DM179" i="10" s="1"/>
  <c r="DC179" i="10"/>
  <c r="DL179" i="10" s="1"/>
  <c r="DB179" i="10"/>
  <c r="DK179" i="10" s="1"/>
  <c r="Y179" i="10"/>
  <c r="W179" i="10"/>
  <c r="X179" i="10" s="1"/>
  <c r="Z179" i="10" s="1"/>
  <c r="S179" i="10"/>
  <c r="Q179" i="10"/>
  <c r="R179" i="10" s="1"/>
  <c r="T179" i="10" s="1"/>
  <c r="M179" i="10"/>
  <c r="K179" i="10"/>
  <c r="L179" i="10" s="1"/>
  <c r="DJ178" i="10"/>
  <c r="DI178" i="10"/>
  <c r="DR178" i="10" s="1"/>
  <c r="DH178" i="10"/>
  <c r="DQ178" i="10" s="1"/>
  <c r="DG178" i="10"/>
  <c r="DP178" i="10" s="1"/>
  <c r="DF178" i="10"/>
  <c r="DO178" i="10" s="1"/>
  <c r="DE178" i="10"/>
  <c r="DN178" i="10" s="1"/>
  <c r="DD178" i="10"/>
  <c r="DM178" i="10" s="1"/>
  <c r="DC178" i="10"/>
  <c r="DL178" i="10" s="1"/>
  <c r="DB178" i="10"/>
  <c r="DK178" i="10" s="1"/>
  <c r="Y178" i="10"/>
  <c r="W178" i="10"/>
  <c r="X178" i="10" s="1"/>
  <c r="Z178" i="10" s="1"/>
  <c r="S178" i="10"/>
  <c r="Q178" i="10"/>
  <c r="R178" i="10" s="1"/>
  <c r="T178" i="10" s="1"/>
  <c r="M178" i="10"/>
  <c r="K178" i="10"/>
  <c r="L178" i="10" s="1"/>
  <c r="DJ177" i="10"/>
  <c r="DI177" i="10"/>
  <c r="DR177" i="10" s="1"/>
  <c r="DH177" i="10"/>
  <c r="DQ177" i="10" s="1"/>
  <c r="DG177" i="10"/>
  <c r="DP177" i="10" s="1"/>
  <c r="DF177" i="10"/>
  <c r="DO177" i="10" s="1"/>
  <c r="DE177" i="10"/>
  <c r="DN177" i="10" s="1"/>
  <c r="DD177" i="10"/>
  <c r="DM177" i="10" s="1"/>
  <c r="DC177" i="10"/>
  <c r="DL177" i="10" s="1"/>
  <c r="DB177" i="10"/>
  <c r="DK177" i="10" s="1"/>
  <c r="Y177" i="10"/>
  <c r="W177" i="10"/>
  <c r="X177" i="10" s="1"/>
  <c r="Z177" i="10" s="1"/>
  <c r="S177" i="10"/>
  <c r="Q177" i="10"/>
  <c r="R177" i="10" s="1"/>
  <c r="T177" i="10" s="1"/>
  <c r="M177" i="10"/>
  <c r="K177" i="10"/>
  <c r="L177" i="10" s="1"/>
  <c r="DJ176" i="10"/>
  <c r="DI176" i="10"/>
  <c r="DR176" i="10" s="1"/>
  <c r="DH176" i="10"/>
  <c r="DQ176" i="10" s="1"/>
  <c r="DG176" i="10"/>
  <c r="DP176" i="10" s="1"/>
  <c r="DF176" i="10"/>
  <c r="DO176" i="10" s="1"/>
  <c r="DE176" i="10"/>
  <c r="DN176" i="10" s="1"/>
  <c r="DD176" i="10"/>
  <c r="DM176" i="10" s="1"/>
  <c r="DC176" i="10"/>
  <c r="DL176" i="10" s="1"/>
  <c r="DB176" i="10"/>
  <c r="DK176" i="10" s="1"/>
  <c r="S176" i="10"/>
  <c r="Q176" i="10"/>
  <c r="R176" i="10" s="1"/>
  <c r="T176" i="10" s="1"/>
  <c r="M176" i="10"/>
  <c r="K176" i="10"/>
  <c r="L176" i="10" s="1"/>
  <c r="DJ175" i="10"/>
  <c r="DI175" i="10"/>
  <c r="DR175" i="10" s="1"/>
  <c r="DH175" i="10"/>
  <c r="DQ175" i="10" s="1"/>
  <c r="DG175" i="10"/>
  <c r="DP175" i="10" s="1"/>
  <c r="DF175" i="10"/>
  <c r="DO175" i="10" s="1"/>
  <c r="DE175" i="10"/>
  <c r="DN175" i="10" s="1"/>
  <c r="DD175" i="10"/>
  <c r="DM175" i="10" s="1"/>
  <c r="DC175" i="10"/>
  <c r="DL175" i="10" s="1"/>
  <c r="DB175" i="10"/>
  <c r="DK175" i="10" s="1"/>
  <c r="Y175" i="10"/>
  <c r="W175" i="10"/>
  <c r="X175" i="10" s="1"/>
  <c r="Z175" i="10" s="1"/>
  <c r="S175" i="10"/>
  <c r="Q175" i="10"/>
  <c r="R175" i="10" s="1"/>
  <c r="T175" i="10" s="1"/>
  <c r="M175" i="10"/>
  <c r="K175" i="10"/>
  <c r="L175" i="10" s="1"/>
  <c r="DJ174" i="10"/>
  <c r="DI174" i="10"/>
  <c r="DR174" i="10" s="1"/>
  <c r="DH174" i="10"/>
  <c r="DQ174" i="10" s="1"/>
  <c r="DG174" i="10"/>
  <c r="DP174" i="10" s="1"/>
  <c r="DF174" i="10"/>
  <c r="DO174" i="10" s="1"/>
  <c r="DE174" i="10"/>
  <c r="DN174" i="10" s="1"/>
  <c r="DD174" i="10"/>
  <c r="DM174" i="10" s="1"/>
  <c r="DC174" i="10"/>
  <c r="DL174" i="10" s="1"/>
  <c r="DB174" i="10"/>
  <c r="DK174" i="10" s="1"/>
  <c r="Y174" i="10"/>
  <c r="W174" i="10"/>
  <c r="X174" i="10" s="1"/>
  <c r="Z174" i="10" s="1"/>
  <c r="S174" i="10"/>
  <c r="Q174" i="10"/>
  <c r="R174" i="10" s="1"/>
  <c r="T174" i="10" s="1"/>
  <c r="M174" i="10"/>
  <c r="K174" i="10"/>
  <c r="L174" i="10" s="1"/>
  <c r="DJ173" i="10"/>
  <c r="DI173" i="10"/>
  <c r="DR173" i="10" s="1"/>
  <c r="DH173" i="10"/>
  <c r="DQ173" i="10" s="1"/>
  <c r="DG173" i="10"/>
  <c r="DP173" i="10" s="1"/>
  <c r="DF173" i="10"/>
  <c r="DO173" i="10" s="1"/>
  <c r="DE173" i="10"/>
  <c r="DN173" i="10" s="1"/>
  <c r="DD173" i="10"/>
  <c r="DM173" i="10" s="1"/>
  <c r="DC173" i="10"/>
  <c r="DL173" i="10" s="1"/>
  <c r="DB173" i="10"/>
  <c r="DK173" i="10" s="1"/>
  <c r="Y173" i="10"/>
  <c r="W173" i="10"/>
  <c r="X173" i="10" s="1"/>
  <c r="Z173" i="10" s="1"/>
  <c r="S173" i="10"/>
  <c r="Q173" i="10"/>
  <c r="R173" i="10" s="1"/>
  <c r="T173" i="10" s="1"/>
  <c r="M173" i="10"/>
  <c r="K173" i="10"/>
  <c r="L173" i="10" s="1"/>
  <c r="DJ172" i="10"/>
  <c r="DI172" i="10"/>
  <c r="DR172" i="10" s="1"/>
  <c r="DH172" i="10"/>
  <c r="DQ172" i="10" s="1"/>
  <c r="DG172" i="10"/>
  <c r="DP172" i="10" s="1"/>
  <c r="DF172" i="10"/>
  <c r="DO172" i="10" s="1"/>
  <c r="DE172" i="10"/>
  <c r="DN172" i="10" s="1"/>
  <c r="DD172" i="10"/>
  <c r="DM172" i="10" s="1"/>
  <c r="DC172" i="10"/>
  <c r="DL172" i="10" s="1"/>
  <c r="DB172" i="10"/>
  <c r="DK172" i="10" s="1"/>
  <c r="Y172" i="10"/>
  <c r="X172" i="10"/>
  <c r="Z172" i="10" s="1"/>
  <c r="S172" i="10"/>
  <c r="R172" i="10"/>
  <c r="T172" i="10" s="1"/>
  <c r="M172" i="10"/>
  <c r="L172" i="10"/>
  <c r="DJ171" i="10"/>
  <c r="DI171" i="10"/>
  <c r="DR171" i="10" s="1"/>
  <c r="DH171" i="10"/>
  <c r="DQ171" i="10" s="1"/>
  <c r="DG171" i="10"/>
  <c r="DP171" i="10" s="1"/>
  <c r="DF171" i="10"/>
  <c r="DO171" i="10" s="1"/>
  <c r="DE171" i="10"/>
  <c r="DN171" i="10" s="1"/>
  <c r="DD171" i="10"/>
  <c r="DM171" i="10" s="1"/>
  <c r="DC171" i="10"/>
  <c r="DL171" i="10" s="1"/>
  <c r="DB171" i="10"/>
  <c r="DK171" i="10" s="1"/>
  <c r="Y171" i="10"/>
  <c r="X171" i="10"/>
  <c r="Z171" i="10" s="1"/>
  <c r="S171" i="10"/>
  <c r="R171" i="10"/>
  <c r="T171" i="10" s="1"/>
  <c r="M171" i="10"/>
  <c r="L171" i="10"/>
  <c r="DJ170" i="10"/>
  <c r="DI170" i="10"/>
  <c r="DR170" i="10" s="1"/>
  <c r="DH170" i="10"/>
  <c r="DQ170" i="10" s="1"/>
  <c r="DG170" i="10"/>
  <c r="DP170" i="10" s="1"/>
  <c r="DF170" i="10"/>
  <c r="DO170" i="10" s="1"/>
  <c r="DE170" i="10"/>
  <c r="DN170" i="10" s="1"/>
  <c r="DD170" i="10"/>
  <c r="DM170" i="10" s="1"/>
  <c r="DC170" i="10"/>
  <c r="DL170" i="10" s="1"/>
  <c r="DB170" i="10"/>
  <c r="DK170" i="10" s="1"/>
  <c r="Y170" i="10"/>
  <c r="X170" i="10"/>
  <c r="Z170" i="10" s="1"/>
  <c r="S170" i="10"/>
  <c r="R170" i="10"/>
  <c r="M170" i="10"/>
  <c r="L170" i="10"/>
  <c r="N170" i="10" s="1"/>
  <c r="DJ169" i="10"/>
  <c r="DI169" i="10"/>
  <c r="DR169" i="10" s="1"/>
  <c r="DH169" i="10"/>
  <c r="DQ169" i="10" s="1"/>
  <c r="DG169" i="10"/>
  <c r="DP169" i="10" s="1"/>
  <c r="DF169" i="10"/>
  <c r="DO169" i="10" s="1"/>
  <c r="DE169" i="10"/>
  <c r="DN169" i="10" s="1"/>
  <c r="DD169" i="10"/>
  <c r="DM169" i="10" s="1"/>
  <c r="DC169" i="10"/>
  <c r="DL169" i="10" s="1"/>
  <c r="DB169" i="10"/>
  <c r="DK169" i="10" s="1"/>
  <c r="Y169" i="10"/>
  <c r="W169" i="10"/>
  <c r="X169" i="10" s="1"/>
  <c r="S169" i="10"/>
  <c r="Q169" i="10"/>
  <c r="R169" i="10" s="1"/>
  <c r="T169" i="10" s="1"/>
  <c r="M169" i="10"/>
  <c r="K169" i="10"/>
  <c r="L169" i="10" s="1"/>
  <c r="N169" i="10" s="1"/>
  <c r="DJ168" i="10"/>
  <c r="DI168" i="10"/>
  <c r="DR168" i="10" s="1"/>
  <c r="DH168" i="10"/>
  <c r="DQ168" i="10" s="1"/>
  <c r="DG168" i="10"/>
  <c r="DP168" i="10" s="1"/>
  <c r="DF168" i="10"/>
  <c r="DO168" i="10" s="1"/>
  <c r="DE168" i="10"/>
  <c r="DN168" i="10" s="1"/>
  <c r="DD168" i="10"/>
  <c r="DM168" i="10" s="1"/>
  <c r="DC168" i="10"/>
  <c r="DL168" i="10" s="1"/>
  <c r="DB168" i="10"/>
  <c r="DK168" i="10" s="1"/>
  <c r="Y168" i="10"/>
  <c r="W168" i="10"/>
  <c r="X168" i="10" s="1"/>
  <c r="Z168" i="10" s="1"/>
  <c r="S168" i="10"/>
  <c r="R168" i="10"/>
  <c r="T168" i="10" s="1"/>
  <c r="M168" i="10"/>
  <c r="L168" i="10"/>
  <c r="DJ167" i="10"/>
  <c r="DI167" i="10"/>
  <c r="DR167" i="10" s="1"/>
  <c r="DH167" i="10"/>
  <c r="DQ167" i="10" s="1"/>
  <c r="DG167" i="10"/>
  <c r="DP167" i="10" s="1"/>
  <c r="DF167" i="10"/>
  <c r="DO167" i="10" s="1"/>
  <c r="DE167" i="10"/>
  <c r="DN167" i="10" s="1"/>
  <c r="DD167" i="10"/>
  <c r="DM167" i="10" s="1"/>
  <c r="DC167" i="10"/>
  <c r="DL167" i="10" s="1"/>
  <c r="DB167" i="10"/>
  <c r="DK167" i="10" s="1"/>
  <c r="Y167" i="10"/>
  <c r="X167" i="10"/>
  <c r="Z167" i="10" s="1"/>
  <c r="S167" i="10"/>
  <c r="R167" i="10"/>
  <c r="M167" i="10"/>
  <c r="L167" i="10"/>
  <c r="N167" i="10" s="1"/>
  <c r="DJ166" i="10"/>
  <c r="DI166" i="10"/>
  <c r="DR166" i="10" s="1"/>
  <c r="DH166" i="10"/>
  <c r="DQ166" i="10" s="1"/>
  <c r="DG166" i="10"/>
  <c r="DP166" i="10" s="1"/>
  <c r="DF166" i="10"/>
  <c r="DO166" i="10" s="1"/>
  <c r="DE166" i="10"/>
  <c r="DN166" i="10" s="1"/>
  <c r="DD166" i="10"/>
  <c r="DM166" i="10" s="1"/>
  <c r="DC166" i="10"/>
  <c r="DL166" i="10" s="1"/>
  <c r="DB166" i="10"/>
  <c r="DK166" i="10" s="1"/>
  <c r="Y166" i="10"/>
  <c r="W166" i="10"/>
  <c r="X166" i="10" s="1"/>
  <c r="Z166" i="10" s="1"/>
  <c r="S166" i="10"/>
  <c r="Q166" i="10"/>
  <c r="R166" i="10" s="1"/>
  <c r="T166" i="10" s="1"/>
  <c r="M166" i="10"/>
  <c r="K166" i="10"/>
  <c r="L166" i="10" s="1"/>
  <c r="DJ165" i="10"/>
  <c r="DI165" i="10"/>
  <c r="DR165" i="10" s="1"/>
  <c r="DH165" i="10"/>
  <c r="DQ165" i="10" s="1"/>
  <c r="DG165" i="10"/>
  <c r="DP165" i="10" s="1"/>
  <c r="DF165" i="10"/>
  <c r="DO165" i="10" s="1"/>
  <c r="DE165" i="10"/>
  <c r="DN165" i="10" s="1"/>
  <c r="DD165" i="10"/>
  <c r="DM165" i="10" s="1"/>
  <c r="DC165" i="10"/>
  <c r="DL165" i="10" s="1"/>
  <c r="DB165" i="10"/>
  <c r="DK165" i="10" s="1"/>
  <c r="Y165" i="10"/>
  <c r="W165" i="10"/>
  <c r="X165" i="10" s="1"/>
  <c r="Z165" i="10" s="1"/>
  <c r="S165" i="10"/>
  <c r="Q165" i="10"/>
  <c r="R165" i="10" s="1"/>
  <c r="T165" i="10" s="1"/>
  <c r="M165" i="10"/>
  <c r="K165" i="10"/>
  <c r="L165" i="10" s="1"/>
  <c r="DJ164" i="10"/>
  <c r="DI164" i="10"/>
  <c r="DR164" i="10" s="1"/>
  <c r="DH164" i="10"/>
  <c r="DQ164" i="10" s="1"/>
  <c r="DG164" i="10"/>
  <c r="DP164" i="10" s="1"/>
  <c r="DF164" i="10"/>
  <c r="DO164" i="10" s="1"/>
  <c r="DE164" i="10"/>
  <c r="DN164" i="10" s="1"/>
  <c r="DD164" i="10"/>
  <c r="DM164" i="10" s="1"/>
  <c r="DC164" i="10"/>
  <c r="DL164" i="10" s="1"/>
  <c r="DB164" i="10"/>
  <c r="DK164" i="10" s="1"/>
  <c r="Y164" i="10"/>
  <c r="W164" i="10"/>
  <c r="X164" i="10" s="1"/>
  <c r="Z164" i="10" s="1"/>
  <c r="S164" i="10"/>
  <c r="Q164" i="10"/>
  <c r="R164" i="10" s="1"/>
  <c r="T164" i="10" s="1"/>
  <c r="M164" i="10"/>
  <c r="K164" i="10"/>
  <c r="L164" i="10" s="1"/>
  <c r="DJ163" i="10"/>
  <c r="DI163" i="10"/>
  <c r="DR163" i="10" s="1"/>
  <c r="DH163" i="10"/>
  <c r="DQ163" i="10" s="1"/>
  <c r="DG163" i="10"/>
  <c r="DP163" i="10" s="1"/>
  <c r="DF163" i="10"/>
  <c r="DO163" i="10" s="1"/>
  <c r="DE163" i="10"/>
  <c r="DN163" i="10" s="1"/>
  <c r="DD163" i="10"/>
  <c r="DM163" i="10" s="1"/>
  <c r="DC163" i="10"/>
  <c r="DL163" i="10" s="1"/>
  <c r="DB163" i="10"/>
  <c r="DK163" i="10" s="1"/>
  <c r="Y163" i="10"/>
  <c r="W163" i="10"/>
  <c r="X163" i="10" s="1"/>
  <c r="Z163" i="10" s="1"/>
  <c r="S163" i="10"/>
  <c r="Q163" i="10"/>
  <c r="R163" i="10" s="1"/>
  <c r="T163" i="10" s="1"/>
  <c r="M163" i="10"/>
  <c r="K163" i="10"/>
  <c r="L163" i="10" s="1"/>
  <c r="DJ162" i="10"/>
  <c r="DI162" i="10"/>
  <c r="DR162" i="10" s="1"/>
  <c r="DH162" i="10"/>
  <c r="DQ162" i="10" s="1"/>
  <c r="DG162" i="10"/>
  <c r="DP162" i="10" s="1"/>
  <c r="DF162" i="10"/>
  <c r="DO162" i="10" s="1"/>
  <c r="DE162" i="10"/>
  <c r="DN162" i="10" s="1"/>
  <c r="DD162" i="10"/>
  <c r="DM162" i="10" s="1"/>
  <c r="DC162" i="10"/>
  <c r="DL162" i="10" s="1"/>
  <c r="DB162" i="10"/>
  <c r="DK162" i="10" s="1"/>
  <c r="Y162" i="10"/>
  <c r="W162" i="10"/>
  <c r="X162" i="10" s="1"/>
  <c r="Z162" i="10" s="1"/>
  <c r="S162" i="10"/>
  <c r="Q162" i="10"/>
  <c r="R162" i="10" s="1"/>
  <c r="T162" i="10" s="1"/>
  <c r="M162" i="10"/>
  <c r="K162" i="10"/>
  <c r="L162" i="10" s="1"/>
  <c r="DJ161" i="10"/>
  <c r="DI161" i="10"/>
  <c r="DR161" i="10" s="1"/>
  <c r="DH161" i="10"/>
  <c r="DQ161" i="10" s="1"/>
  <c r="DG161" i="10"/>
  <c r="DP161" i="10" s="1"/>
  <c r="DF161" i="10"/>
  <c r="DO161" i="10" s="1"/>
  <c r="DE161" i="10"/>
  <c r="DN161" i="10" s="1"/>
  <c r="DD161" i="10"/>
  <c r="DM161" i="10" s="1"/>
  <c r="DC161" i="10"/>
  <c r="DL161" i="10" s="1"/>
  <c r="DB161" i="10"/>
  <c r="DK161" i="10" s="1"/>
  <c r="Y161" i="10"/>
  <c r="W161" i="10"/>
  <c r="X161" i="10" s="1"/>
  <c r="Z161" i="10" s="1"/>
  <c r="S161" i="10"/>
  <c r="Q161" i="10"/>
  <c r="R161" i="10" s="1"/>
  <c r="T161" i="10" s="1"/>
  <c r="M161" i="10"/>
  <c r="K161" i="10"/>
  <c r="L161" i="10" s="1"/>
  <c r="DJ160" i="10"/>
  <c r="DI160" i="10"/>
  <c r="DR160" i="10" s="1"/>
  <c r="DH160" i="10"/>
  <c r="DQ160" i="10" s="1"/>
  <c r="DG160" i="10"/>
  <c r="DP160" i="10" s="1"/>
  <c r="DF160" i="10"/>
  <c r="DO160" i="10" s="1"/>
  <c r="DE160" i="10"/>
  <c r="DN160" i="10" s="1"/>
  <c r="DD160" i="10"/>
  <c r="DM160" i="10" s="1"/>
  <c r="DC160" i="10"/>
  <c r="DL160" i="10" s="1"/>
  <c r="DB160" i="10"/>
  <c r="DK160" i="10" s="1"/>
  <c r="Y160" i="10"/>
  <c r="W160" i="10"/>
  <c r="X160" i="10" s="1"/>
  <c r="Z160" i="10" s="1"/>
  <c r="S160" i="10"/>
  <c r="Q160" i="10"/>
  <c r="R160" i="10" s="1"/>
  <c r="T160" i="10" s="1"/>
  <c r="M160" i="10"/>
  <c r="K160" i="10"/>
  <c r="L160" i="10" s="1"/>
  <c r="DJ159" i="10"/>
  <c r="DI159" i="10"/>
  <c r="DR159" i="10" s="1"/>
  <c r="DH159" i="10"/>
  <c r="DQ159" i="10" s="1"/>
  <c r="DG159" i="10"/>
  <c r="DP159" i="10" s="1"/>
  <c r="DF159" i="10"/>
  <c r="DO159" i="10" s="1"/>
  <c r="DE159" i="10"/>
  <c r="DN159" i="10" s="1"/>
  <c r="DD159" i="10"/>
  <c r="DM159" i="10" s="1"/>
  <c r="DC159" i="10"/>
  <c r="DL159" i="10" s="1"/>
  <c r="DB159" i="10"/>
  <c r="DK159" i="10" s="1"/>
  <c r="Y159" i="10"/>
  <c r="W159" i="10"/>
  <c r="X159" i="10" s="1"/>
  <c r="Z159" i="10" s="1"/>
  <c r="S159" i="10"/>
  <c r="Q159" i="10"/>
  <c r="R159" i="10" s="1"/>
  <c r="T159" i="10" s="1"/>
  <c r="M159" i="10"/>
  <c r="K159" i="10"/>
  <c r="L159" i="10" s="1"/>
  <c r="DV158" i="10"/>
  <c r="DJ158" i="10"/>
  <c r="DI158" i="10"/>
  <c r="DR158" i="10" s="1"/>
  <c r="DH158" i="10"/>
  <c r="DQ158" i="10" s="1"/>
  <c r="DG158" i="10"/>
  <c r="DP158" i="10" s="1"/>
  <c r="DF158" i="10"/>
  <c r="DO158" i="10" s="1"/>
  <c r="DE158" i="10"/>
  <c r="DN158" i="10" s="1"/>
  <c r="DD158" i="10"/>
  <c r="DM158" i="10" s="1"/>
  <c r="DC158" i="10"/>
  <c r="DL158" i="10" s="1"/>
  <c r="DB158" i="10"/>
  <c r="DK158" i="10" s="1"/>
  <c r="Y158" i="10"/>
  <c r="W158" i="10"/>
  <c r="X158" i="10" s="1"/>
  <c r="Z158" i="10" s="1"/>
  <c r="S158" i="10"/>
  <c r="Q158" i="10"/>
  <c r="R158" i="10" s="1"/>
  <c r="T158" i="10" s="1"/>
  <c r="M158" i="10"/>
  <c r="K158" i="10"/>
  <c r="L158" i="10" s="1"/>
  <c r="DJ157" i="10"/>
  <c r="DI157" i="10"/>
  <c r="DR157" i="10" s="1"/>
  <c r="DH157" i="10"/>
  <c r="DQ157" i="10" s="1"/>
  <c r="DG157" i="10"/>
  <c r="DP157" i="10" s="1"/>
  <c r="DF157" i="10"/>
  <c r="DO157" i="10" s="1"/>
  <c r="DE157" i="10"/>
  <c r="DN157" i="10" s="1"/>
  <c r="DD157" i="10"/>
  <c r="DM157" i="10" s="1"/>
  <c r="DC157" i="10"/>
  <c r="DL157" i="10" s="1"/>
  <c r="DB157" i="10"/>
  <c r="DK157" i="10" s="1"/>
  <c r="Y157" i="10"/>
  <c r="X157" i="10"/>
  <c r="Z157" i="10" s="1"/>
  <c r="S157" i="10"/>
  <c r="R157" i="10"/>
  <c r="T157" i="10" s="1"/>
  <c r="M157" i="10"/>
  <c r="L157" i="10"/>
  <c r="N157" i="10" s="1"/>
  <c r="DJ156" i="10"/>
  <c r="DI156" i="10"/>
  <c r="DR156" i="10" s="1"/>
  <c r="DH156" i="10"/>
  <c r="DQ156" i="10" s="1"/>
  <c r="DG156" i="10"/>
  <c r="DP156" i="10" s="1"/>
  <c r="DF156" i="10"/>
  <c r="DO156" i="10" s="1"/>
  <c r="DE156" i="10"/>
  <c r="DN156" i="10" s="1"/>
  <c r="DD156" i="10"/>
  <c r="DM156" i="10" s="1"/>
  <c r="DC156" i="10"/>
  <c r="DL156" i="10" s="1"/>
  <c r="DB156" i="10"/>
  <c r="DK156" i="10" s="1"/>
  <c r="Y156" i="10"/>
  <c r="X156" i="10"/>
  <c r="Z156" i="10" s="1"/>
  <c r="S156" i="10"/>
  <c r="R156" i="10"/>
  <c r="T156" i="10" s="1"/>
  <c r="M156" i="10"/>
  <c r="K156" i="10"/>
  <c r="L156" i="10" s="1"/>
  <c r="DJ155" i="10"/>
  <c r="DI155" i="10"/>
  <c r="DR155" i="10" s="1"/>
  <c r="DH155" i="10"/>
  <c r="DQ155" i="10" s="1"/>
  <c r="DG155" i="10"/>
  <c r="DP155" i="10" s="1"/>
  <c r="DF155" i="10"/>
  <c r="DO155" i="10" s="1"/>
  <c r="DE155" i="10"/>
  <c r="DN155" i="10" s="1"/>
  <c r="DD155" i="10"/>
  <c r="DM155" i="10" s="1"/>
  <c r="DC155" i="10"/>
  <c r="DL155" i="10" s="1"/>
  <c r="DB155" i="10"/>
  <c r="DK155" i="10" s="1"/>
  <c r="Y155" i="10"/>
  <c r="X155" i="10"/>
  <c r="Z155" i="10" s="1"/>
  <c r="S155" i="10"/>
  <c r="R155" i="10"/>
  <c r="T155" i="10" s="1"/>
  <c r="M155" i="10"/>
  <c r="L155" i="10"/>
  <c r="N155" i="10" s="1"/>
  <c r="DJ154" i="10"/>
  <c r="DI154" i="10"/>
  <c r="DR154" i="10" s="1"/>
  <c r="DH154" i="10"/>
  <c r="DQ154" i="10" s="1"/>
  <c r="DG154" i="10"/>
  <c r="DP154" i="10" s="1"/>
  <c r="DF154" i="10"/>
  <c r="DO154" i="10" s="1"/>
  <c r="DE154" i="10"/>
  <c r="DN154" i="10" s="1"/>
  <c r="DD154" i="10"/>
  <c r="DM154" i="10" s="1"/>
  <c r="DC154" i="10"/>
  <c r="DL154" i="10" s="1"/>
  <c r="DB154" i="10"/>
  <c r="DK154" i="10" s="1"/>
  <c r="Y154" i="10"/>
  <c r="X154" i="10"/>
  <c r="Z154" i="10" s="1"/>
  <c r="S154" i="10"/>
  <c r="R154" i="10"/>
  <c r="T154" i="10" s="1"/>
  <c r="M154" i="10"/>
  <c r="L154" i="10"/>
  <c r="N154" i="10" s="1"/>
  <c r="DK153" i="10"/>
  <c r="DJ153" i="10"/>
  <c r="DI153" i="10"/>
  <c r="DR153" i="10" s="1"/>
  <c r="DH153" i="10"/>
  <c r="DQ153" i="10" s="1"/>
  <c r="DG153" i="10"/>
  <c r="DP153" i="10" s="1"/>
  <c r="DF153" i="10"/>
  <c r="DO153" i="10" s="1"/>
  <c r="DE153" i="10"/>
  <c r="DN153" i="10" s="1"/>
  <c r="DD153" i="10"/>
  <c r="DM153" i="10" s="1"/>
  <c r="DC153" i="10"/>
  <c r="DL153" i="10" s="1"/>
  <c r="DB153" i="10"/>
  <c r="Y153" i="10"/>
  <c r="X153" i="10"/>
  <c r="Z153" i="10" s="1"/>
  <c r="S153" i="10"/>
  <c r="R153" i="10"/>
  <c r="T153" i="10" s="1"/>
  <c r="M153" i="10"/>
  <c r="L153" i="10"/>
  <c r="DJ152" i="10"/>
  <c r="DI152" i="10"/>
  <c r="DR152" i="10" s="1"/>
  <c r="DH152" i="10"/>
  <c r="DQ152" i="10" s="1"/>
  <c r="DG152" i="10"/>
  <c r="DP152" i="10" s="1"/>
  <c r="DF152" i="10"/>
  <c r="DO152" i="10" s="1"/>
  <c r="DE152" i="10"/>
  <c r="DN152" i="10" s="1"/>
  <c r="DD152" i="10"/>
  <c r="DM152" i="10" s="1"/>
  <c r="DC152" i="10"/>
  <c r="DL152" i="10" s="1"/>
  <c r="DB152" i="10"/>
  <c r="DK152" i="10" s="1"/>
  <c r="Y152" i="10"/>
  <c r="X152" i="10"/>
  <c r="Z152" i="10" s="1"/>
  <c r="S152" i="10"/>
  <c r="R152" i="10"/>
  <c r="M152" i="10"/>
  <c r="L152" i="10"/>
  <c r="N152" i="10" s="1"/>
  <c r="DJ151" i="10"/>
  <c r="DI151" i="10"/>
  <c r="DR151" i="10" s="1"/>
  <c r="DH151" i="10"/>
  <c r="DQ151" i="10" s="1"/>
  <c r="DG151" i="10"/>
  <c r="DP151" i="10" s="1"/>
  <c r="DF151" i="10"/>
  <c r="DO151" i="10" s="1"/>
  <c r="DE151" i="10"/>
  <c r="DN151" i="10" s="1"/>
  <c r="DD151" i="10"/>
  <c r="DM151" i="10" s="1"/>
  <c r="DC151" i="10"/>
  <c r="DL151" i="10" s="1"/>
  <c r="DB151" i="10"/>
  <c r="DK151" i="10" s="1"/>
  <c r="Y151" i="10"/>
  <c r="X151" i="10"/>
  <c r="Z151" i="10" s="1"/>
  <c r="S151" i="10"/>
  <c r="R151" i="10"/>
  <c r="T151" i="10" s="1"/>
  <c r="M151" i="10"/>
  <c r="L151" i="10"/>
  <c r="AA151" i="10" s="1"/>
  <c r="DJ150" i="10"/>
  <c r="DI150" i="10"/>
  <c r="DR150" i="10" s="1"/>
  <c r="DH150" i="10"/>
  <c r="DQ150" i="10" s="1"/>
  <c r="DG150" i="10"/>
  <c r="DP150" i="10" s="1"/>
  <c r="DF150" i="10"/>
  <c r="DO150" i="10" s="1"/>
  <c r="DE150" i="10"/>
  <c r="DN150" i="10" s="1"/>
  <c r="DD150" i="10"/>
  <c r="DM150" i="10" s="1"/>
  <c r="DC150" i="10"/>
  <c r="DL150" i="10" s="1"/>
  <c r="DB150" i="10"/>
  <c r="DK150" i="10" s="1"/>
  <c r="Y150" i="10"/>
  <c r="X150" i="10"/>
  <c r="Z150" i="10" s="1"/>
  <c r="S150" i="10"/>
  <c r="R150" i="10"/>
  <c r="T150" i="10" s="1"/>
  <c r="M150" i="10"/>
  <c r="L150" i="10"/>
  <c r="N150" i="10" s="1"/>
  <c r="DJ149" i="10"/>
  <c r="DI149" i="10"/>
  <c r="DR149" i="10" s="1"/>
  <c r="DH149" i="10"/>
  <c r="DQ149" i="10" s="1"/>
  <c r="DG149" i="10"/>
  <c r="DP149" i="10" s="1"/>
  <c r="DF149" i="10"/>
  <c r="DO149" i="10" s="1"/>
  <c r="DE149" i="10"/>
  <c r="DN149" i="10" s="1"/>
  <c r="DD149" i="10"/>
  <c r="DM149" i="10" s="1"/>
  <c r="DC149" i="10"/>
  <c r="DL149" i="10" s="1"/>
  <c r="DB149" i="10"/>
  <c r="DK149" i="10" s="1"/>
  <c r="Y149" i="10"/>
  <c r="X149" i="10"/>
  <c r="S149" i="10"/>
  <c r="R149" i="10"/>
  <c r="T149" i="10" s="1"/>
  <c r="M149" i="10"/>
  <c r="L149" i="10"/>
  <c r="N149" i="10" s="1"/>
  <c r="DJ148" i="10"/>
  <c r="DI148" i="10"/>
  <c r="DR148" i="10" s="1"/>
  <c r="DH148" i="10"/>
  <c r="DQ148" i="10" s="1"/>
  <c r="DG148" i="10"/>
  <c r="DP148" i="10" s="1"/>
  <c r="DF148" i="10"/>
  <c r="DO148" i="10" s="1"/>
  <c r="DE148" i="10"/>
  <c r="DN148" i="10" s="1"/>
  <c r="DD148" i="10"/>
  <c r="DM148" i="10" s="1"/>
  <c r="DC148" i="10"/>
  <c r="DL148" i="10" s="1"/>
  <c r="DB148" i="10"/>
  <c r="DK148" i="10" s="1"/>
  <c r="Y148" i="10"/>
  <c r="X148" i="10"/>
  <c r="Z148" i="10" s="1"/>
  <c r="S148" i="10"/>
  <c r="R148" i="10"/>
  <c r="T148" i="10" s="1"/>
  <c r="M148" i="10"/>
  <c r="L148" i="10"/>
  <c r="DJ147" i="10"/>
  <c r="DI147" i="10"/>
  <c r="DR147" i="10" s="1"/>
  <c r="DH147" i="10"/>
  <c r="DQ147" i="10" s="1"/>
  <c r="DG147" i="10"/>
  <c r="DP147" i="10" s="1"/>
  <c r="DF147" i="10"/>
  <c r="DO147" i="10" s="1"/>
  <c r="DE147" i="10"/>
  <c r="DN147" i="10" s="1"/>
  <c r="DD147" i="10"/>
  <c r="DM147" i="10" s="1"/>
  <c r="DC147" i="10"/>
  <c r="DL147" i="10" s="1"/>
  <c r="DB147" i="10"/>
  <c r="DK147" i="10" s="1"/>
  <c r="Y147" i="10"/>
  <c r="X147" i="10"/>
  <c r="Z147" i="10" s="1"/>
  <c r="S147" i="10"/>
  <c r="R147" i="10"/>
  <c r="T147" i="10" s="1"/>
  <c r="M147" i="10"/>
  <c r="L147" i="10"/>
  <c r="N147" i="10" s="1"/>
  <c r="DJ146" i="10"/>
  <c r="DI146" i="10"/>
  <c r="DR146" i="10" s="1"/>
  <c r="DH146" i="10"/>
  <c r="DQ146" i="10" s="1"/>
  <c r="DG146" i="10"/>
  <c r="DP146" i="10" s="1"/>
  <c r="DF146" i="10"/>
  <c r="DO146" i="10" s="1"/>
  <c r="DE146" i="10"/>
  <c r="DN146" i="10" s="1"/>
  <c r="DD146" i="10"/>
  <c r="DM146" i="10" s="1"/>
  <c r="DC146" i="10"/>
  <c r="DL146" i="10" s="1"/>
  <c r="DB146" i="10"/>
  <c r="DK146" i="10" s="1"/>
  <c r="Y146" i="10"/>
  <c r="X146" i="10"/>
  <c r="Z146" i="10" s="1"/>
  <c r="S146" i="10"/>
  <c r="R146" i="10"/>
  <c r="T146" i="10" s="1"/>
  <c r="M146" i="10"/>
  <c r="L146" i="10"/>
  <c r="DJ145" i="10"/>
  <c r="DI145" i="10"/>
  <c r="DR145" i="10" s="1"/>
  <c r="DH145" i="10"/>
  <c r="DQ145" i="10" s="1"/>
  <c r="DG145" i="10"/>
  <c r="DP145" i="10" s="1"/>
  <c r="DF145" i="10"/>
  <c r="DO145" i="10" s="1"/>
  <c r="DE145" i="10"/>
  <c r="DN145" i="10" s="1"/>
  <c r="DD145" i="10"/>
  <c r="DM145" i="10" s="1"/>
  <c r="DC145" i="10"/>
  <c r="DL145" i="10" s="1"/>
  <c r="DB145" i="10"/>
  <c r="DK145" i="10" s="1"/>
  <c r="Y145" i="10"/>
  <c r="X145" i="10"/>
  <c r="Z145" i="10" s="1"/>
  <c r="S145" i="10"/>
  <c r="R145" i="10"/>
  <c r="T145" i="10" s="1"/>
  <c r="M145" i="10"/>
  <c r="L145" i="10"/>
  <c r="DQ144" i="10"/>
  <c r="DJ144" i="10"/>
  <c r="DI144" i="10"/>
  <c r="DR144" i="10" s="1"/>
  <c r="DH144" i="10"/>
  <c r="DG144" i="10"/>
  <c r="DP144" i="10" s="1"/>
  <c r="DF144" i="10"/>
  <c r="DO144" i="10" s="1"/>
  <c r="DE144" i="10"/>
  <c r="DN144" i="10" s="1"/>
  <c r="DD144" i="10"/>
  <c r="DM144" i="10" s="1"/>
  <c r="DC144" i="10"/>
  <c r="DL144" i="10" s="1"/>
  <c r="DB144" i="10"/>
  <c r="DK144" i="10" s="1"/>
  <c r="Y144" i="10"/>
  <c r="X144" i="10"/>
  <c r="S144" i="10"/>
  <c r="R144" i="10"/>
  <c r="T144" i="10" s="1"/>
  <c r="M144" i="10"/>
  <c r="L144" i="10"/>
  <c r="N144" i="10" s="1"/>
  <c r="DJ143" i="10"/>
  <c r="DI143" i="10"/>
  <c r="DR143" i="10" s="1"/>
  <c r="DH143" i="10"/>
  <c r="DQ143" i="10" s="1"/>
  <c r="DG143" i="10"/>
  <c r="DP143" i="10" s="1"/>
  <c r="DF143" i="10"/>
  <c r="DO143" i="10" s="1"/>
  <c r="DE143" i="10"/>
  <c r="DN143" i="10" s="1"/>
  <c r="DD143" i="10"/>
  <c r="DM143" i="10" s="1"/>
  <c r="DC143" i="10"/>
  <c r="DL143" i="10" s="1"/>
  <c r="DB143" i="10"/>
  <c r="DK143" i="10" s="1"/>
  <c r="Y143" i="10"/>
  <c r="X143" i="10"/>
  <c r="Z143" i="10" s="1"/>
  <c r="S143" i="10"/>
  <c r="R143" i="10"/>
  <c r="T143" i="10" s="1"/>
  <c r="M143" i="10"/>
  <c r="L143" i="10"/>
  <c r="N143" i="10" s="1"/>
  <c r="DJ142" i="10"/>
  <c r="DI142" i="10"/>
  <c r="DR142" i="10" s="1"/>
  <c r="DH142" i="10"/>
  <c r="DQ142" i="10" s="1"/>
  <c r="DG142" i="10"/>
  <c r="DP142" i="10" s="1"/>
  <c r="DF142" i="10"/>
  <c r="DO142" i="10" s="1"/>
  <c r="DE142" i="10"/>
  <c r="DN142" i="10" s="1"/>
  <c r="DD142" i="10"/>
  <c r="DM142" i="10" s="1"/>
  <c r="DC142" i="10"/>
  <c r="DL142" i="10" s="1"/>
  <c r="DB142" i="10"/>
  <c r="DK142" i="10" s="1"/>
  <c r="Y142" i="10"/>
  <c r="X142" i="10"/>
  <c r="Z142" i="10" s="1"/>
  <c r="S142" i="10"/>
  <c r="R142" i="10"/>
  <c r="T142" i="10" s="1"/>
  <c r="M142" i="10"/>
  <c r="L142" i="10"/>
  <c r="DJ141" i="10"/>
  <c r="DI141" i="10"/>
  <c r="DR141" i="10" s="1"/>
  <c r="DH141" i="10"/>
  <c r="DQ141" i="10" s="1"/>
  <c r="DG141" i="10"/>
  <c r="DP141" i="10" s="1"/>
  <c r="DF141" i="10"/>
  <c r="DO141" i="10" s="1"/>
  <c r="DE141" i="10"/>
  <c r="DN141" i="10" s="1"/>
  <c r="DD141" i="10"/>
  <c r="DM141" i="10" s="1"/>
  <c r="DC141" i="10"/>
  <c r="DL141" i="10" s="1"/>
  <c r="DB141" i="10"/>
  <c r="DK141" i="10" s="1"/>
  <c r="Y141" i="10"/>
  <c r="W141" i="10"/>
  <c r="X141" i="10" s="1"/>
  <c r="S141" i="10"/>
  <c r="R141" i="10"/>
  <c r="T141" i="10" s="1"/>
  <c r="Q141" i="10"/>
  <c r="M141" i="10"/>
  <c r="K141" i="10"/>
  <c r="L141" i="10" s="1"/>
  <c r="N141" i="10" s="1"/>
  <c r="DJ140" i="10"/>
  <c r="DI140" i="10"/>
  <c r="DR140" i="10" s="1"/>
  <c r="DH140" i="10"/>
  <c r="DQ140" i="10" s="1"/>
  <c r="DG140" i="10"/>
  <c r="DP140" i="10" s="1"/>
  <c r="DF140" i="10"/>
  <c r="DO140" i="10" s="1"/>
  <c r="DE140" i="10"/>
  <c r="DN140" i="10" s="1"/>
  <c r="DD140" i="10"/>
  <c r="DM140" i="10" s="1"/>
  <c r="DC140" i="10"/>
  <c r="DL140" i="10" s="1"/>
  <c r="DB140" i="10"/>
  <c r="DK140" i="10" s="1"/>
  <c r="Y140" i="10"/>
  <c r="X140" i="10"/>
  <c r="Z140" i="10" s="1"/>
  <c r="S140" i="10"/>
  <c r="R140" i="10"/>
  <c r="T140" i="10" s="1"/>
  <c r="M140" i="10"/>
  <c r="L140" i="10"/>
  <c r="DJ139" i="10"/>
  <c r="DI139" i="10"/>
  <c r="DR139" i="10" s="1"/>
  <c r="DH139" i="10"/>
  <c r="DQ139" i="10" s="1"/>
  <c r="DG139" i="10"/>
  <c r="DP139" i="10" s="1"/>
  <c r="DF139" i="10"/>
  <c r="DO139" i="10" s="1"/>
  <c r="DE139" i="10"/>
  <c r="DN139" i="10" s="1"/>
  <c r="DD139" i="10"/>
  <c r="DM139" i="10" s="1"/>
  <c r="DC139" i="10"/>
  <c r="DL139" i="10" s="1"/>
  <c r="DB139" i="10"/>
  <c r="DK139" i="10" s="1"/>
  <c r="Y139" i="10"/>
  <c r="X139" i="10"/>
  <c r="Z139" i="10" s="1"/>
  <c r="S139" i="10"/>
  <c r="R139" i="10"/>
  <c r="M139" i="10"/>
  <c r="L139" i="10"/>
  <c r="N139" i="10" s="1"/>
  <c r="DJ138" i="10"/>
  <c r="DI138" i="10"/>
  <c r="DR138" i="10" s="1"/>
  <c r="DH138" i="10"/>
  <c r="DQ138" i="10" s="1"/>
  <c r="DG138" i="10"/>
  <c r="DP138" i="10" s="1"/>
  <c r="DF138" i="10"/>
  <c r="DO138" i="10" s="1"/>
  <c r="DE138" i="10"/>
  <c r="DN138" i="10" s="1"/>
  <c r="DD138" i="10"/>
  <c r="DM138" i="10" s="1"/>
  <c r="DC138" i="10"/>
  <c r="DL138" i="10" s="1"/>
  <c r="DB138" i="10"/>
  <c r="DK138" i="10" s="1"/>
  <c r="Y138" i="10"/>
  <c r="X138" i="10"/>
  <c r="Z138" i="10" s="1"/>
  <c r="S138" i="10"/>
  <c r="R138" i="10"/>
  <c r="T138" i="10" s="1"/>
  <c r="M138" i="10"/>
  <c r="L138" i="10"/>
  <c r="DJ137" i="10"/>
  <c r="DI137" i="10"/>
  <c r="DR137" i="10" s="1"/>
  <c r="DH137" i="10"/>
  <c r="DQ137" i="10" s="1"/>
  <c r="DG137" i="10"/>
  <c r="DP137" i="10" s="1"/>
  <c r="DF137" i="10"/>
  <c r="DO137" i="10" s="1"/>
  <c r="DE137" i="10"/>
  <c r="DN137" i="10" s="1"/>
  <c r="DD137" i="10"/>
  <c r="DM137" i="10" s="1"/>
  <c r="DC137" i="10"/>
  <c r="DL137" i="10" s="1"/>
  <c r="DB137" i="10"/>
  <c r="DK137" i="10" s="1"/>
  <c r="Y137" i="10"/>
  <c r="X137" i="10"/>
  <c r="Z137" i="10" s="1"/>
  <c r="S137" i="10"/>
  <c r="R137" i="10"/>
  <c r="T137" i="10" s="1"/>
  <c r="M137" i="10"/>
  <c r="L137" i="10"/>
  <c r="DJ136" i="10"/>
  <c r="DI136" i="10"/>
  <c r="DR136" i="10" s="1"/>
  <c r="DH136" i="10"/>
  <c r="DQ136" i="10" s="1"/>
  <c r="DG136" i="10"/>
  <c r="DP136" i="10" s="1"/>
  <c r="DF136" i="10"/>
  <c r="DO136" i="10" s="1"/>
  <c r="DE136" i="10"/>
  <c r="DN136" i="10" s="1"/>
  <c r="DD136" i="10"/>
  <c r="DM136" i="10" s="1"/>
  <c r="DC136" i="10"/>
  <c r="DL136" i="10" s="1"/>
  <c r="DB136" i="10"/>
  <c r="DK136" i="10" s="1"/>
  <c r="Y136" i="10"/>
  <c r="X136" i="10"/>
  <c r="Z136" i="10" s="1"/>
  <c r="S136" i="10"/>
  <c r="R136" i="10"/>
  <c r="T136" i="10" s="1"/>
  <c r="M136" i="10"/>
  <c r="L136" i="10"/>
  <c r="DO135" i="10"/>
  <c r="DN135" i="10"/>
  <c r="DJ135" i="10"/>
  <c r="DI135" i="10"/>
  <c r="DR135" i="10" s="1"/>
  <c r="DH135" i="10"/>
  <c r="DQ135" i="10" s="1"/>
  <c r="DG135" i="10"/>
  <c r="DP135" i="10" s="1"/>
  <c r="DF135" i="10"/>
  <c r="DE135" i="10"/>
  <c r="DD135" i="10"/>
  <c r="DM135" i="10" s="1"/>
  <c r="DC135" i="10"/>
  <c r="DL135" i="10" s="1"/>
  <c r="DB135" i="10"/>
  <c r="DK135" i="10" s="1"/>
  <c r="Y135" i="10"/>
  <c r="X135" i="10"/>
  <c r="Z135" i="10" s="1"/>
  <c r="S135" i="10"/>
  <c r="R135" i="10"/>
  <c r="M135" i="10"/>
  <c r="L135" i="10"/>
  <c r="N135" i="10" s="1"/>
  <c r="DO134" i="10"/>
  <c r="DJ134" i="10"/>
  <c r="DI134" i="10"/>
  <c r="DR134" i="10" s="1"/>
  <c r="DH134" i="10"/>
  <c r="DQ134" i="10" s="1"/>
  <c r="DG134" i="10"/>
  <c r="DP134" i="10" s="1"/>
  <c r="DF134" i="10"/>
  <c r="DE134" i="10"/>
  <c r="DN134" i="10" s="1"/>
  <c r="DD134" i="10"/>
  <c r="DM134" i="10" s="1"/>
  <c r="DC134" i="10"/>
  <c r="DL134" i="10" s="1"/>
  <c r="DB134" i="10"/>
  <c r="DK134" i="10" s="1"/>
  <c r="Y134" i="10"/>
  <c r="X134" i="10"/>
  <c r="Z134" i="10" s="1"/>
  <c r="S134" i="10"/>
  <c r="R134" i="10"/>
  <c r="T134" i="10" s="1"/>
  <c r="M134" i="10"/>
  <c r="L134" i="10"/>
  <c r="DR133" i="10"/>
  <c r="DJ133" i="10"/>
  <c r="DI133" i="10"/>
  <c r="DH133" i="10"/>
  <c r="DQ133" i="10" s="1"/>
  <c r="DG133" i="10"/>
  <c r="DP133" i="10" s="1"/>
  <c r="DF133" i="10"/>
  <c r="DO133" i="10" s="1"/>
  <c r="DE133" i="10"/>
  <c r="DN133" i="10" s="1"/>
  <c r="DD133" i="10"/>
  <c r="DM133" i="10" s="1"/>
  <c r="DC133" i="10"/>
  <c r="DL133" i="10" s="1"/>
  <c r="DB133" i="10"/>
  <c r="DK133" i="10" s="1"/>
  <c r="Y133" i="10"/>
  <c r="X133" i="10"/>
  <c r="Z133" i="10" s="1"/>
  <c r="S133" i="10"/>
  <c r="R133" i="10"/>
  <c r="T133" i="10" s="1"/>
  <c r="M133" i="10"/>
  <c r="L133" i="10"/>
  <c r="DJ132" i="10"/>
  <c r="DI132" i="10"/>
  <c r="DR132" i="10" s="1"/>
  <c r="DH132" i="10"/>
  <c r="DQ132" i="10" s="1"/>
  <c r="DG132" i="10"/>
  <c r="DP132" i="10" s="1"/>
  <c r="DF132" i="10"/>
  <c r="DO132" i="10" s="1"/>
  <c r="DE132" i="10"/>
  <c r="DN132" i="10" s="1"/>
  <c r="DD132" i="10"/>
  <c r="DM132" i="10" s="1"/>
  <c r="DC132" i="10"/>
  <c r="DL132" i="10" s="1"/>
  <c r="DB132" i="10"/>
  <c r="DK132" i="10" s="1"/>
  <c r="Y132" i="10"/>
  <c r="X132" i="10"/>
  <c r="Z132" i="10" s="1"/>
  <c r="S132" i="10"/>
  <c r="R132" i="10"/>
  <c r="T132" i="10" s="1"/>
  <c r="M132" i="10"/>
  <c r="L132" i="10"/>
  <c r="DJ131" i="10"/>
  <c r="DI131" i="10"/>
  <c r="DR131" i="10" s="1"/>
  <c r="DH131" i="10"/>
  <c r="DQ131" i="10" s="1"/>
  <c r="DG131" i="10"/>
  <c r="DP131" i="10" s="1"/>
  <c r="DF131" i="10"/>
  <c r="DO131" i="10" s="1"/>
  <c r="DE131" i="10"/>
  <c r="DN131" i="10" s="1"/>
  <c r="DD131" i="10"/>
  <c r="DM131" i="10" s="1"/>
  <c r="DC131" i="10"/>
  <c r="DL131" i="10" s="1"/>
  <c r="DB131" i="10"/>
  <c r="DK131" i="10" s="1"/>
  <c r="Y131" i="10"/>
  <c r="X131" i="10"/>
  <c r="Z131" i="10" s="1"/>
  <c r="S131" i="10"/>
  <c r="R131" i="10"/>
  <c r="T131" i="10" s="1"/>
  <c r="M131" i="10"/>
  <c r="L131" i="10"/>
  <c r="DJ130" i="10"/>
  <c r="DI130" i="10"/>
  <c r="DR130" i="10" s="1"/>
  <c r="DH130" i="10"/>
  <c r="DQ130" i="10" s="1"/>
  <c r="DG130" i="10"/>
  <c r="DP130" i="10" s="1"/>
  <c r="DF130" i="10"/>
  <c r="DO130" i="10" s="1"/>
  <c r="DE130" i="10"/>
  <c r="DN130" i="10" s="1"/>
  <c r="DD130" i="10"/>
  <c r="DM130" i="10" s="1"/>
  <c r="DC130" i="10"/>
  <c r="DL130" i="10" s="1"/>
  <c r="DB130" i="10"/>
  <c r="DK130" i="10" s="1"/>
  <c r="Y130" i="10"/>
  <c r="X130" i="10"/>
  <c r="Z130" i="10" s="1"/>
  <c r="S130" i="10"/>
  <c r="R130" i="10"/>
  <c r="T130" i="10" s="1"/>
  <c r="M130" i="10"/>
  <c r="L130" i="10"/>
  <c r="DJ129" i="10"/>
  <c r="DI129" i="10"/>
  <c r="DR129" i="10" s="1"/>
  <c r="DH129" i="10"/>
  <c r="DQ129" i="10" s="1"/>
  <c r="DG129" i="10"/>
  <c r="DP129" i="10" s="1"/>
  <c r="DF129" i="10"/>
  <c r="DO129" i="10" s="1"/>
  <c r="DE129" i="10"/>
  <c r="DN129" i="10" s="1"/>
  <c r="DD129" i="10"/>
  <c r="DM129" i="10" s="1"/>
  <c r="DC129" i="10"/>
  <c r="DL129" i="10" s="1"/>
  <c r="DB129" i="10"/>
  <c r="DK129" i="10" s="1"/>
  <c r="Y129" i="10"/>
  <c r="X129" i="10"/>
  <c r="Z129" i="10" s="1"/>
  <c r="S129" i="10"/>
  <c r="R129" i="10"/>
  <c r="T129" i="10" s="1"/>
  <c r="M129" i="10"/>
  <c r="L129" i="10"/>
  <c r="N129" i="10" s="1"/>
  <c r="DJ128" i="10"/>
  <c r="DI128" i="10"/>
  <c r="DR128" i="10" s="1"/>
  <c r="DH128" i="10"/>
  <c r="DQ128" i="10" s="1"/>
  <c r="DG128" i="10"/>
  <c r="DP128" i="10" s="1"/>
  <c r="DF128" i="10"/>
  <c r="DO128" i="10" s="1"/>
  <c r="DE128" i="10"/>
  <c r="DN128" i="10" s="1"/>
  <c r="DD128" i="10"/>
  <c r="DM128" i="10" s="1"/>
  <c r="DC128" i="10"/>
  <c r="DL128" i="10" s="1"/>
  <c r="DB128" i="10"/>
  <c r="DK128" i="10" s="1"/>
  <c r="Y128" i="10"/>
  <c r="X128" i="10"/>
  <c r="Z128" i="10" s="1"/>
  <c r="S128" i="10"/>
  <c r="R128" i="10"/>
  <c r="T128" i="10" s="1"/>
  <c r="M128" i="10"/>
  <c r="L128" i="10"/>
  <c r="N128" i="10" s="1"/>
  <c r="DJ127" i="10"/>
  <c r="DI127" i="10"/>
  <c r="DR127" i="10" s="1"/>
  <c r="DH127" i="10"/>
  <c r="DQ127" i="10" s="1"/>
  <c r="DG127" i="10"/>
  <c r="DP127" i="10" s="1"/>
  <c r="DF127" i="10"/>
  <c r="DO127" i="10" s="1"/>
  <c r="DE127" i="10"/>
  <c r="DN127" i="10" s="1"/>
  <c r="DD127" i="10"/>
  <c r="DM127" i="10" s="1"/>
  <c r="DC127" i="10"/>
  <c r="DL127" i="10" s="1"/>
  <c r="DB127" i="10"/>
  <c r="DK127" i="10" s="1"/>
  <c r="Y127" i="10"/>
  <c r="X127" i="10"/>
  <c r="Z127" i="10" s="1"/>
  <c r="S127" i="10"/>
  <c r="R127" i="10"/>
  <c r="T127" i="10" s="1"/>
  <c r="M127" i="10"/>
  <c r="L127" i="10"/>
  <c r="N127" i="10" s="1"/>
  <c r="DJ126" i="10"/>
  <c r="DI126" i="10"/>
  <c r="DR126" i="10" s="1"/>
  <c r="DH126" i="10"/>
  <c r="DQ126" i="10" s="1"/>
  <c r="DG126" i="10"/>
  <c r="DP126" i="10" s="1"/>
  <c r="DF126" i="10"/>
  <c r="DO126" i="10" s="1"/>
  <c r="DE126" i="10"/>
  <c r="DN126" i="10" s="1"/>
  <c r="DD126" i="10"/>
  <c r="DM126" i="10" s="1"/>
  <c r="DC126" i="10"/>
  <c r="DL126" i="10" s="1"/>
  <c r="DB126" i="10"/>
  <c r="DK126" i="10" s="1"/>
  <c r="Y126" i="10"/>
  <c r="X126" i="10"/>
  <c r="S126" i="10"/>
  <c r="R126" i="10"/>
  <c r="T126" i="10" s="1"/>
  <c r="M126" i="10"/>
  <c r="L126" i="10"/>
  <c r="N126" i="10" s="1"/>
  <c r="DJ125" i="10"/>
  <c r="DI125" i="10"/>
  <c r="DR125" i="10" s="1"/>
  <c r="DH125" i="10"/>
  <c r="DQ125" i="10" s="1"/>
  <c r="DG125" i="10"/>
  <c r="DP125" i="10" s="1"/>
  <c r="DF125" i="10"/>
  <c r="DO125" i="10" s="1"/>
  <c r="DE125" i="10"/>
  <c r="DN125" i="10" s="1"/>
  <c r="DD125" i="10"/>
  <c r="DM125" i="10" s="1"/>
  <c r="DC125" i="10"/>
  <c r="DL125" i="10" s="1"/>
  <c r="DB125" i="10"/>
  <c r="DK125" i="10" s="1"/>
  <c r="Y125" i="10"/>
  <c r="X125" i="10"/>
  <c r="Z125" i="10" s="1"/>
  <c r="S125" i="10"/>
  <c r="R125" i="10"/>
  <c r="T125" i="10" s="1"/>
  <c r="M125" i="10"/>
  <c r="L125" i="10"/>
  <c r="DJ124" i="10"/>
  <c r="DI124" i="10"/>
  <c r="DR124" i="10" s="1"/>
  <c r="DH124" i="10"/>
  <c r="DQ124" i="10" s="1"/>
  <c r="DG124" i="10"/>
  <c r="DP124" i="10" s="1"/>
  <c r="DF124" i="10"/>
  <c r="DO124" i="10" s="1"/>
  <c r="DE124" i="10"/>
  <c r="DN124" i="10" s="1"/>
  <c r="DD124" i="10"/>
  <c r="DM124" i="10" s="1"/>
  <c r="DC124" i="10"/>
  <c r="DL124" i="10" s="1"/>
  <c r="DB124" i="10"/>
  <c r="DK124" i="10" s="1"/>
  <c r="Y124" i="10"/>
  <c r="X124" i="10"/>
  <c r="Z124" i="10" s="1"/>
  <c r="S124" i="10"/>
  <c r="R124" i="10"/>
  <c r="T124" i="10" s="1"/>
  <c r="M124" i="10"/>
  <c r="L124" i="10"/>
  <c r="N124" i="10" s="1"/>
  <c r="DJ123" i="10"/>
  <c r="DI123" i="10"/>
  <c r="DR123" i="10" s="1"/>
  <c r="DH123" i="10"/>
  <c r="DQ123" i="10" s="1"/>
  <c r="DG123" i="10"/>
  <c r="DP123" i="10" s="1"/>
  <c r="DF123" i="10"/>
  <c r="DO123" i="10" s="1"/>
  <c r="DE123" i="10"/>
  <c r="DN123" i="10" s="1"/>
  <c r="DD123" i="10"/>
  <c r="DM123" i="10" s="1"/>
  <c r="DC123" i="10"/>
  <c r="DL123" i="10" s="1"/>
  <c r="DB123" i="10"/>
  <c r="DK123" i="10" s="1"/>
  <c r="Y123" i="10"/>
  <c r="W123" i="10"/>
  <c r="X123" i="10" s="1"/>
  <c r="Z123" i="10" s="1"/>
  <c r="S123" i="10"/>
  <c r="R123" i="10"/>
  <c r="T123" i="10" s="1"/>
  <c r="M123" i="10"/>
  <c r="L123" i="10"/>
  <c r="DJ122" i="10"/>
  <c r="DI122" i="10"/>
  <c r="DR122" i="10" s="1"/>
  <c r="DH122" i="10"/>
  <c r="DQ122" i="10" s="1"/>
  <c r="DG122" i="10"/>
  <c r="DP122" i="10" s="1"/>
  <c r="DF122" i="10"/>
  <c r="DO122" i="10" s="1"/>
  <c r="DE122" i="10"/>
  <c r="DN122" i="10" s="1"/>
  <c r="DD122" i="10"/>
  <c r="DM122" i="10" s="1"/>
  <c r="DC122" i="10"/>
  <c r="DL122" i="10" s="1"/>
  <c r="DB122" i="10"/>
  <c r="DK122" i="10" s="1"/>
  <c r="Y122" i="10"/>
  <c r="X122" i="10"/>
  <c r="Z122" i="10" s="1"/>
  <c r="S122" i="10"/>
  <c r="R122" i="10"/>
  <c r="T122" i="10" s="1"/>
  <c r="M122" i="10"/>
  <c r="L122" i="10"/>
  <c r="DJ121" i="10"/>
  <c r="DI121" i="10"/>
  <c r="DR121" i="10" s="1"/>
  <c r="DH121" i="10"/>
  <c r="DQ121" i="10" s="1"/>
  <c r="DG121" i="10"/>
  <c r="DP121" i="10" s="1"/>
  <c r="DF121" i="10"/>
  <c r="DO121" i="10" s="1"/>
  <c r="DE121" i="10"/>
  <c r="DN121" i="10" s="1"/>
  <c r="DD121" i="10"/>
  <c r="DM121" i="10" s="1"/>
  <c r="DC121" i="10"/>
  <c r="DL121" i="10" s="1"/>
  <c r="DB121" i="10"/>
  <c r="DK121" i="10" s="1"/>
  <c r="Y121" i="10"/>
  <c r="X121" i="10"/>
  <c r="S121" i="10"/>
  <c r="R121" i="10"/>
  <c r="T121" i="10" s="1"/>
  <c r="M121" i="10"/>
  <c r="L121" i="10"/>
  <c r="N121" i="10" s="1"/>
  <c r="DJ120" i="10"/>
  <c r="DI120" i="10"/>
  <c r="DR120" i="10" s="1"/>
  <c r="DH120" i="10"/>
  <c r="DQ120" i="10" s="1"/>
  <c r="DG120" i="10"/>
  <c r="DP120" i="10" s="1"/>
  <c r="DF120" i="10"/>
  <c r="DO120" i="10" s="1"/>
  <c r="DE120" i="10"/>
  <c r="DN120" i="10" s="1"/>
  <c r="DD120" i="10"/>
  <c r="DM120" i="10" s="1"/>
  <c r="DC120" i="10"/>
  <c r="DL120" i="10" s="1"/>
  <c r="DB120" i="10"/>
  <c r="DK120" i="10" s="1"/>
  <c r="Y120" i="10"/>
  <c r="W120" i="10"/>
  <c r="X120" i="10" s="1"/>
  <c r="Z120" i="10" s="1"/>
  <c r="S120" i="10"/>
  <c r="R120" i="10"/>
  <c r="T120" i="10" s="1"/>
  <c r="M120" i="10"/>
  <c r="L120" i="10"/>
  <c r="DJ119" i="10"/>
  <c r="DI119" i="10"/>
  <c r="DR119" i="10" s="1"/>
  <c r="DH119" i="10"/>
  <c r="DQ119" i="10" s="1"/>
  <c r="DG119" i="10"/>
  <c r="DP119" i="10" s="1"/>
  <c r="DF119" i="10"/>
  <c r="DO119" i="10" s="1"/>
  <c r="DE119" i="10"/>
  <c r="DN119" i="10" s="1"/>
  <c r="DD119" i="10"/>
  <c r="DM119" i="10" s="1"/>
  <c r="DC119" i="10"/>
  <c r="DL119" i="10" s="1"/>
  <c r="DB119" i="10"/>
  <c r="DK119" i="10" s="1"/>
  <c r="Y119" i="10"/>
  <c r="X119" i="10"/>
  <c r="Z119" i="10" s="1"/>
  <c r="S119" i="10"/>
  <c r="R119" i="10"/>
  <c r="T119" i="10" s="1"/>
  <c r="M119" i="10"/>
  <c r="L119" i="10"/>
  <c r="DJ118" i="10"/>
  <c r="DI118" i="10"/>
  <c r="DR118" i="10" s="1"/>
  <c r="DH118" i="10"/>
  <c r="DQ118" i="10" s="1"/>
  <c r="DG118" i="10"/>
  <c r="DP118" i="10" s="1"/>
  <c r="DF118" i="10"/>
  <c r="DO118" i="10" s="1"/>
  <c r="DE118" i="10"/>
  <c r="DN118" i="10" s="1"/>
  <c r="DD118" i="10"/>
  <c r="DM118" i="10" s="1"/>
  <c r="DC118" i="10"/>
  <c r="DL118" i="10" s="1"/>
  <c r="DB118" i="10"/>
  <c r="DK118" i="10" s="1"/>
  <c r="Y118" i="10"/>
  <c r="X118" i="10"/>
  <c r="Z118" i="10" s="1"/>
  <c r="S118" i="10"/>
  <c r="R118" i="10"/>
  <c r="T118" i="10" s="1"/>
  <c r="M118" i="10"/>
  <c r="L118" i="10"/>
  <c r="N118" i="10" s="1"/>
  <c r="DJ117" i="10"/>
  <c r="DI117" i="10"/>
  <c r="DR117" i="10" s="1"/>
  <c r="DH117" i="10"/>
  <c r="DQ117" i="10" s="1"/>
  <c r="DG117" i="10"/>
  <c r="DP117" i="10" s="1"/>
  <c r="DF117" i="10"/>
  <c r="DO117" i="10" s="1"/>
  <c r="DE117" i="10"/>
  <c r="DN117" i="10" s="1"/>
  <c r="DD117" i="10"/>
  <c r="DM117" i="10" s="1"/>
  <c r="DC117" i="10"/>
  <c r="DL117" i="10" s="1"/>
  <c r="DB117" i="10"/>
  <c r="DK117" i="10" s="1"/>
  <c r="Y117" i="10"/>
  <c r="X117" i="10"/>
  <c r="S117" i="10"/>
  <c r="R117" i="10"/>
  <c r="T117" i="10" s="1"/>
  <c r="M117" i="10"/>
  <c r="L117" i="10"/>
  <c r="N117" i="10" s="1"/>
  <c r="DJ116" i="10"/>
  <c r="DI116" i="10"/>
  <c r="DR116" i="10" s="1"/>
  <c r="DH116" i="10"/>
  <c r="DQ116" i="10" s="1"/>
  <c r="DG116" i="10"/>
  <c r="DP116" i="10" s="1"/>
  <c r="DF116" i="10"/>
  <c r="DO116" i="10" s="1"/>
  <c r="DE116" i="10"/>
  <c r="DN116" i="10" s="1"/>
  <c r="DD116" i="10"/>
  <c r="DM116" i="10" s="1"/>
  <c r="DC116" i="10"/>
  <c r="DL116" i="10" s="1"/>
  <c r="DB116" i="10"/>
  <c r="DK116" i="10" s="1"/>
  <c r="Y116" i="10"/>
  <c r="X116" i="10"/>
  <c r="S116" i="10"/>
  <c r="R116" i="10"/>
  <c r="T116" i="10" s="1"/>
  <c r="M116" i="10"/>
  <c r="L116" i="10"/>
  <c r="N116" i="10" s="1"/>
  <c r="DJ115" i="10"/>
  <c r="DI115" i="10"/>
  <c r="DR115" i="10" s="1"/>
  <c r="DH115" i="10"/>
  <c r="DQ115" i="10" s="1"/>
  <c r="DG115" i="10"/>
  <c r="DP115" i="10" s="1"/>
  <c r="DF115" i="10"/>
  <c r="DO115" i="10" s="1"/>
  <c r="DE115" i="10"/>
  <c r="DN115" i="10" s="1"/>
  <c r="DD115" i="10"/>
  <c r="DM115" i="10" s="1"/>
  <c r="DC115" i="10"/>
  <c r="DL115" i="10" s="1"/>
  <c r="DB115" i="10"/>
  <c r="DK115" i="10" s="1"/>
  <c r="Y115" i="10"/>
  <c r="X115" i="10"/>
  <c r="Z115" i="10" s="1"/>
  <c r="S115" i="10"/>
  <c r="R115" i="10"/>
  <c r="T115" i="10" s="1"/>
  <c r="M115" i="10"/>
  <c r="L115" i="10"/>
  <c r="N115" i="10" s="1"/>
  <c r="DJ114" i="10"/>
  <c r="DI114" i="10"/>
  <c r="DH114" i="10"/>
  <c r="DG114" i="10"/>
  <c r="DP114" i="10" s="1"/>
  <c r="DF114" i="10"/>
  <c r="DO114" i="10" s="1"/>
  <c r="DE114" i="10"/>
  <c r="DN114" i="10" s="1"/>
  <c r="DD114" i="10"/>
  <c r="DC114" i="10"/>
  <c r="DL114" i="10" s="1"/>
  <c r="DB114" i="10"/>
  <c r="DK114" i="10" s="1"/>
  <c r="V114" i="10"/>
  <c r="W114" i="10" s="1"/>
  <c r="X114" i="10" s="1"/>
  <c r="Z114" i="10" s="1"/>
  <c r="U114" i="10"/>
  <c r="DQ114" i="10" s="1"/>
  <c r="S114" i="10"/>
  <c r="Q114" i="10"/>
  <c r="R114" i="10" s="1"/>
  <c r="DJ110" i="10"/>
  <c r="DI110" i="10"/>
  <c r="DR110" i="10" s="1"/>
  <c r="DH110" i="10"/>
  <c r="DQ110" i="10" s="1"/>
  <c r="DG110" i="10"/>
  <c r="DP110" i="10" s="1"/>
  <c r="DF110" i="10"/>
  <c r="DO110" i="10" s="1"/>
  <c r="DE110" i="10"/>
  <c r="DN110" i="10" s="1"/>
  <c r="DD110" i="10"/>
  <c r="DM110" i="10" s="1"/>
  <c r="DC110" i="10"/>
  <c r="DL110" i="10" s="1"/>
  <c r="DB110" i="10"/>
  <c r="DK110" i="10" s="1"/>
  <c r="Y110" i="10"/>
  <c r="W110" i="10"/>
  <c r="X110" i="10" s="1"/>
  <c r="Z110" i="10" s="1"/>
  <c r="S110" i="10"/>
  <c r="Q110" i="10"/>
  <c r="R110" i="10" s="1"/>
  <c r="T110" i="10" s="1"/>
  <c r="M110" i="10"/>
  <c r="K110" i="10"/>
  <c r="L110" i="10" s="1"/>
  <c r="DJ109" i="10"/>
  <c r="DI109" i="10"/>
  <c r="DR109" i="10" s="1"/>
  <c r="DH109" i="10"/>
  <c r="DQ109" i="10" s="1"/>
  <c r="DG109" i="10"/>
  <c r="DP109" i="10" s="1"/>
  <c r="DF109" i="10"/>
  <c r="DO109" i="10" s="1"/>
  <c r="DE109" i="10"/>
  <c r="DN109" i="10" s="1"/>
  <c r="DD109" i="10"/>
  <c r="DM109" i="10" s="1"/>
  <c r="DC109" i="10"/>
  <c r="DL109" i="10" s="1"/>
  <c r="DB109" i="10"/>
  <c r="DK109" i="10" s="1"/>
  <c r="Y109" i="10"/>
  <c r="W109" i="10"/>
  <c r="X109" i="10" s="1"/>
  <c r="Z109" i="10" s="1"/>
  <c r="S109" i="10"/>
  <c r="Q109" i="10"/>
  <c r="R109" i="10" s="1"/>
  <c r="T109" i="10" s="1"/>
  <c r="M109" i="10"/>
  <c r="K109" i="10"/>
  <c r="L109" i="10" s="1"/>
  <c r="DJ108" i="10"/>
  <c r="DI108" i="10"/>
  <c r="DR108" i="10" s="1"/>
  <c r="DH108" i="10"/>
  <c r="DQ108" i="10" s="1"/>
  <c r="DG108" i="10"/>
  <c r="DP108" i="10" s="1"/>
  <c r="DF108" i="10"/>
  <c r="DO108" i="10" s="1"/>
  <c r="DE108" i="10"/>
  <c r="DN108" i="10" s="1"/>
  <c r="DD108" i="10"/>
  <c r="DM108" i="10" s="1"/>
  <c r="DC108" i="10"/>
  <c r="DL108" i="10" s="1"/>
  <c r="DB108" i="10"/>
  <c r="DK108" i="10" s="1"/>
  <c r="Y108" i="10"/>
  <c r="W108" i="10"/>
  <c r="X108" i="10" s="1"/>
  <c r="Z108" i="10" s="1"/>
  <c r="S108" i="10"/>
  <c r="Q108" i="10"/>
  <c r="R108" i="10" s="1"/>
  <c r="T108" i="10" s="1"/>
  <c r="M108" i="10"/>
  <c r="K108" i="10"/>
  <c r="L108" i="10" s="1"/>
  <c r="DJ107" i="10"/>
  <c r="DI107" i="10"/>
  <c r="DR107" i="10" s="1"/>
  <c r="DH107" i="10"/>
  <c r="DQ107" i="10" s="1"/>
  <c r="DG107" i="10"/>
  <c r="DP107" i="10" s="1"/>
  <c r="DF107" i="10"/>
  <c r="DO107" i="10" s="1"/>
  <c r="DE107" i="10"/>
  <c r="DN107" i="10" s="1"/>
  <c r="DD107" i="10"/>
  <c r="DM107" i="10" s="1"/>
  <c r="DC107" i="10"/>
  <c r="DL107" i="10" s="1"/>
  <c r="DB107" i="10"/>
  <c r="DK107" i="10" s="1"/>
  <c r="Y107" i="10"/>
  <c r="W107" i="10"/>
  <c r="X107" i="10" s="1"/>
  <c r="Z107" i="10" s="1"/>
  <c r="S107" i="10"/>
  <c r="Q107" i="10"/>
  <c r="R107" i="10" s="1"/>
  <c r="T107" i="10" s="1"/>
  <c r="M107" i="10"/>
  <c r="K107" i="10"/>
  <c r="L107" i="10" s="1"/>
  <c r="DJ106" i="10"/>
  <c r="DI106" i="10"/>
  <c r="DR106" i="10" s="1"/>
  <c r="DH106" i="10"/>
  <c r="DQ106" i="10" s="1"/>
  <c r="DG106" i="10"/>
  <c r="DP106" i="10" s="1"/>
  <c r="DF106" i="10"/>
  <c r="DO106" i="10" s="1"/>
  <c r="DE106" i="10"/>
  <c r="DN106" i="10" s="1"/>
  <c r="DD106" i="10"/>
  <c r="DM106" i="10" s="1"/>
  <c r="DC106" i="10"/>
  <c r="DL106" i="10" s="1"/>
  <c r="DB106" i="10"/>
  <c r="DK106" i="10" s="1"/>
  <c r="Y106" i="10"/>
  <c r="W106" i="10"/>
  <c r="X106" i="10" s="1"/>
  <c r="Z106" i="10" s="1"/>
  <c r="S106" i="10"/>
  <c r="Q106" i="10"/>
  <c r="R106" i="10" s="1"/>
  <c r="T106" i="10" s="1"/>
  <c r="M106" i="10"/>
  <c r="K106" i="10"/>
  <c r="L106" i="10" s="1"/>
  <c r="N106" i="10" s="1"/>
  <c r="DJ105" i="10"/>
  <c r="DI105" i="10"/>
  <c r="DH105" i="10"/>
  <c r="DG105" i="10"/>
  <c r="DF105" i="10"/>
  <c r="DE105" i="10"/>
  <c r="DN105" i="10" s="1"/>
  <c r="DD105" i="10"/>
  <c r="DC105" i="10"/>
  <c r="DB105" i="10"/>
  <c r="DK105" i="10" s="1"/>
  <c r="V105" i="10"/>
  <c r="U105" i="10"/>
  <c r="P105" i="10"/>
  <c r="S105" i="10" s="1"/>
  <c r="O105" i="10"/>
  <c r="J105" i="10"/>
  <c r="K105" i="10" s="1"/>
  <c r="L105" i="10" s="1"/>
  <c r="I105" i="10"/>
  <c r="H105" i="10"/>
  <c r="F105" i="10"/>
  <c r="E105" i="10"/>
  <c r="D104" i="7" s="1"/>
  <c r="DK104" i="10"/>
  <c r="DJ104" i="10"/>
  <c r="DI104" i="10"/>
  <c r="DH104" i="10"/>
  <c r="DG104" i="10"/>
  <c r="DF104" i="10"/>
  <c r="DE104" i="10"/>
  <c r="DD104" i="10"/>
  <c r="DC104" i="10"/>
  <c r="DB104" i="10"/>
  <c r="V104" i="10"/>
  <c r="U104" i="10"/>
  <c r="P104" i="10"/>
  <c r="S104" i="10" s="1"/>
  <c r="O104" i="10"/>
  <c r="J104" i="10"/>
  <c r="I104" i="10"/>
  <c r="H104" i="10"/>
  <c r="F104" i="10"/>
  <c r="E104" i="10"/>
  <c r="D103" i="7" s="1"/>
  <c r="DJ103" i="10"/>
  <c r="DI103" i="10"/>
  <c r="DR103" i="10" s="1"/>
  <c r="DH103" i="10"/>
  <c r="DQ103" i="10" s="1"/>
  <c r="DG103" i="10"/>
  <c r="DP103" i="10" s="1"/>
  <c r="DF103" i="10"/>
  <c r="DO103" i="10" s="1"/>
  <c r="DE103" i="10"/>
  <c r="DN103" i="10" s="1"/>
  <c r="DD103" i="10"/>
  <c r="DM103" i="10" s="1"/>
  <c r="DC103" i="10"/>
  <c r="DL103" i="10" s="1"/>
  <c r="DB103" i="10"/>
  <c r="DK103" i="10" s="1"/>
  <c r="Y103" i="10"/>
  <c r="W103" i="10"/>
  <c r="X103" i="10" s="1"/>
  <c r="Z103" i="10" s="1"/>
  <c r="S103" i="10"/>
  <c r="R103" i="10"/>
  <c r="T103" i="10" s="1"/>
  <c r="M103" i="10"/>
  <c r="L103" i="10"/>
  <c r="DJ102" i="10"/>
  <c r="DI102" i="10"/>
  <c r="DR102" i="10" s="1"/>
  <c r="DH102" i="10"/>
  <c r="DQ102" i="10" s="1"/>
  <c r="DG102" i="10"/>
  <c r="DP102" i="10" s="1"/>
  <c r="DF102" i="10"/>
  <c r="DO102" i="10" s="1"/>
  <c r="DE102" i="10"/>
  <c r="DN102" i="10" s="1"/>
  <c r="DD102" i="10"/>
  <c r="DM102" i="10" s="1"/>
  <c r="DC102" i="10"/>
  <c r="DL102" i="10" s="1"/>
  <c r="DB102" i="10"/>
  <c r="DK102" i="10" s="1"/>
  <c r="S102" i="10"/>
  <c r="Q102" i="10"/>
  <c r="R102" i="10" s="1"/>
  <c r="T102" i="10" s="1"/>
  <c r="M102" i="10"/>
  <c r="K102" i="10"/>
  <c r="L102" i="10" s="1"/>
  <c r="DJ101" i="10"/>
  <c r="DI101" i="10"/>
  <c r="DR101" i="10" s="1"/>
  <c r="DH101" i="10"/>
  <c r="DQ101" i="10" s="1"/>
  <c r="DG101" i="10"/>
  <c r="DP101" i="10" s="1"/>
  <c r="DF101" i="10"/>
  <c r="DO101" i="10" s="1"/>
  <c r="DE101" i="10"/>
  <c r="DN101" i="10" s="1"/>
  <c r="DD101" i="10"/>
  <c r="DM101" i="10" s="1"/>
  <c r="DC101" i="10"/>
  <c r="DL101" i="10" s="1"/>
  <c r="DB101" i="10"/>
  <c r="DK101" i="10" s="1"/>
  <c r="Y101" i="10"/>
  <c r="W101" i="10"/>
  <c r="X101" i="10" s="1"/>
  <c r="Z101" i="10" s="1"/>
  <c r="S101" i="10"/>
  <c r="Q101" i="10"/>
  <c r="R101" i="10" s="1"/>
  <c r="T101" i="10" s="1"/>
  <c r="M101" i="10"/>
  <c r="K101" i="10"/>
  <c r="L101" i="10" s="1"/>
  <c r="N101" i="10" s="1"/>
  <c r="DJ100" i="10"/>
  <c r="DI100" i="10"/>
  <c r="DR100" i="10" s="1"/>
  <c r="DH100" i="10"/>
  <c r="DQ100" i="10" s="1"/>
  <c r="DG100" i="10"/>
  <c r="DP100" i="10" s="1"/>
  <c r="DF100" i="10"/>
  <c r="DO100" i="10" s="1"/>
  <c r="DE100" i="10"/>
  <c r="DN100" i="10" s="1"/>
  <c r="DD100" i="10"/>
  <c r="DM100" i="10" s="1"/>
  <c r="DC100" i="10"/>
  <c r="DL100" i="10" s="1"/>
  <c r="DB100" i="10"/>
  <c r="DK100" i="10" s="1"/>
  <c r="Y100" i="10"/>
  <c r="W100" i="10"/>
  <c r="X100" i="10" s="1"/>
  <c r="Z100" i="10" s="1"/>
  <c r="S100" i="10"/>
  <c r="Q100" i="10"/>
  <c r="R100" i="10" s="1"/>
  <c r="M100" i="10"/>
  <c r="K100" i="10"/>
  <c r="L100" i="10" s="1"/>
  <c r="N100" i="10" s="1"/>
  <c r="DJ99" i="10"/>
  <c r="DI99" i="10"/>
  <c r="DR99" i="10" s="1"/>
  <c r="DH99" i="10"/>
  <c r="DQ99" i="10" s="1"/>
  <c r="DG99" i="10"/>
  <c r="DP99" i="10" s="1"/>
  <c r="DF99" i="10"/>
  <c r="DO99" i="10" s="1"/>
  <c r="DE99" i="10"/>
  <c r="DN99" i="10" s="1"/>
  <c r="DD99" i="10"/>
  <c r="DM99" i="10" s="1"/>
  <c r="DC99" i="10"/>
  <c r="DL99" i="10" s="1"/>
  <c r="DB99" i="10"/>
  <c r="DK99" i="10" s="1"/>
  <c r="Y99" i="10"/>
  <c r="W99" i="10"/>
  <c r="X99" i="10" s="1"/>
  <c r="Z99" i="10" s="1"/>
  <c r="S99" i="10"/>
  <c r="Q99" i="10"/>
  <c r="R99" i="10" s="1"/>
  <c r="T99" i="10" s="1"/>
  <c r="M99" i="10"/>
  <c r="K99" i="10"/>
  <c r="L99" i="10" s="1"/>
  <c r="DJ98" i="10"/>
  <c r="DI98" i="10"/>
  <c r="DH98" i="10"/>
  <c r="DG98" i="10"/>
  <c r="DF98" i="10"/>
  <c r="DE98" i="10"/>
  <c r="DD98" i="10"/>
  <c r="DC98" i="10"/>
  <c r="DL98" i="10" s="1"/>
  <c r="DB98" i="10"/>
  <c r="DK98" i="10" s="1"/>
  <c r="V98" i="10"/>
  <c r="U98" i="10"/>
  <c r="P98" i="10"/>
  <c r="O98" i="10"/>
  <c r="J98" i="10"/>
  <c r="M98" i="10" s="1"/>
  <c r="I98" i="10"/>
  <c r="H98" i="10"/>
  <c r="DJ97" i="10"/>
  <c r="DI97" i="10"/>
  <c r="DR97" i="10" s="1"/>
  <c r="DH97" i="10"/>
  <c r="DQ97" i="10" s="1"/>
  <c r="DG97" i="10"/>
  <c r="DP97" i="10" s="1"/>
  <c r="DF97" i="10"/>
  <c r="DO97" i="10" s="1"/>
  <c r="DE97" i="10"/>
  <c r="DN97" i="10" s="1"/>
  <c r="DD97" i="10"/>
  <c r="DM97" i="10" s="1"/>
  <c r="DC97" i="10"/>
  <c r="DL97" i="10" s="1"/>
  <c r="DB97" i="10"/>
  <c r="DK97" i="10" s="1"/>
  <c r="Y97" i="10"/>
  <c r="W97" i="10"/>
  <c r="X97" i="10" s="1"/>
  <c r="Z97" i="10" s="1"/>
  <c r="S97" i="10"/>
  <c r="Q97" i="10"/>
  <c r="R97" i="10" s="1"/>
  <c r="T97" i="10" s="1"/>
  <c r="M97" i="10"/>
  <c r="K97" i="10"/>
  <c r="L97" i="10" s="1"/>
  <c r="DJ96" i="10"/>
  <c r="DI96" i="10"/>
  <c r="DH96" i="10"/>
  <c r="DG96" i="10"/>
  <c r="DP96" i="10" s="1"/>
  <c r="DF96" i="10"/>
  <c r="DE96" i="10"/>
  <c r="DD96" i="10"/>
  <c r="DC96" i="10"/>
  <c r="DL96" i="10" s="1"/>
  <c r="DB96" i="10"/>
  <c r="DK96" i="10" s="1"/>
  <c r="V96" i="10"/>
  <c r="W96" i="10" s="1"/>
  <c r="U96" i="10"/>
  <c r="P96" i="10"/>
  <c r="Q96" i="10" s="1"/>
  <c r="O96" i="10"/>
  <c r="J96" i="10"/>
  <c r="K96" i="10" s="1"/>
  <c r="L96" i="10" s="1"/>
  <c r="N96" i="10" s="1"/>
  <c r="I96" i="10"/>
  <c r="H96" i="10"/>
  <c r="DJ95" i="10"/>
  <c r="DI95" i="10"/>
  <c r="DR95" i="10" s="1"/>
  <c r="DH95" i="10"/>
  <c r="DQ95" i="10" s="1"/>
  <c r="DG95" i="10"/>
  <c r="DP95" i="10" s="1"/>
  <c r="DF95" i="10"/>
  <c r="DO95" i="10" s="1"/>
  <c r="DE95" i="10"/>
  <c r="DN95" i="10" s="1"/>
  <c r="DD95" i="10"/>
  <c r="DM95" i="10" s="1"/>
  <c r="DC95" i="10"/>
  <c r="DL95" i="10" s="1"/>
  <c r="DB95" i="10"/>
  <c r="DK95" i="10" s="1"/>
  <c r="Y95" i="10"/>
  <c r="W95" i="10"/>
  <c r="X95" i="10" s="1"/>
  <c r="Z95" i="10" s="1"/>
  <c r="S95" i="10"/>
  <c r="Q95" i="10"/>
  <c r="R95" i="10" s="1"/>
  <c r="T95" i="10" s="1"/>
  <c r="M95" i="10"/>
  <c r="K95" i="10"/>
  <c r="L95" i="10" s="1"/>
  <c r="N95" i="10" s="1"/>
  <c r="DJ94" i="10"/>
  <c r="DI94" i="10"/>
  <c r="DH94" i="10"/>
  <c r="DG94" i="10"/>
  <c r="DF94" i="10"/>
  <c r="DO94" i="10" s="1"/>
  <c r="DE94" i="10"/>
  <c r="DN94" i="10" s="1"/>
  <c r="DD94" i="10"/>
  <c r="DM94" i="10" s="1"/>
  <c r="DC94" i="10"/>
  <c r="DL94" i="10" s="1"/>
  <c r="DB94" i="10"/>
  <c r="DK94" i="10" s="1"/>
  <c r="V94" i="10"/>
  <c r="Y94" i="10" s="1"/>
  <c r="U94" i="10"/>
  <c r="P94" i="10"/>
  <c r="S94" i="10" s="1"/>
  <c r="O94" i="10"/>
  <c r="H94" i="10"/>
  <c r="DJ93" i="10"/>
  <c r="DI93" i="10"/>
  <c r="DH93" i="10"/>
  <c r="DG93" i="10"/>
  <c r="DF93" i="10"/>
  <c r="DE93" i="10"/>
  <c r="DD93" i="10"/>
  <c r="DC93" i="10"/>
  <c r="DL93" i="10" s="1"/>
  <c r="DB93" i="10"/>
  <c r="DK93" i="10" s="1"/>
  <c r="V93" i="10"/>
  <c r="Y93" i="10" s="1"/>
  <c r="U93" i="10"/>
  <c r="P93" i="10"/>
  <c r="S93" i="10" s="1"/>
  <c r="O93" i="10"/>
  <c r="J93" i="10"/>
  <c r="I93" i="10"/>
  <c r="H93" i="10"/>
  <c r="DJ92" i="10"/>
  <c r="DI92" i="10"/>
  <c r="DR92" i="10" s="1"/>
  <c r="DH92" i="10"/>
  <c r="DQ92" i="10" s="1"/>
  <c r="DG92" i="10"/>
  <c r="DP92" i="10" s="1"/>
  <c r="DF92" i="10"/>
  <c r="DO92" i="10" s="1"/>
  <c r="DE92" i="10"/>
  <c r="DN92" i="10" s="1"/>
  <c r="DD92" i="10"/>
  <c r="DM92" i="10" s="1"/>
  <c r="DC92" i="10"/>
  <c r="DL92" i="10" s="1"/>
  <c r="DB92" i="10"/>
  <c r="DK92" i="10" s="1"/>
  <c r="Y92" i="10"/>
  <c r="W92" i="10"/>
  <c r="X92" i="10" s="1"/>
  <c r="S92" i="10"/>
  <c r="Q92" i="10"/>
  <c r="R92" i="10" s="1"/>
  <c r="T92" i="10" s="1"/>
  <c r="M92" i="10"/>
  <c r="K92" i="10"/>
  <c r="L92" i="10" s="1"/>
  <c r="N92" i="10" s="1"/>
  <c r="DJ91" i="10"/>
  <c r="DI91" i="10"/>
  <c r="DR91" i="10" s="1"/>
  <c r="DH91" i="10"/>
  <c r="DQ91" i="10" s="1"/>
  <c r="DG91" i="10"/>
  <c r="DP91" i="10" s="1"/>
  <c r="DF91" i="10"/>
  <c r="DO91" i="10" s="1"/>
  <c r="DE91" i="10"/>
  <c r="DN91" i="10" s="1"/>
  <c r="DD91" i="10"/>
  <c r="DM91" i="10" s="1"/>
  <c r="DC91" i="10"/>
  <c r="DL91" i="10" s="1"/>
  <c r="DB91" i="10"/>
  <c r="DK91" i="10" s="1"/>
  <c r="Y91" i="10"/>
  <c r="W91" i="10"/>
  <c r="X91" i="10" s="1"/>
  <c r="Z91" i="10" s="1"/>
  <c r="S91" i="10"/>
  <c r="Q91" i="10"/>
  <c r="R91" i="10" s="1"/>
  <c r="T91" i="10" s="1"/>
  <c r="M91" i="10"/>
  <c r="K91" i="10"/>
  <c r="L91" i="10" s="1"/>
  <c r="N91" i="10" s="1"/>
  <c r="DQ90" i="10"/>
  <c r="DP90" i="10"/>
  <c r="DJ90" i="10"/>
  <c r="DS90" i="10" s="1"/>
  <c r="DI90" i="10"/>
  <c r="DR90" i="10" s="1"/>
  <c r="DH90" i="10"/>
  <c r="DG90" i="10"/>
  <c r="DF90" i="10"/>
  <c r="DO90" i="10" s="1"/>
  <c r="DE90" i="10"/>
  <c r="DN90" i="10" s="1"/>
  <c r="DD90" i="10"/>
  <c r="DM90" i="10" s="1"/>
  <c r="DC90" i="10"/>
  <c r="DL90" i="10" s="1"/>
  <c r="DB90" i="10"/>
  <c r="DK90" i="10" s="1"/>
  <c r="Y90" i="10"/>
  <c r="W90" i="10"/>
  <c r="X90" i="10" s="1"/>
  <c r="Z90" i="10" s="1"/>
  <c r="S90" i="10"/>
  <c r="Q90" i="10"/>
  <c r="R90" i="10" s="1"/>
  <c r="T90" i="10" s="1"/>
  <c r="M90" i="10"/>
  <c r="K90" i="10"/>
  <c r="L90" i="10" s="1"/>
  <c r="N90" i="10" s="1"/>
  <c r="DJ89" i="10"/>
  <c r="DI89" i="10"/>
  <c r="DR89" i="10" s="1"/>
  <c r="DH89" i="10"/>
  <c r="DQ89" i="10" s="1"/>
  <c r="DG89" i="10"/>
  <c r="DP89" i="10" s="1"/>
  <c r="DF89" i="10"/>
  <c r="DO89" i="10" s="1"/>
  <c r="DE89" i="10"/>
  <c r="DN89" i="10" s="1"/>
  <c r="DD89" i="10"/>
  <c r="DM89" i="10" s="1"/>
  <c r="DC89" i="10"/>
  <c r="DL89" i="10" s="1"/>
  <c r="DB89" i="10"/>
  <c r="DK89" i="10" s="1"/>
  <c r="S89" i="10"/>
  <c r="Q89" i="10"/>
  <c r="R89" i="10" s="1"/>
  <c r="T89" i="10" s="1"/>
  <c r="M89" i="10"/>
  <c r="K89" i="10"/>
  <c r="L89" i="10" s="1"/>
  <c r="N89" i="10" s="1"/>
  <c r="DJ88" i="10"/>
  <c r="DI88" i="10"/>
  <c r="DR88" i="10" s="1"/>
  <c r="DH88" i="10"/>
  <c r="DQ88" i="10" s="1"/>
  <c r="DG88" i="10"/>
  <c r="DP88" i="10" s="1"/>
  <c r="DF88" i="10"/>
  <c r="DO88" i="10" s="1"/>
  <c r="DE88" i="10"/>
  <c r="DN88" i="10" s="1"/>
  <c r="DD88" i="10"/>
  <c r="DM88" i="10" s="1"/>
  <c r="DC88" i="10"/>
  <c r="DL88" i="10" s="1"/>
  <c r="DB88" i="10"/>
  <c r="DK88" i="10" s="1"/>
  <c r="Y88" i="10"/>
  <c r="W88" i="10"/>
  <c r="X88" i="10" s="1"/>
  <c r="Z88" i="10" s="1"/>
  <c r="S88" i="10"/>
  <c r="Q88" i="10"/>
  <c r="R88" i="10" s="1"/>
  <c r="T88" i="10" s="1"/>
  <c r="M88" i="10"/>
  <c r="K88" i="10"/>
  <c r="L88" i="10" s="1"/>
  <c r="DP87" i="10"/>
  <c r="DJ87" i="10"/>
  <c r="DI87" i="10"/>
  <c r="DR87" i="10" s="1"/>
  <c r="DH87" i="10"/>
  <c r="DQ87" i="10" s="1"/>
  <c r="DG87" i="10"/>
  <c r="DF87" i="10"/>
  <c r="DO87" i="10" s="1"/>
  <c r="DE87" i="10"/>
  <c r="DN87" i="10" s="1"/>
  <c r="DD87" i="10"/>
  <c r="DM87" i="10" s="1"/>
  <c r="DC87" i="10"/>
  <c r="DL87" i="10" s="1"/>
  <c r="DB87" i="10"/>
  <c r="DK87" i="10" s="1"/>
  <c r="Y87" i="10"/>
  <c r="W87" i="10"/>
  <c r="X87" i="10" s="1"/>
  <c r="Z87" i="10" s="1"/>
  <c r="S87" i="10"/>
  <c r="Q87" i="10"/>
  <c r="R87" i="10" s="1"/>
  <c r="T87" i="10" s="1"/>
  <c r="M87" i="10"/>
  <c r="K87" i="10"/>
  <c r="L87" i="10" s="1"/>
  <c r="DJ86" i="10"/>
  <c r="DI86" i="10"/>
  <c r="DR86" i="10" s="1"/>
  <c r="DH86" i="10"/>
  <c r="DQ86" i="10" s="1"/>
  <c r="DG86" i="10"/>
  <c r="DP86" i="10" s="1"/>
  <c r="DF86" i="10"/>
  <c r="DO86" i="10" s="1"/>
  <c r="DE86" i="10"/>
  <c r="DN86" i="10" s="1"/>
  <c r="DD86" i="10"/>
  <c r="DM86" i="10" s="1"/>
  <c r="DC86" i="10"/>
  <c r="DL86" i="10" s="1"/>
  <c r="DB86" i="10"/>
  <c r="DK86" i="10" s="1"/>
  <c r="Y86" i="10"/>
  <c r="W86" i="10"/>
  <c r="X86" i="10" s="1"/>
  <c r="Z86" i="10" s="1"/>
  <c r="S86" i="10"/>
  <c r="Q86" i="10"/>
  <c r="R86" i="10" s="1"/>
  <c r="T86" i="10" s="1"/>
  <c r="M86" i="10"/>
  <c r="K86" i="10"/>
  <c r="L86" i="10" s="1"/>
  <c r="N86" i="10" s="1"/>
  <c r="DJ85" i="10"/>
  <c r="DI85" i="10"/>
  <c r="DR85" i="10" s="1"/>
  <c r="DH85" i="10"/>
  <c r="DQ85" i="10" s="1"/>
  <c r="DG85" i="10"/>
  <c r="DP85" i="10" s="1"/>
  <c r="DF85" i="10"/>
  <c r="DO85" i="10" s="1"/>
  <c r="DE85" i="10"/>
  <c r="DN85" i="10" s="1"/>
  <c r="DD85" i="10"/>
  <c r="DM85" i="10" s="1"/>
  <c r="DC85" i="10"/>
  <c r="DL85" i="10" s="1"/>
  <c r="DB85" i="10"/>
  <c r="DK85" i="10" s="1"/>
  <c r="Y85" i="10"/>
  <c r="W85" i="10"/>
  <c r="X85" i="10" s="1"/>
  <c r="Z85" i="10" s="1"/>
  <c r="S85" i="10"/>
  <c r="Q85" i="10"/>
  <c r="R85" i="10" s="1"/>
  <c r="T85" i="10" s="1"/>
  <c r="M85" i="10"/>
  <c r="K85" i="10"/>
  <c r="L85" i="10" s="1"/>
  <c r="DJ84" i="10"/>
  <c r="DI84" i="10"/>
  <c r="DR84" i="10" s="1"/>
  <c r="DH84" i="10"/>
  <c r="DQ84" i="10" s="1"/>
  <c r="DG84" i="10"/>
  <c r="DP84" i="10" s="1"/>
  <c r="DF84" i="10"/>
  <c r="DO84" i="10" s="1"/>
  <c r="DE84" i="10"/>
  <c r="DN84" i="10" s="1"/>
  <c r="DD84" i="10"/>
  <c r="DM84" i="10" s="1"/>
  <c r="DC84" i="10"/>
  <c r="DL84" i="10" s="1"/>
  <c r="DB84" i="10"/>
  <c r="DK84" i="10" s="1"/>
  <c r="Y84" i="10"/>
  <c r="W84" i="10"/>
  <c r="X84" i="10" s="1"/>
  <c r="Z84" i="10" s="1"/>
  <c r="S84" i="10"/>
  <c r="Q84" i="10"/>
  <c r="R84" i="10" s="1"/>
  <c r="T84" i="10" s="1"/>
  <c r="M84" i="10"/>
  <c r="K84" i="10"/>
  <c r="L84" i="10" s="1"/>
  <c r="DQ83" i="10"/>
  <c r="DJ83" i="10"/>
  <c r="DI83" i="10"/>
  <c r="DR83" i="10" s="1"/>
  <c r="DH83" i="10"/>
  <c r="DG83" i="10"/>
  <c r="DP83" i="10" s="1"/>
  <c r="DF83" i="10"/>
  <c r="DO83" i="10" s="1"/>
  <c r="DE83" i="10"/>
  <c r="DN83" i="10" s="1"/>
  <c r="DD83" i="10"/>
  <c r="DM83" i="10" s="1"/>
  <c r="DC83" i="10"/>
  <c r="DL83" i="10" s="1"/>
  <c r="DB83" i="10"/>
  <c r="DK83" i="10" s="1"/>
  <c r="Y83" i="10"/>
  <c r="W83" i="10"/>
  <c r="X83" i="10" s="1"/>
  <c r="Z83" i="10" s="1"/>
  <c r="S83" i="10"/>
  <c r="Q83" i="10"/>
  <c r="R83" i="10" s="1"/>
  <c r="T83" i="10" s="1"/>
  <c r="M83" i="10"/>
  <c r="K83" i="10"/>
  <c r="L83" i="10" s="1"/>
  <c r="DJ82" i="10"/>
  <c r="DI82" i="10"/>
  <c r="DR82" i="10" s="1"/>
  <c r="DH82" i="10"/>
  <c r="DQ82" i="10" s="1"/>
  <c r="DG82" i="10"/>
  <c r="DP82" i="10" s="1"/>
  <c r="DF82" i="10"/>
  <c r="DO82" i="10" s="1"/>
  <c r="DE82" i="10"/>
  <c r="DN82" i="10" s="1"/>
  <c r="DD82" i="10"/>
  <c r="DM82" i="10" s="1"/>
  <c r="DC82" i="10"/>
  <c r="DL82" i="10" s="1"/>
  <c r="DB82" i="10"/>
  <c r="DK82" i="10" s="1"/>
  <c r="Y82" i="10"/>
  <c r="W82" i="10"/>
  <c r="X82" i="10" s="1"/>
  <c r="Z82" i="10" s="1"/>
  <c r="S82" i="10"/>
  <c r="Q82" i="10"/>
  <c r="R82" i="10" s="1"/>
  <c r="T82" i="10" s="1"/>
  <c r="M82" i="10"/>
  <c r="K82" i="10"/>
  <c r="L82" i="10" s="1"/>
  <c r="DJ81" i="10"/>
  <c r="DI81" i="10"/>
  <c r="DR81" i="10" s="1"/>
  <c r="DH81" i="10"/>
  <c r="DQ81" i="10" s="1"/>
  <c r="DG81" i="10"/>
  <c r="DP81" i="10" s="1"/>
  <c r="DF81" i="10"/>
  <c r="DO81" i="10" s="1"/>
  <c r="DE81" i="10"/>
  <c r="DN81" i="10" s="1"/>
  <c r="DD81" i="10"/>
  <c r="DM81" i="10" s="1"/>
  <c r="DC81" i="10"/>
  <c r="DL81" i="10" s="1"/>
  <c r="DB81" i="10"/>
  <c r="DK81" i="10" s="1"/>
  <c r="Y81" i="10"/>
  <c r="W81" i="10"/>
  <c r="X81" i="10" s="1"/>
  <c r="Z81" i="10" s="1"/>
  <c r="S81" i="10"/>
  <c r="Q81" i="10"/>
  <c r="R81" i="10" s="1"/>
  <c r="T81" i="10" s="1"/>
  <c r="M81" i="10"/>
  <c r="K81" i="10"/>
  <c r="L81" i="10" s="1"/>
  <c r="N81" i="10" s="1"/>
  <c r="DJ80" i="10"/>
  <c r="DI80" i="10"/>
  <c r="DR80" i="10" s="1"/>
  <c r="DH80" i="10"/>
  <c r="DQ80" i="10" s="1"/>
  <c r="DG80" i="10"/>
  <c r="DP80" i="10" s="1"/>
  <c r="DF80" i="10"/>
  <c r="DO80" i="10" s="1"/>
  <c r="DE80" i="10"/>
  <c r="DN80" i="10" s="1"/>
  <c r="DD80" i="10"/>
  <c r="DM80" i="10" s="1"/>
  <c r="DC80" i="10"/>
  <c r="DL80" i="10" s="1"/>
  <c r="DB80" i="10"/>
  <c r="DK80" i="10" s="1"/>
  <c r="Y80" i="10"/>
  <c r="W80" i="10"/>
  <c r="X80" i="10" s="1"/>
  <c r="Z80" i="10" s="1"/>
  <c r="S80" i="10"/>
  <c r="Q80" i="10"/>
  <c r="R80" i="10" s="1"/>
  <c r="T80" i="10" s="1"/>
  <c r="M80" i="10"/>
  <c r="K80" i="10"/>
  <c r="L80" i="10" s="1"/>
  <c r="DJ79" i="10"/>
  <c r="DI79" i="10"/>
  <c r="DR79" i="10" s="1"/>
  <c r="DH79" i="10"/>
  <c r="DQ79" i="10" s="1"/>
  <c r="DG79" i="10"/>
  <c r="DP79" i="10" s="1"/>
  <c r="DF79" i="10"/>
  <c r="DO79" i="10" s="1"/>
  <c r="DE79" i="10"/>
  <c r="DN79" i="10" s="1"/>
  <c r="DD79" i="10"/>
  <c r="DM79" i="10" s="1"/>
  <c r="DC79" i="10"/>
  <c r="DL79" i="10" s="1"/>
  <c r="DB79" i="10"/>
  <c r="DK79" i="10" s="1"/>
  <c r="Y79" i="10"/>
  <c r="W79" i="10"/>
  <c r="X79" i="10" s="1"/>
  <c r="Z79" i="10" s="1"/>
  <c r="S79" i="10"/>
  <c r="Q79" i="10"/>
  <c r="R79" i="10" s="1"/>
  <c r="T79" i="10" s="1"/>
  <c r="M79" i="10"/>
  <c r="K79" i="10"/>
  <c r="L79" i="10" s="1"/>
  <c r="N79" i="10" s="1"/>
  <c r="DJ78" i="10"/>
  <c r="DI78" i="10"/>
  <c r="DR78" i="10" s="1"/>
  <c r="DH78" i="10"/>
  <c r="DQ78" i="10" s="1"/>
  <c r="DG78" i="10"/>
  <c r="DP78" i="10" s="1"/>
  <c r="DF78" i="10"/>
  <c r="DO78" i="10" s="1"/>
  <c r="DE78" i="10"/>
  <c r="DN78" i="10" s="1"/>
  <c r="DD78" i="10"/>
  <c r="DM78" i="10" s="1"/>
  <c r="DC78" i="10"/>
  <c r="DL78" i="10" s="1"/>
  <c r="DB78" i="10"/>
  <c r="DK78" i="10" s="1"/>
  <c r="Y78" i="10"/>
  <c r="W78" i="10"/>
  <c r="X78" i="10" s="1"/>
  <c r="Z78" i="10" s="1"/>
  <c r="S78" i="10"/>
  <c r="Q78" i="10"/>
  <c r="R78" i="10" s="1"/>
  <c r="T78" i="10" s="1"/>
  <c r="M78" i="10"/>
  <c r="K78" i="10"/>
  <c r="L78" i="10" s="1"/>
  <c r="DJ77" i="10"/>
  <c r="DI77" i="10"/>
  <c r="DR77" i="10" s="1"/>
  <c r="DH77" i="10"/>
  <c r="DQ77" i="10" s="1"/>
  <c r="DG77" i="10"/>
  <c r="DP77" i="10" s="1"/>
  <c r="DF77" i="10"/>
  <c r="DO77" i="10" s="1"/>
  <c r="DE77" i="10"/>
  <c r="DN77" i="10" s="1"/>
  <c r="DD77" i="10"/>
  <c r="DM77" i="10" s="1"/>
  <c r="DC77" i="10"/>
  <c r="DL77" i="10" s="1"/>
  <c r="DB77" i="10"/>
  <c r="DK77" i="10" s="1"/>
  <c r="Y77" i="10"/>
  <c r="W77" i="10"/>
  <c r="X77" i="10" s="1"/>
  <c r="Z77" i="10" s="1"/>
  <c r="S77" i="10"/>
  <c r="Q77" i="10"/>
  <c r="R77" i="10" s="1"/>
  <c r="T77" i="10" s="1"/>
  <c r="M77" i="10"/>
  <c r="K77" i="10"/>
  <c r="L77" i="10" s="1"/>
  <c r="DJ76" i="10"/>
  <c r="DI76" i="10"/>
  <c r="DR76" i="10" s="1"/>
  <c r="DH76" i="10"/>
  <c r="DQ76" i="10" s="1"/>
  <c r="DG76" i="10"/>
  <c r="DP76" i="10" s="1"/>
  <c r="DF76" i="10"/>
  <c r="DO76" i="10" s="1"/>
  <c r="DE76" i="10"/>
  <c r="DN76" i="10" s="1"/>
  <c r="DD76" i="10"/>
  <c r="DM76" i="10" s="1"/>
  <c r="DC76" i="10"/>
  <c r="DL76" i="10" s="1"/>
  <c r="DB76" i="10"/>
  <c r="DK76" i="10" s="1"/>
  <c r="Y76" i="10"/>
  <c r="W76" i="10"/>
  <c r="X76" i="10" s="1"/>
  <c r="Z76" i="10" s="1"/>
  <c r="S76" i="10"/>
  <c r="Q76" i="10"/>
  <c r="R76" i="10" s="1"/>
  <c r="M76" i="10"/>
  <c r="K76" i="10"/>
  <c r="L76" i="10" s="1"/>
  <c r="N76" i="10" s="1"/>
  <c r="DJ75" i="10"/>
  <c r="DI75" i="10"/>
  <c r="DR75" i="10" s="1"/>
  <c r="DH75" i="10"/>
  <c r="DQ75" i="10" s="1"/>
  <c r="DG75" i="10"/>
  <c r="DP75" i="10" s="1"/>
  <c r="DF75" i="10"/>
  <c r="DO75" i="10" s="1"/>
  <c r="DE75" i="10"/>
  <c r="DN75" i="10" s="1"/>
  <c r="DD75" i="10"/>
  <c r="DM75" i="10" s="1"/>
  <c r="DC75" i="10"/>
  <c r="DL75" i="10" s="1"/>
  <c r="DB75" i="10"/>
  <c r="DK75" i="10" s="1"/>
  <c r="S75" i="10"/>
  <c r="Q75" i="10"/>
  <c r="R75" i="10" s="1"/>
  <c r="T75" i="10" s="1"/>
  <c r="M75" i="10"/>
  <c r="K75" i="10"/>
  <c r="L75" i="10" s="1"/>
  <c r="N75" i="10" s="1"/>
  <c r="DJ74" i="10"/>
  <c r="DI74" i="10"/>
  <c r="DR74" i="10" s="1"/>
  <c r="DH74" i="10"/>
  <c r="DQ74" i="10" s="1"/>
  <c r="DG74" i="10"/>
  <c r="DP74" i="10" s="1"/>
  <c r="DF74" i="10"/>
  <c r="DO74" i="10" s="1"/>
  <c r="DE74" i="10"/>
  <c r="DN74" i="10" s="1"/>
  <c r="DD74" i="10"/>
  <c r="DM74" i="10" s="1"/>
  <c r="DC74" i="10"/>
  <c r="DL74" i="10" s="1"/>
  <c r="DB74" i="10"/>
  <c r="DK74" i="10" s="1"/>
  <c r="Y74" i="10"/>
  <c r="W74" i="10"/>
  <c r="X74" i="10" s="1"/>
  <c r="Z74" i="10" s="1"/>
  <c r="S74" i="10"/>
  <c r="Q74" i="10"/>
  <c r="R74" i="10" s="1"/>
  <c r="T74" i="10" s="1"/>
  <c r="M74" i="10"/>
  <c r="K74" i="10"/>
  <c r="L74" i="10" s="1"/>
  <c r="H74" i="10"/>
  <c r="DJ73" i="10"/>
  <c r="DI73" i="10"/>
  <c r="DR73" i="10" s="1"/>
  <c r="DH73" i="10"/>
  <c r="DQ73" i="10" s="1"/>
  <c r="DG73" i="10"/>
  <c r="DP73" i="10" s="1"/>
  <c r="DF73" i="10"/>
  <c r="DO73" i="10" s="1"/>
  <c r="DE73" i="10"/>
  <c r="DN73" i="10" s="1"/>
  <c r="DD73" i="10"/>
  <c r="DM73" i="10" s="1"/>
  <c r="DC73" i="10"/>
  <c r="DL73" i="10" s="1"/>
  <c r="DB73" i="10"/>
  <c r="DK73" i="10" s="1"/>
  <c r="Y73" i="10"/>
  <c r="W73" i="10"/>
  <c r="X73" i="10" s="1"/>
  <c r="Z73" i="10" s="1"/>
  <c r="S73" i="10"/>
  <c r="Q73" i="10"/>
  <c r="R73" i="10" s="1"/>
  <c r="T73" i="10" s="1"/>
  <c r="M73" i="10"/>
  <c r="K73" i="10"/>
  <c r="L73" i="10" s="1"/>
  <c r="H73" i="10"/>
  <c r="DJ72" i="10"/>
  <c r="DI72" i="10"/>
  <c r="DR72" i="10" s="1"/>
  <c r="DH72" i="10"/>
  <c r="DQ72" i="10" s="1"/>
  <c r="DG72" i="10"/>
  <c r="DP72" i="10" s="1"/>
  <c r="DF72" i="10"/>
  <c r="DO72" i="10" s="1"/>
  <c r="DE72" i="10"/>
  <c r="DN72" i="10" s="1"/>
  <c r="DD72" i="10"/>
  <c r="DM72" i="10" s="1"/>
  <c r="DC72" i="10"/>
  <c r="DL72" i="10" s="1"/>
  <c r="DB72" i="10"/>
  <c r="DK72" i="10" s="1"/>
  <c r="Y72" i="10"/>
  <c r="W72" i="10"/>
  <c r="X72" i="10" s="1"/>
  <c r="Z72" i="10" s="1"/>
  <c r="S72" i="10"/>
  <c r="Q72" i="10"/>
  <c r="R72" i="10" s="1"/>
  <c r="T72" i="10" s="1"/>
  <c r="M72" i="10"/>
  <c r="K72" i="10"/>
  <c r="L72" i="10" s="1"/>
  <c r="N72" i="10" s="1"/>
  <c r="DJ71" i="10"/>
  <c r="DI71" i="10"/>
  <c r="DR71" i="10" s="1"/>
  <c r="DH71" i="10"/>
  <c r="DQ71" i="10" s="1"/>
  <c r="DG71" i="10"/>
  <c r="DP71" i="10" s="1"/>
  <c r="DF71" i="10"/>
  <c r="DO71" i="10" s="1"/>
  <c r="DE71" i="10"/>
  <c r="DN71" i="10" s="1"/>
  <c r="DD71" i="10"/>
  <c r="DM71" i="10" s="1"/>
  <c r="DC71" i="10"/>
  <c r="DL71" i="10" s="1"/>
  <c r="DB71" i="10"/>
  <c r="DK71" i="10" s="1"/>
  <c r="Y71" i="10"/>
  <c r="W71" i="10"/>
  <c r="X71" i="10" s="1"/>
  <c r="Z71" i="10" s="1"/>
  <c r="S71" i="10"/>
  <c r="Q71" i="10"/>
  <c r="R71" i="10" s="1"/>
  <c r="T71" i="10" s="1"/>
  <c r="M71" i="10"/>
  <c r="K71" i="10"/>
  <c r="L71" i="10" s="1"/>
  <c r="N71" i="10" s="1"/>
  <c r="DJ70" i="10"/>
  <c r="DI70" i="10"/>
  <c r="DR70" i="10" s="1"/>
  <c r="DH70" i="10"/>
  <c r="DQ70" i="10" s="1"/>
  <c r="DG70" i="10"/>
  <c r="DP70" i="10" s="1"/>
  <c r="DF70" i="10"/>
  <c r="DO70" i="10" s="1"/>
  <c r="DE70" i="10"/>
  <c r="DN70" i="10" s="1"/>
  <c r="DD70" i="10"/>
  <c r="DM70" i="10" s="1"/>
  <c r="DC70" i="10"/>
  <c r="DL70" i="10" s="1"/>
  <c r="DB70" i="10"/>
  <c r="DK70" i="10" s="1"/>
  <c r="Y70" i="10"/>
  <c r="W70" i="10"/>
  <c r="X70" i="10" s="1"/>
  <c r="Z70" i="10" s="1"/>
  <c r="S70" i="10"/>
  <c r="Q70" i="10"/>
  <c r="R70" i="10" s="1"/>
  <c r="T70" i="10" s="1"/>
  <c r="M70" i="10"/>
  <c r="K70" i="10"/>
  <c r="L70" i="10" s="1"/>
  <c r="DJ69" i="10"/>
  <c r="DI69" i="10"/>
  <c r="DR69" i="10" s="1"/>
  <c r="DH69" i="10"/>
  <c r="DQ69" i="10" s="1"/>
  <c r="DG69" i="10"/>
  <c r="DP69" i="10" s="1"/>
  <c r="DF69" i="10"/>
  <c r="DO69" i="10" s="1"/>
  <c r="DE69" i="10"/>
  <c r="DN69" i="10" s="1"/>
  <c r="DD69" i="10"/>
  <c r="DM69" i="10" s="1"/>
  <c r="DC69" i="10"/>
  <c r="DL69" i="10" s="1"/>
  <c r="DB69" i="10"/>
  <c r="DK69" i="10" s="1"/>
  <c r="Y69" i="10"/>
  <c r="W69" i="10"/>
  <c r="X69" i="10" s="1"/>
  <c r="Z69" i="10" s="1"/>
  <c r="S69" i="10"/>
  <c r="Q69" i="10"/>
  <c r="R69" i="10" s="1"/>
  <c r="M69" i="10"/>
  <c r="K69" i="10"/>
  <c r="L69" i="10" s="1"/>
  <c r="N69" i="10" s="1"/>
  <c r="DJ68" i="10"/>
  <c r="DI68" i="10"/>
  <c r="DR68" i="10" s="1"/>
  <c r="DH68" i="10"/>
  <c r="DQ68" i="10" s="1"/>
  <c r="DG68" i="10"/>
  <c r="DP68" i="10" s="1"/>
  <c r="DF68" i="10"/>
  <c r="DO68" i="10" s="1"/>
  <c r="DE68" i="10"/>
  <c r="DN68" i="10" s="1"/>
  <c r="DD68" i="10"/>
  <c r="DM68" i="10" s="1"/>
  <c r="DC68" i="10"/>
  <c r="DL68" i="10" s="1"/>
  <c r="DB68" i="10"/>
  <c r="DK68" i="10" s="1"/>
  <c r="Y68" i="10"/>
  <c r="W68" i="10"/>
  <c r="X68" i="10" s="1"/>
  <c r="Z68" i="10" s="1"/>
  <c r="S68" i="10"/>
  <c r="Q68" i="10"/>
  <c r="R68" i="10" s="1"/>
  <c r="T68" i="10" s="1"/>
  <c r="M68" i="10"/>
  <c r="K68" i="10"/>
  <c r="L68" i="10" s="1"/>
  <c r="DR67" i="10"/>
  <c r="DQ67" i="10"/>
  <c r="DJ67" i="10"/>
  <c r="DI67" i="10"/>
  <c r="DH67" i="10"/>
  <c r="DG67" i="10"/>
  <c r="DP67" i="10" s="1"/>
  <c r="DF67" i="10"/>
  <c r="DO67" i="10" s="1"/>
  <c r="DE67" i="10"/>
  <c r="DN67" i="10" s="1"/>
  <c r="DD67" i="10"/>
  <c r="DM67" i="10" s="1"/>
  <c r="DC67" i="10"/>
  <c r="DL67" i="10" s="1"/>
  <c r="DB67" i="10"/>
  <c r="DK67" i="10" s="1"/>
  <c r="Y67" i="10"/>
  <c r="W67" i="10"/>
  <c r="X67" i="10" s="1"/>
  <c r="Z67" i="10" s="1"/>
  <c r="S67" i="10"/>
  <c r="Q67" i="10"/>
  <c r="R67" i="10" s="1"/>
  <c r="T67" i="10" s="1"/>
  <c r="M67" i="10"/>
  <c r="K67" i="10"/>
  <c r="L67" i="10" s="1"/>
  <c r="DJ66" i="10"/>
  <c r="DI66" i="10"/>
  <c r="DR66" i="10" s="1"/>
  <c r="DH66" i="10"/>
  <c r="DQ66" i="10" s="1"/>
  <c r="DG66" i="10"/>
  <c r="DP66" i="10" s="1"/>
  <c r="DF66" i="10"/>
  <c r="DO66" i="10" s="1"/>
  <c r="DE66" i="10"/>
  <c r="DN66" i="10" s="1"/>
  <c r="DD66" i="10"/>
  <c r="DM66" i="10" s="1"/>
  <c r="DC66" i="10"/>
  <c r="DL66" i="10" s="1"/>
  <c r="DB66" i="10"/>
  <c r="DK66" i="10" s="1"/>
  <c r="Y66" i="10"/>
  <c r="W66" i="10"/>
  <c r="X66" i="10" s="1"/>
  <c r="Z66" i="10" s="1"/>
  <c r="S66" i="10"/>
  <c r="Q66" i="10"/>
  <c r="R66" i="10" s="1"/>
  <c r="T66" i="10" s="1"/>
  <c r="M66" i="10"/>
  <c r="K66" i="10"/>
  <c r="L66" i="10" s="1"/>
  <c r="DJ65" i="10"/>
  <c r="DI65" i="10"/>
  <c r="DR65" i="10" s="1"/>
  <c r="DH65" i="10"/>
  <c r="DQ65" i="10" s="1"/>
  <c r="DG65" i="10"/>
  <c r="DP65" i="10" s="1"/>
  <c r="DF65" i="10"/>
  <c r="DO65" i="10" s="1"/>
  <c r="DE65" i="10"/>
  <c r="DN65" i="10" s="1"/>
  <c r="DD65" i="10"/>
  <c r="DM65" i="10" s="1"/>
  <c r="DC65" i="10"/>
  <c r="DL65" i="10" s="1"/>
  <c r="DB65" i="10"/>
  <c r="DK65" i="10" s="1"/>
  <c r="Y65" i="10"/>
  <c r="W65" i="10"/>
  <c r="X65" i="10" s="1"/>
  <c r="Z65" i="10" s="1"/>
  <c r="T65" i="10"/>
  <c r="S65" i="10"/>
  <c r="Q65" i="10"/>
  <c r="R65" i="10" s="1"/>
  <c r="M65" i="10"/>
  <c r="K65" i="10"/>
  <c r="L65" i="10" s="1"/>
  <c r="DJ64" i="10"/>
  <c r="DI64" i="10"/>
  <c r="DR64" i="10" s="1"/>
  <c r="DH64" i="10"/>
  <c r="DQ64" i="10" s="1"/>
  <c r="DG64" i="10"/>
  <c r="DP64" i="10" s="1"/>
  <c r="DF64" i="10"/>
  <c r="DO64" i="10" s="1"/>
  <c r="DE64" i="10"/>
  <c r="DN64" i="10" s="1"/>
  <c r="DD64" i="10"/>
  <c r="DM64" i="10" s="1"/>
  <c r="DC64" i="10"/>
  <c r="DL64" i="10" s="1"/>
  <c r="DB64" i="10"/>
  <c r="DK64" i="10" s="1"/>
  <c r="Y64" i="10"/>
  <c r="W64" i="10"/>
  <c r="X64" i="10" s="1"/>
  <c r="S64" i="10"/>
  <c r="Q64" i="10"/>
  <c r="R64" i="10" s="1"/>
  <c r="T64" i="10" s="1"/>
  <c r="M64" i="10"/>
  <c r="K64" i="10"/>
  <c r="L64" i="10" s="1"/>
  <c r="N64" i="10" s="1"/>
  <c r="DJ63" i="10"/>
  <c r="DI63" i="10"/>
  <c r="DR63" i="10" s="1"/>
  <c r="DH63" i="10"/>
  <c r="DQ63" i="10" s="1"/>
  <c r="DG63" i="10"/>
  <c r="DP63" i="10" s="1"/>
  <c r="DF63" i="10"/>
  <c r="DO63" i="10" s="1"/>
  <c r="DE63" i="10"/>
  <c r="DN63" i="10" s="1"/>
  <c r="DD63" i="10"/>
  <c r="DM63" i="10" s="1"/>
  <c r="DC63" i="10"/>
  <c r="DL63" i="10" s="1"/>
  <c r="DB63" i="10"/>
  <c r="DK63" i="10" s="1"/>
  <c r="Y63" i="10"/>
  <c r="W63" i="10"/>
  <c r="X63" i="10" s="1"/>
  <c r="Z63" i="10" s="1"/>
  <c r="S63" i="10"/>
  <c r="Q63" i="10"/>
  <c r="R63" i="10" s="1"/>
  <c r="T63" i="10" s="1"/>
  <c r="M63" i="10"/>
  <c r="K63" i="10"/>
  <c r="L63" i="10" s="1"/>
  <c r="DJ62" i="10"/>
  <c r="DI62" i="10"/>
  <c r="DR62" i="10" s="1"/>
  <c r="DH62" i="10"/>
  <c r="DQ62" i="10" s="1"/>
  <c r="DG62" i="10"/>
  <c r="DP62" i="10" s="1"/>
  <c r="DF62" i="10"/>
  <c r="DO62" i="10" s="1"/>
  <c r="DE62" i="10"/>
  <c r="DN62" i="10" s="1"/>
  <c r="DD62" i="10"/>
  <c r="DM62" i="10" s="1"/>
  <c r="DC62" i="10"/>
  <c r="DL62" i="10" s="1"/>
  <c r="DB62" i="10"/>
  <c r="DK62" i="10" s="1"/>
  <c r="S62" i="10"/>
  <c r="Q62" i="10"/>
  <c r="R62" i="10" s="1"/>
  <c r="T62" i="10" s="1"/>
  <c r="M62" i="10"/>
  <c r="K62" i="10"/>
  <c r="L62" i="10" s="1"/>
  <c r="DJ61" i="10"/>
  <c r="DI61" i="10"/>
  <c r="DR61" i="10" s="1"/>
  <c r="DH61" i="10"/>
  <c r="DQ61" i="10" s="1"/>
  <c r="DG61" i="10"/>
  <c r="DP61" i="10" s="1"/>
  <c r="DF61" i="10"/>
  <c r="DO61" i="10" s="1"/>
  <c r="DE61" i="10"/>
  <c r="DN61" i="10" s="1"/>
  <c r="DD61" i="10"/>
  <c r="DM61" i="10" s="1"/>
  <c r="DC61" i="10"/>
  <c r="DL61" i="10" s="1"/>
  <c r="DB61" i="10"/>
  <c r="DK61" i="10" s="1"/>
  <c r="S61" i="10"/>
  <c r="Q61" i="10"/>
  <c r="R61" i="10" s="1"/>
  <c r="T61" i="10" s="1"/>
  <c r="M61" i="10"/>
  <c r="K61" i="10"/>
  <c r="L61" i="10" s="1"/>
  <c r="DJ60" i="10"/>
  <c r="DI60" i="10"/>
  <c r="DR60" i="10" s="1"/>
  <c r="DH60" i="10"/>
  <c r="DQ60" i="10" s="1"/>
  <c r="DG60" i="10"/>
  <c r="DP60" i="10" s="1"/>
  <c r="DF60" i="10"/>
  <c r="DO60" i="10" s="1"/>
  <c r="DE60" i="10"/>
  <c r="DN60" i="10" s="1"/>
  <c r="DD60" i="10"/>
  <c r="DM60" i="10" s="1"/>
  <c r="DC60" i="10"/>
  <c r="DL60" i="10" s="1"/>
  <c r="DB60" i="10"/>
  <c r="DK60" i="10" s="1"/>
  <c r="Y60" i="10"/>
  <c r="W60" i="10"/>
  <c r="X60" i="10" s="1"/>
  <c r="Z60" i="10" s="1"/>
  <c r="S60" i="10"/>
  <c r="Q60" i="10"/>
  <c r="R60" i="10" s="1"/>
  <c r="T60" i="10" s="1"/>
  <c r="M60" i="10"/>
  <c r="K60" i="10"/>
  <c r="L60" i="10" s="1"/>
  <c r="N60" i="10" s="1"/>
  <c r="DM59" i="10"/>
  <c r="DJ59" i="10"/>
  <c r="DI59" i="10"/>
  <c r="DR59" i="10" s="1"/>
  <c r="DH59" i="10"/>
  <c r="DQ59" i="10" s="1"/>
  <c r="DG59" i="10"/>
  <c r="DP59" i="10" s="1"/>
  <c r="DF59" i="10"/>
  <c r="DO59" i="10" s="1"/>
  <c r="DE59" i="10"/>
  <c r="DN59" i="10" s="1"/>
  <c r="DD59" i="10"/>
  <c r="DC59" i="10"/>
  <c r="DL59" i="10" s="1"/>
  <c r="DB59" i="10"/>
  <c r="DK59" i="10" s="1"/>
  <c r="Y59" i="10"/>
  <c r="W59" i="10"/>
  <c r="X59" i="10" s="1"/>
  <c r="Z59" i="10" s="1"/>
  <c r="S59" i="10"/>
  <c r="Q59" i="10"/>
  <c r="R59" i="10" s="1"/>
  <c r="T59" i="10" s="1"/>
  <c r="M59" i="10"/>
  <c r="K59" i="10"/>
  <c r="L59" i="10" s="1"/>
  <c r="DJ58" i="10"/>
  <c r="DI58" i="10"/>
  <c r="DR58" i="10" s="1"/>
  <c r="DH58" i="10"/>
  <c r="DQ58" i="10" s="1"/>
  <c r="DG58" i="10"/>
  <c r="DP58" i="10" s="1"/>
  <c r="DF58" i="10"/>
  <c r="DO58" i="10" s="1"/>
  <c r="DE58" i="10"/>
  <c r="DN58" i="10" s="1"/>
  <c r="DD58" i="10"/>
  <c r="DM58" i="10" s="1"/>
  <c r="DC58" i="10"/>
  <c r="DL58" i="10" s="1"/>
  <c r="DB58" i="10"/>
  <c r="DK58" i="10" s="1"/>
  <c r="Y58" i="10"/>
  <c r="W58" i="10"/>
  <c r="X58" i="10" s="1"/>
  <c r="Z58" i="10" s="1"/>
  <c r="S58" i="10"/>
  <c r="Q58" i="10"/>
  <c r="R58" i="10" s="1"/>
  <c r="T58" i="10" s="1"/>
  <c r="M58" i="10"/>
  <c r="K58" i="10"/>
  <c r="L58" i="10" s="1"/>
  <c r="DJ57" i="10"/>
  <c r="DI57" i="10"/>
  <c r="DR57" i="10" s="1"/>
  <c r="DH57" i="10"/>
  <c r="DQ57" i="10" s="1"/>
  <c r="DG57" i="10"/>
  <c r="DP57" i="10" s="1"/>
  <c r="DF57" i="10"/>
  <c r="DO57" i="10" s="1"/>
  <c r="DE57" i="10"/>
  <c r="DN57" i="10" s="1"/>
  <c r="DD57" i="10"/>
  <c r="DM57" i="10" s="1"/>
  <c r="DC57" i="10"/>
  <c r="DL57" i="10" s="1"/>
  <c r="DB57" i="10"/>
  <c r="DK57" i="10" s="1"/>
  <c r="Y57" i="10"/>
  <c r="W57" i="10"/>
  <c r="X57" i="10" s="1"/>
  <c r="Z57" i="10" s="1"/>
  <c r="S57" i="10"/>
  <c r="Q57" i="10"/>
  <c r="R57" i="10" s="1"/>
  <c r="T57" i="10" s="1"/>
  <c r="M57" i="10"/>
  <c r="K57" i="10"/>
  <c r="L57" i="10" s="1"/>
  <c r="DJ56" i="10"/>
  <c r="DI56" i="10"/>
  <c r="DR56" i="10" s="1"/>
  <c r="DH56" i="10"/>
  <c r="DQ56" i="10" s="1"/>
  <c r="DG56" i="10"/>
  <c r="DP56" i="10" s="1"/>
  <c r="DF56" i="10"/>
  <c r="DO56" i="10" s="1"/>
  <c r="DE56" i="10"/>
  <c r="DN56" i="10" s="1"/>
  <c r="DD56" i="10"/>
  <c r="DM56" i="10" s="1"/>
  <c r="DC56" i="10"/>
  <c r="DL56" i="10" s="1"/>
  <c r="DB56" i="10"/>
  <c r="DK56" i="10" s="1"/>
  <c r="Y56" i="10"/>
  <c r="W56" i="10"/>
  <c r="X56" i="10" s="1"/>
  <c r="Z56" i="10" s="1"/>
  <c r="S56" i="10"/>
  <c r="Q56" i="10"/>
  <c r="R56" i="10" s="1"/>
  <c r="T56" i="10" s="1"/>
  <c r="M56" i="10"/>
  <c r="K56" i="10"/>
  <c r="L56" i="10" s="1"/>
  <c r="AA56" i="10" s="1"/>
  <c r="DO55" i="10"/>
  <c r="DJ55" i="10"/>
  <c r="DI55" i="10"/>
  <c r="DR55" i="10" s="1"/>
  <c r="DH55" i="10"/>
  <c r="DQ55" i="10" s="1"/>
  <c r="DG55" i="10"/>
  <c r="DP55" i="10" s="1"/>
  <c r="DF55" i="10"/>
  <c r="DE55" i="10"/>
  <c r="DN55" i="10" s="1"/>
  <c r="DD55" i="10"/>
  <c r="DM55" i="10" s="1"/>
  <c r="DC55" i="10"/>
  <c r="DL55" i="10" s="1"/>
  <c r="DB55" i="10"/>
  <c r="DK55" i="10" s="1"/>
  <c r="Y55" i="10"/>
  <c r="W55" i="10"/>
  <c r="X55" i="10" s="1"/>
  <c r="Z55" i="10" s="1"/>
  <c r="S55" i="10"/>
  <c r="Q55" i="10"/>
  <c r="R55" i="10" s="1"/>
  <c r="T55" i="10" s="1"/>
  <c r="M55" i="10"/>
  <c r="K55" i="10"/>
  <c r="L55" i="10" s="1"/>
  <c r="DJ54" i="10"/>
  <c r="DI54" i="10"/>
  <c r="DR54" i="10" s="1"/>
  <c r="DH54" i="10"/>
  <c r="DQ54" i="10" s="1"/>
  <c r="DG54" i="10"/>
  <c r="DP54" i="10" s="1"/>
  <c r="DF54" i="10"/>
  <c r="DO54" i="10" s="1"/>
  <c r="DE54" i="10"/>
  <c r="DN54" i="10" s="1"/>
  <c r="DD54" i="10"/>
  <c r="DM54" i="10" s="1"/>
  <c r="DC54" i="10"/>
  <c r="DL54" i="10" s="1"/>
  <c r="DB54" i="10"/>
  <c r="DK54" i="10" s="1"/>
  <c r="Y54" i="10"/>
  <c r="W54" i="10"/>
  <c r="X54" i="10" s="1"/>
  <c r="Z54" i="10" s="1"/>
  <c r="S54" i="10"/>
  <c r="Q54" i="10"/>
  <c r="R54" i="10" s="1"/>
  <c r="T54" i="10" s="1"/>
  <c r="M54" i="10"/>
  <c r="K54" i="10"/>
  <c r="L54" i="10" s="1"/>
  <c r="DJ53" i="10"/>
  <c r="DI53" i="10"/>
  <c r="DR53" i="10" s="1"/>
  <c r="DH53" i="10"/>
  <c r="DQ53" i="10" s="1"/>
  <c r="DG53" i="10"/>
  <c r="DP53" i="10" s="1"/>
  <c r="DF53" i="10"/>
  <c r="DO53" i="10" s="1"/>
  <c r="DE53" i="10"/>
  <c r="DN53" i="10" s="1"/>
  <c r="DD53" i="10"/>
  <c r="DM53" i="10" s="1"/>
  <c r="DC53" i="10"/>
  <c r="DL53" i="10" s="1"/>
  <c r="DB53" i="10"/>
  <c r="DK53" i="10" s="1"/>
  <c r="Y53" i="10"/>
  <c r="W53" i="10"/>
  <c r="X53" i="10" s="1"/>
  <c r="Z53" i="10" s="1"/>
  <c r="S53" i="10"/>
  <c r="Q53" i="10"/>
  <c r="R53" i="10" s="1"/>
  <c r="T53" i="10" s="1"/>
  <c r="M53" i="10"/>
  <c r="K53" i="10"/>
  <c r="L53" i="10" s="1"/>
  <c r="DJ52" i="10"/>
  <c r="DI52" i="10"/>
  <c r="DR52" i="10" s="1"/>
  <c r="DH52" i="10"/>
  <c r="DQ52" i="10" s="1"/>
  <c r="DG52" i="10"/>
  <c r="DP52" i="10" s="1"/>
  <c r="DF52" i="10"/>
  <c r="DO52" i="10" s="1"/>
  <c r="DE52" i="10"/>
  <c r="DN52" i="10" s="1"/>
  <c r="DD52" i="10"/>
  <c r="DM52" i="10" s="1"/>
  <c r="DC52" i="10"/>
  <c r="DL52" i="10" s="1"/>
  <c r="DB52" i="10"/>
  <c r="DK52" i="10" s="1"/>
  <c r="Y52" i="10"/>
  <c r="W52" i="10"/>
  <c r="X52" i="10" s="1"/>
  <c r="Z52" i="10" s="1"/>
  <c r="S52" i="10"/>
  <c r="Q52" i="10"/>
  <c r="R52" i="10" s="1"/>
  <c r="T52" i="10" s="1"/>
  <c r="M52" i="10"/>
  <c r="K52" i="10"/>
  <c r="L52" i="10" s="1"/>
  <c r="DJ51" i="10"/>
  <c r="DI51" i="10"/>
  <c r="DR51" i="10" s="1"/>
  <c r="DH51" i="10"/>
  <c r="DQ51" i="10" s="1"/>
  <c r="DG51" i="10"/>
  <c r="DP51" i="10" s="1"/>
  <c r="DF51" i="10"/>
  <c r="DO51" i="10" s="1"/>
  <c r="DE51" i="10"/>
  <c r="DN51" i="10" s="1"/>
  <c r="DD51" i="10"/>
  <c r="DM51" i="10" s="1"/>
  <c r="DC51" i="10"/>
  <c r="DL51" i="10" s="1"/>
  <c r="DB51" i="10"/>
  <c r="DK51" i="10" s="1"/>
  <c r="Y51" i="10"/>
  <c r="W51" i="10"/>
  <c r="X51" i="10" s="1"/>
  <c r="S51" i="10"/>
  <c r="Q51" i="10"/>
  <c r="R51" i="10" s="1"/>
  <c r="T51" i="10" s="1"/>
  <c r="M51" i="10"/>
  <c r="K51" i="10"/>
  <c r="L51" i="10" s="1"/>
  <c r="N51" i="10" s="1"/>
  <c r="DJ50" i="10"/>
  <c r="DI50" i="10"/>
  <c r="DR50" i="10" s="1"/>
  <c r="DH50" i="10"/>
  <c r="DQ50" i="10" s="1"/>
  <c r="DG50" i="10"/>
  <c r="DP50" i="10" s="1"/>
  <c r="DF50" i="10"/>
  <c r="DO50" i="10" s="1"/>
  <c r="DE50" i="10"/>
  <c r="DN50" i="10" s="1"/>
  <c r="DD50" i="10"/>
  <c r="DM50" i="10" s="1"/>
  <c r="DC50" i="10"/>
  <c r="DL50" i="10" s="1"/>
  <c r="DB50" i="10"/>
  <c r="DK50" i="10" s="1"/>
  <c r="Y50" i="10"/>
  <c r="W50" i="10"/>
  <c r="X50" i="10" s="1"/>
  <c r="Z50" i="10" s="1"/>
  <c r="S50" i="10"/>
  <c r="Q50" i="10"/>
  <c r="R50" i="10" s="1"/>
  <c r="T50" i="10" s="1"/>
  <c r="M50" i="10"/>
  <c r="K50" i="10"/>
  <c r="L50" i="10" s="1"/>
  <c r="DJ49" i="10"/>
  <c r="DI49" i="10"/>
  <c r="DH49" i="10"/>
  <c r="DQ49" i="10" s="1"/>
  <c r="DG49" i="10"/>
  <c r="DF49" i="10"/>
  <c r="DE49" i="10"/>
  <c r="DD49" i="10"/>
  <c r="DC49" i="10"/>
  <c r="DB49" i="10"/>
  <c r="DK49" i="10" s="1"/>
  <c r="V49" i="10"/>
  <c r="Y49" i="10" s="1"/>
  <c r="U49" i="10"/>
  <c r="P49" i="10"/>
  <c r="O49" i="10"/>
  <c r="J49" i="10"/>
  <c r="M49" i="10" s="1"/>
  <c r="I49" i="10"/>
  <c r="H49" i="10"/>
  <c r="F49" i="10"/>
  <c r="E49" i="10"/>
  <c r="D48" i="7" s="1"/>
  <c r="DJ48" i="10"/>
  <c r="DI48" i="10"/>
  <c r="DR48" i="10" s="1"/>
  <c r="DH48" i="10"/>
  <c r="DQ48" i="10" s="1"/>
  <c r="DG48" i="10"/>
  <c r="DP48" i="10" s="1"/>
  <c r="DF48" i="10"/>
  <c r="DE48" i="10"/>
  <c r="DD48" i="10"/>
  <c r="DC48" i="10"/>
  <c r="DB48" i="10"/>
  <c r="DK48" i="10" s="1"/>
  <c r="P48" i="10"/>
  <c r="S48" i="10" s="1"/>
  <c r="O48" i="10"/>
  <c r="J48" i="10"/>
  <c r="I48" i="10"/>
  <c r="H48" i="10"/>
  <c r="F48" i="10"/>
  <c r="E48" i="10"/>
  <c r="D47" i="7" s="1"/>
  <c r="DJ47" i="10"/>
  <c r="DI47" i="10"/>
  <c r="DR47" i="10" s="1"/>
  <c r="DH47" i="10"/>
  <c r="DQ47" i="10" s="1"/>
  <c r="DG47" i="10"/>
  <c r="DP47" i="10" s="1"/>
  <c r="DF47" i="10"/>
  <c r="DO47" i="10" s="1"/>
  <c r="DE47" i="10"/>
  <c r="DN47" i="10" s="1"/>
  <c r="DD47" i="10"/>
  <c r="DM47" i="10" s="1"/>
  <c r="DC47" i="10"/>
  <c r="DL47" i="10" s="1"/>
  <c r="DB47" i="10"/>
  <c r="DK47" i="10" s="1"/>
  <c r="Y47" i="10"/>
  <c r="W47" i="10"/>
  <c r="X47" i="10" s="1"/>
  <c r="Z47" i="10" s="1"/>
  <c r="S47" i="10"/>
  <c r="Q47" i="10"/>
  <c r="R47" i="10" s="1"/>
  <c r="T47" i="10" s="1"/>
  <c r="M47" i="10"/>
  <c r="K47" i="10"/>
  <c r="L47" i="10" s="1"/>
  <c r="DJ46" i="10"/>
  <c r="DI46" i="10"/>
  <c r="DH46" i="10"/>
  <c r="DG46" i="10"/>
  <c r="DF46" i="10"/>
  <c r="DE46" i="10"/>
  <c r="DN46" i="10" s="1"/>
  <c r="DD46" i="10"/>
  <c r="DM46" i="10" s="1"/>
  <c r="DC46" i="10"/>
  <c r="DB46" i="10"/>
  <c r="DK46" i="10" s="1"/>
  <c r="AB46" i="10"/>
  <c r="V46" i="10"/>
  <c r="Y46" i="10" s="1"/>
  <c r="U46" i="10"/>
  <c r="P46" i="10"/>
  <c r="O46" i="10"/>
  <c r="H46" i="10"/>
  <c r="F46" i="10"/>
  <c r="E46" i="10"/>
  <c r="D45" i="7" s="1"/>
  <c r="DJ45" i="10"/>
  <c r="DI45" i="10"/>
  <c r="DH45" i="10"/>
  <c r="DQ45" i="10" s="1"/>
  <c r="DG45" i="10"/>
  <c r="DF45" i="10"/>
  <c r="DE45" i="10"/>
  <c r="DD45" i="10"/>
  <c r="DC45" i="10"/>
  <c r="DB45" i="10"/>
  <c r="DK45" i="10" s="1"/>
  <c r="V45" i="10"/>
  <c r="Y45" i="10" s="1"/>
  <c r="U45" i="10"/>
  <c r="P45" i="10"/>
  <c r="S45" i="10" s="1"/>
  <c r="O45" i="10"/>
  <c r="J45" i="10"/>
  <c r="K45" i="10" s="1"/>
  <c r="L45" i="10" s="1"/>
  <c r="I45" i="10"/>
  <c r="H45" i="10"/>
  <c r="F45" i="10"/>
  <c r="E45" i="10"/>
  <c r="D44" i="7" s="1"/>
  <c r="DJ44" i="10"/>
  <c r="DI44" i="10"/>
  <c r="DH44" i="10"/>
  <c r="DG44" i="10"/>
  <c r="DF44" i="10"/>
  <c r="DE44" i="10"/>
  <c r="DD44" i="10"/>
  <c r="DC44" i="10"/>
  <c r="DB44" i="10"/>
  <c r="DK44" i="10" s="1"/>
  <c r="V44" i="10"/>
  <c r="U44" i="10"/>
  <c r="P44" i="10"/>
  <c r="S44" i="10" s="1"/>
  <c r="O44" i="10"/>
  <c r="J44" i="10"/>
  <c r="M44" i="10" s="1"/>
  <c r="I44" i="10"/>
  <c r="H44" i="10"/>
  <c r="F44" i="10"/>
  <c r="E44" i="10"/>
  <c r="D43" i="7" s="1"/>
  <c r="DJ43" i="10"/>
  <c r="DI43" i="10"/>
  <c r="DR43" i="10" s="1"/>
  <c r="DH43" i="10"/>
  <c r="DQ43" i="10" s="1"/>
  <c r="DG43" i="10"/>
  <c r="DF43" i="10"/>
  <c r="DE43" i="10"/>
  <c r="DD43" i="10"/>
  <c r="DC43" i="10"/>
  <c r="DB43" i="10"/>
  <c r="DK43" i="10" s="1"/>
  <c r="P43" i="10"/>
  <c r="R43" i="10" s="1"/>
  <c r="T43" i="10" s="1"/>
  <c r="O43" i="10"/>
  <c r="J43" i="10"/>
  <c r="I43" i="10"/>
  <c r="H43" i="10"/>
  <c r="F43" i="10"/>
  <c r="E43" i="10"/>
  <c r="D42" i="7" s="1"/>
  <c r="DJ42" i="10"/>
  <c r="DI42" i="10"/>
  <c r="DH42" i="10"/>
  <c r="DG42" i="10"/>
  <c r="DF42" i="10"/>
  <c r="DE42" i="10"/>
  <c r="DD42" i="10"/>
  <c r="DC42" i="10"/>
  <c r="DB42" i="10"/>
  <c r="DK42" i="10" s="1"/>
  <c r="V42" i="10"/>
  <c r="W42" i="10" s="1"/>
  <c r="X42" i="10" s="1"/>
  <c r="U42" i="10"/>
  <c r="P42" i="10"/>
  <c r="S42" i="10" s="1"/>
  <c r="O42" i="10"/>
  <c r="J42" i="10"/>
  <c r="L42" i="10" s="1"/>
  <c r="N42" i="10" s="1"/>
  <c r="I42" i="10"/>
  <c r="H42" i="10"/>
  <c r="F42" i="10"/>
  <c r="E42" i="10"/>
  <c r="D41" i="7" s="1"/>
  <c r="DQ41" i="10"/>
  <c r="DJ41" i="10"/>
  <c r="DI41" i="10"/>
  <c r="DR41" i="10" s="1"/>
  <c r="DH41" i="10"/>
  <c r="DG41" i="10"/>
  <c r="DP41" i="10" s="1"/>
  <c r="DF41" i="10"/>
  <c r="DO41" i="10" s="1"/>
  <c r="DE41" i="10"/>
  <c r="DN41" i="10" s="1"/>
  <c r="DD41" i="10"/>
  <c r="DM41" i="10" s="1"/>
  <c r="DC41" i="10"/>
  <c r="DL41" i="10" s="1"/>
  <c r="DB41" i="10"/>
  <c r="DK41" i="10" s="1"/>
  <c r="Y41" i="10"/>
  <c r="W41" i="10"/>
  <c r="X41" i="10" s="1"/>
  <c r="Z41" i="10" s="1"/>
  <c r="S41" i="10"/>
  <c r="Q41" i="10"/>
  <c r="R41" i="10" s="1"/>
  <c r="T41" i="10" s="1"/>
  <c r="M41" i="10"/>
  <c r="K41" i="10"/>
  <c r="L41" i="10" s="1"/>
  <c r="N41" i="10" s="1"/>
  <c r="DJ40" i="10"/>
  <c r="DI40" i="10"/>
  <c r="DR40" i="10" s="1"/>
  <c r="DH40" i="10"/>
  <c r="DQ40" i="10" s="1"/>
  <c r="DG40" i="10"/>
  <c r="DP40" i="10" s="1"/>
  <c r="DF40" i="10"/>
  <c r="DO40" i="10" s="1"/>
  <c r="DE40" i="10"/>
  <c r="DN40" i="10" s="1"/>
  <c r="DD40" i="10"/>
  <c r="DM40" i="10" s="1"/>
  <c r="DC40" i="10"/>
  <c r="DL40" i="10" s="1"/>
  <c r="DB40" i="10"/>
  <c r="DK40" i="10" s="1"/>
  <c r="Y40" i="10"/>
  <c r="W40" i="10"/>
  <c r="X40" i="10" s="1"/>
  <c r="Z40" i="10" s="1"/>
  <c r="S40" i="10"/>
  <c r="Q40" i="10"/>
  <c r="R40" i="10" s="1"/>
  <c r="T40" i="10" s="1"/>
  <c r="M40" i="10"/>
  <c r="K40" i="10"/>
  <c r="L40" i="10" s="1"/>
  <c r="DJ39" i="10"/>
  <c r="DI39" i="10"/>
  <c r="DR39" i="10" s="1"/>
  <c r="DH39" i="10"/>
  <c r="DQ39" i="10" s="1"/>
  <c r="DG39" i="10"/>
  <c r="DP39" i="10" s="1"/>
  <c r="DF39" i="10"/>
  <c r="DO39" i="10" s="1"/>
  <c r="DE39" i="10"/>
  <c r="DN39" i="10" s="1"/>
  <c r="DD39" i="10"/>
  <c r="DM39" i="10" s="1"/>
  <c r="DC39" i="10"/>
  <c r="DL39" i="10" s="1"/>
  <c r="DB39" i="10"/>
  <c r="DK39" i="10" s="1"/>
  <c r="Y39" i="10"/>
  <c r="W39" i="10"/>
  <c r="X39" i="10" s="1"/>
  <c r="Z39" i="10" s="1"/>
  <c r="S39" i="10"/>
  <c r="Q39" i="10"/>
  <c r="R39" i="10" s="1"/>
  <c r="T39" i="10" s="1"/>
  <c r="M39" i="10"/>
  <c r="K39" i="10"/>
  <c r="L39" i="10" s="1"/>
  <c r="N39" i="10" s="1"/>
  <c r="DJ38" i="10"/>
  <c r="DI38" i="10"/>
  <c r="DH38" i="10"/>
  <c r="DG38" i="10"/>
  <c r="DF38" i="10"/>
  <c r="DE38" i="10"/>
  <c r="DD38" i="10"/>
  <c r="DC38" i="10"/>
  <c r="DB38" i="10"/>
  <c r="DK38" i="10" s="1"/>
  <c r="V38" i="10"/>
  <c r="U38" i="10"/>
  <c r="P38" i="10"/>
  <c r="Q38" i="10" s="1"/>
  <c r="R38" i="10" s="1"/>
  <c r="T38" i="10" s="1"/>
  <c r="O38" i="10"/>
  <c r="J38" i="10"/>
  <c r="K38" i="10" s="1"/>
  <c r="I38" i="10"/>
  <c r="DM38" i="10" s="1"/>
  <c r="H38" i="10"/>
  <c r="F38" i="10"/>
  <c r="E38" i="10"/>
  <c r="D37" i="7" s="1"/>
  <c r="DP37" i="10"/>
  <c r="DJ37" i="10"/>
  <c r="DI37" i="10"/>
  <c r="DR37" i="10" s="1"/>
  <c r="DH37" i="10"/>
  <c r="DQ37" i="10" s="1"/>
  <c r="DG37" i="10"/>
  <c r="DF37" i="10"/>
  <c r="DO37" i="10" s="1"/>
  <c r="DE37" i="10"/>
  <c r="DN37" i="10" s="1"/>
  <c r="DD37" i="10"/>
  <c r="DM37" i="10" s="1"/>
  <c r="DC37" i="10"/>
  <c r="DL37" i="10" s="1"/>
  <c r="DB37" i="10"/>
  <c r="DK37" i="10" s="1"/>
  <c r="Y37" i="10"/>
  <c r="W37" i="10"/>
  <c r="X37" i="10" s="1"/>
  <c r="Z37" i="10" s="1"/>
  <c r="S37" i="10"/>
  <c r="Q37" i="10"/>
  <c r="R37" i="10" s="1"/>
  <c r="T37" i="10" s="1"/>
  <c r="M37" i="10"/>
  <c r="K37" i="10"/>
  <c r="L37" i="10" s="1"/>
  <c r="DJ36" i="10"/>
  <c r="DI36" i="10"/>
  <c r="DR36" i="10" s="1"/>
  <c r="DH36" i="10"/>
  <c r="DQ36" i="10" s="1"/>
  <c r="DG36" i="10"/>
  <c r="DP36" i="10" s="1"/>
  <c r="DF36" i="10"/>
  <c r="DO36" i="10" s="1"/>
  <c r="DE36" i="10"/>
  <c r="DN36" i="10" s="1"/>
  <c r="DD36" i="10"/>
  <c r="DM36" i="10" s="1"/>
  <c r="DC36" i="10"/>
  <c r="DL36" i="10" s="1"/>
  <c r="DB36" i="10"/>
  <c r="DK36" i="10" s="1"/>
  <c r="Y36" i="10"/>
  <c r="W36" i="10"/>
  <c r="X36" i="10" s="1"/>
  <c r="Z36" i="10" s="1"/>
  <c r="S36" i="10"/>
  <c r="Q36" i="10"/>
  <c r="R36" i="10" s="1"/>
  <c r="M36" i="10"/>
  <c r="K36" i="10"/>
  <c r="L36" i="10" s="1"/>
  <c r="N36" i="10" s="1"/>
  <c r="DJ35" i="10"/>
  <c r="DI35" i="10"/>
  <c r="DR35" i="10" s="1"/>
  <c r="DH35" i="10"/>
  <c r="DQ35" i="10" s="1"/>
  <c r="DG35" i="10"/>
  <c r="DP35" i="10" s="1"/>
  <c r="DF35" i="10"/>
  <c r="DO35" i="10" s="1"/>
  <c r="DE35" i="10"/>
  <c r="DN35" i="10" s="1"/>
  <c r="DD35" i="10"/>
  <c r="DM35" i="10" s="1"/>
  <c r="DC35" i="10"/>
  <c r="DL35" i="10" s="1"/>
  <c r="DB35" i="10"/>
  <c r="DK35" i="10" s="1"/>
  <c r="Y35" i="10"/>
  <c r="W35" i="10"/>
  <c r="X35" i="10" s="1"/>
  <c r="Z35" i="10" s="1"/>
  <c r="S35" i="10"/>
  <c r="Q35" i="10"/>
  <c r="R35" i="10" s="1"/>
  <c r="M35" i="10"/>
  <c r="K35" i="10"/>
  <c r="L35" i="10" s="1"/>
  <c r="N35" i="10" s="1"/>
  <c r="DJ34" i="10"/>
  <c r="DI34" i="10"/>
  <c r="DR34" i="10" s="1"/>
  <c r="DH34" i="10"/>
  <c r="DQ34" i="10" s="1"/>
  <c r="DG34" i="10"/>
  <c r="DP34" i="10" s="1"/>
  <c r="DF34" i="10"/>
  <c r="DO34" i="10" s="1"/>
  <c r="DE34" i="10"/>
  <c r="DN34" i="10" s="1"/>
  <c r="DD34" i="10"/>
  <c r="DM34" i="10" s="1"/>
  <c r="DC34" i="10"/>
  <c r="DL34" i="10" s="1"/>
  <c r="DB34" i="10"/>
  <c r="DK34" i="10" s="1"/>
  <c r="Y34" i="10"/>
  <c r="W34" i="10"/>
  <c r="X34" i="10" s="1"/>
  <c r="S34" i="10"/>
  <c r="Q34" i="10"/>
  <c r="R34" i="10" s="1"/>
  <c r="T34" i="10" s="1"/>
  <c r="M34" i="10"/>
  <c r="K34" i="10"/>
  <c r="L34" i="10" s="1"/>
  <c r="N34" i="10" s="1"/>
  <c r="DJ33" i="10"/>
  <c r="DI33" i="10"/>
  <c r="DR33" i="10" s="1"/>
  <c r="DH33" i="10"/>
  <c r="DQ33" i="10" s="1"/>
  <c r="DG33" i="10"/>
  <c r="DP33" i="10" s="1"/>
  <c r="DF33" i="10"/>
  <c r="DO33" i="10" s="1"/>
  <c r="DE33" i="10"/>
  <c r="DN33" i="10" s="1"/>
  <c r="DD33" i="10"/>
  <c r="DM33" i="10" s="1"/>
  <c r="DC33" i="10"/>
  <c r="DL33" i="10" s="1"/>
  <c r="DB33" i="10"/>
  <c r="DK33" i="10" s="1"/>
  <c r="Y33" i="10"/>
  <c r="W33" i="10"/>
  <c r="X33" i="10" s="1"/>
  <c r="Z33" i="10" s="1"/>
  <c r="S33" i="10"/>
  <c r="Q33" i="10"/>
  <c r="R33" i="10" s="1"/>
  <c r="T33" i="10" s="1"/>
  <c r="M33" i="10"/>
  <c r="K33" i="10"/>
  <c r="L33" i="10" s="1"/>
  <c r="N33" i="10" s="1"/>
  <c r="DJ32" i="10"/>
  <c r="DI32" i="10"/>
  <c r="DR32" i="10" s="1"/>
  <c r="DH32" i="10"/>
  <c r="DQ32" i="10" s="1"/>
  <c r="DG32" i="10"/>
  <c r="DP32" i="10" s="1"/>
  <c r="DF32" i="10"/>
  <c r="DO32" i="10" s="1"/>
  <c r="DE32" i="10"/>
  <c r="DN32" i="10" s="1"/>
  <c r="DD32" i="10"/>
  <c r="DM32" i="10" s="1"/>
  <c r="DC32" i="10"/>
  <c r="DL32" i="10" s="1"/>
  <c r="DB32" i="10"/>
  <c r="DK32" i="10" s="1"/>
  <c r="Y32" i="10"/>
  <c r="W32" i="10"/>
  <c r="X32" i="10" s="1"/>
  <c r="Z32" i="10" s="1"/>
  <c r="S32" i="10"/>
  <c r="Q32" i="10"/>
  <c r="R32" i="10" s="1"/>
  <c r="T32" i="10" s="1"/>
  <c r="M32" i="10"/>
  <c r="K32" i="10"/>
  <c r="L32" i="10" s="1"/>
  <c r="DJ31" i="10"/>
  <c r="DI31" i="10"/>
  <c r="DR31" i="10" s="1"/>
  <c r="DH31" i="10"/>
  <c r="DQ31" i="10" s="1"/>
  <c r="DG31" i="10"/>
  <c r="DP31" i="10" s="1"/>
  <c r="DF31" i="10"/>
  <c r="DO31" i="10" s="1"/>
  <c r="DE31" i="10"/>
  <c r="DN31" i="10" s="1"/>
  <c r="DD31" i="10"/>
  <c r="DM31" i="10" s="1"/>
  <c r="DC31" i="10"/>
  <c r="DL31" i="10" s="1"/>
  <c r="DB31" i="10"/>
  <c r="DK31" i="10" s="1"/>
  <c r="Y31" i="10"/>
  <c r="W31" i="10"/>
  <c r="X31" i="10" s="1"/>
  <c r="Z31" i="10" s="1"/>
  <c r="S31" i="10"/>
  <c r="Q31" i="10"/>
  <c r="R31" i="10" s="1"/>
  <c r="T31" i="10" s="1"/>
  <c r="M31" i="10"/>
  <c r="K31" i="10"/>
  <c r="L31" i="10" s="1"/>
  <c r="DJ30" i="10"/>
  <c r="DI30" i="10"/>
  <c r="DR30" i="10" s="1"/>
  <c r="DH30" i="10"/>
  <c r="DQ30" i="10" s="1"/>
  <c r="DG30" i="10"/>
  <c r="DP30" i="10" s="1"/>
  <c r="DF30" i="10"/>
  <c r="DO30" i="10" s="1"/>
  <c r="DE30" i="10"/>
  <c r="DN30" i="10" s="1"/>
  <c r="DD30" i="10"/>
  <c r="DM30" i="10" s="1"/>
  <c r="DC30" i="10"/>
  <c r="DL30" i="10" s="1"/>
  <c r="DB30" i="10"/>
  <c r="DK30" i="10" s="1"/>
  <c r="Y30" i="10"/>
  <c r="W30" i="10"/>
  <c r="X30" i="10" s="1"/>
  <c r="Z30" i="10" s="1"/>
  <c r="S30" i="10"/>
  <c r="Q30" i="10"/>
  <c r="R30" i="10" s="1"/>
  <c r="M30" i="10"/>
  <c r="K30" i="10"/>
  <c r="L30" i="10" s="1"/>
  <c r="N30" i="10" s="1"/>
  <c r="DJ29" i="10"/>
  <c r="DI29" i="10"/>
  <c r="DR29" i="10" s="1"/>
  <c r="DH29" i="10"/>
  <c r="DQ29" i="10" s="1"/>
  <c r="DG29" i="10"/>
  <c r="DP29" i="10" s="1"/>
  <c r="DF29" i="10"/>
  <c r="DO29" i="10" s="1"/>
  <c r="DE29" i="10"/>
  <c r="DN29" i="10" s="1"/>
  <c r="DD29" i="10"/>
  <c r="DM29" i="10" s="1"/>
  <c r="DC29" i="10"/>
  <c r="DL29" i="10" s="1"/>
  <c r="DB29" i="10"/>
  <c r="DK29" i="10" s="1"/>
  <c r="Y29" i="10"/>
  <c r="W29" i="10"/>
  <c r="X29" i="10" s="1"/>
  <c r="S29" i="10"/>
  <c r="Q29" i="10"/>
  <c r="R29" i="10" s="1"/>
  <c r="T29" i="10" s="1"/>
  <c r="M29" i="10"/>
  <c r="K29" i="10"/>
  <c r="L29" i="10" s="1"/>
  <c r="N29" i="10" s="1"/>
  <c r="DJ28" i="10"/>
  <c r="DI28" i="10"/>
  <c r="DR28" i="10" s="1"/>
  <c r="DH28" i="10"/>
  <c r="DQ28" i="10" s="1"/>
  <c r="DG28" i="10"/>
  <c r="DP28" i="10" s="1"/>
  <c r="DF28" i="10"/>
  <c r="DO28" i="10" s="1"/>
  <c r="DE28" i="10"/>
  <c r="DN28" i="10" s="1"/>
  <c r="DD28" i="10"/>
  <c r="DM28" i="10" s="1"/>
  <c r="DC28" i="10"/>
  <c r="DL28" i="10" s="1"/>
  <c r="DB28" i="10"/>
  <c r="DK28" i="10" s="1"/>
  <c r="Y28" i="10"/>
  <c r="W28" i="10"/>
  <c r="X28" i="10" s="1"/>
  <c r="Z28" i="10" s="1"/>
  <c r="S28" i="10"/>
  <c r="R28" i="10"/>
  <c r="T28" i="10" s="1"/>
  <c r="M28" i="10"/>
  <c r="K28" i="10"/>
  <c r="L28" i="10" s="1"/>
  <c r="DQ27" i="10"/>
  <c r="DP27" i="10"/>
  <c r="DO27" i="10"/>
  <c r="DN27" i="10"/>
  <c r="DM27" i="10"/>
  <c r="DJ27" i="10"/>
  <c r="DI27" i="10"/>
  <c r="DR27" i="10" s="1"/>
  <c r="DH27" i="10"/>
  <c r="DG27" i="10"/>
  <c r="DF27" i="10"/>
  <c r="DE27" i="10"/>
  <c r="DD27" i="10"/>
  <c r="DC27" i="10"/>
  <c r="DL27" i="10" s="1"/>
  <c r="DB27" i="10"/>
  <c r="DK27" i="10" s="1"/>
  <c r="Y27" i="10"/>
  <c r="W27" i="10"/>
  <c r="X27" i="10" s="1"/>
  <c r="S27" i="10"/>
  <c r="Q27" i="10"/>
  <c r="R27" i="10" s="1"/>
  <c r="T27" i="10" s="1"/>
  <c r="M27" i="10"/>
  <c r="K27" i="10"/>
  <c r="L27" i="10" s="1"/>
  <c r="N27" i="10" s="1"/>
  <c r="DJ26" i="10"/>
  <c r="DI26" i="10"/>
  <c r="DR26" i="10" s="1"/>
  <c r="DH26" i="10"/>
  <c r="DQ26" i="10" s="1"/>
  <c r="DG26" i="10"/>
  <c r="DP26" i="10" s="1"/>
  <c r="DF26" i="10"/>
  <c r="DO26" i="10" s="1"/>
  <c r="DE26" i="10"/>
  <c r="DN26" i="10" s="1"/>
  <c r="DD26" i="10"/>
  <c r="DM26" i="10" s="1"/>
  <c r="DC26" i="10"/>
  <c r="DL26" i="10" s="1"/>
  <c r="DB26" i="10"/>
  <c r="DK26" i="10" s="1"/>
  <c r="Y26" i="10"/>
  <c r="W26" i="10"/>
  <c r="X26" i="10" s="1"/>
  <c r="Z26" i="10" s="1"/>
  <c r="S26" i="10"/>
  <c r="Q26" i="10"/>
  <c r="R26" i="10" s="1"/>
  <c r="T26" i="10" s="1"/>
  <c r="M26" i="10"/>
  <c r="K26" i="10"/>
  <c r="L26" i="10" s="1"/>
  <c r="N26" i="10" s="1"/>
  <c r="DJ25" i="10"/>
  <c r="DI25" i="10"/>
  <c r="DR25" i="10" s="1"/>
  <c r="DH25" i="10"/>
  <c r="DQ25" i="10" s="1"/>
  <c r="DG25" i="10"/>
  <c r="DP25" i="10" s="1"/>
  <c r="DF25" i="10"/>
  <c r="DO25" i="10" s="1"/>
  <c r="DE25" i="10"/>
  <c r="DN25" i="10" s="1"/>
  <c r="DD25" i="10"/>
  <c r="DM25" i="10" s="1"/>
  <c r="DC25" i="10"/>
  <c r="DL25" i="10" s="1"/>
  <c r="DB25" i="10"/>
  <c r="DK25" i="10" s="1"/>
  <c r="Y25" i="10"/>
  <c r="W25" i="10"/>
  <c r="X25" i="10" s="1"/>
  <c r="Z25" i="10" s="1"/>
  <c r="S25" i="10"/>
  <c r="Q25" i="10"/>
  <c r="R25" i="10" s="1"/>
  <c r="T25" i="10" s="1"/>
  <c r="M25" i="10"/>
  <c r="K25" i="10"/>
  <c r="L25" i="10" s="1"/>
  <c r="N25" i="10" s="1"/>
  <c r="DJ24" i="10"/>
  <c r="DI24" i="10"/>
  <c r="DH24" i="10"/>
  <c r="DG24" i="10"/>
  <c r="DF24" i="10"/>
  <c r="DE24" i="10"/>
  <c r="DD24" i="10"/>
  <c r="DC24" i="10"/>
  <c r="DB24" i="10"/>
  <c r="DK24" i="10" s="1"/>
  <c r="V24" i="10"/>
  <c r="Y24" i="10" s="1"/>
  <c r="U24" i="10"/>
  <c r="P24" i="10"/>
  <c r="Q24" i="10" s="1"/>
  <c r="O24" i="10"/>
  <c r="J24" i="10"/>
  <c r="I24" i="10"/>
  <c r="H24" i="10"/>
  <c r="F24" i="10"/>
  <c r="E24" i="10"/>
  <c r="D23" i="7" s="1"/>
  <c r="DL23" i="10"/>
  <c r="DJ23" i="10"/>
  <c r="DI23" i="10"/>
  <c r="DR23" i="10" s="1"/>
  <c r="DH23" i="10"/>
  <c r="DQ23" i="10" s="1"/>
  <c r="DG23" i="10"/>
  <c r="DP23" i="10" s="1"/>
  <c r="DF23" i="10"/>
  <c r="DO23" i="10" s="1"/>
  <c r="DE23" i="10"/>
  <c r="DN23" i="10" s="1"/>
  <c r="DD23" i="10"/>
  <c r="DM23" i="10" s="1"/>
  <c r="DC23" i="10"/>
  <c r="DB23" i="10"/>
  <c r="DK23" i="10" s="1"/>
  <c r="Y23" i="10"/>
  <c r="W23" i="10"/>
  <c r="X23" i="10" s="1"/>
  <c r="Z23" i="10" s="1"/>
  <c r="S23" i="10"/>
  <c r="Q23" i="10"/>
  <c r="R23" i="10" s="1"/>
  <c r="T23" i="10" s="1"/>
  <c r="M23" i="10"/>
  <c r="K23" i="10"/>
  <c r="L23" i="10" s="1"/>
  <c r="DL22" i="10"/>
  <c r="DJ22" i="10"/>
  <c r="DI22" i="10"/>
  <c r="DR22" i="10" s="1"/>
  <c r="DH22" i="10"/>
  <c r="DQ22" i="10" s="1"/>
  <c r="DG22" i="10"/>
  <c r="DP22" i="10" s="1"/>
  <c r="DF22" i="10"/>
  <c r="DO22" i="10" s="1"/>
  <c r="DE22" i="10"/>
  <c r="DN22" i="10" s="1"/>
  <c r="DD22" i="10"/>
  <c r="DM22" i="10" s="1"/>
  <c r="DC22" i="10"/>
  <c r="DB22" i="10"/>
  <c r="DK22" i="10" s="1"/>
  <c r="Y22" i="10"/>
  <c r="W22" i="10"/>
  <c r="X22" i="10" s="1"/>
  <c r="S22" i="10"/>
  <c r="Q22" i="10"/>
  <c r="R22" i="10" s="1"/>
  <c r="T22" i="10" s="1"/>
  <c r="M22" i="10"/>
  <c r="K22" i="10"/>
  <c r="L22" i="10" s="1"/>
  <c r="N22" i="10" s="1"/>
  <c r="DM21" i="10"/>
  <c r="DJ21" i="10"/>
  <c r="DI21" i="10"/>
  <c r="DR21" i="10" s="1"/>
  <c r="DH21" i="10"/>
  <c r="DQ21" i="10" s="1"/>
  <c r="DG21" i="10"/>
  <c r="DP21" i="10" s="1"/>
  <c r="DF21" i="10"/>
  <c r="DO21" i="10" s="1"/>
  <c r="DE21" i="10"/>
  <c r="DN21" i="10" s="1"/>
  <c r="DD21" i="10"/>
  <c r="DC21" i="10"/>
  <c r="DL21" i="10" s="1"/>
  <c r="DB21" i="10"/>
  <c r="DK21" i="10" s="1"/>
  <c r="Y21" i="10"/>
  <c r="W21" i="10"/>
  <c r="X21" i="10" s="1"/>
  <c r="Z21" i="10" s="1"/>
  <c r="S21" i="10"/>
  <c r="Q21" i="10"/>
  <c r="R21" i="10" s="1"/>
  <c r="T21" i="10" s="1"/>
  <c r="M21" i="10"/>
  <c r="K21" i="10"/>
  <c r="L21" i="10" s="1"/>
  <c r="DJ20" i="10"/>
  <c r="DI20" i="10"/>
  <c r="DR20" i="10" s="1"/>
  <c r="DH20" i="10"/>
  <c r="DG20" i="10"/>
  <c r="DF20" i="10"/>
  <c r="DE20" i="10"/>
  <c r="DD20" i="10"/>
  <c r="DC20" i="10"/>
  <c r="DB20" i="10"/>
  <c r="DK20" i="10" s="1"/>
  <c r="V20" i="10"/>
  <c r="U20" i="10"/>
  <c r="P20" i="10"/>
  <c r="DP20" i="10" s="1"/>
  <c r="O20" i="10"/>
  <c r="J20" i="10"/>
  <c r="L20" i="10" s="1"/>
  <c r="I20" i="10"/>
  <c r="H20" i="10"/>
  <c r="F20" i="10"/>
  <c r="E20" i="10"/>
  <c r="D19" i="7" s="1"/>
  <c r="DJ19" i="10"/>
  <c r="DI19" i="10"/>
  <c r="DH19" i="10"/>
  <c r="DG19" i="10"/>
  <c r="DF19" i="10"/>
  <c r="DE19" i="10"/>
  <c r="DD19" i="10"/>
  <c r="DC19" i="10"/>
  <c r="DB19" i="10"/>
  <c r="DK19" i="10" s="1"/>
  <c r="V19" i="10"/>
  <c r="U19" i="10"/>
  <c r="P19" i="10"/>
  <c r="R19" i="10" s="1"/>
  <c r="T19" i="10" s="1"/>
  <c r="O19" i="10"/>
  <c r="DO19" i="10" s="1"/>
  <c r="J19" i="10"/>
  <c r="I19" i="10"/>
  <c r="H19" i="10"/>
  <c r="F19" i="10"/>
  <c r="E19" i="10"/>
  <c r="DJ18" i="10"/>
  <c r="DI18" i="10"/>
  <c r="DR18" i="10" s="1"/>
  <c r="DH18" i="10"/>
  <c r="DQ18" i="10" s="1"/>
  <c r="DG18" i="10"/>
  <c r="DP18" i="10" s="1"/>
  <c r="DF18" i="10"/>
  <c r="DO18" i="10" s="1"/>
  <c r="DE18" i="10"/>
  <c r="DN18" i="10" s="1"/>
  <c r="DD18" i="10"/>
  <c r="DM18" i="10" s="1"/>
  <c r="DC18" i="10"/>
  <c r="DL18" i="10" s="1"/>
  <c r="DB18" i="10"/>
  <c r="DK18" i="10" s="1"/>
  <c r="Y18" i="10"/>
  <c r="W18" i="10"/>
  <c r="X18" i="10" s="1"/>
  <c r="Z18" i="10" s="1"/>
  <c r="S18" i="10"/>
  <c r="Q18" i="10"/>
  <c r="R18" i="10" s="1"/>
  <c r="T18" i="10" s="1"/>
  <c r="M18" i="10"/>
  <c r="K18" i="10"/>
  <c r="L18" i="10" s="1"/>
  <c r="N18" i="10" s="1"/>
  <c r="DJ17" i="10"/>
  <c r="DI17" i="10"/>
  <c r="DH17" i="10"/>
  <c r="DG17" i="10"/>
  <c r="DF17" i="10"/>
  <c r="DE17" i="10"/>
  <c r="DD17" i="10"/>
  <c r="DC17" i="10"/>
  <c r="DL17" i="10" s="1"/>
  <c r="DB17" i="10"/>
  <c r="DK17" i="10" s="1"/>
  <c r="V17" i="10"/>
  <c r="U17" i="10"/>
  <c r="P17" i="10"/>
  <c r="S17" i="10" s="1"/>
  <c r="O17" i="10"/>
  <c r="J17" i="10"/>
  <c r="I17" i="10"/>
  <c r="H17" i="10"/>
  <c r="F17" i="10"/>
  <c r="E17" i="10"/>
  <c r="DJ16" i="10"/>
  <c r="DI16" i="10"/>
  <c r="DH16" i="10"/>
  <c r="DG16" i="10"/>
  <c r="DF16" i="10"/>
  <c r="DE16" i="10"/>
  <c r="DN16" i="10" s="1"/>
  <c r="DD16" i="10"/>
  <c r="DC16" i="10"/>
  <c r="DB16" i="10"/>
  <c r="DK16" i="10" s="1"/>
  <c r="AD16" i="10"/>
  <c r="V16" i="10"/>
  <c r="U16" i="10"/>
  <c r="P16" i="10"/>
  <c r="O16" i="10"/>
  <c r="J16" i="10"/>
  <c r="M16" i="10" s="1"/>
  <c r="I16" i="10"/>
  <c r="H16" i="10"/>
  <c r="F16" i="10"/>
  <c r="E16" i="10"/>
  <c r="D15" i="7" s="1"/>
  <c r="DK15" i="10"/>
  <c r="DJ15" i="10"/>
  <c r="DI15" i="10"/>
  <c r="DR15" i="10" s="1"/>
  <c r="DH15" i="10"/>
  <c r="DQ15" i="10" s="1"/>
  <c r="DG15" i="10"/>
  <c r="DP15" i="10" s="1"/>
  <c r="DF15" i="10"/>
  <c r="DO15" i="10" s="1"/>
  <c r="DE15" i="10"/>
  <c r="DN15" i="10" s="1"/>
  <c r="DD15" i="10"/>
  <c r="DM15" i="10" s="1"/>
  <c r="DC15" i="10"/>
  <c r="DL15" i="10" s="1"/>
  <c r="DB15" i="10"/>
  <c r="Y15" i="10"/>
  <c r="W15" i="10"/>
  <c r="X15" i="10" s="1"/>
  <c r="Z15" i="10" s="1"/>
  <c r="S15" i="10"/>
  <c r="Q15" i="10"/>
  <c r="R15" i="10" s="1"/>
  <c r="T15" i="10" s="1"/>
  <c r="M15" i="10"/>
  <c r="K15" i="10"/>
  <c r="L15" i="10" s="1"/>
  <c r="DJ14" i="10"/>
  <c r="DI14" i="10"/>
  <c r="DR14" i="10" s="1"/>
  <c r="DH14" i="10"/>
  <c r="DQ14" i="10" s="1"/>
  <c r="DG14" i="10"/>
  <c r="DP14" i="10" s="1"/>
  <c r="DF14" i="10"/>
  <c r="DO14" i="10" s="1"/>
  <c r="DE14" i="10"/>
  <c r="DN14" i="10" s="1"/>
  <c r="DD14" i="10"/>
  <c r="DM14" i="10" s="1"/>
  <c r="DC14" i="10"/>
  <c r="DL14" i="10" s="1"/>
  <c r="DB14" i="10"/>
  <c r="DK14" i="10" s="1"/>
  <c r="Y14" i="10"/>
  <c r="W14" i="10"/>
  <c r="X14" i="10" s="1"/>
  <c r="Z14" i="10" s="1"/>
  <c r="S14" i="10"/>
  <c r="Q14" i="10"/>
  <c r="R14" i="10" s="1"/>
  <c r="T14" i="10" s="1"/>
  <c r="M14" i="10"/>
  <c r="K14" i="10"/>
  <c r="L14" i="10" s="1"/>
  <c r="N14" i="10" s="1"/>
  <c r="DJ13" i="10"/>
  <c r="DI13" i="10"/>
  <c r="DR13" i="10" s="1"/>
  <c r="DH13" i="10"/>
  <c r="DQ13" i="10" s="1"/>
  <c r="DG13" i="10"/>
  <c r="DP13" i="10" s="1"/>
  <c r="DF13" i="10"/>
  <c r="DO13" i="10" s="1"/>
  <c r="DE13" i="10"/>
  <c r="DN13" i="10" s="1"/>
  <c r="DD13" i="10"/>
  <c r="DM13" i="10" s="1"/>
  <c r="DC13" i="10"/>
  <c r="DL13" i="10" s="1"/>
  <c r="DB13" i="10"/>
  <c r="DK13" i="10" s="1"/>
  <c r="Y13" i="10"/>
  <c r="W13" i="10"/>
  <c r="X13" i="10" s="1"/>
  <c r="Z13" i="10" s="1"/>
  <c r="S13" i="10"/>
  <c r="Q13" i="10"/>
  <c r="R13" i="10" s="1"/>
  <c r="T13" i="10" s="1"/>
  <c r="M13" i="10"/>
  <c r="K13" i="10"/>
  <c r="L13" i="10" s="1"/>
  <c r="DJ12" i="10"/>
  <c r="DI12" i="10"/>
  <c r="DH12" i="10"/>
  <c r="DG12" i="10"/>
  <c r="DF12" i="10"/>
  <c r="DE12" i="10"/>
  <c r="DD12" i="10"/>
  <c r="DC12" i="10"/>
  <c r="DB12" i="10"/>
  <c r="DK12" i="10" s="1"/>
  <c r="V12" i="10"/>
  <c r="U12" i="10"/>
  <c r="P12" i="10"/>
  <c r="Q12" i="10" s="1"/>
  <c r="R12" i="10" s="1"/>
  <c r="T12" i="10" s="1"/>
  <c r="O12" i="10"/>
  <c r="J12" i="10"/>
  <c r="I12" i="10"/>
  <c r="H12" i="10"/>
  <c r="F12" i="10"/>
  <c r="E12" i="10"/>
  <c r="D11" i="7" s="1"/>
  <c r="AE12" i="9"/>
  <c r="AF235" i="6"/>
  <c r="AF236" i="6"/>
  <c r="AF208" i="6"/>
  <c r="AF56" i="6"/>
  <c r="AF19" i="6"/>
  <c r="AF53" i="6"/>
  <c r="AF233" i="6"/>
  <c r="AF96" i="6"/>
  <c r="AF247" i="6"/>
  <c r="AF26" i="6"/>
  <c r="AF178" i="6"/>
  <c r="AF57" i="6"/>
  <c r="AF234" i="6"/>
  <c r="AF68" i="6"/>
  <c r="AF73" i="6"/>
  <c r="AF255" i="6"/>
  <c r="AF256" i="6"/>
  <c r="AF98" i="6"/>
  <c r="AF46" i="6"/>
  <c r="AF99" i="6"/>
  <c r="AF62" i="6"/>
  <c r="AF61" i="6"/>
  <c r="AF25" i="6"/>
  <c r="AF201" i="6"/>
  <c r="AF179" i="6"/>
  <c r="AF200" i="6"/>
  <c r="AF180" i="6"/>
  <c r="AF254" i="6"/>
  <c r="AF45" i="6"/>
  <c r="AF49" i="6"/>
  <c r="AF163" i="6"/>
  <c r="AF159" i="6"/>
  <c r="AF210" i="6"/>
  <c r="AF228" i="6"/>
  <c r="AF161" i="6"/>
  <c r="AF229" i="6"/>
  <c r="AF204" i="6"/>
  <c r="AF24" i="6"/>
  <c r="AF232" i="6"/>
  <c r="AF14" i="6"/>
  <c r="AF40" i="6"/>
  <c r="AF107" i="6"/>
  <c r="AF189" i="6"/>
  <c r="AF39" i="6"/>
  <c r="AF106" i="6"/>
  <c r="AF13" i="6"/>
  <c r="AF15" i="6"/>
  <c r="AF41" i="6"/>
  <c r="AF108" i="6"/>
  <c r="AF89" i="6"/>
  <c r="AF58" i="6"/>
  <c r="AF36" i="6"/>
  <c r="AF37" i="6"/>
  <c r="AF191" i="6"/>
  <c r="AF192" i="6"/>
  <c r="AF157" i="6"/>
  <c r="AF165" i="6"/>
  <c r="AF81" i="6"/>
  <c r="AF156" i="6"/>
  <c r="AF20" i="6"/>
  <c r="AF42" i="6"/>
  <c r="AF104" i="6"/>
  <c r="AF185" i="6"/>
  <c r="AF186" i="6"/>
  <c r="AF187" i="6"/>
  <c r="AF212" i="6"/>
  <c r="AF199" i="6"/>
  <c r="AF177" i="6"/>
  <c r="AF170" i="6"/>
  <c r="AF197" i="6"/>
  <c r="AF67" i="6"/>
  <c r="AF244" i="6"/>
  <c r="AF80" i="6"/>
  <c r="AF21" i="6"/>
  <c r="AF248" i="6"/>
  <c r="AF52" i="6"/>
  <c r="AF190" i="6"/>
  <c r="AF85" i="6"/>
  <c r="AF51" i="6"/>
  <c r="AF113" i="6"/>
  <c r="AF84" i="6"/>
  <c r="AF227" i="6"/>
  <c r="AF222" i="6"/>
  <c r="AF223" i="6"/>
  <c r="AF224" i="6"/>
  <c r="AF220" i="6"/>
  <c r="AF225" i="6"/>
  <c r="AF226" i="6"/>
  <c r="AF221" i="6"/>
  <c r="AF114" i="6"/>
  <c r="AF188" i="6"/>
  <c r="AF231" i="6"/>
  <c r="AF230" i="6"/>
  <c r="AF183" i="6"/>
  <c r="AF172" i="6"/>
  <c r="AF69" i="6"/>
  <c r="AF75" i="6"/>
  <c r="AF76" i="6"/>
  <c r="AF249" i="6"/>
  <c r="AF250" i="6"/>
  <c r="AF251" i="6"/>
  <c r="AF252" i="6"/>
  <c r="AF253" i="6"/>
  <c r="AF66" i="6"/>
  <c r="AF60" i="6"/>
  <c r="AF237" i="6"/>
  <c r="AF93" i="6"/>
  <c r="AF29" i="6"/>
  <c r="AF77" i="6"/>
  <c r="AF64" i="6"/>
  <c r="AF181" i="6"/>
  <c r="AF92" i="6"/>
  <c r="AF203" i="6"/>
  <c r="AF86" i="6"/>
  <c r="AF171" i="6"/>
  <c r="AF202" i="6"/>
  <c r="AF54" i="6"/>
  <c r="AF209" i="6"/>
  <c r="AF175" i="6"/>
  <c r="AF70" i="6"/>
  <c r="AF79" i="6"/>
  <c r="AF198" i="6"/>
  <c r="AF173" i="6"/>
  <c r="AF158" i="6"/>
  <c r="AF242" i="6"/>
  <c r="AF243" i="6"/>
  <c r="AF100" i="6"/>
  <c r="AF110" i="6"/>
  <c r="AF48" i="6"/>
  <c r="AF207" i="6"/>
  <c r="AF214" i="6"/>
  <c r="AF257" i="6"/>
  <c r="AF50" i="6"/>
  <c r="AF245" i="6"/>
  <c r="AF162" i="6"/>
  <c r="AF160" i="6"/>
  <c r="AF141" i="6"/>
  <c r="AF240" i="6"/>
  <c r="AF71" i="6"/>
  <c r="AF211" i="6"/>
  <c r="AF23" i="6"/>
  <c r="AF78" i="6"/>
  <c r="AF91" i="6"/>
  <c r="AF213" i="6"/>
  <c r="AF31" i="6"/>
  <c r="AF32" i="6"/>
  <c r="AF30" i="6"/>
  <c r="AF34" i="6"/>
  <c r="AF33" i="6"/>
  <c r="AF72" i="6"/>
  <c r="AF219" i="6"/>
  <c r="AF153" i="6"/>
  <c r="AF154" i="6"/>
  <c r="AF148" i="6"/>
  <c r="AF124" i="6"/>
  <c r="AF143" i="6"/>
  <c r="AF144" i="6"/>
  <c r="AF128" i="6"/>
  <c r="AF152" i="6"/>
  <c r="AF125" i="6"/>
  <c r="AF129" i="6"/>
  <c r="AF149" i="6"/>
  <c r="AF151" i="6"/>
  <c r="AF150" i="6"/>
  <c r="AF134" i="6"/>
  <c r="AF131" i="6"/>
  <c r="AF135" i="6"/>
  <c r="AF137" i="6"/>
  <c r="AF133" i="6"/>
  <c r="AF132" i="6"/>
  <c r="AF136" i="6"/>
  <c r="AF138" i="6"/>
  <c r="AF126" i="6"/>
  <c r="AF155" i="6"/>
  <c r="AF127" i="6"/>
  <c r="AF140" i="6"/>
  <c r="AF139" i="6"/>
  <c r="AF146" i="6"/>
  <c r="AF145" i="6"/>
  <c r="AF147" i="6"/>
  <c r="AF130" i="6"/>
  <c r="AF142" i="6"/>
  <c r="AF174" i="6"/>
  <c r="AF196" i="6"/>
  <c r="AF169" i="6"/>
  <c r="AF101" i="6"/>
  <c r="AF102" i="6"/>
  <c r="AF103" i="6"/>
  <c r="AF90" i="6"/>
  <c r="AF193" i="6"/>
  <c r="AF164" i="6"/>
  <c r="AF12" i="6"/>
  <c r="AF38" i="6"/>
  <c r="AF105" i="6"/>
  <c r="AF184" i="6"/>
  <c r="AF194" i="6"/>
  <c r="AF166" i="6"/>
  <c r="AF74" i="6"/>
  <c r="AF35" i="6"/>
  <c r="AF63" i="6"/>
  <c r="AF122" i="6"/>
  <c r="AF123" i="6"/>
  <c r="AF118" i="6"/>
  <c r="AF121" i="6"/>
  <c r="AF117" i="6"/>
  <c r="AF119" i="6"/>
  <c r="AF120" i="6"/>
  <c r="AF17" i="6"/>
  <c r="AF44" i="6"/>
  <c r="AF43" i="6"/>
  <c r="AF16" i="6"/>
  <c r="AF115" i="6"/>
  <c r="AF116" i="6"/>
  <c r="AF27" i="6"/>
  <c r="AF47" i="6"/>
  <c r="AF97" i="6"/>
  <c r="AF95" i="6"/>
  <c r="AF195" i="6"/>
  <c r="AF18" i="6"/>
  <c r="AF109" i="6"/>
  <c r="AF65" i="6"/>
  <c r="AF59" i="6"/>
  <c r="AF82" i="6"/>
  <c r="AF241" i="6"/>
  <c r="AF83" i="6"/>
  <c r="AF246" i="6"/>
  <c r="AF206" i="6"/>
  <c r="AF167" i="6"/>
  <c r="AF176" i="6"/>
  <c r="AF88" i="6"/>
  <c r="AF87" i="6"/>
  <c r="AF205" i="6"/>
  <c r="AF258" i="6"/>
  <c r="AF217" i="6"/>
  <c r="AF215" i="6"/>
  <c r="AF216" i="6"/>
  <c r="AF22" i="6"/>
  <c r="AF94" i="6"/>
  <c r="AF218" i="6"/>
  <c r="AF182" i="6"/>
  <c r="AF55" i="6"/>
  <c r="AF238" i="6"/>
  <c r="AF239" i="6"/>
  <c r="AF28" i="6"/>
  <c r="AF168" i="6"/>
  <c r="J174" i="6"/>
  <c r="DU158" i="6"/>
  <c r="U199" i="6"/>
  <c r="O199" i="6"/>
  <c r="J156" i="6"/>
  <c r="Q232" i="6"/>
  <c r="DM17" i="10" l="1"/>
  <c r="AA52" i="10"/>
  <c r="DN93" i="10"/>
  <c r="DP94" i="10"/>
  <c r="DR98" i="10"/>
  <c r="S24" i="10"/>
  <c r="DO93" i="10"/>
  <c r="DQ94" i="10"/>
  <c r="DO255" i="10"/>
  <c r="DR94" i="10"/>
  <c r="DR16" i="10"/>
  <c r="DQ93" i="10"/>
  <c r="DR199" i="10"/>
  <c r="DQ254" i="10"/>
  <c r="DP42" i="10"/>
  <c r="DM104" i="10"/>
  <c r="S38" i="10"/>
  <c r="AA89" i="10"/>
  <c r="DM48" i="10"/>
  <c r="DN48" i="10"/>
  <c r="DP104" i="10"/>
  <c r="DQ98" i="10"/>
  <c r="DM105" i="10"/>
  <c r="AA154" i="10"/>
  <c r="DR46" i="10"/>
  <c r="DR19" i="10"/>
  <c r="K266" i="10"/>
  <c r="AC41" i="10"/>
  <c r="DP17" i="10"/>
  <c r="DP24" i="10"/>
  <c r="DO44" i="10"/>
  <c r="AC251" i="10"/>
  <c r="DP44" i="10"/>
  <c r="DL20" i="10"/>
  <c r="Q48" i="10"/>
  <c r="R48" i="10" s="1"/>
  <c r="T48" i="10" s="1"/>
  <c r="AA114" i="10"/>
  <c r="AB114" i="10" s="1"/>
  <c r="G110" i="7" s="1"/>
  <c r="N110" i="7" s="1"/>
  <c r="AA179" i="10"/>
  <c r="F175" i="7" s="1"/>
  <c r="L175" i="7" s="1"/>
  <c r="Q105" i="10"/>
  <c r="R105" i="10" s="1"/>
  <c r="T105" i="10" s="1"/>
  <c r="AB52" i="10"/>
  <c r="F51" i="7"/>
  <c r="L51" i="7" s="1"/>
  <c r="G51" i="7"/>
  <c r="N51" i="7" s="1"/>
  <c r="N258" i="10"/>
  <c r="AC258" i="10" s="1"/>
  <c r="AA258" i="10"/>
  <c r="AB89" i="10"/>
  <c r="F88" i="7"/>
  <c r="L88" i="7" s="1"/>
  <c r="G88" i="7"/>
  <c r="N88" i="7" s="1"/>
  <c r="AC33" i="10"/>
  <c r="N103" i="10"/>
  <c r="AC103" i="10" s="1"/>
  <c r="AA103" i="10"/>
  <c r="S46" i="10"/>
  <c r="Q46" i="10"/>
  <c r="Y256" i="10"/>
  <c r="AB154" i="10"/>
  <c r="F150" i="7"/>
  <c r="L150" i="7" s="1"/>
  <c r="G150" i="7"/>
  <c r="N150" i="7" s="1"/>
  <c r="W255" i="10"/>
  <c r="X255" i="10" s="1"/>
  <c r="Z255" i="10" s="1"/>
  <c r="AB56" i="10"/>
  <c r="G55" i="7"/>
  <c r="N55" i="7" s="1"/>
  <c r="F55" i="7"/>
  <c r="L55" i="7" s="1"/>
  <c r="W199" i="10"/>
  <c r="X199" i="10" s="1"/>
  <c r="Z199" i="10" s="1"/>
  <c r="Y199" i="10"/>
  <c r="AB181" i="10"/>
  <c r="G177" i="7" s="1"/>
  <c r="N177" i="7" s="1"/>
  <c r="F177" i="7"/>
  <c r="L177" i="7" s="1"/>
  <c r="AD46" i="10"/>
  <c r="DS46" i="10" s="1"/>
  <c r="G45" i="7"/>
  <c r="N45" i="7" s="1"/>
  <c r="AB151" i="10"/>
  <c r="F147" i="7"/>
  <c r="L147" i="7" s="1"/>
  <c r="G147" i="7"/>
  <c r="N147" i="7" s="1"/>
  <c r="DO17" i="10"/>
  <c r="DL24" i="10"/>
  <c r="DL43" i="10"/>
  <c r="AC60" i="10"/>
  <c r="DS16" i="10"/>
  <c r="DR255" i="10"/>
  <c r="DQ256" i="10"/>
  <c r="DN24" i="10"/>
  <c r="AA61" i="10"/>
  <c r="M48" i="10"/>
  <c r="K48" i="10"/>
  <c r="L48" i="10" s="1"/>
  <c r="DO43" i="10"/>
  <c r="AC155" i="10"/>
  <c r="DO24" i="10"/>
  <c r="DP45" i="10"/>
  <c r="DM20" i="10"/>
  <c r="DO49" i="10"/>
  <c r="DL19" i="10"/>
  <c r="D18" i="7"/>
  <c r="N85" i="10"/>
  <c r="AC85" i="10" s="1"/>
  <c r="AA85" i="10"/>
  <c r="M105" i="10"/>
  <c r="AA141" i="10"/>
  <c r="DP46" i="10"/>
  <c r="AA88" i="10"/>
  <c r="AC249" i="10"/>
  <c r="DR254" i="10"/>
  <c r="Y254" i="10"/>
  <c r="W254" i="10"/>
  <c r="DM44" i="10"/>
  <c r="DM98" i="10"/>
  <c r="AC118" i="10"/>
  <c r="AC127" i="10"/>
  <c r="AC157" i="10"/>
  <c r="AC239" i="10"/>
  <c r="DQ44" i="10"/>
  <c r="AC101" i="10"/>
  <c r="DM19" i="10"/>
  <c r="DN43" i="10"/>
  <c r="DR44" i="10"/>
  <c r="DO45" i="10"/>
  <c r="DM93" i="10"/>
  <c r="DN19" i="10"/>
  <c r="DQ24" i="10"/>
  <c r="DO46" i="10"/>
  <c r="DN96" i="10"/>
  <c r="DQ42" i="10"/>
  <c r="AC95" i="10"/>
  <c r="AA146" i="10"/>
  <c r="DP16" i="10"/>
  <c r="DQ16" i="10"/>
  <c r="DN17" i="10"/>
  <c r="DL44" i="10"/>
  <c r="DL105" i="10"/>
  <c r="DP255" i="10"/>
  <c r="DR49" i="10"/>
  <c r="AC89" i="10"/>
  <c r="DQ104" i="10"/>
  <c r="DM256" i="10"/>
  <c r="DN42" i="10"/>
  <c r="Q44" i="10"/>
  <c r="R44" i="10" s="1"/>
  <c r="T44" i="10" s="1"/>
  <c r="DR104" i="10"/>
  <c r="DR114" i="10"/>
  <c r="AA147" i="10"/>
  <c r="AA164" i="10"/>
  <c r="AA218" i="10"/>
  <c r="AA27" i="10"/>
  <c r="Z27" i="10"/>
  <c r="AC27" i="10" s="1"/>
  <c r="T76" i="10"/>
  <c r="AC76" i="10" s="1"/>
  <c r="AA76" i="10"/>
  <c r="Z51" i="10"/>
  <c r="AC51" i="10" s="1"/>
  <c r="AA51" i="10"/>
  <c r="N68" i="10"/>
  <c r="AC68" i="10" s="1"/>
  <c r="AA68" i="10"/>
  <c r="AA63" i="10"/>
  <c r="N63" i="10"/>
  <c r="AC63" i="10" s="1"/>
  <c r="N97" i="10"/>
  <c r="AC97" i="10" s="1"/>
  <c r="AA97" i="10"/>
  <c r="DN45" i="10"/>
  <c r="L43" i="10"/>
  <c r="N43" i="10" s="1"/>
  <c r="AC43" i="10" s="1"/>
  <c r="DL46" i="10"/>
  <c r="M45" i="10"/>
  <c r="Y42" i="10"/>
  <c r="M96" i="10"/>
  <c r="DR12" i="10"/>
  <c r="AA34" i="10"/>
  <c r="DR38" i="10"/>
  <c r="DN98" i="10"/>
  <c r="M20" i="10"/>
  <c r="M38" i="10"/>
  <c r="K49" i="10"/>
  <c r="L49" i="10" s="1"/>
  <c r="K93" i="10"/>
  <c r="L93" i="10" s="1"/>
  <c r="DP19" i="10"/>
  <c r="R96" i="10"/>
  <c r="T96" i="10" s="1"/>
  <c r="S96" i="10"/>
  <c r="AA101" i="10"/>
  <c r="N28" i="10"/>
  <c r="AC28" i="10" s="1"/>
  <c r="AA28" i="10"/>
  <c r="DN44" i="10"/>
  <c r="DL42" i="10"/>
  <c r="K44" i="10"/>
  <c r="L44" i="10" s="1"/>
  <c r="N44" i="10" s="1"/>
  <c r="DR42" i="10"/>
  <c r="M93" i="10"/>
  <c r="N58" i="10"/>
  <c r="AC58" i="10" s="1"/>
  <c r="AA58" i="10"/>
  <c r="M43" i="10"/>
  <c r="X19" i="10"/>
  <c r="Z19" i="10" s="1"/>
  <c r="Y19" i="10"/>
  <c r="AC72" i="10"/>
  <c r="L38" i="10"/>
  <c r="N38" i="10" s="1"/>
  <c r="DO42" i="10"/>
  <c r="K17" i="10"/>
  <c r="L17" i="10" s="1"/>
  <c r="N17" i="10" s="1"/>
  <c r="M17" i="10"/>
  <c r="DM24" i="10"/>
  <c r="DM42" i="10"/>
  <c r="S12" i="10"/>
  <c r="AC14" i="10"/>
  <c r="DQ19" i="10"/>
  <c r="S20" i="10"/>
  <c r="DL48" i="10"/>
  <c r="DP49" i="10"/>
  <c r="AA80" i="10"/>
  <c r="DM96" i="10"/>
  <c r="W98" i="10"/>
  <c r="X98" i="10" s="1"/>
  <c r="Z98" i="10" s="1"/>
  <c r="Y98" i="10"/>
  <c r="DO104" i="10"/>
  <c r="N107" i="10"/>
  <c r="AC107" i="10" s="1"/>
  <c r="AA107" i="10"/>
  <c r="DO96" i="10"/>
  <c r="Q93" i="10"/>
  <c r="R93" i="10" s="1"/>
  <c r="T93" i="10" s="1"/>
  <c r="DQ96" i="10"/>
  <c r="R104" i="10"/>
  <c r="T104" i="10" s="1"/>
  <c r="DM12" i="10"/>
  <c r="DN20" i="10"/>
  <c r="R24" i="10"/>
  <c r="T24" i="10" s="1"/>
  <c r="R42" i="10"/>
  <c r="T42" i="10" s="1"/>
  <c r="DL49" i="10"/>
  <c r="DO105" i="10"/>
  <c r="DO98" i="10"/>
  <c r="DP105" i="10"/>
  <c r="AA108" i="10"/>
  <c r="DN12" i="10"/>
  <c r="DO20" i="10"/>
  <c r="DO12" i="10"/>
  <c r="AA22" i="10"/>
  <c r="DO38" i="10"/>
  <c r="DN49" i="10"/>
  <c r="AC75" i="10"/>
  <c r="DP98" i="10"/>
  <c r="DQ105" i="10"/>
  <c r="DM45" i="10"/>
  <c r="DN38" i="10"/>
  <c r="DM49" i="10"/>
  <c r="DL12" i="10"/>
  <c r="DP12" i="10"/>
  <c r="DM16" i="10"/>
  <c r="DQ20" i="10"/>
  <c r="DP38" i="10"/>
  <c r="AA83" i="10"/>
  <c r="DR105" i="10"/>
  <c r="N165" i="10"/>
  <c r="AC165" i="10" s="1"/>
  <c r="AA165" i="10"/>
  <c r="AA118" i="10"/>
  <c r="AA226" i="10"/>
  <c r="M255" i="10"/>
  <c r="N206" i="10"/>
  <c r="AC206" i="10" s="1"/>
  <c r="AA206" i="10"/>
  <c r="AC115" i="10"/>
  <c r="N153" i="10"/>
  <c r="AC153" i="10" s="1"/>
  <c r="AA153" i="10"/>
  <c r="N145" i="10"/>
  <c r="AC145" i="10" s="1"/>
  <c r="AA145" i="10"/>
  <c r="N168" i="10"/>
  <c r="AC168" i="10" s="1"/>
  <c r="AA168" i="10"/>
  <c r="AA219" i="10"/>
  <c r="T170" i="10"/>
  <c r="AC170" i="10" s="1"/>
  <c r="AA170" i="10"/>
  <c r="Z141" i="10"/>
  <c r="AC141" i="10" s="1"/>
  <c r="N182" i="10"/>
  <c r="AC182" i="10" s="1"/>
  <c r="AA182" i="10"/>
  <c r="N250" i="10"/>
  <c r="AC250" i="10" s="1"/>
  <c r="AA250" i="10"/>
  <c r="N132" i="10"/>
  <c r="AC132" i="10" s="1"/>
  <c r="AA132" i="10"/>
  <c r="AC128" i="10"/>
  <c r="T244" i="10"/>
  <c r="AC244" i="10" s="1"/>
  <c r="AA244" i="10"/>
  <c r="N219" i="10"/>
  <c r="AC219" i="10" s="1"/>
  <c r="AC129" i="10"/>
  <c r="AA149" i="10"/>
  <c r="AA197" i="10"/>
  <c r="DP256" i="10"/>
  <c r="AA124" i="10"/>
  <c r="T114" i="10"/>
  <c r="AC114" i="10" s="1"/>
  <c r="AA143" i="10"/>
  <c r="N146" i="10"/>
  <c r="AC146" i="10" s="1"/>
  <c r="DM255" i="10"/>
  <c r="AA246" i="10"/>
  <c r="AA234" i="10"/>
  <c r="T234" i="10"/>
  <c r="AC234" i="10" s="1"/>
  <c r="Z246" i="10"/>
  <c r="AC246" i="10" s="1"/>
  <c r="AC213" i="10"/>
  <c r="Y114" i="10"/>
  <c r="AA121" i="10"/>
  <c r="AA127" i="10"/>
  <c r="AC150" i="10"/>
  <c r="DN255" i="10"/>
  <c r="N134" i="10"/>
  <c r="AC134" i="10" s="1"/>
  <c r="AA134" i="10"/>
  <c r="AA229" i="10"/>
  <c r="AA249" i="10"/>
  <c r="AA257" i="10"/>
  <c r="AA139" i="10"/>
  <c r="N203" i="10"/>
  <c r="AC203" i="10" s="1"/>
  <c r="AA203" i="10"/>
  <c r="AC211" i="10"/>
  <c r="AA135" i="10"/>
  <c r="AC154" i="10"/>
  <c r="AA173" i="10"/>
  <c r="DR256" i="10"/>
  <c r="N21" i="10"/>
  <c r="AC21" i="10" s="1"/>
  <c r="AA21" i="10"/>
  <c r="AA64" i="10"/>
  <c r="Z64" i="10"/>
  <c r="AC64" i="10" s="1"/>
  <c r="AA13" i="10"/>
  <c r="N13" i="10"/>
  <c r="AC13" i="10" s="1"/>
  <c r="AA36" i="10"/>
  <c r="T36" i="10"/>
  <c r="AC36" i="10" s="1"/>
  <c r="AA92" i="10"/>
  <c r="Z92" i="10"/>
  <c r="AC92" i="10" s="1"/>
  <c r="N50" i="10"/>
  <c r="AC50" i="10" s="1"/>
  <c r="AA50" i="10"/>
  <c r="N77" i="10"/>
  <c r="AC77" i="10" s="1"/>
  <c r="AA77" i="10"/>
  <c r="AA194" i="10"/>
  <c r="T194" i="10"/>
  <c r="AC194" i="10" s="1"/>
  <c r="N15" i="10"/>
  <c r="AC15" i="10" s="1"/>
  <c r="AA15" i="10"/>
  <c r="AA29" i="10"/>
  <c r="Z29" i="10"/>
  <c r="AC29" i="10" s="1"/>
  <c r="N74" i="10"/>
  <c r="AC74" i="10" s="1"/>
  <c r="AA74" i="10"/>
  <c r="AC26" i="10"/>
  <c r="AA156" i="10"/>
  <c r="N156" i="10"/>
  <c r="AC156" i="10" s="1"/>
  <c r="N23" i="10"/>
  <c r="AC23" i="10" s="1"/>
  <c r="AA23" i="10"/>
  <c r="AA35" i="10"/>
  <c r="T35" i="10"/>
  <c r="AC35" i="10" s="1"/>
  <c r="N105" i="10"/>
  <c r="N66" i="10"/>
  <c r="AC66" i="10" s="1"/>
  <c r="AA66" i="10"/>
  <c r="T100" i="10"/>
  <c r="AC100" i="10" s="1"/>
  <c r="AA100" i="10"/>
  <c r="N57" i="10"/>
  <c r="AC57" i="10" s="1"/>
  <c r="AA57" i="10"/>
  <c r="Z169" i="10"/>
  <c r="AC169" i="10" s="1"/>
  <c r="AA169" i="10"/>
  <c r="N189" i="10"/>
  <c r="AC189" i="10" s="1"/>
  <c r="AA189" i="10"/>
  <c r="AA30" i="10"/>
  <c r="T30" i="10"/>
  <c r="AC30" i="10" s="1"/>
  <c r="AC18" i="10"/>
  <c r="Z42" i="10"/>
  <c r="N67" i="10"/>
  <c r="AC67" i="10" s="1"/>
  <c r="AA67" i="10"/>
  <c r="AC86" i="10"/>
  <c r="S43" i="10"/>
  <c r="AA79" i="10"/>
  <c r="N80" i="10"/>
  <c r="AC80" i="10" s="1"/>
  <c r="Y38" i="10"/>
  <c r="AC39" i="10"/>
  <c r="N133" i="10"/>
  <c r="AC133" i="10" s="1"/>
  <c r="AA133" i="10"/>
  <c r="AA144" i="10"/>
  <c r="Z144" i="10"/>
  <c r="AC144" i="10" s="1"/>
  <c r="AA162" i="10"/>
  <c r="N162" i="10"/>
  <c r="AC162" i="10" s="1"/>
  <c r="Z220" i="10"/>
  <c r="AC220" i="10" s="1"/>
  <c r="AA220" i="10"/>
  <c r="AA54" i="10"/>
  <c r="N54" i="10"/>
  <c r="AC54" i="10" s="1"/>
  <c r="AA65" i="10"/>
  <c r="N65" i="10"/>
  <c r="AC65" i="10" s="1"/>
  <c r="W17" i="10"/>
  <c r="X17" i="10" s="1"/>
  <c r="Z17" i="10" s="1"/>
  <c r="K19" i="10"/>
  <c r="L19" i="10" s="1"/>
  <c r="N47" i="10"/>
  <c r="AC47" i="10" s="1"/>
  <c r="AA47" i="10"/>
  <c r="N56" i="10"/>
  <c r="AC56" i="10" s="1"/>
  <c r="AA158" i="10"/>
  <c r="N158" i="10"/>
  <c r="AC158" i="10" s="1"/>
  <c r="S16" i="10"/>
  <c r="M19" i="10"/>
  <c r="W44" i="10"/>
  <c r="X44" i="10" s="1"/>
  <c r="Y44" i="10"/>
  <c r="DR45" i="10"/>
  <c r="N109" i="10"/>
  <c r="AC109" i="10" s="1"/>
  <c r="AA109" i="10"/>
  <c r="N140" i="10"/>
  <c r="AC140" i="10" s="1"/>
  <c r="AA140" i="10"/>
  <c r="M12" i="10"/>
  <c r="AA31" i="10"/>
  <c r="N31" i="10"/>
  <c r="AC31" i="10" s="1"/>
  <c r="Q49" i="10"/>
  <c r="R49" i="10" s="1"/>
  <c r="T49" i="10" s="1"/>
  <c r="AA60" i="10"/>
  <c r="AC71" i="10"/>
  <c r="N73" i="10"/>
  <c r="AC73" i="10" s="1"/>
  <c r="AA73" i="10"/>
  <c r="AA75" i="10"/>
  <c r="X93" i="10"/>
  <c r="Z93" i="10" s="1"/>
  <c r="DR93" i="10"/>
  <c r="AA152" i="10"/>
  <c r="AA159" i="10"/>
  <c r="N159" i="10"/>
  <c r="AC159" i="10" s="1"/>
  <c r="N212" i="10"/>
  <c r="AC212" i="10" s="1"/>
  <c r="AA212" i="10"/>
  <c r="AC238" i="10"/>
  <c r="K12" i="10"/>
  <c r="L12" i="10" s="1"/>
  <c r="Y16" i="10"/>
  <c r="W16" i="10"/>
  <c r="X16" i="10" s="1"/>
  <c r="Z16" i="10" s="1"/>
  <c r="W24" i="10"/>
  <c r="X24" i="10" s="1"/>
  <c r="Z24" i="10" s="1"/>
  <c r="N52" i="10"/>
  <c r="AC52" i="10" s="1"/>
  <c r="AD52" i="10" s="1"/>
  <c r="DS52" i="10" s="1"/>
  <c r="AA78" i="10"/>
  <c r="N78" i="10"/>
  <c r="AC78" i="10" s="1"/>
  <c r="N83" i="10"/>
  <c r="AC83" i="10" s="1"/>
  <c r="AA91" i="10"/>
  <c r="DQ12" i="10"/>
  <c r="R20" i="10"/>
  <c r="T20" i="10" s="1"/>
  <c r="AA25" i="10"/>
  <c r="W38" i="10"/>
  <c r="X38" i="10" s="1"/>
  <c r="Z38" i="10" s="1"/>
  <c r="AA55" i="10"/>
  <c r="N55" i="10"/>
  <c r="AC55" i="10" s="1"/>
  <c r="T152" i="10"/>
  <c r="AC152" i="10" s="1"/>
  <c r="N184" i="10"/>
  <c r="AC184" i="10" s="1"/>
  <c r="AA184" i="10"/>
  <c r="W45" i="10"/>
  <c r="X45" i="10" s="1"/>
  <c r="Z191" i="10"/>
  <c r="AC191" i="10" s="1"/>
  <c r="AA191" i="10"/>
  <c r="N108" i="10"/>
  <c r="AC108" i="10" s="1"/>
  <c r="N185" i="10"/>
  <c r="AC185" i="10" s="1"/>
  <c r="AA185" i="10"/>
  <c r="AA148" i="10"/>
  <c r="N148" i="10"/>
  <c r="AC148" i="10" s="1"/>
  <c r="Q16" i="10"/>
  <c r="R16" i="10" s="1"/>
  <c r="T16" i="10" s="1"/>
  <c r="S49" i="10"/>
  <c r="AC81" i="10"/>
  <c r="AC25" i="10"/>
  <c r="N122" i="10"/>
  <c r="AC122" i="10" s="1"/>
  <c r="AA122" i="10"/>
  <c r="Y20" i="10"/>
  <c r="W20" i="10"/>
  <c r="X20" i="10" s="1"/>
  <c r="Z116" i="10"/>
  <c r="AC116" i="10" s="1"/>
  <c r="AA116" i="10"/>
  <c r="Z22" i="10"/>
  <c r="AC22" i="10" s="1"/>
  <c r="N61" i="10"/>
  <c r="AC61" i="10" s="1"/>
  <c r="DQ17" i="10"/>
  <c r="Z34" i="10"/>
  <c r="AC34" i="10" s="1"/>
  <c r="DP43" i="10"/>
  <c r="N173" i="10"/>
  <c r="AC173" i="10" s="1"/>
  <c r="AA87" i="10"/>
  <c r="N87" i="10"/>
  <c r="AC87" i="10" s="1"/>
  <c r="N183" i="10"/>
  <c r="AC183" i="10" s="1"/>
  <c r="AA183" i="10"/>
  <c r="N187" i="10"/>
  <c r="AC187" i="10" s="1"/>
  <c r="AA187" i="10"/>
  <c r="S199" i="10"/>
  <c r="Q199" i="10"/>
  <c r="R199" i="10" s="1"/>
  <c r="T199" i="10" s="1"/>
  <c r="AA225" i="10"/>
  <c r="N225" i="10"/>
  <c r="AC225" i="10" s="1"/>
  <c r="L24" i="10"/>
  <c r="AA37" i="10"/>
  <c r="N37" i="10"/>
  <c r="AC37" i="10" s="1"/>
  <c r="Y17" i="10"/>
  <c r="N82" i="10"/>
  <c r="AC82" i="10" s="1"/>
  <c r="AA82" i="10"/>
  <c r="N136" i="10"/>
  <c r="AC136" i="10" s="1"/>
  <c r="AA136" i="10"/>
  <c r="N164" i="10"/>
  <c r="AC164" i="10" s="1"/>
  <c r="N166" i="10"/>
  <c r="AC166" i="10" s="1"/>
  <c r="AA166" i="10"/>
  <c r="N178" i="10"/>
  <c r="AC178" i="10" s="1"/>
  <c r="AA178" i="10"/>
  <c r="AA201" i="10"/>
  <c r="N201" i="10"/>
  <c r="AC201" i="10" s="1"/>
  <c r="AA14" i="10"/>
  <c r="N59" i="10"/>
  <c r="AC59" i="10" s="1"/>
  <c r="AA59" i="10"/>
  <c r="N161" i="10"/>
  <c r="AC161" i="10" s="1"/>
  <c r="AA161" i="10"/>
  <c r="AA175" i="10"/>
  <c r="N175" i="10"/>
  <c r="AC175" i="10" s="1"/>
  <c r="AA215" i="10"/>
  <c r="N215" i="10"/>
  <c r="AC215" i="10" s="1"/>
  <c r="N20" i="10"/>
  <c r="AA72" i="10"/>
  <c r="N142" i="10"/>
  <c r="AC142" i="10" s="1"/>
  <c r="AA142" i="10"/>
  <c r="N181" i="10"/>
  <c r="AC181" i="10" s="1"/>
  <c r="N190" i="10"/>
  <c r="AC190" i="10" s="1"/>
  <c r="AA190" i="10"/>
  <c r="T209" i="10"/>
  <c r="AC209" i="10" s="1"/>
  <c r="AA209" i="10"/>
  <c r="AA18" i="10"/>
  <c r="N48" i="10"/>
  <c r="AA86" i="10"/>
  <c r="AC91" i="10"/>
  <c r="AA126" i="10"/>
  <c r="Z126" i="10"/>
  <c r="AC126" i="10" s="1"/>
  <c r="N138" i="10"/>
  <c r="AC138" i="10" s="1"/>
  <c r="AA138" i="10"/>
  <c r="AA176" i="10"/>
  <c r="N176" i="10"/>
  <c r="AC176" i="10" s="1"/>
  <c r="AA196" i="10"/>
  <c r="DP199" i="10"/>
  <c r="AA231" i="10"/>
  <c r="N231" i="10"/>
  <c r="AC231" i="10" s="1"/>
  <c r="AA236" i="10"/>
  <c r="N236" i="10"/>
  <c r="AC236" i="10" s="1"/>
  <c r="T240" i="10"/>
  <c r="AC240" i="10" s="1"/>
  <c r="AA240" i="10"/>
  <c r="AA243" i="10"/>
  <c r="T243" i="10"/>
  <c r="AC243" i="10" s="1"/>
  <c r="AA41" i="10"/>
  <c r="DL16" i="10"/>
  <c r="DL38" i="10"/>
  <c r="N88" i="10"/>
  <c r="AC88" i="10" s="1"/>
  <c r="AC143" i="10"/>
  <c r="T167" i="10"/>
  <c r="AC167" i="10" s="1"/>
  <c r="AA167" i="10"/>
  <c r="N179" i="10"/>
  <c r="AC179" i="10" s="1"/>
  <c r="T196" i="10"/>
  <c r="AC196" i="10" s="1"/>
  <c r="AA40" i="10"/>
  <c r="N40" i="10"/>
  <c r="AC40" i="10" s="1"/>
  <c r="W46" i="10"/>
  <c r="X46" i="10" s="1"/>
  <c r="Z46" i="10" s="1"/>
  <c r="AA53" i="10"/>
  <c r="AA84" i="10"/>
  <c r="N84" i="10"/>
  <c r="AC84" i="10" s="1"/>
  <c r="AA99" i="10"/>
  <c r="N99" i="10"/>
  <c r="AC99" i="10" s="1"/>
  <c r="N125" i="10"/>
  <c r="AC125" i="10" s="1"/>
  <c r="AA125" i="10"/>
  <c r="Z149" i="10"/>
  <c r="AC149" i="10" s="1"/>
  <c r="AA163" i="10"/>
  <c r="N163" i="10"/>
  <c r="AC163" i="10" s="1"/>
  <c r="Z198" i="10"/>
  <c r="AC198" i="10" s="1"/>
  <c r="AA198" i="10"/>
  <c r="AA228" i="10"/>
  <c r="W12" i="10"/>
  <c r="X12" i="10" s="1"/>
  <c r="Z12" i="10" s="1"/>
  <c r="Y12" i="10"/>
  <c r="DR17" i="10"/>
  <c r="AA33" i="10"/>
  <c r="N53" i="10"/>
  <c r="AC53" i="10" s="1"/>
  <c r="AA62" i="10"/>
  <c r="N62" i="10"/>
  <c r="AC62" i="10" s="1"/>
  <c r="T69" i="10"/>
  <c r="AC69" i="10" s="1"/>
  <c r="AA69" i="10"/>
  <c r="AA71" i="10"/>
  <c r="AC79" i="10"/>
  <c r="AA95" i="10"/>
  <c r="AA160" i="10"/>
  <c r="N160" i="10"/>
  <c r="AC160" i="10" s="1"/>
  <c r="AA174" i="10"/>
  <c r="N174" i="10"/>
  <c r="AC174" i="10" s="1"/>
  <c r="N102" i="10"/>
  <c r="AC102" i="10" s="1"/>
  <c r="AA102" i="10"/>
  <c r="M104" i="10"/>
  <c r="L104" i="10"/>
  <c r="DN104" i="10"/>
  <c r="AC106" i="10"/>
  <c r="DO16" i="10"/>
  <c r="DQ38" i="10"/>
  <c r="N45" i="10"/>
  <c r="DO48" i="10"/>
  <c r="AA177" i="10"/>
  <c r="N177" i="10"/>
  <c r="AC177" i="10" s="1"/>
  <c r="N223" i="10"/>
  <c r="AC223" i="10" s="1"/>
  <c r="AA223" i="10"/>
  <c r="AC232" i="10"/>
  <c r="AA251" i="10"/>
  <c r="AA192" i="10"/>
  <c r="N192" i="10"/>
  <c r="AC192" i="10" s="1"/>
  <c r="AC200" i="10"/>
  <c r="N204" i="10"/>
  <c r="AC204" i="10" s="1"/>
  <c r="AA204" i="10"/>
  <c r="N171" i="10"/>
  <c r="AC171" i="10" s="1"/>
  <c r="AA171" i="10"/>
  <c r="T221" i="10"/>
  <c r="AC221" i="10" s="1"/>
  <c r="AA221" i="10"/>
  <c r="AA237" i="10"/>
  <c r="N237" i="10"/>
  <c r="AC237" i="10" s="1"/>
  <c r="DR24" i="10"/>
  <c r="AA39" i="10"/>
  <c r="AA180" i="10"/>
  <c r="N180" i="10"/>
  <c r="AC180" i="10" s="1"/>
  <c r="AA32" i="10"/>
  <c r="N32" i="10"/>
  <c r="AC32" i="10" s="1"/>
  <c r="AA70" i="10"/>
  <c r="N70" i="10"/>
  <c r="AC70" i="10" s="1"/>
  <c r="Y104" i="10"/>
  <c r="W104" i="10"/>
  <c r="X104" i="10" s="1"/>
  <c r="Z104" i="10" s="1"/>
  <c r="AA155" i="10"/>
  <c r="AA193" i="10"/>
  <c r="N193" i="10"/>
  <c r="AC193" i="10" s="1"/>
  <c r="AA216" i="10"/>
  <c r="N216" i="10"/>
  <c r="AC216" i="10" s="1"/>
  <c r="AC228" i="10"/>
  <c r="N233" i="10"/>
  <c r="AC233" i="10" s="1"/>
  <c r="AA233" i="10"/>
  <c r="AA252" i="10"/>
  <c r="N252" i="10"/>
  <c r="AC252" i="10" s="1"/>
  <c r="AC226" i="10"/>
  <c r="AC147" i="10"/>
  <c r="AA208" i="10"/>
  <c r="N208" i="10"/>
  <c r="AC208" i="10" s="1"/>
  <c r="AA210" i="10"/>
  <c r="AC229" i="10"/>
  <c r="AA241" i="10"/>
  <c r="N241" i="10"/>
  <c r="AC241" i="10" s="1"/>
  <c r="DM114" i="10"/>
  <c r="K98" i="10"/>
  <c r="L98" i="10" s="1"/>
  <c r="Z121" i="10"/>
  <c r="AC121" i="10" s="1"/>
  <c r="N123" i="10"/>
  <c r="AC123" i="10" s="1"/>
  <c r="AA123" i="10"/>
  <c r="N130" i="10"/>
  <c r="AC130" i="10" s="1"/>
  <c r="AA130" i="10"/>
  <c r="AA172" i="10"/>
  <c r="N172" i="10"/>
  <c r="AC172" i="10" s="1"/>
  <c r="W105" i="10"/>
  <c r="X105" i="10" s="1"/>
  <c r="T135" i="10"/>
  <c r="AC135" i="10" s="1"/>
  <c r="Q17" i="10"/>
  <c r="R17" i="10" s="1"/>
  <c r="S19" i="10"/>
  <c r="M24" i="10"/>
  <c r="W49" i="10"/>
  <c r="X49" i="10" s="1"/>
  <c r="Z49" i="10" s="1"/>
  <c r="Y105" i="10"/>
  <c r="AA110" i="10"/>
  <c r="AA120" i="10"/>
  <c r="AA128" i="10"/>
  <c r="AA253" i="10"/>
  <c r="N253" i="10"/>
  <c r="AC253" i="10" s="1"/>
  <c r="AA119" i="10"/>
  <c r="N119" i="10"/>
  <c r="AC119" i="10" s="1"/>
  <c r="K24" i="10"/>
  <c r="DL45" i="10"/>
  <c r="X96" i="10"/>
  <c r="Z96" i="10" s="1"/>
  <c r="N151" i="10"/>
  <c r="AC151" i="10" s="1"/>
  <c r="M42" i="10"/>
  <c r="Y96" i="10"/>
  <c r="AA26" i="10"/>
  <c r="AA81" i="10"/>
  <c r="T139" i="10"/>
  <c r="AC139" i="10" s="1"/>
  <c r="Z197" i="10"/>
  <c r="AC197" i="10" s="1"/>
  <c r="N210" i="10"/>
  <c r="AC210" i="10" s="1"/>
  <c r="AA222" i="10"/>
  <c r="N222" i="10"/>
  <c r="AC222" i="10" s="1"/>
  <c r="AA224" i="10"/>
  <c r="N224" i="10"/>
  <c r="AC224" i="10" s="1"/>
  <c r="R94" i="10"/>
  <c r="AA117" i="10"/>
  <c r="Z117" i="10"/>
  <c r="AC117" i="10" s="1"/>
  <c r="K16" i="10"/>
  <c r="L16" i="10" s="1"/>
  <c r="N16" i="10" s="1"/>
  <c r="S98" i="10"/>
  <c r="DM43" i="10"/>
  <c r="Q45" i="10"/>
  <c r="R45" i="10" s="1"/>
  <c r="T45" i="10" s="1"/>
  <c r="R46" i="10"/>
  <c r="T46" i="10" s="1"/>
  <c r="Q98" i="10"/>
  <c r="R98" i="10" s="1"/>
  <c r="T98" i="10" s="1"/>
  <c r="AA106" i="10"/>
  <c r="N110" i="10"/>
  <c r="AC110" i="10" s="1"/>
  <c r="N120" i="10"/>
  <c r="AC120" i="10" s="1"/>
  <c r="AC124" i="10"/>
  <c r="N199" i="10"/>
  <c r="AC218" i="10"/>
  <c r="AA232" i="10"/>
  <c r="AA238" i="10"/>
  <c r="AA239" i="10"/>
  <c r="AA245" i="10"/>
  <c r="Z245" i="10"/>
  <c r="AC245" i="10" s="1"/>
  <c r="AA115" i="10"/>
  <c r="N137" i="10"/>
  <c r="AC137" i="10" s="1"/>
  <c r="AA137" i="10"/>
  <c r="AA248" i="10"/>
  <c r="AA227" i="10"/>
  <c r="N227" i="10"/>
  <c r="AC227" i="10" s="1"/>
  <c r="AA230" i="10"/>
  <c r="AC248" i="10"/>
  <c r="AA129" i="10"/>
  <c r="AA150" i="10"/>
  <c r="AA157" i="10"/>
  <c r="AA186" i="10"/>
  <c r="AA188" i="10"/>
  <c r="N188" i="10"/>
  <c r="AC188" i="10" s="1"/>
  <c r="J267" i="10"/>
  <c r="DQ46" i="10"/>
  <c r="AA200" i="10"/>
  <c r="AA207" i="10"/>
  <c r="T207" i="10"/>
  <c r="AC207" i="10" s="1"/>
  <c r="N230" i="10"/>
  <c r="AC230" i="10" s="1"/>
  <c r="DP93" i="10"/>
  <c r="N131" i="10"/>
  <c r="AC131" i="10" s="1"/>
  <c r="AA131" i="10"/>
  <c r="AC186" i="10"/>
  <c r="T195" i="10"/>
  <c r="AC195" i="10" s="1"/>
  <c r="AA195" i="10"/>
  <c r="AA217" i="10"/>
  <c r="N217" i="10"/>
  <c r="AC217" i="10" s="1"/>
  <c r="AA235" i="10"/>
  <c r="T254" i="10"/>
  <c r="AA214" i="10"/>
  <c r="N202" i="10"/>
  <c r="AC202" i="10" s="1"/>
  <c r="AA202" i="10"/>
  <c r="AA242" i="10"/>
  <c r="N242" i="10"/>
  <c r="AC242" i="10" s="1"/>
  <c r="K256" i="10"/>
  <c r="L256" i="10" s="1"/>
  <c r="DR96" i="10"/>
  <c r="AA211" i="10"/>
  <c r="N214" i="10"/>
  <c r="AC214" i="10" s="1"/>
  <c r="AC235" i="10"/>
  <c r="N205" i="10"/>
  <c r="AC205" i="10" s="1"/>
  <c r="AA205" i="10"/>
  <c r="AA213" i="10"/>
  <c r="W94" i="10"/>
  <c r="X94" i="10" s="1"/>
  <c r="Z94" i="10" s="1"/>
  <c r="DL104" i="10"/>
  <c r="AA247" i="10"/>
  <c r="J270" i="10"/>
  <c r="Q255" i="10"/>
  <c r="R255" i="10" s="1"/>
  <c r="N247" i="10"/>
  <c r="AC247" i="10" s="1"/>
  <c r="X254" i="10"/>
  <c r="Z254" i="10" s="1"/>
  <c r="DQ255" i="10"/>
  <c r="T257" i="10"/>
  <c r="AC257" i="10" s="1"/>
  <c r="Q256" i="10"/>
  <c r="R256" i="10" s="1"/>
  <c r="T256" i="10" s="1"/>
  <c r="V218" i="6"/>
  <c r="DI257" i="6"/>
  <c r="DH257" i="6"/>
  <c r="DG257" i="6"/>
  <c r="DF257" i="6"/>
  <c r="DE257" i="6"/>
  <c r="DD257" i="6"/>
  <c r="DC257" i="6"/>
  <c r="DB257" i="6"/>
  <c r="DA257" i="6"/>
  <c r="DG256" i="6"/>
  <c r="DE256" i="6"/>
  <c r="DC256" i="6"/>
  <c r="DB256" i="6"/>
  <c r="DA256" i="6"/>
  <c r="DG255" i="6"/>
  <c r="DE255" i="6"/>
  <c r="DC255" i="6"/>
  <c r="DB255" i="6"/>
  <c r="DA255" i="6"/>
  <c r="DG254" i="6"/>
  <c r="DE254" i="6"/>
  <c r="DC254" i="6"/>
  <c r="DB254" i="6"/>
  <c r="DA254" i="6"/>
  <c r="DI253" i="6"/>
  <c r="DH253" i="6"/>
  <c r="DG253" i="6"/>
  <c r="DF253" i="6"/>
  <c r="DE253" i="6"/>
  <c r="DD253" i="6"/>
  <c r="DC253" i="6"/>
  <c r="DB253" i="6"/>
  <c r="DA253" i="6"/>
  <c r="DI252" i="6"/>
  <c r="DH252" i="6"/>
  <c r="DG252" i="6"/>
  <c r="DF252" i="6"/>
  <c r="DE252" i="6"/>
  <c r="DD252" i="6"/>
  <c r="DC252" i="6"/>
  <c r="DB252" i="6"/>
  <c r="DA252" i="6"/>
  <c r="DI251" i="6"/>
  <c r="DH251" i="6"/>
  <c r="DG251" i="6"/>
  <c r="DF251" i="6"/>
  <c r="DE251" i="6"/>
  <c r="DD251" i="6"/>
  <c r="DC251" i="6"/>
  <c r="DB251" i="6"/>
  <c r="DA251" i="6"/>
  <c r="DI250" i="6"/>
  <c r="DH250" i="6"/>
  <c r="DG250" i="6"/>
  <c r="DF250" i="6"/>
  <c r="DE250" i="6"/>
  <c r="DD250" i="6"/>
  <c r="DC250" i="6"/>
  <c r="DB250" i="6"/>
  <c r="DA250" i="6"/>
  <c r="DI249" i="6"/>
  <c r="DH249" i="6"/>
  <c r="DG249" i="6"/>
  <c r="DF249" i="6"/>
  <c r="DE249" i="6"/>
  <c r="DD249" i="6"/>
  <c r="DC249" i="6"/>
  <c r="DB249" i="6"/>
  <c r="DA249" i="6"/>
  <c r="DI248" i="6"/>
  <c r="DH248" i="6"/>
  <c r="DG248" i="6"/>
  <c r="DF248" i="6"/>
  <c r="DE248" i="6"/>
  <c r="DD248" i="6"/>
  <c r="DC248" i="6"/>
  <c r="DB248" i="6"/>
  <c r="DA248" i="6"/>
  <c r="DI247" i="6"/>
  <c r="DH247" i="6"/>
  <c r="DG247" i="6"/>
  <c r="DF247" i="6"/>
  <c r="DE247" i="6"/>
  <c r="DD247" i="6"/>
  <c r="DC247" i="6"/>
  <c r="DB247" i="6"/>
  <c r="DA247" i="6"/>
  <c r="DI246" i="6"/>
  <c r="DH246" i="6"/>
  <c r="DG246" i="6"/>
  <c r="DF246" i="6"/>
  <c r="DE246" i="6"/>
  <c r="DD246" i="6"/>
  <c r="DC246" i="6"/>
  <c r="DB246" i="6"/>
  <c r="DA246" i="6"/>
  <c r="DI245" i="6"/>
  <c r="DH245" i="6"/>
  <c r="DG245" i="6"/>
  <c r="DF245" i="6"/>
  <c r="DE245" i="6"/>
  <c r="DD245" i="6"/>
  <c r="DC245" i="6"/>
  <c r="DB245" i="6"/>
  <c r="DA245" i="6"/>
  <c r="DI244" i="6"/>
  <c r="DH244" i="6"/>
  <c r="DG244" i="6"/>
  <c r="DF244" i="6"/>
  <c r="DE244" i="6"/>
  <c r="DD244" i="6"/>
  <c r="DC244" i="6"/>
  <c r="DB244" i="6"/>
  <c r="DA244" i="6"/>
  <c r="DI243" i="6"/>
  <c r="DH243" i="6"/>
  <c r="DG243" i="6"/>
  <c r="DF243" i="6"/>
  <c r="DE243" i="6"/>
  <c r="DD243" i="6"/>
  <c r="DC243" i="6"/>
  <c r="DB243" i="6"/>
  <c r="DA243" i="6"/>
  <c r="DI242" i="6"/>
  <c r="DH242" i="6"/>
  <c r="DG242" i="6"/>
  <c r="DF242" i="6"/>
  <c r="DE242" i="6"/>
  <c r="DD242" i="6"/>
  <c r="DC242" i="6"/>
  <c r="DB242" i="6"/>
  <c r="DA242" i="6"/>
  <c r="DI241" i="6"/>
  <c r="DH241" i="6"/>
  <c r="DG241" i="6"/>
  <c r="DF241" i="6"/>
  <c r="DE241" i="6"/>
  <c r="DD241" i="6"/>
  <c r="DC241" i="6"/>
  <c r="DB241" i="6"/>
  <c r="DA241" i="6"/>
  <c r="DI240" i="6"/>
  <c r="DH240" i="6"/>
  <c r="DG240" i="6"/>
  <c r="DF240" i="6"/>
  <c r="DE240" i="6"/>
  <c r="DD240" i="6"/>
  <c r="DC240" i="6"/>
  <c r="DB240" i="6"/>
  <c r="DA240" i="6"/>
  <c r="DI239" i="6"/>
  <c r="DH239" i="6"/>
  <c r="DG239" i="6"/>
  <c r="DF239" i="6"/>
  <c r="DE239" i="6"/>
  <c r="DD239" i="6"/>
  <c r="DC239" i="6"/>
  <c r="DB239" i="6"/>
  <c r="DA239" i="6"/>
  <c r="DI238" i="6"/>
  <c r="DH238" i="6"/>
  <c r="DG238" i="6"/>
  <c r="DF238" i="6"/>
  <c r="DE238" i="6"/>
  <c r="DD238" i="6"/>
  <c r="DC238" i="6"/>
  <c r="DB238" i="6"/>
  <c r="DA238" i="6"/>
  <c r="DI237" i="6"/>
  <c r="DH237" i="6"/>
  <c r="DG237" i="6"/>
  <c r="DF237" i="6"/>
  <c r="DE237" i="6"/>
  <c r="DD237" i="6"/>
  <c r="DC237" i="6"/>
  <c r="DB237" i="6"/>
  <c r="DA237" i="6"/>
  <c r="DI236" i="6"/>
  <c r="DH236" i="6"/>
  <c r="DG236" i="6"/>
  <c r="DF236" i="6"/>
  <c r="DE236" i="6"/>
  <c r="DD236" i="6"/>
  <c r="DC236" i="6"/>
  <c r="DB236" i="6"/>
  <c r="DA236" i="6"/>
  <c r="DI235" i="6"/>
  <c r="DH235" i="6"/>
  <c r="DG235" i="6"/>
  <c r="DF235" i="6"/>
  <c r="DE235" i="6"/>
  <c r="DD235" i="6"/>
  <c r="DC235" i="6"/>
  <c r="DB235" i="6"/>
  <c r="DA235" i="6"/>
  <c r="DI234" i="6"/>
  <c r="DH234" i="6"/>
  <c r="DG234" i="6"/>
  <c r="DF234" i="6"/>
  <c r="DE234" i="6"/>
  <c r="DD234" i="6"/>
  <c r="DC234" i="6"/>
  <c r="DB234" i="6"/>
  <c r="DA234" i="6"/>
  <c r="DI233" i="6"/>
  <c r="DH233" i="6"/>
  <c r="DG233" i="6"/>
  <c r="DF233" i="6"/>
  <c r="DE233" i="6"/>
  <c r="DD233" i="6"/>
  <c r="DC233" i="6"/>
  <c r="DB233" i="6"/>
  <c r="DA233" i="6"/>
  <c r="DI232" i="6"/>
  <c r="DH232" i="6"/>
  <c r="DG232" i="6"/>
  <c r="DF232" i="6"/>
  <c r="DE232" i="6"/>
  <c r="DD232" i="6"/>
  <c r="DC232" i="6"/>
  <c r="DB232" i="6"/>
  <c r="DA232" i="6"/>
  <c r="DI231" i="6"/>
  <c r="DH231" i="6"/>
  <c r="DG231" i="6"/>
  <c r="DF231" i="6"/>
  <c r="DE231" i="6"/>
  <c r="DD231" i="6"/>
  <c r="DC231" i="6"/>
  <c r="DB231" i="6"/>
  <c r="DA231" i="6"/>
  <c r="DI230" i="6"/>
  <c r="DH230" i="6"/>
  <c r="DG230" i="6"/>
  <c r="DF230" i="6"/>
  <c r="DE230" i="6"/>
  <c r="DD230" i="6"/>
  <c r="DC230" i="6"/>
  <c r="DB230" i="6"/>
  <c r="DA230" i="6"/>
  <c r="DI229" i="6"/>
  <c r="DH229" i="6"/>
  <c r="DG229" i="6"/>
  <c r="DF229" i="6"/>
  <c r="DE229" i="6"/>
  <c r="DD229" i="6"/>
  <c r="DC229" i="6"/>
  <c r="DB229" i="6"/>
  <c r="DA229" i="6"/>
  <c r="DI228" i="6"/>
  <c r="DH228" i="6"/>
  <c r="DG228" i="6"/>
  <c r="DF228" i="6"/>
  <c r="DE228" i="6"/>
  <c r="DD228" i="6"/>
  <c r="DC228" i="6"/>
  <c r="DB228" i="6"/>
  <c r="DA228" i="6"/>
  <c r="DI227" i="6"/>
  <c r="DH227" i="6"/>
  <c r="DG227" i="6"/>
  <c r="DF227" i="6"/>
  <c r="DE227" i="6"/>
  <c r="DD227" i="6"/>
  <c r="DC227" i="6"/>
  <c r="DB227" i="6"/>
  <c r="DA227" i="6"/>
  <c r="DI226" i="6"/>
  <c r="DH226" i="6"/>
  <c r="DG226" i="6"/>
  <c r="DF226" i="6"/>
  <c r="DE226" i="6"/>
  <c r="DD226" i="6"/>
  <c r="DC226" i="6"/>
  <c r="DB226" i="6"/>
  <c r="DA226" i="6"/>
  <c r="DI225" i="6"/>
  <c r="DH225" i="6"/>
  <c r="DG225" i="6"/>
  <c r="DF225" i="6"/>
  <c r="DE225" i="6"/>
  <c r="DD225" i="6"/>
  <c r="DC225" i="6"/>
  <c r="DB225" i="6"/>
  <c r="DA225" i="6"/>
  <c r="DI224" i="6"/>
  <c r="DH224" i="6"/>
  <c r="DG224" i="6"/>
  <c r="DF224" i="6"/>
  <c r="DE224" i="6"/>
  <c r="DD224" i="6"/>
  <c r="DC224" i="6"/>
  <c r="DB224" i="6"/>
  <c r="DA224" i="6"/>
  <c r="DI223" i="6"/>
  <c r="DH223" i="6"/>
  <c r="DG223" i="6"/>
  <c r="DF223" i="6"/>
  <c r="DE223" i="6"/>
  <c r="DD223" i="6"/>
  <c r="DC223" i="6"/>
  <c r="DB223" i="6"/>
  <c r="DA223" i="6"/>
  <c r="DI222" i="6"/>
  <c r="DH222" i="6"/>
  <c r="DG222" i="6"/>
  <c r="DF222" i="6"/>
  <c r="DE222" i="6"/>
  <c r="DD222" i="6"/>
  <c r="DC222" i="6"/>
  <c r="DB222" i="6"/>
  <c r="DA222" i="6"/>
  <c r="DI221" i="6"/>
  <c r="DH221" i="6"/>
  <c r="DG221" i="6"/>
  <c r="DF221" i="6"/>
  <c r="DE221" i="6"/>
  <c r="DD221" i="6"/>
  <c r="DC221" i="6"/>
  <c r="DB221" i="6"/>
  <c r="DA221" i="6"/>
  <c r="DI220" i="6"/>
  <c r="DH220" i="6"/>
  <c r="DG220" i="6"/>
  <c r="DF220" i="6"/>
  <c r="DE220" i="6"/>
  <c r="DD220" i="6"/>
  <c r="DC220" i="6"/>
  <c r="DB220" i="6"/>
  <c r="DA220" i="6"/>
  <c r="DI219" i="6"/>
  <c r="DH219" i="6"/>
  <c r="DG219" i="6"/>
  <c r="DF219" i="6"/>
  <c r="DE219" i="6"/>
  <c r="DD219" i="6"/>
  <c r="DC219" i="6"/>
  <c r="DB219" i="6"/>
  <c r="DA219" i="6"/>
  <c r="DI218" i="6"/>
  <c r="DH218" i="6"/>
  <c r="DG218" i="6"/>
  <c r="DF218" i="6"/>
  <c r="DE218" i="6"/>
  <c r="DD218" i="6"/>
  <c r="DC218" i="6"/>
  <c r="DB218" i="6"/>
  <c r="DA218" i="6"/>
  <c r="DI217" i="6"/>
  <c r="DH217" i="6"/>
  <c r="DG217" i="6"/>
  <c r="DF217" i="6"/>
  <c r="DE217" i="6"/>
  <c r="DD217" i="6"/>
  <c r="DC217" i="6"/>
  <c r="DB217" i="6"/>
  <c r="DA217" i="6"/>
  <c r="DI216" i="6"/>
  <c r="DH216" i="6"/>
  <c r="DG216" i="6"/>
  <c r="DF216" i="6"/>
  <c r="DE216" i="6"/>
  <c r="DD216" i="6"/>
  <c r="DC216" i="6"/>
  <c r="DB216" i="6"/>
  <c r="DA216" i="6"/>
  <c r="DI215" i="6"/>
  <c r="DH215" i="6"/>
  <c r="DG215" i="6"/>
  <c r="DF215" i="6"/>
  <c r="DE215" i="6"/>
  <c r="DD215" i="6"/>
  <c r="DC215" i="6"/>
  <c r="DB215" i="6"/>
  <c r="DA215" i="6"/>
  <c r="DI214" i="6"/>
  <c r="DH214" i="6"/>
  <c r="DG214" i="6"/>
  <c r="DF214" i="6"/>
  <c r="DE214" i="6"/>
  <c r="DD214" i="6"/>
  <c r="DC214" i="6"/>
  <c r="DB214" i="6"/>
  <c r="DA214" i="6"/>
  <c r="DI213" i="6"/>
  <c r="DH213" i="6"/>
  <c r="DG213" i="6"/>
  <c r="DF213" i="6"/>
  <c r="DE213" i="6"/>
  <c r="DD213" i="6"/>
  <c r="DC213" i="6"/>
  <c r="DB213" i="6"/>
  <c r="DA213" i="6"/>
  <c r="DI212" i="6"/>
  <c r="DH212" i="6"/>
  <c r="DG212" i="6"/>
  <c r="DF212" i="6"/>
  <c r="DE212" i="6"/>
  <c r="DD212" i="6"/>
  <c r="DC212" i="6"/>
  <c r="DB212" i="6"/>
  <c r="DA212" i="6"/>
  <c r="DI211" i="6"/>
  <c r="DH211" i="6"/>
  <c r="DG211" i="6"/>
  <c r="DF211" i="6"/>
  <c r="DE211" i="6"/>
  <c r="DD211" i="6"/>
  <c r="DC211" i="6"/>
  <c r="DB211" i="6"/>
  <c r="DA211" i="6"/>
  <c r="DI210" i="6"/>
  <c r="DH210" i="6"/>
  <c r="DG210" i="6"/>
  <c r="DF210" i="6"/>
  <c r="DE210" i="6"/>
  <c r="DD210" i="6"/>
  <c r="DC210" i="6"/>
  <c r="DB210" i="6"/>
  <c r="DA210" i="6"/>
  <c r="DI209" i="6"/>
  <c r="DH209" i="6"/>
  <c r="DG209" i="6"/>
  <c r="DF209" i="6"/>
  <c r="DE209" i="6"/>
  <c r="DD209" i="6"/>
  <c r="DC209" i="6"/>
  <c r="DB209" i="6"/>
  <c r="DA209" i="6"/>
  <c r="DI208" i="6"/>
  <c r="DH208" i="6"/>
  <c r="DG208" i="6"/>
  <c r="DF208" i="6"/>
  <c r="DE208" i="6"/>
  <c r="DD208" i="6"/>
  <c r="DC208" i="6"/>
  <c r="DB208" i="6"/>
  <c r="DA208" i="6"/>
  <c r="DI207" i="6"/>
  <c r="DH207" i="6"/>
  <c r="DG207" i="6"/>
  <c r="DF207" i="6"/>
  <c r="DE207" i="6"/>
  <c r="DD207" i="6"/>
  <c r="DC207" i="6"/>
  <c r="DB207" i="6"/>
  <c r="DA207" i="6"/>
  <c r="DI206" i="6"/>
  <c r="DH206" i="6"/>
  <c r="DG206" i="6"/>
  <c r="DF206" i="6"/>
  <c r="DE206" i="6"/>
  <c r="DD206" i="6"/>
  <c r="DC206" i="6"/>
  <c r="DB206" i="6"/>
  <c r="DA206" i="6"/>
  <c r="DI205" i="6"/>
  <c r="DH205" i="6"/>
  <c r="DG205" i="6"/>
  <c r="DF205" i="6"/>
  <c r="DE205" i="6"/>
  <c r="DD205" i="6"/>
  <c r="DC205" i="6"/>
  <c r="DB205" i="6"/>
  <c r="DA205" i="6"/>
  <c r="DI204" i="6"/>
  <c r="DH204" i="6"/>
  <c r="DG204" i="6"/>
  <c r="DF204" i="6"/>
  <c r="DE204" i="6"/>
  <c r="DD204" i="6"/>
  <c r="DC204" i="6"/>
  <c r="DB204" i="6"/>
  <c r="DA204" i="6"/>
  <c r="DI203" i="6"/>
  <c r="DH203" i="6"/>
  <c r="DG203" i="6"/>
  <c r="DF203" i="6"/>
  <c r="DE203" i="6"/>
  <c r="DD203" i="6"/>
  <c r="DC203" i="6"/>
  <c r="DB203" i="6"/>
  <c r="DA203" i="6"/>
  <c r="DI202" i="6"/>
  <c r="DH202" i="6"/>
  <c r="DG202" i="6"/>
  <c r="DF202" i="6"/>
  <c r="DE202" i="6"/>
  <c r="DD202" i="6"/>
  <c r="DC202" i="6"/>
  <c r="DB202" i="6"/>
  <c r="DA202" i="6"/>
  <c r="DI201" i="6"/>
  <c r="DH201" i="6"/>
  <c r="DG201" i="6"/>
  <c r="DF201" i="6"/>
  <c r="DE201" i="6"/>
  <c r="DD201" i="6"/>
  <c r="DC201" i="6"/>
  <c r="DB201" i="6"/>
  <c r="DA201" i="6"/>
  <c r="DI200" i="6"/>
  <c r="DH200" i="6"/>
  <c r="DG200" i="6"/>
  <c r="DF200" i="6"/>
  <c r="DE200" i="6"/>
  <c r="DD200" i="6"/>
  <c r="DC200" i="6"/>
  <c r="DB200" i="6"/>
  <c r="DA200" i="6"/>
  <c r="DI199" i="6"/>
  <c r="DH199" i="6"/>
  <c r="DG199" i="6"/>
  <c r="DF199" i="6"/>
  <c r="DE199" i="6"/>
  <c r="DD199" i="6"/>
  <c r="DC199" i="6"/>
  <c r="DB199" i="6"/>
  <c r="DA199" i="6"/>
  <c r="DI198" i="6"/>
  <c r="DH198" i="6"/>
  <c r="DG198" i="6"/>
  <c r="DF198" i="6"/>
  <c r="DE198" i="6"/>
  <c r="DD198" i="6"/>
  <c r="DC198" i="6"/>
  <c r="DB198" i="6"/>
  <c r="DA198" i="6"/>
  <c r="DI197" i="6"/>
  <c r="DH197" i="6"/>
  <c r="DG197" i="6"/>
  <c r="DF197" i="6"/>
  <c r="DE197" i="6"/>
  <c r="DD197" i="6"/>
  <c r="DC197" i="6"/>
  <c r="DB197" i="6"/>
  <c r="DA197" i="6"/>
  <c r="DI196" i="6"/>
  <c r="DH196" i="6"/>
  <c r="DG196" i="6"/>
  <c r="DF196" i="6"/>
  <c r="DE196" i="6"/>
  <c r="DD196" i="6"/>
  <c r="DC196" i="6"/>
  <c r="DB196" i="6"/>
  <c r="DA196" i="6"/>
  <c r="DI195" i="6"/>
  <c r="DH195" i="6"/>
  <c r="DG195" i="6"/>
  <c r="DF195" i="6"/>
  <c r="DE195" i="6"/>
  <c r="DD195" i="6"/>
  <c r="DC195" i="6"/>
  <c r="DB195" i="6"/>
  <c r="DA195" i="6"/>
  <c r="DI194" i="6"/>
  <c r="DH194" i="6"/>
  <c r="DG194" i="6"/>
  <c r="DF194" i="6"/>
  <c r="DE194" i="6"/>
  <c r="DD194" i="6"/>
  <c r="DC194" i="6"/>
  <c r="DB194" i="6"/>
  <c r="DA194" i="6"/>
  <c r="DI193" i="6"/>
  <c r="DH193" i="6"/>
  <c r="DG193" i="6"/>
  <c r="DF193" i="6"/>
  <c r="DE193" i="6"/>
  <c r="DD193" i="6"/>
  <c r="DC193" i="6"/>
  <c r="DB193" i="6"/>
  <c r="DA193" i="6"/>
  <c r="DI192" i="6"/>
  <c r="DH192" i="6"/>
  <c r="DG192" i="6"/>
  <c r="DF192" i="6"/>
  <c r="DE192" i="6"/>
  <c r="DD192" i="6"/>
  <c r="DC192" i="6"/>
  <c r="DB192" i="6"/>
  <c r="DA192" i="6"/>
  <c r="DI191" i="6"/>
  <c r="DH191" i="6"/>
  <c r="DG191" i="6"/>
  <c r="DF191" i="6"/>
  <c r="DE191" i="6"/>
  <c r="DD191" i="6"/>
  <c r="DC191" i="6"/>
  <c r="DB191" i="6"/>
  <c r="DA191" i="6"/>
  <c r="DI190" i="6"/>
  <c r="DH190" i="6"/>
  <c r="DG190" i="6"/>
  <c r="DF190" i="6"/>
  <c r="DE190" i="6"/>
  <c r="DD190" i="6"/>
  <c r="DC190" i="6"/>
  <c r="DB190" i="6"/>
  <c r="DA190" i="6"/>
  <c r="DI189" i="6"/>
  <c r="DH189" i="6"/>
  <c r="DG189" i="6"/>
  <c r="DF189" i="6"/>
  <c r="DE189" i="6"/>
  <c r="DD189" i="6"/>
  <c r="DC189" i="6"/>
  <c r="DB189" i="6"/>
  <c r="DA189" i="6"/>
  <c r="DI188" i="6"/>
  <c r="DH188" i="6"/>
  <c r="DG188" i="6"/>
  <c r="DF188" i="6"/>
  <c r="DE188" i="6"/>
  <c r="DD188" i="6"/>
  <c r="DC188" i="6"/>
  <c r="DB188" i="6"/>
  <c r="DA188" i="6"/>
  <c r="DI187" i="6"/>
  <c r="DH187" i="6"/>
  <c r="DG187" i="6"/>
  <c r="DF187" i="6"/>
  <c r="DE187" i="6"/>
  <c r="DD187" i="6"/>
  <c r="DC187" i="6"/>
  <c r="DB187" i="6"/>
  <c r="DA187" i="6"/>
  <c r="DI186" i="6"/>
  <c r="DH186" i="6"/>
  <c r="DG186" i="6"/>
  <c r="DF186" i="6"/>
  <c r="DE186" i="6"/>
  <c r="DD186" i="6"/>
  <c r="DC186" i="6"/>
  <c r="DB186" i="6"/>
  <c r="DA186" i="6"/>
  <c r="DI185" i="6"/>
  <c r="DH185" i="6"/>
  <c r="DG185" i="6"/>
  <c r="DF185" i="6"/>
  <c r="DE185" i="6"/>
  <c r="DD185" i="6"/>
  <c r="DC185" i="6"/>
  <c r="DB185" i="6"/>
  <c r="DA185" i="6"/>
  <c r="DI184" i="6"/>
  <c r="DH184" i="6"/>
  <c r="DG184" i="6"/>
  <c r="DF184" i="6"/>
  <c r="DE184" i="6"/>
  <c r="DD184" i="6"/>
  <c r="DC184" i="6"/>
  <c r="DB184" i="6"/>
  <c r="DA184" i="6"/>
  <c r="DI183" i="6"/>
  <c r="DH183" i="6"/>
  <c r="DG183" i="6"/>
  <c r="DF183" i="6"/>
  <c r="DE183" i="6"/>
  <c r="DD183" i="6"/>
  <c r="DC183" i="6"/>
  <c r="DB183" i="6"/>
  <c r="DA183" i="6"/>
  <c r="DI182" i="6"/>
  <c r="DH182" i="6"/>
  <c r="DG182" i="6"/>
  <c r="DF182" i="6"/>
  <c r="DE182" i="6"/>
  <c r="DD182" i="6"/>
  <c r="DC182" i="6"/>
  <c r="DB182" i="6"/>
  <c r="DA182" i="6"/>
  <c r="DI181" i="6"/>
  <c r="DH181" i="6"/>
  <c r="DG181" i="6"/>
  <c r="DF181" i="6"/>
  <c r="DE181" i="6"/>
  <c r="DD181" i="6"/>
  <c r="DC181" i="6"/>
  <c r="DB181" i="6"/>
  <c r="DA181" i="6"/>
  <c r="DI180" i="6"/>
  <c r="DH180" i="6"/>
  <c r="DG180" i="6"/>
  <c r="DF180" i="6"/>
  <c r="DE180" i="6"/>
  <c r="DD180" i="6"/>
  <c r="DC180" i="6"/>
  <c r="DB180" i="6"/>
  <c r="DA180" i="6"/>
  <c r="DI179" i="6"/>
  <c r="DH179" i="6"/>
  <c r="DG179" i="6"/>
  <c r="DF179" i="6"/>
  <c r="DE179" i="6"/>
  <c r="DD179" i="6"/>
  <c r="DC179" i="6"/>
  <c r="DB179" i="6"/>
  <c r="DA179" i="6"/>
  <c r="DI178" i="6"/>
  <c r="DH178" i="6"/>
  <c r="DG178" i="6"/>
  <c r="DF178" i="6"/>
  <c r="DE178" i="6"/>
  <c r="DD178" i="6"/>
  <c r="DC178" i="6"/>
  <c r="DB178" i="6"/>
  <c r="DA178" i="6"/>
  <c r="DI177" i="6"/>
  <c r="DH177" i="6"/>
  <c r="DG177" i="6"/>
  <c r="DF177" i="6"/>
  <c r="DE177" i="6"/>
  <c r="DD177" i="6"/>
  <c r="DC177" i="6"/>
  <c r="DB177" i="6"/>
  <c r="DA177" i="6"/>
  <c r="DI176" i="6"/>
  <c r="DH176" i="6"/>
  <c r="DG176" i="6"/>
  <c r="DF176" i="6"/>
  <c r="DE176" i="6"/>
  <c r="DD176" i="6"/>
  <c r="DC176" i="6"/>
  <c r="DB176" i="6"/>
  <c r="DA176" i="6"/>
  <c r="DI175" i="6"/>
  <c r="DH175" i="6"/>
  <c r="DG175" i="6"/>
  <c r="DF175" i="6"/>
  <c r="DE175" i="6"/>
  <c r="DD175" i="6"/>
  <c r="DC175" i="6"/>
  <c r="DB175" i="6"/>
  <c r="DA175" i="6"/>
  <c r="DI174" i="6"/>
  <c r="DH174" i="6"/>
  <c r="DG174" i="6"/>
  <c r="DF174" i="6"/>
  <c r="DE174" i="6"/>
  <c r="DD174" i="6"/>
  <c r="DC174" i="6"/>
  <c r="DB174" i="6"/>
  <c r="DA174" i="6"/>
  <c r="DI173" i="6"/>
  <c r="DH173" i="6"/>
  <c r="DG173" i="6"/>
  <c r="DF173" i="6"/>
  <c r="DE173" i="6"/>
  <c r="DD173" i="6"/>
  <c r="DC173" i="6"/>
  <c r="DB173" i="6"/>
  <c r="DA173" i="6"/>
  <c r="DI172" i="6"/>
  <c r="DH172" i="6"/>
  <c r="DG172" i="6"/>
  <c r="DF172" i="6"/>
  <c r="DE172" i="6"/>
  <c r="DD172" i="6"/>
  <c r="DC172" i="6"/>
  <c r="DB172" i="6"/>
  <c r="DA172" i="6"/>
  <c r="DI171" i="6"/>
  <c r="DH171" i="6"/>
  <c r="DG171" i="6"/>
  <c r="DF171" i="6"/>
  <c r="DE171" i="6"/>
  <c r="DD171" i="6"/>
  <c r="DC171" i="6"/>
  <c r="DB171" i="6"/>
  <c r="DA171" i="6"/>
  <c r="DI170" i="6"/>
  <c r="DH170" i="6"/>
  <c r="DG170" i="6"/>
  <c r="DF170" i="6"/>
  <c r="DE170" i="6"/>
  <c r="DD170" i="6"/>
  <c r="DC170" i="6"/>
  <c r="DB170" i="6"/>
  <c r="DA170" i="6"/>
  <c r="DI169" i="6"/>
  <c r="DH169" i="6"/>
  <c r="DG169" i="6"/>
  <c r="DF169" i="6"/>
  <c r="DE169" i="6"/>
  <c r="DD169" i="6"/>
  <c r="DC169" i="6"/>
  <c r="DB169" i="6"/>
  <c r="DA169" i="6"/>
  <c r="DI168" i="6"/>
  <c r="DH168" i="6"/>
  <c r="DG168" i="6"/>
  <c r="DF168" i="6"/>
  <c r="DE168" i="6"/>
  <c r="DD168" i="6"/>
  <c r="DC168" i="6"/>
  <c r="DB168" i="6"/>
  <c r="DA168" i="6"/>
  <c r="DI167" i="6"/>
  <c r="DH167" i="6"/>
  <c r="DG167" i="6"/>
  <c r="DF167" i="6"/>
  <c r="DE167" i="6"/>
  <c r="DD167" i="6"/>
  <c r="DC167" i="6"/>
  <c r="DB167" i="6"/>
  <c r="DA167" i="6"/>
  <c r="DI166" i="6"/>
  <c r="DH166" i="6"/>
  <c r="DG166" i="6"/>
  <c r="DF166" i="6"/>
  <c r="DE166" i="6"/>
  <c r="DD166" i="6"/>
  <c r="DC166" i="6"/>
  <c r="DB166" i="6"/>
  <c r="DA166" i="6"/>
  <c r="DI165" i="6"/>
  <c r="DH165" i="6"/>
  <c r="DG165" i="6"/>
  <c r="DF165" i="6"/>
  <c r="DE165" i="6"/>
  <c r="DD165" i="6"/>
  <c r="DC165" i="6"/>
  <c r="DB165" i="6"/>
  <c r="DA165" i="6"/>
  <c r="DI164" i="6"/>
  <c r="DH164" i="6"/>
  <c r="DG164" i="6"/>
  <c r="DF164" i="6"/>
  <c r="DE164" i="6"/>
  <c r="DD164" i="6"/>
  <c r="DC164" i="6"/>
  <c r="DB164" i="6"/>
  <c r="DA164" i="6"/>
  <c r="DI163" i="6"/>
  <c r="DH163" i="6"/>
  <c r="DG163" i="6"/>
  <c r="DF163" i="6"/>
  <c r="DE163" i="6"/>
  <c r="DD163" i="6"/>
  <c r="DC163" i="6"/>
  <c r="DB163" i="6"/>
  <c r="DA163" i="6"/>
  <c r="DI162" i="6"/>
  <c r="DH162" i="6"/>
  <c r="DG162" i="6"/>
  <c r="DF162" i="6"/>
  <c r="DE162" i="6"/>
  <c r="DD162" i="6"/>
  <c r="DC162" i="6"/>
  <c r="DB162" i="6"/>
  <c r="DA162" i="6"/>
  <c r="DI161" i="6"/>
  <c r="DH161" i="6"/>
  <c r="DG161" i="6"/>
  <c r="DF161" i="6"/>
  <c r="DE161" i="6"/>
  <c r="DD161" i="6"/>
  <c r="DC161" i="6"/>
  <c r="DB161" i="6"/>
  <c r="DA161" i="6"/>
  <c r="DI160" i="6"/>
  <c r="DH160" i="6"/>
  <c r="DG160" i="6"/>
  <c r="DF160" i="6"/>
  <c r="DE160" i="6"/>
  <c r="DD160" i="6"/>
  <c r="DC160" i="6"/>
  <c r="DB160" i="6"/>
  <c r="DA160" i="6"/>
  <c r="DI159" i="6"/>
  <c r="DH159" i="6"/>
  <c r="DG159" i="6"/>
  <c r="DF159" i="6"/>
  <c r="DE159" i="6"/>
  <c r="DD159" i="6"/>
  <c r="DC159" i="6"/>
  <c r="DB159" i="6"/>
  <c r="DA159" i="6"/>
  <c r="DI158" i="6"/>
  <c r="DH158" i="6"/>
  <c r="DG158" i="6"/>
  <c r="DF158" i="6"/>
  <c r="DE158" i="6"/>
  <c r="DD158" i="6"/>
  <c r="DC158" i="6"/>
  <c r="DB158" i="6"/>
  <c r="DA158" i="6"/>
  <c r="DI157" i="6"/>
  <c r="DH157" i="6"/>
  <c r="DG157" i="6"/>
  <c r="DF157" i="6"/>
  <c r="DE157" i="6"/>
  <c r="DD157" i="6"/>
  <c r="DC157" i="6"/>
  <c r="DB157" i="6"/>
  <c r="DA157" i="6"/>
  <c r="DI156" i="6"/>
  <c r="DH156" i="6"/>
  <c r="DG156" i="6"/>
  <c r="DF156" i="6"/>
  <c r="DE156" i="6"/>
  <c r="DD156" i="6"/>
  <c r="DC156" i="6"/>
  <c r="DB156" i="6"/>
  <c r="DA156" i="6"/>
  <c r="DI155" i="6"/>
  <c r="DH155" i="6"/>
  <c r="DG155" i="6"/>
  <c r="DF155" i="6"/>
  <c r="DE155" i="6"/>
  <c r="DD155" i="6"/>
  <c r="DC155" i="6"/>
  <c r="DB155" i="6"/>
  <c r="DA155" i="6"/>
  <c r="DI154" i="6"/>
  <c r="DH154" i="6"/>
  <c r="DG154" i="6"/>
  <c r="DF154" i="6"/>
  <c r="DE154" i="6"/>
  <c r="DD154" i="6"/>
  <c r="DC154" i="6"/>
  <c r="DB154" i="6"/>
  <c r="DA154" i="6"/>
  <c r="DI153" i="6"/>
  <c r="DH153" i="6"/>
  <c r="DG153" i="6"/>
  <c r="DF153" i="6"/>
  <c r="DE153" i="6"/>
  <c r="DD153" i="6"/>
  <c r="DC153" i="6"/>
  <c r="DB153" i="6"/>
  <c r="DA153" i="6"/>
  <c r="DI152" i="6"/>
  <c r="DH152" i="6"/>
  <c r="DG152" i="6"/>
  <c r="DF152" i="6"/>
  <c r="DE152" i="6"/>
  <c r="DD152" i="6"/>
  <c r="DC152" i="6"/>
  <c r="DB152" i="6"/>
  <c r="DA152" i="6"/>
  <c r="DI151" i="6"/>
  <c r="DH151" i="6"/>
  <c r="DG151" i="6"/>
  <c r="DF151" i="6"/>
  <c r="DE151" i="6"/>
  <c r="DD151" i="6"/>
  <c r="DC151" i="6"/>
  <c r="DB151" i="6"/>
  <c r="DA151" i="6"/>
  <c r="DI150" i="6"/>
  <c r="DH150" i="6"/>
  <c r="DG150" i="6"/>
  <c r="DF150" i="6"/>
  <c r="DE150" i="6"/>
  <c r="DD150" i="6"/>
  <c r="DC150" i="6"/>
  <c r="DB150" i="6"/>
  <c r="DA150" i="6"/>
  <c r="DI149" i="6"/>
  <c r="DH149" i="6"/>
  <c r="DG149" i="6"/>
  <c r="DF149" i="6"/>
  <c r="DE149" i="6"/>
  <c r="DD149" i="6"/>
  <c r="DC149" i="6"/>
  <c r="DB149" i="6"/>
  <c r="DA149" i="6"/>
  <c r="DI148" i="6"/>
  <c r="DH148" i="6"/>
  <c r="DG148" i="6"/>
  <c r="DF148" i="6"/>
  <c r="DE148" i="6"/>
  <c r="DD148" i="6"/>
  <c r="DC148" i="6"/>
  <c r="DB148" i="6"/>
  <c r="DA148" i="6"/>
  <c r="DI147" i="6"/>
  <c r="DH147" i="6"/>
  <c r="DG147" i="6"/>
  <c r="DF147" i="6"/>
  <c r="DE147" i="6"/>
  <c r="DD147" i="6"/>
  <c r="DC147" i="6"/>
  <c r="DB147" i="6"/>
  <c r="DA147" i="6"/>
  <c r="DI146" i="6"/>
  <c r="DH146" i="6"/>
  <c r="DG146" i="6"/>
  <c r="DF146" i="6"/>
  <c r="DE146" i="6"/>
  <c r="DD146" i="6"/>
  <c r="DC146" i="6"/>
  <c r="DB146" i="6"/>
  <c r="DA146" i="6"/>
  <c r="DI145" i="6"/>
  <c r="DH145" i="6"/>
  <c r="DG145" i="6"/>
  <c r="DF145" i="6"/>
  <c r="DE145" i="6"/>
  <c r="DD145" i="6"/>
  <c r="DC145" i="6"/>
  <c r="DB145" i="6"/>
  <c r="DA145" i="6"/>
  <c r="DI144" i="6"/>
  <c r="DH144" i="6"/>
  <c r="DG144" i="6"/>
  <c r="DF144" i="6"/>
  <c r="DE144" i="6"/>
  <c r="DD144" i="6"/>
  <c r="DC144" i="6"/>
  <c r="DB144" i="6"/>
  <c r="DA144" i="6"/>
  <c r="DI143" i="6"/>
  <c r="DH143" i="6"/>
  <c r="DG143" i="6"/>
  <c r="DF143" i="6"/>
  <c r="DE143" i="6"/>
  <c r="DD143" i="6"/>
  <c r="DC143" i="6"/>
  <c r="DB143" i="6"/>
  <c r="DA143" i="6"/>
  <c r="DI142" i="6"/>
  <c r="DH142" i="6"/>
  <c r="DG142" i="6"/>
  <c r="DF142" i="6"/>
  <c r="DE142" i="6"/>
  <c r="DD142" i="6"/>
  <c r="DC142" i="6"/>
  <c r="DB142" i="6"/>
  <c r="DA142" i="6"/>
  <c r="DI141" i="6"/>
  <c r="DH141" i="6"/>
  <c r="DG141" i="6"/>
  <c r="DF141" i="6"/>
  <c r="DE141" i="6"/>
  <c r="DD141" i="6"/>
  <c r="DC141" i="6"/>
  <c r="DB141" i="6"/>
  <c r="DA141" i="6"/>
  <c r="DI140" i="6"/>
  <c r="DH140" i="6"/>
  <c r="DG140" i="6"/>
  <c r="DF140" i="6"/>
  <c r="DE140" i="6"/>
  <c r="DD140" i="6"/>
  <c r="DC140" i="6"/>
  <c r="DB140" i="6"/>
  <c r="DA140" i="6"/>
  <c r="DI139" i="6"/>
  <c r="DH139" i="6"/>
  <c r="DG139" i="6"/>
  <c r="DF139" i="6"/>
  <c r="DE139" i="6"/>
  <c r="DD139" i="6"/>
  <c r="DC139" i="6"/>
  <c r="DB139" i="6"/>
  <c r="DA139" i="6"/>
  <c r="DI138" i="6"/>
  <c r="DH138" i="6"/>
  <c r="DG138" i="6"/>
  <c r="DF138" i="6"/>
  <c r="DE138" i="6"/>
  <c r="DD138" i="6"/>
  <c r="DC138" i="6"/>
  <c r="DB138" i="6"/>
  <c r="DA138" i="6"/>
  <c r="DI137" i="6"/>
  <c r="DH137" i="6"/>
  <c r="DG137" i="6"/>
  <c r="DF137" i="6"/>
  <c r="DE137" i="6"/>
  <c r="DD137" i="6"/>
  <c r="DC137" i="6"/>
  <c r="DB137" i="6"/>
  <c r="DA137" i="6"/>
  <c r="DI136" i="6"/>
  <c r="DH136" i="6"/>
  <c r="DG136" i="6"/>
  <c r="DF136" i="6"/>
  <c r="DE136" i="6"/>
  <c r="DD136" i="6"/>
  <c r="DC136" i="6"/>
  <c r="DB136" i="6"/>
  <c r="DA136" i="6"/>
  <c r="DI135" i="6"/>
  <c r="DH135" i="6"/>
  <c r="DG135" i="6"/>
  <c r="DF135" i="6"/>
  <c r="DE135" i="6"/>
  <c r="DD135" i="6"/>
  <c r="DC135" i="6"/>
  <c r="DB135" i="6"/>
  <c r="DA135" i="6"/>
  <c r="DI134" i="6"/>
  <c r="DH134" i="6"/>
  <c r="DG134" i="6"/>
  <c r="DF134" i="6"/>
  <c r="DE134" i="6"/>
  <c r="DD134" i="6"/>
  <c r="DC134" i="6"/>
  <c r="DB134" i="6"/>
  <c r="DA134" i="6"/>
  <c r="DI133" i="6"/>
  <c r="DH133" i="6"/>
  <c r="DG133" i="6"/>
  <c r="DF133" i="6"/>
  <c r="DE133" i="6"/>
  <c r="DD133" i="6"/>
  <c r="DC133" i="6"/>
  <c r="DB133" i="6"/>
  <c r="DA133" i="6"/>
  <c r="DI132" i="6"/>
  <c r="DH132" i="6"/>
  <c r="DG132" i="6"/>
  <c r="DF132" i="6"/>
  <c r="DE132" i="6"/>
  <c r="DD132" i="6"/>
  <c r="DC132" i="6"/>
  <c r="DB132" i="6"/>
  <c r="DA132" i="6"/>
  <c r="DI131" i="6"/>
  <c r="DH131" i="6"/>
  <c r="DG131" i="6"/>
  <c r="DF131" i="6"/>
  <c r="DE131" i="6"/>
  <c r="DD131" i="6"/>
  <c r="DC131" i="6"/>
  <c r="DB131" i="6"/>
  <c r="DA131" i="6"/>
  <c r="DI130" i="6"/>
  <c r="DH130" i="6"/>
  <c r="DG130" i="6"/>
  <c r="DF130" i="6"/>
  <c r="DE130" i="6"/>
  <c r="DD130" i="6"/>
  <c r="DC130" i="6"/>
  <c r="DB130" i="6"/>
  <c r="DA130" i="6"/>
  <c r="DI129" i="6"/>
  <c r="DH129" i="6"/>
  <c r="DG129" i="6"/>
  <c r="DF129" i="6"/>
  <c r="DE129" i="6"/>
  <c r="DD129" i="6"/>
  <c r="DC129" i="6"/>
  <c r="DB129" i="6"/>
  <c r="DA129" i="6"/>
  <c r="DI128" i="6"/>
  <c r="DH128" i="6"/>
  <c r="DG128" i="6"/>
  <c r="DF128" i="6"/>
  <c r="DE128" i="6"/>
  <c r="DD128" i="6"/>
  <c r="DC128" i="6"/>
  <c r="DB128" i="6"/>
  <c r="DA128" i="6"/>
  <c r="DI127" i="6"/>
  <c r="DH127" i="6"/>
  <c r="DG127" i="6"/>
  <c r="DF127" i="6"/>
  <c r="DE127" i="6"/>
  <c r="DD127" i="6"/>
  <c r="DC127" i="6"/>
  <c r="DB127" i="6"/>
  <c r="DA127" i="6"/>
  <c r="DI126" i="6"/>
  <c r="DH126" i="6"/>
  <c r="DG126" i="6"/>
  <c r="DF126" i="6"/>
  <c r="DE126" i="6"/>
  <c r="DD126" i="6"/>
  <c r="DC126" i="6"/>
  <c r="DB126" i="6"/>
  <c r="DA126" i="6"/>
  <c r="DI125" i="6"/>
  <c r="DH125" i="6"/>
  <c r="DG125" i="6"/>
  <c r="DF125" i="6"/>
  <c r="DE125" i="6"/>
  <c r="DD125" i="6"/>
  <c r="DC125" i="6"/>
  <c r="DB125" i="6"/>
  <c r="DA125" i="6"/>
  <c r="DI124" i="6"/>
  <c r="DH124" i="6"/>
  <c r="DG124" i="6"/>
  <c r="DF124" i="6"/>
  <c r="DE124" i="6"/>
  <c r="DD124" i="6"/>
  <c r="DC124" i="6"/>
  <c r="DB124" i="6"/>
  <c r="DA124" i="6"/>
  <c r="DI123" i="6"/>
  <c r="DH123" i="6"/>
  <c r="DG123" i="6"/>
  <c r="DF123" i="6"/>
  <c r="DE123" i="6"/>
  <c r="DD123" i="6"/>
  <c r="DC123" i="6"/>
  <c r="DB123" i="6"/>
  <c r="DA123" i="6"/>
  <c r="DI122" i="6"/>
  <c r="DH122" i="6"/>
  <c r="DG122" i="6"/>
  <c r="DF122" i="6"/>
  <c r="DE122" i="6"/>
  <c r="DD122" i="6"/>
  <c r="DC122" i="6"/>
  <c r="DB122" i="6"/>
  <c r="DA122" i="6"/>
  <c r="DI121" i="6"/>
  <c r="DH121" i="6"/>
  <c r="DG121" i="6"/>
  <c r="DF121" i="6"/>
  <c r="DE121" i="6"/>
  <c r="DD121" i="6"/>
  <c r="DC121" i="6"/>
  <c r="DB121" i="6"/>
  <c r="DA121" i="6"/>
  <c r="DI120" i="6"/>
  <c r="DH120" i="6"/>
  <c r="DG120" i="6"/>
  <c r="DF120" i="6"/>
  <c r="DE120" i="6"/>
  <c r="DD120" i="6"/>
  <c r="DC120" i="6"/>
  <c r="DB120" i="6"/>
  <c r="DA120" i="6"/>
  <c r="DI119" i="6"/>
  <c r="DH119" i="6"/>
  <c r="DG119" i="6"/>
  <c r="DF119" i="6"/>
  <c r="DE119" i="6"/>
  <c r="DD119" i="6"/>
  <c r="DC119" i="6"/>
  <c r="DB119" i="6"/>
  <c r="DA119" i="6"/>
  <c r="DI118" i="6"/>
  <c r="DH118" i="6"/>
  <c r="DG118" i="6"/>
  <c r="DF118" i="6"/>
  <c r="DE118" i="6"/>
  <c r="DD118" i="6"/>
  <c r="DC118" i="6"/>
  <c r="DB118" i="6"/>
  <c r="DA118" i="6"/>
  <c r="DI117" i="6"/>
  <c r="DH117" i="6"/>
  <c r="DG117" i="6"/>
  <c r="DF117" i="6"/>
  <c r="DE117" i="6"/>
  <c r="DD117" i="6"/>
  <c r="DC117" i="6"/>
  <c r="DB117" i="6"/>
  <c r="DA117" i="6"/>
  <c r="DI116" i="6"/>
  <c r="DH116" i="6"/>
  <c r="DG116" i="6"/>
  <c r="DF116" i="6"/>
  <c r="DE116" i="6"/>
  <c r="DD116" i="6"/>
  <c r="DC116" i="6"/>
  <c r="DB116" i="6"/>
  <c r="DA116" i="6"/>
  <c r="DI115" i="6"/>
  <c r="DH115" i="6"/>
  <c r="DG115" i="6"/>
  <c r="DF115" i="6"/>
  <c r="DE115" i="6"/>
  <c r="DD115" i="6"/>
  <c r="DC115" i="6"/>
  <c r="DB115" i="6"/>
  <c r="DA115" i="6"/>
  <c r="DI114" i="6"/>
  <c r="DH114" i="6"/>
  <c r="DG114" i="6"/>
  <c r="DF114" i="6"/>
  <c r="DE114" i="6"/>
  <c r="DD114" i="6"/>
  <c r="DC114" i="6"/>
  <c r="DB114" i="6"/>
  <c r="DA114" i="6"/>
  <c r="DI110" i="6"/>
  <c r="DH110" i="6"/>
  <c r="DG110" i="6"/>
  <c r="DF110" i="6"/>
  <c r="DE110" i="6"/>
  <c r="DD110" i="6"/>
  <c r="DC110" i="6"/>
  <c r="DB110" i="6"/>
  <c r="DA110" i="6"/>
  <c r="DI109" i="6"/>
  <c r="DH109" i="6"/>
  <c r="DG109" i="6"/>
  <c r="DF109" i="6"/>
  <c r="DE109" i="6"/>
  <c r="DD109" i="6"/>
  <c r="DC109" i="6"/>
  <c r="DB109" i="6"/>
  <c r="DA109" i="6"/>
  <c r="DI108" i="6"/>
  <c r="DH108" i="6"/>
  <c r="DG108" i="6"/>
  <c r="DF108" i="6"/>
  <c r="DE108" i="6"/>
  <c r="DD108" i="6"/>
  <c r="DC108" i="6"/>
  <c r="DB108" i="6"/>
  <c r="DA108" i="6"/>
  <c r="DI107" i="6"/>
  <c r="DH107" i="6"/>
  <c r="DG107" i="6"/>
  <c r="DF107" i="6"/>
  <c r="DE107" i="6"/>
  <c r="DD107" i="6"/>
  <c r="DC107" i="6"/>
  <c r="DB107" i="6"/>
  <c r="DA107" i="6"/>
  <c r="DI106" i="6"/>
  <c r="DH106" i="6"/>
  <c r="DG106" i="6"/>
  <c r="DF106" i="6"/>
  <c r="DE106" i="6"/>
  <c r="DD106" i="6"/>
  <c r="DC106" i="6"/>
  <c r="DB106" i="6"/>
  <c r="DA106" i="6"/>
  <c r="DG105" i="6"/>
  <c r="DE105" i="6"/>
  <c r="DC105" i="6"/>
  <c r="DB105" i="6"/>
  <c r="DA105" i="6"/>
  <c r="DG104" i="6"/>
  <c r="DE104" i="6"/>
  <c r="DC104" i="6"/>
  <c r="DB104" i="6"/>
  <c r="DA104" i="6"/>
  <c r="DI103" i="6"/>
  <c r="DH103" i="6"/>
  <c r="DG103" i="6"/>
  <c r="DF103" i="6"/>
  <c r="DE103" i="6"/>
  <c r="DD103" i="6"/>
  <c r="DC103" i="6"/>
  <c r="DB103" i="6"/>
  <c r="DA103" i="6"/>
  <c r="DI102" i="6"/>
  <c r="DH102" i="6"/>
  <c r="DG102" i="6"/>
  <c r="DF102" i="6"/>
  <c r="DE102" i="6"/>
  <c r="DD102" i="6"/>
  <c r="DC102" i="6"/>
  <c r="DB102" i="6"/>
  <c r="DA102" i="6"/>
  <c r="DI101" i="6"/>
  <c r="DH101" i="6"/>
  <c r="DG101" i="6"/>
  <c r="DF101" i="6"/>
  <c r="DE101" i="6"/>
  <c r="DD101" i="6"/>
  <c r="DC101" i="6"/>
  <c r="DB101" i="6"/>
  <c r="DA101" i="6"/>
  <c r="DI100" i="6"/>
  <c r="DH100" i="6"/>
  <c r="DG100" i="6"/>
  <c r="DF100" i="6"/>
  <c r="DE100" i="6"/>
  <c r="DD100" i="6"/>
  <c r="DC100" i="6"/>
  <c r="DB100" i="6"/>
  <c r="DA100" i="6"/>
  <c r="DI99" i="6"/>
  <c r="DH99" i="6"/>
  <c r="DG99" i="6"/>
  <c r="DF99" i="6"/>
  <c r="DE99" i="6"/>
  <c r="DD99" i="6"/>
  <c r="DC99" i="6"/>
  <c r="DB99" i="6"/>
  <c r="DA99" i="6"/>
  <c r="DG98" i="6"/>
  <c r="DE98" i="6"/>
  <c r="DD98" i="6"/>
  <c r="DC98" i="6"/>
  <c r="DB98" i="6"/>
  <c r="DA98" i="6"/>
  <c r="DI97" i="6"/>
  <c r="DH97" i="6"/>
  <c r="DG97" i="6"/>
  <c r="DF97" i="6"/>
  <c r="DE97" i="6"/>
  <c r="DD97" i="6"/>
  <c r="DC97" i="6"/>
  <c r="DB97" i="6"/>
  <c r="DA97" i="6"/>
  <c r="DG96" i="6"/>
  <c r="DE96" i="6"/>
  <c r="DC96" i="6"/>
  <c r="DB96" i="6"/>
  <c r="DA96" i="6"/>
  <c r="DI95" i="6"/>
  <c r="DH95" i="6"/>
  <c r="DG95" i="6"/>
  <c r="DF95" i="6"/>
  <c r="DE95" i="6"/>
  <c r="DD95" i="6"/>
  <c r="DC95" i="6"/>
  <c r="DB95" i="6"/>
  <c r="DA95" i="6"/>
  <c r="DG94" i="6"/>
  <c r="DE94" i="6"/>
  <c r="DD94" i="6"/>
  <c r="DC94" i="6"/>
  <c r="DB94" i="6"/>
  <c r="DA94" i="6"/>
  <c r="DG93" i="6"/>
  <c r="DE93" i="6"/>
  <c r="DC93" i="6"/>
  <c r="DB93" i="6"/>
  <c r="DA93" i="6"/>
  <c r="DI92" i="6"/>
  <c r="DH92" i="6"/>
  <c r="DG92" i="6"/>
  <c r="DF92" i="6"/>
  <c r="DE92" i="6"/>
  <c r="DD92" i="6"/>
  <c r="DC92" i="6"/>
  <c r="DB92" i="6"/>
  <c r="DA92" i="6"/>
  <c r="DI91" i="6"/>
  <c r="DH91" i="6"/>
  <c r="DG91" i="6"/>
  <c r="DF91" i="6"/>
  <c r="DE91" i="6"/>
  <c r="DD91" i="6"/>
  <c r="DC91" i="6"/>
  <c r="DB91" i="6"/>
  <c r="DA91" i="6"/>
  <c r="DI90" i="6"/>
  <c r="DH90" i="6"/>
  <c r="DG90" i="6"/>
  <c r="DF90" i="6"/>
  <c r="DE90" i="6"/>
  <c r="DD90" i="6"/>
  <c r="DC90" i="6"/>
  <c r="DB90" i="6"/>
  <c r="DA90" i="6"/>
  <c r="DI89" i="6"/>
  <c r="DH89" i="6"/>
  <c r="DG89" i="6"/>
  <c r="DF89" i="6"/>
  <c r="DE89" i="6"/>
  <c r="DD89" i="6"/>
  <c r="DC89" i="6"/>
  <c r="DB89" i="6"/>
  <c r="DA89" i="6"/>
  <c r="DI88" i="6"/>
  <c r="DH88" i="6"/>
  <c r="DG88" i="6"/>
  <c r="DF88" i="6"/>
  <c r="DE88" i="6"/>
  <c r="DD88" i="6"/>
  <c r="DC88" i="6"/>
  <c r="DB88" i="6"/>
  <c r="DA88" i="6"/>
  <c r="DI87" i="6"/>
  <c r="DH87" i="6"/>
  <c r="DG87" i="6"/>
  <c r="DF87" i="6"/>
  <c r="DE87" i="6"/>
  <c r="DD87" i="6"/>
  <c r="DC87" i="6"/>
  <c r="DB87" i="6"/>
  <c r="DA87" i="6"/>
  <c r="DI86" i="6"/>
  <c r="DH86" i="6"/>
  <c r="DG86" i="6"/>
  <c r="DF86" i="6"/>
  <c r="DE86" i="6"/>
  <c r="DD86" i="6"/>
  <c r="DC86" i="6"/>
  <c r="DB86" i="6"/>
  <c r="DA86" i="6"/>
  <c r="DI85" i="6"/>
  <c r="DH85" i="6"/>
  <c r="DG85" i="6"/>
  <c r="DF85" i="6"/>
  <c r="DE85" i="6"/>
  <c r="DD85" i="6"/>
  <c r="DC85" i="6"/>
  <c r="DB85" i="6"/>
  <c r="DA85" i="6"/>
  <c r="DI84" i="6"/>
  <c r="DH84" i="6"/>
  <c r="DG84" i="6"/>
  <c r="DF84" i="6"/>
  <c r="DE84" i="6"/>
  <c r="DD84" i="6"/>
  <c r="DC84" i="6"/>
  <c r="DB84" i="6"/>
  <c r="DA84" i="6"/>
  <c r="DI83" i="6"/>
  <c r="DH83" i="6"/>
  <c r="DG83" i="6"/>
  <c r="DF83" i="6"/>
  <c r="DE83" i="6"/>
  <c r="DD83" i="6"/>
  <c r="DC83" i="6"/>
  <c r="DB83" i="6"/>
  <c r="DA83" i="6"/>
  <c r="DI82" i="6"/>
  <c r="DH82" i="6"/>
  <c r="DG82" i="6"/>
  <c r="DF82" i="6"/>
  <c r="DE82" i="6"/>
  <c r="DD82" i="6"/>
  <c r="DC82" i="6"/>
  <c r="DB82" i="6"/>
  <c r="DA82" i="6"/>
  <c r="DI81" i="6"/>
  <c r="DH81" i="6"/>
  <c r="DG81" i="6"/>
  <c r="DF81" i="6"/>
  <c r="DE81" i="6"/>
  <c r="DD81" i="6"/>
  <c r="DC81" i="6"/>
  <c r="DB81" i="6"/>
  <c r="DA81" i="6"/>
  <c r="DI80" i="6"/>
  <c r="DH80" i="6"/>
  <c r="DG80" i="6"/>
  <c r="DF80" i="6"/>
  <c r="DE80" i="6"/>
  <c r="DD80" i="6"/>
  <c r="DC80" i="6"/>
  <c r="DB80" i="6"/>
  <c r="DA80" i="6"/>
  <c r="DI79" i="6"/>
  <c r="DH79" i="6"/>
  <c r="DG79" i="6"/>
  <c r="DF79" i="6"/>
  <c r="DE79" i="6"/>
  <c r="DD79" i="6"/>
  <c r="DC79" i="6"/>
  <c r="DB79" i="6"/>
  <c r="DA79" i="6"/>
  <c r="DI78" i="6"/>
  <c r="DH78" i="6"/>
  <c r="DG78" i="6"/>
  <c r="DF78" i="6"/>
  <c r="DE78" i="6"/>
  <c r="DD78" i="6"/>
  <c r="DC78" i="6"/>
  <c r="DB78" i="6"/>
  <c r="DA78" i="6"/>
  <c r="DI77" i="6"/>
  <c r="DH77" i="6"/>
  <c r="DG77" i="6"/>
  <c r="DF77" i="6"/>
  <c r="DE77" i="6"/>
  <c r="DD77" i="6"/>
  <c r="DC77" i="6"/>
  <c r="DB77" i="6"/>
  <c r="DA77" i="6"/>
  <c r="DI76" i="6"/>
  <c r="DH76" i="6"/>
  <c r="DG76" i="6"/>
  <c r="DF76" i="6"/>
  <c r="DE76" i="6"/>
  <c r="DD76" i="6"/>
  <c r="DC76" i="6"/>
  <c r="DB76" i="6"/>
  <c r="DA76" i="6"/>
  <c r="DI75" i="6"/>
  <c r="DH75" i="6"/>
  <c r="DG75" i="6"/>
  <c r="DF75" i="6"/>
  <c r="DE75" i="6"/>
  <c r="DD75" i="6"/>
  <c r="DC75" i="6"/>
  <c r="DB75" i="6"/>
  <c r="DA75" i="6"/>
  <c r="DI74" i="6"/>
  <c r="DH74" i="6"/>
  <c r="DG74" i="6"/>
  <c r="DF74" i="6"/>
  <c r="DE74" i="6"/>
  <c r="DD74" i="6"/>
  <c r="DC74" i="6"/>
  <c r="DB74" i="6"/>
  <c r="DA74" i="6"/>
  <c r="DI73" i="6"/>
  <c r="DH73" i="6"/>
  <c r="DG73" i="6"/>
  <c r="DF73" i="6"/>
  <c r="DE73" i="6"/>
  <c r="DD73" i="6"/>
  <c r="DC73" i="6"/>
  <c r="DB73" i="6"/>
  <c r="DA73" i="6"/>
  <c r="DI72" i="6"/>
  <c r="DH72" i="6"/>
  <c r="DG72" i="6"/>
  <c r="DF72" i="6"/>
  <c r="DE72" i="6"/>
  <c r="DD72" i="6"/>
  <c r="DC72" i="6"/>
  <c r="DB72" i="6"/>
  <c r="DA72" i="6"/>
  <c r="DI71" i="6"/>
  <c r="DH71" i="6"/>
  <c r="DG71" i="6"/>
  <c r="DF71" i="6"/>
  <c r="DE71" i="6"/>
  <c r="DD71" i="6"/>
  <c r="DC71" i="6"/>
  <c r="DB71" i="6"/>
  <c r="DA71" i="6"/>
  <c r="DI70" i="6"/>
  <c r="DH70" i="6"/>
  <c r="DG70" i="6"/>
  <c r="DF70" i="6"/>
  <c r="DE70" i="6"/>
  <c r="DD70" i="6"/>
  <c r="DC70" i="6"/>
  <c r="DB70" i="6"/>
  <c r="DA70" i="6"/>
  <c r="DI69" i="6"/>
  <c r="DH69" i="6"/>
  <c r="DG69" i="6"/>
  <c r="DF69" i="6"/>
  <c r="DE69" i="6"/>
  <c r="DD69" i="6"/>
  <c r="DC69" i="6"/>
  <c r="DB69" i="6"/>
  <c r="DA69" i="6"/>
  <c r="DI68" i="6"/>
  <c r="DH68" i="6"/>
  <c r="DG68" i="6"/>
  <c r="DF68" i="6"/>
  <c r="DE68" i="6"/>
  <c r="DD68" i="6"/>
  <c r="DC68" i="6"/>
  <c r="DB68" i="6"/>
  <c r="DA68" i="6"/>
  <c r="DI67" i="6"/>
  <c r="DH67" i="6"/>
  <c r="DG67" i="6"/>
  <c r="DF67" i="6"/>
  <c r="DE67" i="6"/>
  <c r="DD67" i="6"/>
  <c r="DC67" i="6"/>
  <c r="DB67" i="6"/>
  <c r="DA67" i="6"/>
  <c r="DI66" i="6"/>
  <c r="DH66" i="6"/>
  <c r="DG66" i="6"/>
  <c r="DF66" i="6"/>
  <c r="DE66" i="6"/>
  <c r="DD66" i="6"/>
  <c r="DC66" i="6"/>
  <c r="DB66" i="6"/>
  <c r="DA66" i="6"/>
  <c r="DI65" i="6"/>
  <c r="DH65" i="6"/>
  <c r="DG65" i="6"/>
  <c r="DF65" i="6"/>
  <c r="DE65" i="6"/>
  <c r="DD65" i="6"/>
  <c r="DC65" i="6"/>
  <c r="DB65" i="6"/>
  <c r="DA65" i="6"/>
  <c r="DI64" i="6"/>
  <c r="DH64" i="6"/>
  <c r="DG64" i="6"/>
  <c r="DF64" i="6"/>
  <c r="DE64" i="6"/>
  <c r="DD64" i="6"/>
  <c r="DC64" i="6"/>
  <c r="DB64" i="6"/>
  <c r="DA64" i="6"/>
  <c r="DI63" i="6"/>
  <c r="DH63" i="6"/>
  <c r="DG63" i="6"/>
  <c r="DF63" i="6"/>
  <c r="DE63" i="6"/>
  <c r="DD63" i="6"/>
  <c r="DC63" i="6"/>
  <c r="DB63" i="6"/>
  <c r="DA63" i="6"/>
  <c r="DI62" i="6"/>
  <c r="DH62" i="6"/>
  <c r="DG62" i="6"/>
  <c r="DF62" i="6"/>
  <c r="DE62" i="6"/>
  <c r="DD62" i="6"/>
  <c r="DC62" i="6"/>
  <c r="DB62" i="6"/>
  <c r="DA62" i="6"/>
  <c r="DI61" i="6"/>
  <c r="DH61" i="6"/>
  <c r="DG61" i="6"/>
  <c r="DF61" i="6"/>
  <c r="DE61" i="6"/>
  <c r="DD61" i="6"/>
  <c r="DC61" i="6"/>
  <c r="DB61" i="6"/>
  <c r="DA61" i="6"/>
  <c r="DI60" i="6"/>
  <c r="DH60" i="6"/>
  <c r="DG60" i="6"/>
  <c r="DF60" i="6"/>
  <c r="DE60" i="6"/>
  <c r="DD60" i="6"/>
  <c r="DC60" i="6"/>
  <c r="DB60" i="6"/>
  <c r="DA60" i="6"/>
  <c r="DI59" i="6"/>
  <c r="DH59" i="6"/>
  <c r="DG59" i="6"/>
  <c r="DF59" i="6"/>
  <c r="DE59" i="6"/>
  <c r="DD59" i="6"/>
  <c r="DC59" i="6"/>
  <c r="DB59" i="6"/>
  <c r="DA59" i="6"/>
  <c r="DI58" i="6"/>
  <c r="DH58" i="6"/>
  <c r="DG58" i="6"/>
  <c r="DF58" i="6"/>
  <c r="DE58" i="6"/>
  <c r="DD58" i="6"/>
  <c r="DC58" i="6"/>
  <c r="DB58" i="6"/>
  <c r="DA58" i="6"/>
  <c r="DI57" i="6"/>
  <c r="DH57" i="6"/>
  <c r="DG57" i="6"/>
  <c r="DF57" i="6"/>
  <c r="DE57" i="6"/>
  <c r="DD57" i="6"/>
  <c r="DC57" i="6"/>
  <c r="DB57" i="6"/>
  <c r="DA57" i="6"/>
  <c r="DI56" i="6"/>
  <c r="DH56" i="6"/>
  <c r="DG56" i="6"/>
  <c r="DF56" i="6"/>
  <c r="DE56" i="6"/>
  <c r="DD56" i="6"/>
  <c r="DC56" i="6"/>
  <c r="DB56" i="6"/>
  <c r="DA56" i="6"/>
  <c r="DI55" i="6"/>
  <c r="DH55" i="6"/>
  <c r="DG55" i="6"/>
  <c r="DF55" i="6"/>
  <c r="DE55" i="6"/>
  <c r="DD55" i="6"/>
  <c r="DC55" i="6"/>
  <c r="DB55" i="6"/>
  <c r="DA55" i="6"/>
  <c r="DI54" i="6"/>
  <c r="DH54" i="6"/>
  <c r="DG54" i="6"/>
  <c r="DF54" i="6"/>
  <c r="DE54" i="6"/>
  <c r="DD54" i="6"/>
  <c r="DC54" i="6"/>
  <c r="DB54" i="6"/>
  <c r="DA54" i="6"/>
  <c r="DI53" i="6"/>
  <c r="DH53" i="6"/>
  <c r="DG53" i="6"/>
  <c r="DF53" i="6"/>
  <c r="DE53" i="6"/>
  <c r="DD53" i="6"/>
  <c r="DC53" i="6"/>
  <c r="DB53" i="6"/>
  <c r="DA53" i="6"/>
  <c r="DI52" i="6"/>
  <c r="DH52" i="6"/>
  <c r="DG52" i="6"/>
  <c r="DF52" i="6"/>
  <c r="DE52" i="6"/>
  <c r="DD52" i="6"/>
  <c r="DC52" i="6"/>
  <c r="DB52" i="6"/>
  <c r="DA52" i="6"/>
  <c r="DI51" i="6"/>
  <c r="DH51" i="6"/>
  <c r="DG51" i="6"/>
  <c r="DF51" i="6"/>
  <c r="DE51" i="6"/>
  <c r="DD51" i="6"/>
  <c r="DC51" i="6"/>
  <c r="DB51" i="6"/>
  <c r="DA51" i="6"/>
  <c r="DI50" i="6"/>
  <c r="DH50" i="6"/>
  <c r="DG50" i="6"/>
  <c r="DF50" i="6"/>
  <c r="DE50" i="6"/>
  <c r="DD50" i="6"/>
  <c r="DC50" i="6"/>
  <c r="DB50" i="6"/>
  <c r="DA50" i="6"/>
  <c r="DG49" i="6"/>
  <c r="DE49" i="6"/>
  <c r="DC49" i="6"/>
  <c r="DB49" i="6"/>
  <c r="DA49" i="6"/>
  <c r="DH48" i="6"/>
  <c r="DG48" i="6"/>
  <c r="DE48" i="6"/>
  <c r="DC48" i="6"/>
  <c r="DB48" i="6"/>
  <c r="DA48" i="6"/>
  <c r="DI47" i="6"/>
  <c r="DH47" i="6"/>
  <c r="DG47" i="6"/>
  <c r="DF47" i="6"/>
  <c r="DE47" i="6"/>
  <c r="DD47" i="6"/>
  <c r="DC47" i="6"/>
  <c r="DB47" i="6"/>
  <c r="DA47" i="6"/>
  <c r="DI46" i="6"/>
  <c r="DH46" i="6"/>
  <c r="DG46" i="6"/>
  <c r="DF46" i="6"/>
  <c r="DE46" i="6"/>
  <c r="DD46" i="6"/>
  <c r="DC46" i="6"/>
  <c r="DB46" i="6"/>
  <c r="DA46" i="6"/>
  <c r="DG45" i="6"/>
  <c r="DE45" i="6"/>
  <c r="DC45" i="6"/>
  <c r="DB45" i="6"/>
  <c r="DA45" i="6"/>
  <c r="DG44" i="6"/>
  <c r="DE44" i="6"/>
  <c r="DC44" i="6"/>
  <c r="DB44" i="6"/>
  <c r="DA44" i="6"/>
  <c r="DH43" i="6"/>
  <c r="DG43" i="6"/>
  <c r="DE43" i="6"/>
  <c r="DC43" i="6"/>
  <c r="DB43" i="6"/>
  <c r="DA43" i="6"/>
  <c r="DG42" i="6"/>
  <c r="DE42" i="6"/>
  <c r="DC42" i="6"/>
  <c r="DB42" i="6"/>
  <c r="DA42" i="6"/>
  <c r="DI41" i="6"/>
  <c r="DH41" i="6"/>
  <c r="DG41" i="6"/>
  <c r="DF41" i="6"/>
  <c r="DE41" i="6"/>
  <c r="DD41" i="6"/>
  <c r="DC41" i="6"/>
  <c r="DB41" i="6"/>
  <c r="DA41" i="6"/>
  <c r="DI40" i="6"/>
  <c r="DH40" i="6"/>
  <c r="DG40" i="6"/>
  <c r="DF40" i="6"/>
  <c r="DE40" i="6"/>
  <c r="DD40" i="6"/>
  <c r="DC40" i="6"/>
  <c r="DB40" i="6"/>
  <c r="DA40" i="6"/>
  <c r="DI39" i="6"/>
  <c r="DH39" i="6"/>
  <c r="DG39" i="6"/>
  <c r="DF39" i="6"/>
  <c r="DE39" i="6"/>
  <c r="DD39" i="6"/>
  <c r="DC39" i="6"/>
  <c r="DB39" i="6"/>
  <c r="DA39" i="6"/>
  <c r="DG38" i="6"/>
  <c r="DE38" i="6"/>
  <c r="DC38" i="6"/>
  <c r="DB38" i="6"/>
  <c r="DA38" i="6"/>
  <c r="DI37" i="6"/>
  <c r="DH37" i="6"/>
  <c r="DG37" i="6"/>
  <c r="DF37" i="6"/>
  <c r="DE37" i="6"/>
  <c r="DD37" i="6"/>
  <c r="DC37" i="6"/>
  <c r="DB37" i="6"/>
  <c r="DA37" i="6"/>
  <c r="DI36" i="6"/>
  <c r="DH36" i="6"/>
  <c r="DG36" i="6"/>
  <c r="DF36" i="6"/>
  <c r="DE36" i="6"/>
  <c r="DD36" i="6"/>
  <c r="DC36" i="6"/>
  <c r="DB36" i="6"/>
  <c r="DA36" i="6"/>
  <c r="DI35" i="6"/>
  <c r="DH35" i="6"/>
  <c r="DG35" i="6"/>
  <c r="DF35" i="6"/>
  <c r="DE35" i="6"/>
  <c r="DD35" i="6"/>
  <c r="DC35" i="6"/>
  <c r="DB35" i="6"/>
  <c r="DA35" i="6"/>
  <c r="DI34" i="6"/>
  <c r="DH34" i="6"/>
  <c r="DG34" i="6"/>
  <c r="DF34" i="6"/>
  <c r="DE34" i="6"/>
  <c r="DD34" i="6"/>
  <c r="DC34" i="6"/>
  <c r="DB34" i="6"/>
  <c r="DA34" i="6"/>
  <c r="DI33" i="6"/>
  <c r="DH33" i="6"/>
  <c r="DG33" i="6"/>
  <c r="DF33" i="6"/>
  <c r="DE33" i="6"/>
  <c r="DD33" i="6"/>
  <c r="DC33" i="6"/>
  <c r="DB33" i="6"/>
  <c r="DA33" i="6"/>
  <c r="DI32" i="6"/>
  <c r="DH32" i="6"/>
  <c r="DG32" i="6"/>
  <c r="DF32" i="6"/>
  <c r="DE32" i="6"/>
  <c r="DD32" i="6"/>
  <c r="DC32" i="6"/>
  <c r="DB32" i="6"/>
  <c r="DA32" i="6"/>
  <c r="DI31" i="6"/>
  <c r="DH31" i="6"/>
  <c r="DG31" i="6"/>
  <c r="DF31" i="6"/>
  <c r="DE31" i="6"/>
  <c r="DD31" i="6"/>
  <c r="DC31" i="6"/>
  <c r="DB31" i="6"/>
  <c r="DA31" i="6"/>
  <c r="DI30" i="6"/>
  <c r="DH30" i="6"/>
  <c r="DG30" i="6"/>
  <c r="DF30" i="6"/>
  <c r="DE30" i="6"/>
  <c r="DD30" i="6"/>
  <c r="DC30" i="6"/>
  <c r="DB30" i="6"/>
  <c r="DA30" i="6"/>
  <c r="DI29" i="6"/>
  <c r="DH29" i="6"/>
  <c r="DG29" i="6"/>
  <c r="DF29" i="6"/>
  <c r="DE29" i="6"/>
  <c r="DD29" i="6"/>
  <c r="DC29" i="6"/>
  <c r="DB29" i="6"/>
  <c r="DA29" i="6"/>
  <c r="DI28" i="6"/>
  <c r="DH28" i="6"/>
  <c r="DG28" i="6"/>
  <c r="DF28" i="6"/>
  <c r="DE28" i="6"/>
  <c r="DD28" i="6"/>
  <c r="DC28" i="6"/>
  <c r="DB28" i="6"/>
  <c r="DA28" i="6"/>
  <c r="DI27" i="6"/>
  <c r="DH27" i="6"/>
  <c r="DG27" i="6"/>
  <c r="DF27" i="6"/>
  <c r="DE27" i="6"/>
  <c r="DD27" i="6"/>
  <c r="DC27" i="6"/>
  <c r="DB27" i="6"/>
  <c r="DA27" i="6"/>
  <c r="DI26" i="6"/>
  <c r="DH26" i="6"/>
  <c r="DG26" i="6"/>
  <c r="DF26" i="6"/>
  <c r="DE26" i="6"/>
  <c r="DD26" i="6"/>
  <c r="DC26" i="6"/>
  <c r="DB26" i="6"/>
  <c r="DA26" i="6"/>
  <c r="DI25" i="6"/>
  <c r="DH25" i="6"/>
  <c r="DG25" i="6"/>
  <c r="DF25" i="6"/>
  <c r="DE25" i="6"/>
  <c r="DD25" i="6"/>
  <c r="DC25" i="6"/>
  <c r="DB25" i="6"/>
  <c r="DA25" i="6"/>
  <c r="DG24" i="6"/>
  <c r="DE24" i="6"/>
  <c r="DC24" i="6"/>
  <c r="DB24" i="6"/>
  <c r="DA24" i="6"/>
  <c r="DI23" i="6"/>
  <c r="DH23" i="6"/>
  <c r="DG23" i="6"/>
  <c r="DF23" i="6"/>
  <c r="DE23" i="6"/>
  <c r="DD23" i="6"/>
  <c r="DC23" i="6"/>
  <c r="DB23" i="6"/>
  <c r="DA23" i="6"/>
  <c r="DI22" i="6"/>
  <c r="DH22" i="6"/>
  <c r="DG22" i="6"/>
  <c r="DF22" i="6"/>
  <c r="DE22" i="6"/>
  <c r="DD22" i="6"/>
  <c r="DC22" i="6"/>
  <c r="DB22" i="6"/>
  <c r="DA22" i="6"/>
  <c r="DI21" i="6"/>
  <c r="DH21" i="6"/>
  <c r="DG21" i="6"/>
  <c r="DF21" i="6"/>
  <c r="DE21" i="6"/>
  <c r="DD21" i="6"/>
  <c r="DC21" i="6"/>
  <c r="DB21" i="6"/>
  <c r="DA21" i="6"/>
  <c r="DG20" i="6"/>
  <c r="DE20" i="6"/>
  <c r="DC20" i="6"/>
  <c r="DB20" i="6"/>
  <c r="DA20" i="6"/>
  <c r="DG19" i="6"/>
  <c r="DE19" i="6"/>
  <c r="DC19" i="6"/>
  <c r="DB19" i="6"/>
  <c r="DA19" i="6"/>
  <c r="DI18" i="6"/>
  <c r="DH18" i="6"/>
  <c r="DG18" i="6"/>
  <c r="DF18" i="6"/>
  <c r="DE18" i="6"/>
  <c r="DD18" i="6"/>
  <c r="DC18" i="6"/>
  <c r="DB18" i="6"/>
  <c r="DA18" i="6"/>
  <c r="DG17" i="6"/>
  <c r="DE17" i="6"/>
  <c r="DC17" i="6"/>
  <c r="DB17" i="6"/>
  <c r="DA17" i="6"/>
  <c r="DH16" i="6"/>
  <c r="DG16" i="6"/>
  <c r="DE16" i="6"/>
  <c r="DC16" i="6"/>
  <c r="DB16" i="6"/>
  <c r="DA16" i="6"/>
  <c r="DI15" i="6"/>
  <c r="DH15" i="6"/>
  <c r="DG15" i="6"/>
  <c r="DF15" i="6"/>
  <c r="DE15" i="6"/>
  <c r="DD15" i="6"/>
  <c r="DC15" i="6"/>
  <c r="DB15" i="6"/>
  <c r="DA15" i="6"/>
  <c r="DI14" i="6"/>
  <c r="DH14" i="6"/>
  <c r="DG14" i="6"/>
  <c r="DF14" i="6"/>
  <c r="DE14" i="6"/>
  <c r="DD14" i="6"/>
  <c r="DC14" i="6"/>
  <c r="DB14" i="6"/>
  <c r="DA14" i="6"/>
  <c r="DI13" i="6"/>
  <c r="DH13" i="6"/>
  <c r="DG13" i="6"/>
  <c r="DF13" i="6"/>
  <c r="DE13" i="6"/>
  <c r="DD13" i="6"/>
  <c r="DC13" i="6"/>
  <c r="DB13" i="6"/>
  <c r="DA13" i="6"/>
  <c r="DG12" i="6"/>
  <c r="DE12" i="6"/>
  <c r="DC12" i="6"/>
  <c r="DB12" i="6"/>
  <c r="DA12" i="6"/>
  <c r="V90" i="6"/>
  <c r="W90" i="6" s="1"/>
  <c r="Y90" i="6" s="1"/>
  <c r="X90" i="6"/>
  <c r="AD162" i="8"/>
  <c r="I48" i="6"/>
  <c r="J48" i="6" s="1"/>
  <c r="O46" i="6"/>
  <c r="T104" i="6"/>
  <c r="N104" i="6"/>
  <c r="H104" i="6"/>
  <c r="T42" i="6"/>
  <c r="N42" i="6"/>
  <c r="H42" i="6"/>
  <c r="H114" i="6"/>
  <c r="I274" i="9"/>
  <c r="J274" i="9" s="1"/>
  <c r="I273" i="9"/>
  <c r="I271" i="9"/>
  <c r="J271" i="9" s="1"/>
  <c r="I270" i="9"/>
  <c r="J270" i="9" s="1"/>
  <c r="X264" i="9"/>
  <c r="V264" i="9"/>
  <c r="W264" i="9" s="1"/>
  <c r="Y264" i="9" s="1"/>
  <c r="R264" i="9"/>
  <c r="P264" i="9"/>
  <c r="Q264" i="9" s="1"/>
  <c r="S264" i="9" s="1"/>
  <c r="L264" i="9"/>
  <c r="J264" i="9"/>
  <c r="K264" i="9" s="1"/>
  <c r="DI263" i="9"/>
  <c r="DH263" i="9"/>
  <c r="DQ263" i="9" s="1"/>
  <c r="DG263" i="9"/>
  <c r="DP263" i="9" s="1"/>
  <c r="DF263" i="9"/>
  <c r="DO263" i="9" s="1"/>
  <c r="DE263" i="9"/>
  <c r="DN263" i="9" s="1"/>
  <c r="DD263" i="9"/>
  <c r="DM263" i="9" s="1"/>
  <c r="DC263" i="9"/>
  <c r="DL263" i="9" s="1"/>
  <c r="DB263" i="9"/>
  <c r="DK263" i="9" s="1"/>
  <c r="DA263" i="9"/>
  <c r="DJ263" i="9" s="1"/>
  <c r="X263" i="9"/>
  <c r="W263" i="9"/>
  <c r="Y263" i="9" s="1"/>
  <c r="R263" i="9"/>
  <c r="Q263" i="9"/>
  <c r="S263" i="9" s="1"/>
  <c r="L263" i="9"/>
  <c r="K263" i="9"/>
  <c r="DG262" i="9"/>
  <c r="DE262" i="9"/>
  <c r="DC262" i="9"/>
  <c r="DB262" i="9"/>
  <c r="DK262" i="9" s="1"/>
  <c r="DA262" i="9"/>
  <c r="DJ262" i="9" s="1"/>
  <c r="T262" i="9"/>
  <c r="N262" i="9"/>
  <c r="H262" i="9"/>
  <c r="DG261" i="9"/>
  <c r="DE261" i="9"/>
  <c r="DC261" i="9"/>
  <c r="DB261" i="9"/>
  <c r="DK261" i="9" s="1"/>
  <c r="DA261" i="9"/>
  <c r="DJ261" i="9" s="1"/>
  <c r="T261" i="9"/>
  <c r="N261" i="9"/>
  <c r="H261" i="9"/>
  <c r="DG260" i="9"/>
  <c r="DE260" i="9"/>
  <c r="DN260" i="9" s="1"/>
  <c r="DC260" i="9"/>
  <c r="DL260" i="9" s="1"/>
  <c r="DB260" i="9"/>
  <c r="DK260" i="9" s="1"/>
  <c r="DA260" i="9"/>
  <c r="DJ260" i="9" s="1"/>
  <c r="T260" i="9"/>
  <c r="R260" i="9"/>
  <c r="P260" i="9"/>
  <c r="Q260" i="9" s="1"/>
  <c r="S260" i="9" s="1"/>
  <c r="L260" i="9"/>
  <c r="J260" i="9"/>
  <c r="K260" i="9" s="1"/>
  <c r="M260" i="9" s="1"/>
  <c r="G260" i="9"/>
  <c r="DI259" i="9"/>
  <c r="DH259" i="9"/>
  <c r="DQ259" i="9" s="1"/>
  <c r="DG259" i="9"/>
  <c r="DP259" i="9" s="1"/>
  <c r="DF259" i="9"/>
  <c r="DO259" i="9" s="1"/>
  <c r="DE259" i="9"/>
  <c r="DN259" i="9" s="1"/>
  <c r="DD259" i="9"/>
  <c r="DM259" i="9" s="1"/>
  <c r="DC259" i="9"/>
  <c r="DL259" i="9" s="1"/>
  <c r="DB259" i="9"/>
  <c r="DK259" i="9" s="1"/>
  <c r="DA259" i="9"/>
  <c r="DJ259" i="9" s="1"/>
  <c r="X259" i="9"/>
  <c r="V259" i="9"/>
  <c r="W259" i="9" s="1"/>
  <c r="Y259" i="9" s="1"/>
  <c r="R259" i="9"/>
  <c r="P259" i="9"/>
  <c r="Q259" i="9" s="1"/>
  <c r="S259" i="9" s="1"/>
  <c r="L259" i="9"/>
  <c r="J259" i="9"/>
  <c r="K259" i="9" s="1"/>
  <c r="M259" i="9" s="1"/>
  <c r="DI258" i="9"/>
  <c r="DH258" i="9"/>
  <c r="DQ258" i="9" s="1"/>
  <c r="DG258" i="9"/>
  <c r="DP258" i="9" s="1"/>
  <c r="DF258" i="9"/>
  <c r="DO258" i="9" s="1"/>
  <c r="DE258" i="9"/>
  <c r="DN258" i="9" s="1"/>
  <c r="DD258" i="9"/>
  <c r="DM258" i="9" s="1"/>
  <c r="DC258" i="9"/>
  <c r="DL258" i="9" s="1"/>
  <c r="DB258" i="9"/>
  <c r="DK258" i="9" s="1"/>
  <c r="DA258" i="9"/>
  <c r="DJ258" i="9" s="1"/>
  <c r="X258" i="9"/>
  <c r="V258" i="9"/>
  <c r="W258" i="9" s="1"/>
  <c r="Y258" i="9" s="1"/>
  <c r="R258" i="9"/>
  <c r="P258" i="9"/>
  <c r="Q258" i="9" s="1"/>
  <c r="S258" i="9" s="1"/>
  <c r="L258" i="9"/>
  <c r="J258" i="9"/>
  <c r="K258" i="9" s="1"/>
  <c r="M258" i="9" s="1"/>
  <c r="DI257" i="9"/>
  <c r="DH257" i="9"/>
  <c r="DQ257" i="9" s="1"/>
  <c r="DG257" i="9"/>
  <c r="DP257" i="9" s="1"/>
  <c r="DF257" i="9"/>
  <c r="DO257" i="9" s="1"/>
  <c r="DE257" i="9"/>
  <c r="DN257" i="9" s="1"/>
  <c r="DD257" i="9"/>
  <c r="DM257" i="9" s="1"/>
  <c r="DC257" i="9"/>
  <c r="DL257" i="9" s="1"/>
  <c r="DB257" i="9"/>
  <c r="DK257" i="9" s="1"/>
  <c r="DA257" i="9"/>
  <c r="DJ257" i="9" s="1"/>
  <c r="X257" i="9"/>
  <c r="V257" i="9"/>
  <c r="W257" i="9" s="1"/>
  <c r="Y257" i="9" s="1"/>
  <c r="R257" i="9"/>
  <c r="P257" i="9"/>
  <c r="Q257" i="9" s="1"/>
  <c r="S257" i="9" s="1"/>
  <c r="L257" i="9"/>
  <c r="J257" i="9"/>
  <c r="K257" i="9" s="1"/>
  <c r="M257" i="9" s="1"/>
  <c r="DI256" i="9"/>
  <c r="DH256" i="9"/>
  <c r="DQ256" i="9" s="1"/>
  <c r="DG256" i="9"/>
  <c r="DP256" i="9" s="1"/>
  <c r="DF256" i="9"/>
  <c r="DO256" i="9" s="1"/>
  <c r="DE256" i="9"/>
  <c r="DN256" i="9" s="1"/>
  <c r="DD256" i="9"/>
  <c r="DM256" i="9" s="1"/>
  <c r="DC256" i="9"/>
  <c r="DL256" i="9" s="1"/>
  <c r="DB256" i="9"/>
  <c r="DK256" i="9" s="1"/>
  <c r="DA256" i="9"/>
  <c r="DJ256" i="9" s="1"/>
  <c r="X256" i="9"/>
  <c r="V256" i="9"/>
  <c r="W256" i="9" s="1"/>
  <c r="Y256" i="9" s="1"/>
  <c r="R256" i="9"/>
  <c r="P256" i="9"/>
  <c r="Q256" i="9" s="1"/>
  <c r="S256" i="9" s="1"/>
  <c r="L256" i="9"/>
  <c r="J256" i="9"/>
  <c r="K256" i="9" s="1"/>
  <c r="M256" i="9" s="1"/>
  <c r="DI255" i="9"/>
  <c r="DH255" i="9"/>
  <c r="DQ255" i="9" s="1"/>
  <c r="DG255" i="9"/>
  <c r="DP255" i="9" s="1"/>
  <c r="DF255" i="9"/>
  <c r="DO255" i="9" s="1"/>
  <c r="DE255" i="9"/>
  <c r="DN255" i="9" s="1"/>
  <c r="DD255" i="9"/>
  <c r="DM255" i="9" s="1"/>
  <c r="DC255" i="9"/>
  <c r="DL255" i="9" s="1"/>
  <c r="DB255" i="9"/>
  <c r="DK255" i="9" s="1"/>
  <c r="DA255" i="9"/>
  <c r="DJ255" i="9" s="1"/>
  <c r="X255" i="9"/>
  <c r="V255" i="9"/>
  <c r="W255" i="9" s="1"/>
  <c r="Y255" i="9" s="1"/>
  <c r="R255" i="9"/>
  <c r="P255" i="9"/>
  <c r="Q255" i="9" s="1"/>
  <c r="S255" i="9" s="1"/>
  <c r="L255" i="9"/>
  <c r="J255" i="9"/>
  <c r="K255" i="9" s="1"/>
  <c r="M255" i="9" s="1"/>
  <c r="DI254" i="9"/>
  <c r="DH254" i="9"/>
  <c r="DQ254" i="9" s="1"/>
  <c r="DG254" i="9"/>
  <c r="DP254" i="9" s="1"/>
  <c r="DF254" i="9"/>
  <c r="DO254" i="9" s="1"/>
  <c r="DE254" i="9"/>
  <c r="DN254" i="9" s="1"/>
  <c r="DD254" i="9"/>
  <c r="DM254" i="9" s="1"/>
  <c r="DC254" i="9"/>
  <c r="DL254" i="9" s="1"/>
  <c r="DB254" i="9"/>
  <c r="DK254" i="9" s="1"/>
  <c r="DA254" i="9"/>
  <c r="DJ254" i="9" s="1"/>
  <c r="X254" i="9"/>
  <c r="V254" i="9"/>
  <c r="W254" i="9" s="1"/>
  <c r="Y254" i="9" s="1"/>
  <c r="R254" i="9"/>
  <c r="P254" i="9"/>
  <c r="Q254" i="9" s="1"/>
  <c r="S254" i="9" s="1"/>
  <c r="L254" i="9"/>
  <c r="J254" i="9"/>
  <c r="K254" i="9" s="1"/>
  <c r="M254" i="9" s="1"/>
  <c r="DI253" i="9"/>
  <c r="DH253" i="9"/>
  <c r="DQ253" i="9" s="1"/>
  <c r="DG253" i="9"/>
  <c r="DP253" i="9" s="1"/>
  <c r="DF253" i="9"/>
  <c r="DO253" i="9" s="1"/>
  <c r="DE253" i="9"/>
  <c r="DN253" i="9" s="1"/>
  <c r="DD253" i="9"/>
  <c r="DM253" i="9" s="1"/>
  <c r="DC253" i="9"/>
  <c r="DL253" i="9" s="1"/>
  <c r="DB253" i="9"/>
  <c r="DK253" i="9" s="1"/>
  <c r="DA253" i="9"/>
  <c r="DJ253" i="9" s="1"/>
  <c r="X253" i="9"/>
  <c r="V253" i="9"/>
  <c r="W253" i="9" s="1"/>
  <c r="Y253" i="9" s="1"/>
  <c r="R253" i="9"/>
  <c r="P253" i="9"/>
  <c r="Q253" i="9" s="1"/>
  <c r="S253" i="9" s="1"/>
  <c r="L253" i="9"/>
  <c r="J253" i="9"/>
  <c r="K253" i="9" s="1"/>
  <c r="M253" i="9" s="1"/>
  <c r="DI252" i="9"/>
  <c r="DH252" i="9"/>
  <c r="DQ252" i="9" s="1"/>
  <c r="DG252" i="9"/>
  <c r="DP252" i="9" s="1"/>
  <c r="DF252" i="9"/>
  <c r="DO252" i="9" s="1"/>
  <c r="DE252" i="9"/>
  <c r="DN252" i="9" s="1"/>
  <c r="DD252" i="9"/>
  <c r="DM252" i="9" s="1"/>
  <c r="DC252" i="9"/>
  <c r="DL252" i="9" s="1"/>
  <c r="DB252" i="9"/>
  <c r="DK252" i="9" s="1"/>
  <c r="DA252" i="9"/>
  <c r="DJ252" i="9" s="1"/>
  <c r="X252" i="9"/>
  <c r="V252" i="9"/>
  <c r="W252" i="9" s="1"/>
  <c r="Y252" i="9" s="1"/>
  <c r="R252" i="9"/>
  <c r="P252" i="9"/>
  <c r="Q252" i="9" s="1"/>
  <c r="S252" i="9" s="1"/>
  <c r="L252" i="9"/>
  <c r="J252" i="9"/>
  <c r="K252" i="9" s="1"/>
  <c r="M252" i="9" s="1"/>
  <c r="DI251" i="9"/>
  <c r="DH251" i="9"/>
  <c r="DQ251" i="9" s="1"/>
  <c r="DG251" i="9"/>
  <c r="DP251" i="9" s="1"/>
  <c r="DF251" i="9"/>
  <c r="DO251" i="9" s="1"/>
  <c r="DE251" i="9"/>
  <c r="DN251" i="9" s="1"/>
  <c r="DD251" i="9"/>
  <c r="DM251" i="9" s="1"/>
  <c r="DC251" i="9"/>
  <c r="DL251" i="9" s="1"/>
  <c r="DB251" i="9"/>
  <c r="DK251" i="9" s="1"/>
  <c r="DA251" i="9"/>
  <c r="DJ251" i="9" s="1"/>
  <c r="X251" i="9"/>
  <c r="V251" i="9"/>
  <c r="W251" i="9" s="1"/>
  <c r="Y251" i="9" s="1"/>
  <c r="R251" i="9"/>
  <c r="P251" i="9"/>
  <c r="Q251" i="9" s="1"/>
  <c r="S251" i="9" s="1"/>
  <c r="L251" i="9"/>
  <c r="J251" i="9"/>
  <c r="K251" i="9" s="1"/>
  <c r="M251" i="9" s="1"/>
  <c r="DI250" i="9"/>
  <c r="DH250" i="9"/>
  <c r="DQ250" i="9" s="1"/>
  <c r="DG250" i="9"/>
  <c r="DP250" i="9" s="1"/>
  <c r="DF250" i="9"/>
  <c r="DO250" i="9" s="1"/>
  <c r="DE250" i="9"/>
  <c r="DN250" i="9" s="1"/>
  <c r="DD250" i="9"/>
  <c r="DM250" i="9" s="1"/>
  <c r="DC250" i="9"/>
  <c r="DL250" i="9" s="1"/>
  <c r="DB250" i="9"/>
  <c r="DK250" i="9" s="1"/>
  <c r="DA250" i="9"/>
  <c r="DJ250" i="9" s="1"/>
  <c r="X250" i="9"/>
  <c r="V250" i="9"/>
  <c r="W250" i="9" s="1"/>
  <c r="Y250" i="9" s="1"/>
  <c r="R250" i="9"/>
  <c r="P250" i="9"/>
  <c r="Q250" i="9" s="1"/>
  <c r="S250" i="9" s="1"/>
  <c r="L250" i="9"/>
  <c r="J250" i="9"/>
  <c r="K250" i="9" s="1"/>
  <c r="M250" i="9" s="1"/>
  <c r="DI249" i="9"/>
  <c r="DH249" i="9"/>
  <c r="DQ249" i="9" s="1"/>
  <c r="DG249" i="9"/>
  <c r="DP249" i="9" s="1"/>
  <c r="DF249" i="9"/>
  <c r="DO249" i="9" s="1"/>
  <c r="DE249" i="9"/>
  <c r="DN249" i="9" s="1"/>
  <c r="DD249" i="9"/>
  <c r="DM249" i="9" s="1"/>
  <c r="DC249" i="9"/>
  <c r="DL249" i="9" s="1"/>
  <c r="DB249" i="9"/>
  <c r="DK249" i="9" s="1"/>
  <c r="DA249" i="9"/>
  <c r="DJ249" i="9" s="1"/>
  <c r="X249" i="9"/>
  <c r="V249" i="9"/>
  <c r="W249" i="9" s="1"/>
  <c r="Y249" i="9" s="1"/>
  <c r="R249" i="9"/>
  <c r="P249" i="9"/>
  <c r="Q249" i="9" s="1"/>
  <c r="S249" i="9" s="1"/>
  <c r="L249" i="9"/>
  <c r="J249" i="9"/>
  <c r="K249" i="9" s="1"/>
  <c r="M249" i="9" s="1"/>
  <c r="DI248" i="9"/>
  <c r="DH248" i="9"/>
  <c r="DQ248" i="9" s="1"/>
  <c r="DG248" i="9"/>
  <c r="DP248" i="9" s="1"/>
  <c r="DF248" i="9"/>
  <c r="DO248" i="9" s="1"/>
  <c r="DE248" i="9"/>
  <c r="DN248" i="9" s="1"/>
  <c r="DD248" i="9"/>
  <c r="DM248" i="9" s="1"/>
  <c r="DC248" i="9"/>
  <c r="DL248" i="9" s="1"/>
  <c r="DB248" i="9"/>
  <c r="DK248" i="9" s="1"/>
  <c r="DA248" i="9"/>
  <c r="DJ248" i="9" s="1"/>
  <c r="X248" i="9"/>
  <c r="V248" i="9"/>
  <c r="W248" i="9" s="1"/>
  <c r="Y248" i="9" s="1"/>
  <c r="R248" i="9"/>
  <c r="P248" i="9"/>
  <c r="Q248" i="9" s="1"/>
  <c r="S248" i="9" s="1"/>
  <c r="L248" i="9"/>
  <c r="J248" i="9"/>
  <c r="K248" i="9" s="1"/>
  <c r="M248" i="9" s="1"/>
  <c r="DI247" i="9"/>
  <c r="DH247" i="9"/>
  <c r="DQ247" i="9" s="1"/>
  <c r="DG247" i="9"/>
  <c r="DP247" i="9" s="1"/>
  <c r="DF247" i="9"/>
  <c r="DO247" i="9" s="1"/>
  <c r="DE247" i="9"/>
  <c r="DN247" i="9" s="1"/>
  <c r="DD247" i="9"/>
  <c r="DM247" i="9" s="1"/>
  <c r="DC247" i="9"/>
  <c r="DL247" i="9" s="1"/>
  <c r="DB247" i="9"/>
  <c r="DK247" i="9" s="1"/>
  <c r="DA247" i="9"/>
  <c r="DJ247" i="9" s="1"/>
  <c r="X247" i="9"/>
  <c r="V247" i="9"/>
  <c r="W247" i="9" s="1"/>
  <c r="Y247" i="9" s="1"/>
  <c r="R247" i="9"/>
  <c r="P247" i="9"/>
  <c r="Q247" i="9" s="1"/>
  <c r="S247" i="9" s="1"/>
  <c r="L247" i="9"/>
  <c r="J247" i="9"/>
  <c r="K247" i="9" s="1"/>
  <c r="M247" i="9" s="1"/>
  <c r="DI246" i="9"/>
  <c r="DH246" i="9"/>
  <c r="DQ246" i="9" s="1"/>
  <c r="DG246" i="9"/>
  <c r="DP246" i="9" s="1"/>
  <c r="DF246" i="9"/>
  <c r="DO246" i="9" s="1"/>
  <c r="DE246" i="9"/>
  <c r="DN246" i="9" s="1"/>
  <c r="DD246" i="9"/>
  <c r="DM246" i="9" s="1"/>
  <c r="DC246" i="9"/>
  <c r="DL246" i="9" s="1"/>
  <c r="DB246" i="9"/>
  <c r="DK246" i="9" s="1"/>
  <c r="DA246" i="9"/>
  <c r="DJ246" i="9" s="1"/>
  <c r="X246" i="9"/>
  <c r="V246" i="9"/>
  <c r="W246" i="9" s="1"/>
  <c r="Y246" i="9" s="1"/>
  <c r="R246" i="9"/>
  <c r="P246" i="9"/>
  <c r="Q246" i="9" s="1"/>
  <c r="S246" i="9" s="1"/>
  <c r="L246" i="9"/>
  <c r="J246" i="9"/>
  <c r="K246" i="9" s="1"/>
  <c r="M246" i="9" s="1"/>
  <c r="DI245" i="9"/>
  <c r="DH245" i="9"/>
  <c r="DQ245" i="9" s="1"/>
  <c r="DG245" i="9"/>
  <c r="DP245" i="9" s="1"/>
  <c r="DF245" i="9"/>
  <c r="DO245" i="9" s="1"/>
  <c r="DE245" i="9"/>
  <c r="DN245" i="9" s="1"/>
  <c r="DD245" i="9"/>
  <c r="DM245" i="9" s="1"/>
  <c r="DC245" i="9"/>
  <c r="DL245" i="9" s="1"/>
  <c r="DB245" i="9"/>
  <c r="DK245" i="9" s="1"/>
  <c r="DA245" i="9"/>
  <c r="DJ245" i="9" s="1"/>
  <c r="X245" i="9"/>
  <c r="V245" i="9"/>
  <c r="W245" i="9" s="1"/>
  <c r="Y245" i="9" s="1"/>
  <c r="R245" i="9"/>
  <c r="P245" i="9"/>
  <c r="Q245" i="9" s="1"/>
  <c r="S245" i="9" s="1"/>
  <c r="L245" i="9"/>
  <c r="J245" i="9"/>
  <c r="K245" i="9" s="1"/>
  <c r="M245" i="9" s="1"/>
  <c r="DI244" i="9"/>
  <c r="DH244" i="9"/>
  <c r="DQ244" i="9" s="1"/>
  <c r="DG244" i="9"/>
  <c r="DP244" i="9" s="1"/>
  <c r="DF244" i="9"/>
  <c r="DO244" i="9" s="1"/>
  <c r="DE244" i="9"/>
  <c r="DN244" i="9" s="1"/>
  <c r="DD244" i="9"/>
  <c r="DM244" i="9" s="1"/>
  <c r="DC244" i="9"/>
  <c r="DL244" i="9" s="1"/>
  <c r="DB244" i="9"/>
  <c r="DK244" i="9" s="1"/>
  <c r="DA244" i="9"/>
  <c r="DJ244" i="9" s="1"/>
  <c r="X244" i="9"/>
  <c r="V244" i="9"/>
  <c r="W244" i="9" s="1"/>
  <c r="Y244" i="9" s="1"/>
  <c r="R244" i="9"/>
  <c r="P244" i="9"/>
  <c r="Q244" i="9" s="1"/>
  <c r="S244" i="9" s="1"/>
  <c r="L244" i="9"/>
  <c r="J244" i="9"/>
  <c r="K244" i="9" s="1"/>
  <c r="M244" i="9" s="1"/>
  <c r="DI243" i="9"/>
  <c r="DH243" i="9"/>
  <c r="DQ243" i="9" s="1"/>
  <c r="DG243" i="9"/>
  <c r="DP243" i="9" s="1"/>
  <c r="DF243" i="9"/>
  <c r="DO243" i="9" s="1"/>
  <c r="DE243" i="9"/>
  <c r="DN243" i="9" s="1"/>
  <c r="DD243" i="9"/>
  <c r="DM243" i="9" s="1"/>
  <c r="DC243" i="9"/>
  <c r="DL243" i="9" s="1"/>
  <c r="DB243" i="9"/>
  <c r="DK243" i="9" s="1"/>
  <c r="DA243" i="9"/>
  <c r="DJ243" i="9" s="1"/>
  <c r="X243" i="9"/>
  <c r="V243" i="9"/>
  <c r="W243" i="9" s="1"/>
  <c r="Y243" i="9" s="1"/>
  <c r="R243" i="9"/>
  <c r="P243" i="9"/>
  <c r="Q243" i="9" s="1"/>
  <c r="S243" i="9" s="1"/>
  <c r="L243" i="9"/>
  <c r="J243" i="9"/>
  <c r="K243" i="9" s="1"/>
  <c r="M243" i="9" s="1"/>
  <c r="DI242" i="9"/>
  <c r="DH242" i="9"/>
  <c r="DQ242" i="9" s="1"/>
  <c r="DG242" i="9"/>
  <c r="DP242" i="9" s="1"/>
  <c r="DF242" i="9"/>
  <c r="DO242" i="9" s="1"/>
  <c r="DE242" i="9"/>
  <c r="DN242" i="9" s="1"/>
  <c r="DD242" i="9"/>
  <c r="DM242" i="9" s="1"/>
  <c r="DC242" i="9"/>
  <c r="DL242" i="9" s="1"/>
  <c r="DB242" i="9"/>
  <c r="DK242" i="9" s="1"/>
  <c r="DA242" i="9"/>
  <c r="DJ242" i="9" s="1"/>
  <c r="X242" i="9"/>
  <c r="V242" i="9"/>
  <c r="W242" i="9" s="1"/>
  <c r="Y242" i="9" s="1"/>
  <c r="R242" i="9"/>
  <c r="P242" i="9"/>
  <c r="Q242" i="9" s="1"/>
  <c r="S242" i="9" s="1"/>
  <c r="L242" i="9"/>
  <c r="J242" i="9"/>
  <c r="K242" i="9" s="1"/>
  <c r="M242" i="9" s="1"/>
  <c r="DI241" i="9"/>
  <c r="DH241" i="9"/>
  <c r="DQ241" i="9" s="1"/>
  <c r="DG241" i="9"/>
  <c r="DP241" i="9" s="1"/>
  <c r="DF241" i="9"/>
  <c r="DO241" i="9" s="1"/>
  <c r="DE241" i="9"/>
  <c r="DN241" i="9" s="1"/>
  <c r="DD241" i="9"/>
  <c r="DM241" i="9" s="1"/>
  <c r="DC241" i="9"/>
  <c r="DL241" i="9" s="1"/>
  <c r="DB241" i="9"/>
  <c r="DK241" i="9" s="1"/>
  <c r="DA241" i="9"/>
  <c r="DJ241" i="9" s="1"/>
  <c r="X241" i="9"/>
  <c r="V241" i="9"/>
  <c r="W241" i="9" s="1"/>
  <c r="Y241" i="9" s="1"/>
  <c r="R241" i="9"/>
  <c r="P241" i="9"/>
  <c r="Q241" i="9" s="1"/>
  <c r="S241" i="9" s="1"/>
  <c r="L241" i="9"/>
  <c r="J241" i="9"/>
  <c r="K241" i="9" s="1"/>
  <c r="M241" i="9" s="1"/>
  <c r="DI240" i="9"/>
  <c r="DH240" i="9"/>
  <c r="DQ240" i="9" s="1"/>
  <c r="DG240" i="9"/>
  <c r="DP240" i="9" s="1"/>
  <c r="DF240" i="9"/>
  <c r="DO240" i="9" s="1"/>
  <c r="DE240" i="9"/>
  <c r="DN240" i="9" s="1"/>
  <c r="DD240" i="9"/>
  <c r="DM240" i="9" s="1"/>
  <c r="DC240" i="9"/>
  <c r="DL240" i="9" s="1"/>
  <c r="DB240" i="9"/>
  <c r="DK240" i="9" s="1"/>
  <c r="DA240" i="9"/>
  <c r="DJ240" i="9" s="1"/>
  <c r="X240" i="9"/>
  <c r="V240" i="9"/>
  <c r="W240" i="9" s="1"/>
  <c r="Y240" i="9" s="1"/>
  <c r="R240" i="9"/>
  <c r="P240" i="9"/>
  <c r="Q240" i="9" s="1"/>
  <c r="S240" i="9" s="1"/>
  <c r="L240" i="9"/>
  <c r="J240" i="9"/>
  <c r="K240" i="9" s="1"/>
  <c r="M240" i="9" s="1"/>
  <c r="DI239" i="9"/>
  <c r="DH239" i="9"/>
  <c r="DQ239" i="9" s="1"/>
  <c r="DG239" i="9"/>
  <c r="DP239" i="9" s="1"/>
  <c r="DF239" i="9"/>
  <c r="DO239" i="9" s="1"/>
  <c r="DE239" i="9"/>
  <c r="DN239" i="9" s="1"/>
  <c r="DD239" i="9"/>
  <c r="DM239" i="9" s="1"/>
  <c r="DC239" i="9"/>
  <c r="DL239" i="9" s="1"/>
  <c r="DB239" i="9"/>
  <c r="DK239" i="9" s="1"/>
  <c r="DA239" i="9"/>
  <c r="DJ239" i="9" s="1"/>
  <c r="X239" i="9"/>
  <c r="V239" i="9"/>
  <c r="W239" i="9" s="1"/>
  <c r="Y239" i="9" s="1"/>
  <c r="R239" i="9"/>
  <c r="P239" i="9"/>
  <c r="Q239" i="9" s="1"/>
  <c r="S239" i="9" s="1"/>
  <c r="L239" i="9"/>
  <c r="J239" i="9"/>
  <c r="K239" i="9" s="1"/>
  <c r="M239" i="9" s="1"/>
  <c r="DI238" i="9"/>
  <c r="DH238" i="9"/>
  <c r="DQ238" i="9" s="1"/>
  <c r="DG238" i="9"/>
  <c r="DP238" i="9" s="1"/>
  <c r="DF238" i="9"/>
  <c r="DO238" i="9" s="1"/>
  <c r="DE238" i="9"/>
  <c r="DN238" i="9" s="1"/>
  <c r="DD238" i="9"/>
  <c r="DM238" i="9" s="1"/>
  <c r="DC238" i="9"/>
  <c r="DL238" i="9" s="1"/>
  <c r="DB238" i="9"/>
  <c r="DK238" i="9" s="1"/>
  <c r="DA238" i="9"/>
  <c r="DJ238" i="9" s="1"/>
  <c r="X238" i="9"/>
  <c r="V238" i="9"/>
  <c r="W238" i="9" s="1"/>
  <c r="Y238" i="9" s="1"/>
  <c r="R238" i="9"/>
  <c r="P238" i="9"/>
  <c r="Q238" i="9" s="1"/>
  <c r="S238" i="9" s="1"/>
  <c r="L238" i="9"/>
  <c r="J238" i="9"/>
  <c r="K238" i="9" s="1"/>
  <c r="M238" i="9" s="1"/>
  <c r="DI237" i="9"/>
  <c r="DH237" i="9"/>
  <c r="DQ237" i="9" s="1"/>
  <c r="DG237" i="9"/>
  <c r="DP237" i="9" s="1"/>
  <c r="DF237" i="9"/>
  <c r="DO237" i="9" s="1"/>
  <c r="DE237" i="9"/>
  <c r="DN237" i="9" s="1"/>
  <c r="DD237" i="9"/>
  <c r="DM237" i="9" s="1"/>
  <c r="DC237" i="9"/>
  <c r="DL237" i="9" s="1"/>
  <c r="DB237" i="9"/>
  <c r="DK237" i="9" s="1"/>
  <c r="DA237" i="9"/>
  <c r="DJ237" i="9" s="1"/>
  <c r="X237" i="9"/>
  <c r="V237" i="9"/>
  <c r="W237" i="9" s="1"/>
  <c r="Y237" i="9" s="1"/>
  <c r="R237" i="9"/>
  <c r="P237" i="9"/>
  <c r="Q237" i="9" s="1"/>
  <c r="S237" i="9" s="1"/>
  <c r="L237" i="9"/>
  <c r="J237" i="9"/>
  <c r="K237" i="9" s="1"/>
  <c r="M237" i="9" s="1"/>
  <c r="DI236" i="9"/>
  <c r="DH236" i="9"/>
  <c r="DQ236" i="9" s="1"/>
  <c r="DG236" i="9"/>
  <c r="DP236" i="9" s="1"/>
  <c r="DF236" i="9"/>
  <c r="DO236" i="9" s="1"/>
  <c r="DE236" i="9"/>
  <c r="DN236" i="9" s="1"/>
  <c r="DD236" i="9"/>
  <c r="DM236" i="9" s="1"/>
  <c r="DC236" i="9"/>
  <c r="DL236" i="9" s="1"/>
  <c r="DB236" i="9"/>
  <c r="DK236" i="9" s="1"/>
  <c r="DA236" i="9"/>
  <c r="DJ236" i="9" s="1"/>
  <c r="X236" i="9"/>
  <c r="V236" i="9"/>
  <c r="W236" i="9" s="1"/>
  <c r="Y236" i="9" s="1"/>
  <c r="R236" i="9"/>
  <c r="P236" i="9"/>
  <c r="Q236" i="9" s="1"/>
  <c r="S236" i="9" s="1"/>
  <c r="L236" i="9"/>
  <c r="J236" i="9"/>
  <c r="K236" i="9" s="1"/>
  <c r="M236" i="9" s="1"/>
  <c r="DI235" i="9"/>
  <c r="DH235" i="9"/>
  <c r="DQ235" i="9" s="1"/>
  <c r="DG235" i="9"/>
  <c r="DP235" i="9" s="1"/>
  <c r="DF235" i="9"/>
  <c r="DO235" i="9" s="1"/>
  <c r="DE235" i="9"/>
  <c r="DN235" i="9" s="1"/>
  <c r="DD235" i="9"/>
  <c r="DM235" i="9" s="1"/>
  <c r="DC235" i="9"/>
  <c r="DL235" i="9" s="1"/>
  <c r="DB235" i="9"/>
  <c r="DK235" i="9" s="1"/>
  <c r="DA235" i="9"/>
  <c r="DJ235" i="9" s="1"/>
  <c r="X235" i="9"/>
  <c r="V235" i="9"/>
  <c r="W235" i="9" s="1"/>
  <c r="Y235" i="9" s="1"/>
  <c r="R235" i="9"/>
  <c r="P235" i="9"/>
  <c r="Q235" i="9" s="1"/>
  <c r="S235" i="9" s="1"/>
  <c r="L235" i="9"/>
  <c r="J235" i="9"/>
  <c r="K235" i="9" s="1"/>
  <c r="M235" i="9" s="1"/>
  <c r="DI234" i="9"/>
  <c r="DH234" i="9"/>
  <c r="DQ234" i="9" s="1"/>
  <c r="DG234" i="9"/>
  <c r="DP234" i="9" s="1"/>
  <c r="DF234" i="9"/>
  <c r="DO234" i="9" s="1"/>
  <c r="DE234" i="9"/>
  <c r="DN234" i="9" s="1"/>
  <c r="DD234" i="9"/>
  <c r="DM234" i="9" s="1"/>
  <c r="DC234" i="9"/>
  <c r="DL234" i="9" s="1"/>
  <c r="DB234" i="9"/>
  <c r="DK234" i="9" s="1"/>
  <c r="DA234" i="9"/>
  <c r="DJ234" i="9" s="1"/>
  <c r="X234" i="9"/>
  <c r="V234" i="9"/>
  <c r="W234" i="9" s="1"/>
  <c r="Y234" i="9" s="1"/>
  <c r="R234" i="9"/>
  <c r="P234" i="9"/>
  <c r="Q234" i="9" s="1"/>
  <c r="S234" i="9" s="1"/>
  <c r="L234" i="9"/>
  <c r="J234" i="9"/>
  <c r="K234" i="9" s="1"/>
  <c r="M234" i="9" s="1"/>
  <c r="DI233" i="9"/>
  <c r="DH233" i="9"/>
  <c r="DQ233" i="9" s="1"/>
  <c r="DG233" i="9"/>
  <c r="DP233" i="9" s="1"/>
  <c r="DF233" i="9"/>
  <c r="DO233" i="9" s="1"/>
  <c r="DE233" i="9"/>
  <c r="DN233" i="9" s="1"/>
  <c r="DD233" i="9"/>
  <c r="DM233" i="9" s="1"/>
  <c r="DC233" i="9"/>
  <c r="DL233" i="9" s="1"/>
  <c r="DB233" i="9"/>
  <c r="DK233" i="9" s="1"/>
  <c r="DA233" i="9"/>
  <c r="DJ233" i="9" s="1"/>
  <c r="X233" i="9"/>
  <c r="V233" i="9"/>
  <c r="W233" i="9" s="1"/>
  <c r="Y233" i="9" s="1"/>
  <c r="R233" i="9"/>
  <c r="P233" i="9"/>
  <c r="Q233" i="9" s="1"/>
  <c r="S233" i="9" s="1"/>
  <c r="L233" i="9"/>
  <c r="J233" i="9"/>
  <c r="K233" i="9" s="1"/>
  <c r="M233" i="9" s="1"/>
  <c r="DI232" i="9"/>
  <c r="DH232" i="9"/>
  <c r="DQ232" i="9" s="1"/>
  <c r="DG232" i="9"/>
  <c r="DP232" i="9" s="1"/>
  <c r="DF232" i="9"/>
  <c r="DO232" i="9" s="1"/>
  <c r="DE232" i="9"/>
  <c r="DN232" i="9" s="1"/>
  <c r="DD232" i="9"/>
  <c r="DM232" i="9" s="1"/>
  <c r="DC232" i="9"/>
  <c r="DL232" i="9" s="1"/>
  <c r="DB232" i="9"/>
  <c r="DK232" i="9" s="1"/>
  <c r="DA232" i="9"/>
  <c r="DJ232" i="9" s="1"/>
  <c r="X232" i="9"/>
  <c r="V232" i="9"/>
  <c r="W232" i="9" s="1"/>
  <c r="Y232" i="9" s="1"/>
  <c r="R232" i="9"/>
  <c r="P232" i="9"/>
  <c r="Q232" i="9" s="1"/>
  <c r="S232" i="9" s="1"/>
  <c r="L232" i="9"/>
  <c r="J232" i="9"/>
  <c r="K232" i="9" s="1"/>
  <c r="M232" i="9" s="1"/>
  <c r="DI231" i="9"/>
  <c r="DH231" i="9"/>
  <c r="DQ231" i="9" s="1"/>
  <c r="DG231" i="9"/>
  <c r="DP231" i="9" s="1"/>
  <c r="DF231" i="9"/>
  <c r="DO231" i="9" s="1"/>
  <c r="DE231" i="9"/>
  <c r="DN231" i="9" s="1"/>
  <c r="DD231" i="9"/>
  <c r="DM231" i="9" s="1"/>
  <c r="DC231" i="9"/>
  <c r="DL231" i="9" s="1"/>
  <c r="DB231" i="9"/>
  <c r="DK231" i="9" s="1"/>
  <c r="DA231" i="9"/>
  <c r="DJ231" i="9" s="1"/>
  <c r="X231" i="9"/>
  <c r="V231" i="9"/>
  <c r="W231" i="9" s="1"/>
  <c r="Y231" i="9" s="1"/>
  <c r="R231" i="9"/>
  <c r="P231" i="9"/>
  <c r="Q231" i="9" s="1"/>
  <c r="S231" i="9" s="1"/>
  <c r="L231" i="9"/>
  <c r="J231" i="9"/>
  <c r="K231" i="9" s="1"/>
  <c r="M231" i="9" s="1"/>
  <c r="DI230" i="9"/>
  <c r="DH230" i="9"/>
  <c r="DQ230" i="9" s="1"/>
  <c r="DG230" i="9"/>
  <c r="DP230" i="9" s="1"/>
  <c r="DF230" i="9"/>
  <c r="DO230" i="9" s="1"/>
  <c r="DE230" i="9"/>
  <c r="DN230" i="9" s="1"/>
  <c r="DD230" i="9"/>
  <c r="DM230" i="9" s="1"/>
  <c r="DC230" i="9"/>
  <c r="DL230" i="9" s="1"/>
  <c r="DB230" i="9"/>
  <c r="DK230" i="9" s="1"/>
  <c r="DA230" i="9"/>
  <c r="DJ230" i="9" s="1"/>
  <c r="X230" i="9"/>
  <c r="V230" i="9"/>
  <c r="W230" i="9" s="1"/>
  <c r="Y230" i="9" s="1"/>
  <c r="R230" i="9"/>
  <c r="P230" i="9"/>
  <c r="Q230" i="9" s="1"/>
  <c r="S230" i="9" s="1"/>
  <c r="L230" i="9"/>
  <c r="J230" i="9"/>
  <c r="K230" i="9" s="1"/>
  <c r="M230" i="9" s="1"/>
  <c r="DI229" i="9"/>
  <c r="DH229" i="9"/>
  <c r="DQ229" i="9" s="1"/>
  <c r="DG229" i="9"/>
  <c r="DP229" i="9" s="1"/>
  <c r="DF229" i="9"/>
  <c r="DO229" i="9" s="1"/>
  <c r="DE229" i="9"/>
  <c r="DN229" i="9" s="1"/>
  <c r="DD229" i="9"/>
  <c r="DM229" i="9" s="1"/>
  <c r="DC229" i="9"/>
  <c r="DL229" i="9" s="1"/>
  <c r="DB229" i="9"/>
  <c r="DK229" i="9" s="1"/>
  <c r="DA229" i="9"/>
  <c r="DJ229" i="9" s="1"/>
  <c r="X229" i="9"/>
  <c r="V229" i="9"/>
  <c r="W229" i="9" s="1"/>
  <c r="Y229" i="9" s="1"/>
  <c r="R229" i="9"/>
  <c r="P229" i="9"/>
  <c r="Q229" i="9" s="1"/>
  <c r="S229" i="9" s="1"/>
  <c r="L229" i="9"/>
  <c r="J229" i="9"/>
  <c r="K229" i="9" s="1"/>
  <c r="M229" i="9" s="1"/>
  <c r="DI228" i="9"/>
  <c r="DH228" i="9"/>
  <c r="DQ228" i="9" s="1"/>
  <c r="DG228" i="9"/>
  <c r="DP228" i="9" s="1"/>
  <c r="DF228" i="9"/>
  <c r="DO228" i="9" s="1"/>
  <c r="DE228" i="9"/>
  <c r="DN228" i="9" s="1"/>
  <c r="DD228" i="9"/>
  <c r="DM228" i="9" s="1"/>
  <c r="DC228" i="9"/>
  <c r="DL228" i="9" s="1"/>
  <c r="DB228" i="9"/>
  <c r="DK228" i="9" s="1"/>
  <c r="DA228" i="9"/>
  <c r="DJ228" i="9" s="1"/>
  <c r="X228" i="9"/>
  <c r="V228" i="9"/>
  <c r="W228" i="9" s="1"/>
  <c r="Y228" i="9" s="1"/>
  <c r="R228" i="9"/>
  <c r="P228" i="9"/>
  <c r="Q228" i="9" s="1"/>
  <c r="S228" i="9" s="1"/>
  <c r="L228" i="9"/>
  <c r="J228" i="9"/>
  <c r="K228" i="9" s="1"/>
  <c r="M228" i="9" s="1"/>
  <c r="DI227" i="9"/>
  <c r="DH227" i="9"/>
  <c r="DQ227" i="9" s="1"/>
  <c r="DG227" i="9"/>
  <c r="DP227" i="9" s="1"/>
  <c r="DF227" i="9"/>
  <c r="DO227" i="9" s="1"/>
  <c r="DE227" i="9"/>
  <c r="DN227" i="9" s="1"/>
  <c r="DD227" i="9"/>
  <c r="DM227" i="9" s="1"/>
  <c r="DC227" i="9"/>
  <c r="DL227" i="9" s="1"/>
  <c r="DB227" i="9"/>
  <c r="DK227" i="9" s="1"/>
  <c r="DA227" i="9"/>
  <c r="DJ227" i="9" s="1"/>
  <c r="X227" i="9"/>
  <c r="V227" i="9"/>
  <c r="W227" i="9" s="1"/>
  <c r="Y227" i="9" s="1"/>
  <c r="R227" i="9"/>
  <c r="P227" i="9"/>
  <c r="Q227" i="9" s="1"/>
  <c r="S227" i="9" s="1"/>
  <c r="L227" i="9"/>
  <c r="J227" i="9"/>
  <c r="K227" i="9" s="1"/>
  <c r="M227" i="9" s="1"/>
  <c r="DI226" i="9"/>
  <c r="DH226" i="9"/>
  <c r="DQ226" i="9" s="1"/>
  <c r="DG226" i="9"/>
  <c r="DP226" i="9" s="1"/>
  <c r="DF226" i="9"/>
  <c r="DO226" i="9" s="1"/>
  <c r="DE226" i="9"/>
  <c r="DN226" i="9" s="1"/>
  <c r="DD226" i="9"/>
  <c r="DM226" i="9" s="1"/>
  <c r="DC226" i="9"/>
  <c r="DL226" i="9" s="1"/>
  <c r="DB226" i="9"/>
  <c r="DK226" i="9" s="1"/>
  <c r="DA226" i="9"/>
  <c r="DJ226" i="9" s="1"/>
  <c r="X226" i="9"/>
  <c r="V226" i="9"/>
  <c r="W226" i="9" s="1"/>
  <c r="Y226" i="9" s="1"/>
  <c r="R226" i="9"/>
  <c r="P226" i="9"/>
  <c r="Q226" i="9" s="1"/>
  <c r="S226" i="9" s="1"/>
  <c r="L226" i="9"/>
  <c r="J226" i="9"/>
  <c r="K226" i="9" s="1"/>
  <c r="M226" i="9" s="1"/>
  <c r="DI225" i="9"/>
  <c r="DH225" i="9"/>
  <c r="DQ225" i="9" s="1"/>
  <c r="DG225" i="9"/>
  <c r="DP225" i="9" s="1"/>
  <c r="DF225" i="9"/>
  <c r="DO225" i="9" s="1"/>
  <c r="DE225" i="9"/>
  <c r="DN225" i="9" s="1"/>
  <c r="DD225" i="9"/>
  <c r="DM225" i="9" s="1"/>
  <c r="DC225" i="9"/>
  <c r="DL225" i="9" s="1"/>
  <c r="DB225" i="9"/>
  <c r="DK225" i="9" s="1"/>
  <c r="DA225" i="9"/>
  <c r="DJ225" i="9" s="1"/>
  <c r="X225" i="9"/>
  <c r="V225" i="9"/>
  <c r="W225" i="9" s="1"/>
  <c r="Y225" i="9" s="1"/>
  <c r="R225" i="9"/>
  <c r="P225" i="9"/>
  <c r="Q225" i="9" s="1"/>
  <c r="S225" i="9" s="1"/>
  <c r="L225" i="9"/>
  <c r="J225" i="9"/>
  <c r="K225" i="9" s="1"/>
  <c r="M225" i="9" s="1"/>
  <c r="DI224" i="9"/>
  <c r="DH224" i="9"/>
  <c r="DQ224" i="9" s="1"/>
  <c r="DG224" i="9"/>
  <c r="DP224" i="9" s="1"/>
  <c r="DF224" i="9"/>
  <c r="DO224" i="9" s="1"/>
  <c r="DE224" i="9"/>
  <c r="DN224" i="9" s="1"/>
  <c r="DD224" i="9"/>
  <c r="DM224" i="9" s="1"/>
  <c r="DC224" i="9"/>
  <c r="DL224" i="9" s="1"/>
  <c r="DB224" i="9"/>
  <c r="DK224" i="9" s="1"/>
  <c r="DA224" i="9"/>
  <c r="DJ224" i="9" s="1"/>
  <c r="X224" i="9"/>
  <c r="W224" i="9"/>
  <c r="Y224" i="9" s="1"/>
  <c r="R224" i="9"/>
  <c r="Q224" i="9"/>
  <c r="S224" i="9" s="1"/>
  <c r="L224" i="9"/>
  <c r="K224" i="9"/>
  <c r="M224" i="9" s="1"/>
  <c r="DI223" i="9"/>
  <c r="DH223" i="9"/>
  <c r="DQ223" i="9" s="1"/>
  <c r="DG223" i="9"/>
  <c r="DP223" i="9" s="1"/>
  <c r="DF223" i="9"/>
  <c r="DO223" i="9" s="1"/>
  <c r="DE223" i="9"/>
  <c r="DN223" i="9" s="1"/>
  <c r="DD223" i="9"/>
  <c r="DM223" i="9" s="1"/>
  <c r="DC223" i="9"/>
  <c r="DL223" i="9" s="1"/>
  <c r="DB223" i="9"/>
  <c r="DK223" i="9" s="1"/>
  <c r="DA223" i="9"/>
  <c r="DJ223" i="9" s="1"/>
  <c r="X223" i="9"/>
  <c r="V223" i="9"/>
  <c r="W223" i="9" s="1"/>
  <c r="Y223" i="9" s="1"/>
  <c r="R223" i="9"/>
  <c r="P223" i="9"/>
  <c r="Q223" i="9" s="1"/>
  <c r="S223" i="9" s="1"/>
  <c r="L223" i="9"/>
  <c r="J223" i="9"/>
  <c r="K223" i="9" s="1"/>
  <c r="M223" i="9" s="1"/>
  <c r="DI222" i="9"/>
  <c r="DH222" i="9"/>
  <c r="DQ222" i="9" s="1"/>
  <c r="DG222" i="9"/>
  <c r="DP222" i="9" s="1"/>
  <c r="DF222" i="9"/>
  <c r="DO222" i="9" s="1"/>
  <c r="DE222" i="9"/>
  <c r="DN222" i="9" s="1"/>
  <c r="DD222" i="9"/>
  <c r="DM222" i="9" s="1"/>
  <c r="DC222" i="9"/>
  <c r="DL222" i="9" s="1"/>
  <c r="DB222" i="9"/>
  <c r="DK222" i="9" s="1"/>
  <c r="DA222" i="9"/>
  <c r="DJ222" i="9" s="1"/>
  <c r="X222" i="9"/>
  <c r="V222" i="9"/>
  <c r="W222" i="9" s="1"/>
  <c r="Y222" i="9" s="1"/>
  <c r="R222" i="9"/>
  <c r="P222" i="9"/>
  <c r="Q222" i="9" s="1"/>
  <c r="S222" i="9" s="1"/>
  <c r="L222" i="9"/>
  <c r="J222" i="9"/>
  <c r="K222" i="9" s="1"/>
  <c r="M222" i="9" s="1"/>
  <c r="DI221" i="9"/>
  <c r="DH221" i="9"/>
  <c r="DQ221" i="9" s="1"/>
  <c r="DG221" i="9"/>
  <c r="DP221" i="9" s="1"/>
  <c r="DF221" i="9"/>
  <c r="DO221" i="9" s="1"/>
  <c r="DE221" i="9"/>
  <c r="DN221" i="9" s="1"/>
  <c r="DD221" i="9"/>
  <c r="DM221" i="9" s="1"/>
  <c r="DC221" i="9"/>
  <c r="DL221" i="9" s="1"/>
  <c r="DB221" i="9"/>
  <c r="DK221" i="9" s="1"/>
  <c r="DA221" i="9"/>
  <c r="DJ221" i="9" s="1"/>
  <c r="X221" i="9"/>
  <c r="V221" i="9"/>
  <c r="W221" i="9" s="1"/>
  <c r="Y221" i="9" s="1"/>
  <c r="R221" i="9"/>
  <c r="P221" i="9"/>
  <c r="Q221" i="9" s="1"/>
  <c r="S221" i="9" s="1"/>
  <c r="L221" i="9"/>
  <c r="J221" i="9"/>
  <c r="K221" i="9" s="1"/>
  <c r="M221" i="9" s="1"/>
  <c r="DI220" i="9"/>
  <c r="DH220" i="9"/>
  <c r="DQ220" i="9" s="1"/>
  <c r="DG220" i="9"/>
  <c r="DP220" i="9" s="1"/>
  <c r="DF220" i="9"/>
  <c r="DO220" i="9" s="1"/>
  <c r="DE220" i="9"/>
  <c r="DN220" i="9" s="1"/>
  <c r="DD220" i="9"/>
  <c r="DM220" i="9" s="1"/>
  <c r="DC220" i="9"/>
  <c r="DL220" i="9" s="1"/>
  <c r="DB220" i="9"/>
  <c r="DK220" i="9" s="1"/>
  <c r="DA220" i="9"/>
  <c r="DJ220" i="9" s="1"/>
  <c r="X220" i="9"/>
  <c r="W220" i="9"/>
  <c r="Y220" i="9" s="1"/>
  <c r="R220" i="9"/>
  <c r="Q220" i="9"/>
  <c r="S220" i="9" s="1"/>
  <c r="L220" i="9"/>
  <c r="K220" i="9"/>
  <c r="M220" i="9" s="1"/>
  <c r="DI219" i="9"/>
  <c r="DH219" i="9"/>
  <c r="DQ219" i="9" s="1"/>
  <c r="DG219" i="9"/>
  <c r="DP219" i="9" s="1"/>
  <c r="DF219" i="9"/>
  <c r="DO219" i="9" s="1"/>
  <c r="DE219" i="9"/>
  <c r="DN219" i="9" s="1"/>
  <c r="DD219" i="9"/>
  <c r="DM219" i="9" s="1"/>
  <c r="DC219" i="9"/>
  <c r="DL219" i="9" s="1"/>
  <c r="DB219" i="9"/>
  <c r="DK219" i="9" s="1"/>
  <c r="DA219" i="9"/>
  <c r="DJ219" i="9" s="1"/>
  <c r="X219" i="9"/>
  <c r="W219" i="9"/>
  <c r="Y219" i="9" s="1"/>
  <c r="R219" i="9"/>
  <c r="Q219" i="9"/>
  <c r="S219" i="9" s="1"/>
  <c r="L219" i="9"/>
  <c r="K219" i="9"/>
  <c r="M219" i="9" s="1"/>
  <c r="DI218" i="9"/>
  <c r="DH218" i="9"/>
  <c r="DQ218" i="9" s="1"/>
  <c r="DG218" i="9"/>
  <c r="DP218" i="9" s="1"/>
  <c r="DF218" i="9"/>
  <c r="DO218" i="9" s="1"/>
  <c r="DE218" i="9"/>
  <c r="DN218" i="9" s="1"/>
  <c r="DD218" i="9"/>
  <c r="DM218" i="9" s="1"/>
  <c r="DC218" i="9"/>
  <c r="DL218" i="9" s="1"/>
  <c r="DB218" i="9"/>
  <c r="DK218" i="9" s="1"/>
  <c r="DA218" i="9"/>
  <c r="DJ218" i="9" s="1"/>
  <c r="X218" i="9"/>
  <c r="W218" i="9"/>
  <c r="Y218" i="9" s="1"/>
  <c r="R218" i="9"/>
  <c r="Q218" i="9"/>
  <c r="S218" i="9" s="1"/>
  <c r="L218" i="9"/>
  <c r="K218" i="9"/>
  <c r="M218" i="9" s="1"/>
  <c r="DI217" i="9"/>
  <c r="DH217" i="9"/>
  <c r="DQ217" i="9" s="1"/>
  <c r="DG217" i="9"/>
  <c r="DP217" i="9" s="1"/>
  <c r="DF217" i="9"/>
  <c r="DO217" i="9" s="1"/>
  <c r="DE217" i="9"/>
  <c r="DN217" i="9" s="1"/>
  <c r="DD217" i="9"/>
  <c r="DM217" i="9" s="1"/>
  <c r="DC217" i="9"/>
  <c r="DL217" i="9" s="1"/>
  <c r="DB217" i="9"/>
  <c r="DK217" i="9" s="1"/>
  <c r="DA217" i="9"/>
  <c r="DJ217" i="9" s="1"/>
  <c r="X217" i="9"/>
  <c r="V217" i="9"/>
  <c r="W217" i="9" s="1"/>
  <c r="Y217" i="9" s="1"/>
  <c r="R217" i="9"/>
  <c r="P217" i="9"/>
  <c r="Q217" i="9" s="1"/>
  <c r="S217" i="9" s="1"/>
  <c r="L217" i="9"/>
  <c r="J217" i="9"/>
  <c r="K217" i="9" s="1"/>
  <c r="M217" i="9" s="1"/>
  <c r="DI216" i="9"/>
  <c r="DH216" i="9"/>
  <c r="DQ216" i="9" s="1"/>
  <c r="DG216" i="9"/>
  <c r="DP216" i="9" s="1"/>
  <c r="DF216" i="9"/>
  <c r="DO216" i="9" s="1"/>
  <c r="DE216" i="9"/>
  <c r="DN216" i="9" s="1"/>
  <c r="DD216" i="9"/>
  <c r="DM216" i="9" s="1"/>
  <c r="DC216" i="9"/>
  <c r="DL216" i="9" s="1"/>
  <c r="DB216" i="9"/>
  <c r="DK216" i="9" s="1"/>
  <c r="DA216" i="9"/>
  <c r="DJ216" i="9" s="1"/>
  <c r="X216" i="9"/>
  <c r="V216" i="9"/>
  <c r="W216" i="9" s="1"/>
  <c r="Y216" i="9" s="1"/>
  <c r="R216" i="9"/>
  <c r="P216" i="9"/>
  <c r="Q216" i="9" s="1"/>
  <c r="S216" i="9" s="1"/>
  <c r="L216" i="9"/>
  <c r="J216" i="9"/>
  <c r="K216" i="9" s="1"/>
  <c r="M216" i="9" s="1"/>
  <c r="DI215" i="9"/>
  <c r="DH215" i="9"/>
  <c r="DQ215" i="9" s="1"/>
  <c r="DG215" i="9"/>
  <c r="DP215" i="9" s="1"/>
  <c r="DF215" i="9"/>
  <c r="DO215" i="9" s="1"/>
  <c r="DE215" i="9"/>
  <c r="DN215" i="9" s="1"/>
  <c r="DD215" i="9"/>
  <c r="DM215" i="9" s="1"/>
  <c r="DC215" i="9"/>
  <c r="DL215" i="9" s="1"/>
  <c r="DB215" i="9"/>
  <c r="DK215" i="9" s="1"/>
  <c r="DA215" i="9"/>
  <c r="DJ215" i="9" s="1"/>
  <c r="X215" i="9"/>
  <c r="W215" i="9"/>
  <c r="Y215" i="9" s="1"/>
  <c r="R215" i="9"/>
  <c r="Q215" i="9"/>
  <c r="S215" i="9" s="1"/>
  <c r="L215" i="9"/>
  <c r="K215" i="9"/>
  <c r="M215" i="9" s="1"/>
  <c r="DI214" i="9"/>
  <c r="DH214" i="9"/>
  <c r="DQ214" i="9" s="1"/>
  <c r="DG214" i="9"/>
  <c r="DP214" i="9" s="1"/>
  <c r="DF214" i="9"/>
  <c r="DO214" i="9" s="1"/>
  <c r="DE214" i="9"/>
  <c r="DN214" i="9" s="1"/>
  <c r="DD214" i="9"/>
  <c r="DM214" i="9" s="1"/>
  <c r="DC214" i="9"/>
  <c r="DL214" i="9" s="1"/>
  <c r="DB214" i="9"/>
  <c r="DK214" i="9" s="1"/>
  <c r="DA214" i="9"/>
  <c r="DJ214" i="9" s="1"/>
  <c r="X214" i="9"/>
  <c r="V214" i="9"/>
  <c r="W214" i="9" s="1"/>
  <c r="Y214" i="9" s="1"/>
  <c r="R214" i="9"/>
  <c r="P214" i="9"/>
  <c r="Q214" i="9" s="1"/>
  <c r="S214" i="9" s="1"/>
  <c r="L214" i="9"/>
  <c r="J214" i="9"/>
  <c r="K214" i="9" s="1"/>
  <c r="M214" i="9" s="1"/>
  <c r="DI213" i="9"/>
  <c r="DH213" i="9"/>
  <c r="DQ213" i="9" s="1"/>
  <c r="DG213" i="9"/>
  <c r="DP213" i="9" s="1"/>
  <c r="DF213" i="9"/>
  <c r="DO213" i="9" s="1"/>
  <c r="DE213" i="9"/>
  <c r="DN213" i="9" s="1"/>
  <c r="DD213" i="9"/>
  <c r="DM213" i="9" s="1"/>
  <c r="DC213" i="9"/>
  <c r="DL213" i="9" s="1"/>
  <c r="DB213" i="9"/>
  <c r="DK213" i="9" s="1"/>
  <c r="DA213" i="9"/>
  <c r="DJ213" i="9" s="1"/>
  <c r="X213" i="9"/>
  <c r="W213" i="9"/>
  <c r="Y213" i="9" s="1"/>
  <c r="R213" i="9"/>
  <c r="Q213" i="9"/>
  <c r="S213" i="9" s="1"/>
  <c r="L213" i="9"/>
  <c r="K213" i="9"/>
  <c r="M213" i="9" s="1"/>
  <c r="DI212" i="9"/>
  <c r="DH212" i="9"/>
  <c r="DQ212" i="9" s="1"/>
  <c r="DG212" i="9"/>
  <c r="DP212" i="9" s="1"/>
  <c r="DF212" i="9"/>
  <c r="DO212" i="9" s="1"/>
  <c r="DE212" i="9"/>
  <c r="DN212" i="9" s="1"/>
  <c r="DD212" i="9"/>
  <c r="DM212" i="9" s="1"/>
  <c r="DC212" i="9"/>
  <c r="DL212" i="9" s="1"/>
  <c r="DB212" i="9"/>
  <c r="DK212" i="9" s="1"/>
  <c r="DA212" i="9"/>
  <c r="DJ212" i="9" s="1"/>
  <c r="X212" i="9"/>
  <c r="V212" i="9"/>
  <c r="W212" i="9" s="1"/>
  <c r="Y212" i="9" s="1"/>
  <c r="R212" i="9"/>
  <c r="P212" i="9"/>
  <c r="Q212" i="9" s="1"/>
  <c r="S212" i="9" s="1"/>
  <c r="L212" i="9"/>
  <c r="J212" i="9"/>
  <c r="K212" i="9" s="1"/>
  <c r="M212" i="9" s="1"/>
  <c r="DI211" i="9"/>
  <c r="DH211" i="9"/>
  <c r="DQ211" i="9" s="1"/>
  <c r="DG211" i="9"/>
  <c r="DP211" i="9" s="1"/>
  <c r="DF211" i="9"/>
  <c r="DO211" i="9" s="1"/>
  <c r="DE211" i="9"/>
  <c r="DN211" i="9" s="1"/>
  <c r="DD211" i="9"/>
  <c r="DM211" i="9" s="1"/>
  <c r="DC211" i="9"/>
  <c r="DL211" i="9" s="1"/>
  <c r="DB211" i="9"/>
  <c r="DK211" i="9" s="1"/>
  <c r="DA211" i="9"/>
  <c r="DJ211" i="9" s="1"/>
  <c r="X211" i="9"/>
  <c r="W211" i="9"/>
  <c r="Y211" i="9" s="1"/>
  <c r="R211" i="9"/>
  <c r="Q211" i="9"/>
  <c r="S211" i="9" s="1"/>
  <c r="L211" i="9"/>
  <c r="K211" i="9"/>
  <c r="M211" i="9" s="1"/>
  <c r="DI210" i="9"/>
  <c r="DH210" i="9"/>
  <c r="DQ210" i="9" s="1"/>
  <c r="DG210" i="9"/>
  <c r="DP210" i="9" s="1"/>
  <c r="DF210" i="9"/>
  <c r="DO210" i="9" s="1"/>
  <c r="DE210" i="9"/>
  <c r="DN210" i="9" s="1"/>
  <c r="DD210" i="9"/>
  <c r="DM210" i="9" s="1"/>
  <c r="DC210" i="9"/>
  <c r="DL210" i="9" s="1"/>
  <c r="DB210" i="9"/>
  <c r="DK210" i="9" s="1"/>
  <c r="DA210" i="9"/>
  <c r="DJ210" i="9" s="1"/>
  <c r="X210" i="9"/>
  <c r="V210" i="9"/>
  <c r="W210" i="9" s="1"/>
  <c r="Y210" i="9" s="1"/>
  <c r="R210" i="9"/>
  <c r="P210" i="9"/>
  <c r="Q210" i="9" s="1"/>
  <c r="S210" i="9" s="1"/>
  <c r="L210" i="9"/>
  <c r="J210" i="9"/>
  <c r="K210" i="9" s="1"/>
  <c r="M210" i="9" s="1"/>
  <c r="DI209" i="9"/>
  <c r="DH209" i="9"/>
  <c r="DQ209" i="9" s="1"/>
  <c r="DG209" i="9"/>
  <c r="DP209" i="9" s="1"/>
  <c r="DF209" i="9"/>
  <c r="DO209" i="9" s="1"/>
  <c r="DE209" i="9"/>
  <c r="DN209" i="9" s="1"/>
  <c r="DD209" i="9"/>
  <c r="DM209" i="9" s="1"/>
  <c r="DC209" i="9"/>
  <c r="DL209" i="9" s="1"/>
  <c r="DB209" i="9"/>
  <c r="DK209" i="9" s="1"/>
  <c r="DA209" i="9"/>
  <c r="DJ209" i="9" s="1"/>
  <c r="X209" i="9"/>
  <c r="W209" i="9"/>
  <c r="Y209" i="9" s="1"/>
  <c r="R209" i="9"/>
  <c r="Q209" i="9"/>
  <c r="S209" i="9" s="1"/>
  <c r="L209" i="9"/>
  <c r="K209" i="9"/>
  <c r="M209" i="9" s="1"/>
  <c r="DI208" i="9"/>
  <c r="DH208" i="9"/>
  <c r="DQ208" i="9" s="1"/>
  <c r="DG208" i="9"/>
  <c r="DP208" i="9" s="1"/>
  <c r="DF208" i="9"/>
  <c r="DO208" i="9" s="1"/>
  <c r="DE208" i="9"/>
  <c r="DN208" i="9" s="1"/>
  <c r="DD208" i="9"/>
  <c r="DM208" i="9" s="1"/>
  <c r="DC208" i="9"/>
  <c r="DL208" i="9" s="1"/>
  <c r="DB208" i="9"/>
  <c r="DK208" i="9" s="1"/>
  <c r="DA208" i="9"/>
  <c r="DJ208" i="9" s="1"/>
  <c r="X208" i="9"/>
  <c r="W208" i="9"/>
  <c r="Y208" i="9" s="1"/>
  <c r="R208" i="9"/>
  <c r="Q208" i="9"/>
  <c r="S208" i="9" s="1"/>
  <c r="L208" i="9"/>
  <c r="K208" i="9"/>
  <c r="M208" i="9" s="1"/>
  <c r="DI207" i="9"/>
  <c r="DH207" i="9"/>
  <c r="DQ207" i="9" s="1"/>
  <c r="DG207" i="9"/>
  <c r="DP207" i="9" s="1"/>
  <c r="DF207" i="9"/>
  <c r="DO207" i="9" s="1"/>
  <c r="DE207" i="9"/>
  <c r="DN207" i="9" s="1"/>
  <c r="DD207" i="9"/>
  <c r="DM207" i="9" s="1"/>
  <c r="DC207" i="9"/>
  <c r="DL207" i="9" s="1"/>
  <c r="DB207" i="9"/>
  <c r="DK207" i="9" s="1"/>
  <c r="DA207" i="9"/>
  <c r="DJ207" i="9" s="1"/>
  <c r="X207" i="9"/>
  <c r="V207" i="9"/>
  <c r="W207" i="9" s="1"/>
  <c r="Y207" i="9" s="1"/>
  <c r="R207" i="9"/>
  <c r="P207" i="9"/>
  <c r="Q207" i="9" s="1"/>
  <c r="S207" i="9" s="1"/>
  <c r="L207" i="9"/>
  <c r="J207" i="9"/>
  <c r="K207" i="9" s="1"/>
  <c r="M207" i="9" s="1"/>
  <c r="DI206" i="9"/>
  <c r="DH206" i="9"/>
  <c r="DQ206" i="9" s="1"/>
  <c r="DG206" i="9"/>
  <c r="DP206" i="9" s="1"/>
  <c r="DF206" i="9"/>
  <c r="DO206" i="9" s="1"/>
  <c r="DE206" i="9"/>
  <c r="DN206" i="9" s="1"/>
  <c r="DD206" i="9"/>
  <c r="DM206" i="9" s="1"/>
  <c r="DC206" i="9"/>
  <c r="DL206" i="9" s="1"/>
  <c r="DB206" i="9"/>
  <c r="DK206" i="9" s="1"/>
  <c r="DA206" i="9"/>
  <c r="DJ206" i="9" s="1"/>
  <c r="X206" i="9"/>
  <c r="V206" i="9"/>
  <c r="W206" i="9" s="1"/>
  <c r="Y206" i="9" s="1"/>
  <c r="R206" i="9"/>
  <c r="P206" i="9"/>
  <c r="Q206" i="9" s="1"/>
  <c r="S206" i="9" s="1"/>
  <c r="L206" i="9"/>
  <c r="J206" i="9"/>
  <c r="K206" i="9" s="1"/>
  <c r="M206" i="9" s="1"/>
  <c r="DI205" i="9"/>
  <c r="DH205" i="9"/>
  <c r="DQ205" i="9" s="1"/>
  <c r="DG205" i="9"/>
  <c r="DP205" i="9" s="1"/>
  <c r="DF205" i="9"/>
  <c r="DO205" i="9" s="1"/>
  <c r="DE205" i="9"/>
  <c r="DN205" i="9" s="1"/>
  <c r="DD205" i="9"/>
  <c r="DM205" i="9" s="1"/>
  <c r="DC205" i="9"/>
  <c r="DL205" i="9" s="1"/>
  <c r="DB205" i="9"/>
  <c r="DK205" i="9" s="1"/>
  <c r="DA205" i="9"/>
  <c r="DJ205" i="9" s="1"/>
  <c r="X205" i="9"/>
  <c r="V205" i="9"/>
  <c r="W205" i="9" s="1"/>
  <c r="Y205" i="9" s="1"/>
  <c r="R205" i="9"/>
  <c r="P205" i="9"/>
  <c r="Q205" i="9" s="1"/>
  <c r="S205" i="9" s="1"/>
  <c r="L205" i="9"/>
  <c r="J205" i="9"/>
  <c r="K205" i="9" s="1"/>
  <c r="M205" i="9" s="1"/>
  <c r="DI204" i="9"/>
  <c r="DH204" i="9"/>
  <c r="DQ204" i="9" s="1"/>
  <c r="DG204" i="9"/>
  <c r="DP204" i="9" s="1"/>
  <c r="DF204" i="9"/>
  <c r="DO204" i="9" s="1"/>
  <c r="DE204" i="9"/>
  <c r="DN204" i="9" s="1"/>
  <c r="DD204" i="9"/>
  <c r="DM204" i="9" s="1"/>
  <c r="DC204" i="9"/>
  <c r="DL204" i="9" s="1"/>
  <c r="DB204" i="9"/>
  <c r="DK204" i="9" s="1"/>
  <c r="DA204" i="9"/>
  <c r="DJ204" i="9" s="1"/>
  <c r="X204" i="9"/>
  <c r="V204" i="9"/>
  <c r="W204" i="9" s="1"/>
  <c r="Y204" i="9" s="1"/>
  <c r="R204" i="9"/>
  <c r="P204" i="9"/>
  <c r="Q204" i="9" s="1"/>
  <c r="S204" i="9" s="1"/>
  <c r="L204" i="9"/>
  <c r="J204" i="9"/>
  <c r="K204" i="9" s="1"/>
  <c r="M204" i="9" s="1"/>
  <c r="DI203" i="9"/>
  <c r="DH203" i="9"/>
  <c r="DQ203" i="9" s="1"/>
  <c r="DG203" i="9"/>
  <c r="DP203" i="9" s="1"/>
  <c r="DF203" i="9"/>
  <c r="DO203" i="9" s="1"/>
  <c r="DE203" i="9"/>
  <c r="DN203" i="9" s="1"/>
  <c r="DD203" i="9"/>
  <c r="DM203" i="9" s="1"/>
  <c r="DC203" i="9"/>
  <c r="DL203" i="9" s="1"/>
  <c r="DB203" i="9"/>
  <c r="DK203" i="9" s="1"/>
  <c r="DA203" i="9"/>
  <c r="DJ203" i="9" s="1"/>
  <c r="X203" i="9"/>
  <c r="W203" i="9"/>
  <c r="Y203" i="9" s="1"/>
  <c r="R203" i="9"/>
  <c r="Q203" i="9"/>
  <c r="S203" i="9" s="1"/>
  <c r="L203" i="9"/>
  <c r="K203" i="9"/>
  <c r="M203" i="9" s="1"/>
  <c r="DI202" i="9"/>
  <c r="DH202" i="9"/>
  <c r="DQ202" i="9" s="1"/>
  <c r="DG202" i="9"/>
  <c r="DP202" i="9" s="1"/>
  <c r="DF202" i="9"/>
  <c r="DO202" i="9" s="1"/>
  <c r="DE202" i="9"/>
  <c r="DN202" i="9" s="1"/>
  <c r="DD202" i="9"/>
  <c r="DM202" i="9" s="1"/>
  <c r="DC202" i="9"/>
  <c r="DL202" i="9" s="1"/>
  <c r="DB202" i="9"/>
  <c r="DK202" i="9" s="1"/>
  <c r="DA202" i="9"/>
  <c r="DJ202" i="9" s="1"/>
  <c r="X202" i="9"/>
  <c r="V202" i="9"/>
  <c r="W202" i="9" s="1"/>
  <c r="Y202" i="9" s="1"/>
  <c r="R202" i="9"/>
  <c r="P202" i="9"/>
  <c r="Q202" i="9" s="1"/>
  <c r="S202" i="9" s="1"/>
  <c r="L202" i="9"/>
  <c r="J202" i="9"/>
  <c r="K202" i="9" s="1"/>
  <c r="M202" i="9" s="1"/>
  <c r="DI201" i="9"/>
  <c r="DH201" i="9"/>
  <c r="DQ201" i="9" s="1"/>
  <c r="DG201" i="9"/>
  <c r="DP201" i="9" s="1"/>
  <c r="DF201" i="9"/>
  <c r="DO201" i="9" s="1"/>
  <c r="DE201" i="9"/>
  <c r="DN201" i="9" s="1"/>
  <c r="DD201" i="9"/>
  <c r="DM201" i="9" s="1"/>
  <c r="DC201" i="9"/>
  <c r="DL201" i="9" s="1"/>
  <c r="DB201" i="9"/>
  <c r="DK201" i="9" s="1"/>
  <c r="DA201" i="9"/>
  <c r="DJ201" i="9" s="1"/>
  <c r="X201" i="9"/>
  <c r="V201" i="9"/>
  <c r="W201" i="9" s="1"/>
  <c r="Y201" i="9" s="1"/>
  <c r="R201" i="9"/>
  <c r="P201" i="9"/>
  <c r="Q201" i="9" s="1"/>
  <c r="S201" i="9" s="1"/>
  <c r="L201" i="9"/>
  <c r="J201" i="9"/>
  <c r="K201" i="9" s="1"/>
  <c r="M201" i="9" s="1"/>
  <c r="DI200" i="9"/>
  <c r="DH200" i="9"/>
  <c r="DQ200" i="9" s="1"/>
  <c r="DG200" i="9"/>
  <c r="DP200" i="9" s="1"/>
  <c r="DF200" i="9"/>
  <c r="DO200" i="9" s="1"/>
  <c r="DE200" i="9"/>
  <c r="DN200" i="9" s="1"/>
  <c r="DD200" i="9"/>
  <c r="DM200" i="9" s="1"/>
  <c r="DC200" i="9"/>
  <c r="DL200" i="9" s="1"/>
  <c r="DB200" i="9"/>
  <c r="DK200" i="9" s="1"/>
  <c r="DA200" i="9"/>
  <c r="DJ200" i="9" s="1"/>
  <c r="X200" i="9"/>
  <c r="V200" i="9"/>
  <c r="W200" i="9" s="1"/>
  <c r="Y200" i="9" s="1"/>
  <c r="R200" i="9"/>
  <c r="P200" i="9"/>
  <c r="Q200" i="9" s="1"/>
  <c r="S200" i="9" s="1"/>
  <c r="L200" i="9"/>
  <c r="J200" i="9"/>
  <c r="K200" i="9" s="1"/>
  <c r="M200" i="9" s="1"/>
  <c r="DI199" i="9"/>
  <c r="DH199" i="9"/>
  <c r="DQ199" i="9" s="1"/>
  <c r="DG199" i="9"/>
  <c r="DP199" i="9" s="1"/>
  <c r="DF199" i="9"/>
  <c r="DO199" i="9" s="1"/>
  <c r="DE199" i="9"/>
  <c r="DN199" i="9" s="1"/>
  <c r="DD199" i="9"/>
  <c r="DM199" i="9" s="1"/>
  <c r="DC199" i="9"/>
  <c r="DL199" i="9" s="1"/>
  <c r="DB199" i="9"/>
  <c r="DK199" i="9" s="1"/>
  <c r="DA199" i="9"/>
  <c r="DJ199" i="9" s="1"/>
  <c r="X199" i="9"/>
  <c r="V199" i="9"/>
  <c r="W199" i="9" s="1"/>
  <c r="Y199" i="9" s="1"/>
  <c r="R199" i="9"/>
  <c r="P199" i="9"/>
  <c r="Q199" i="9" s="1"/>
  <c r="S199" i="9" s="1"/>
  <c r="L199" i="9"/>
  <c r="J199" i="9"/>
  <c r="K199" i="9" s="1"/>
  <c r="M199" i="9" s="1"/>
  <c r="DI198" i="9"/>
  <c r="DH198" i="9"/>
  <c r="DQ198" i="9" s="1"/>
  <c r="DG198" i="9"/>
  <c r="DP198" i="9" s="1"/>
  <c r="DF198" i="9"/>
  <c r="DO198" i="9" s="1"/>
  <c r="DE198" i="9"/>
  <c r="DN198" i="9" s="1"/>
  <c r="DD198" i="9"/>
  <c r="DM198" i="9" s="1"/>
  <c r="DC198" i="9"/>
  <c r="DL198" i="9" s="1"/>
  <c r="DB198" i="9"/>
  <c r="DK198" i="9" s="1"/>
  <c r="DA198" i="9"/>
  <c r="DJ198" i="9" s="1"/>
  <c r="X198" i="9"/>
  <c r="W198" i="9"/>
  <c r="Y198" i="9" s="1"/>
  <c r="R198" i="9"/>
  <c r="Q198" i="9"/>
  <c r="S198" i="9" s="1"/>
  <c r="L198" i="9"/>
  <c r="K198" i="9"/>
  <c r="M198" i="9" s="1"/>
  <c r="DI197" i="9"/>
  <c r="DH197" i="9"/>
  <c r="DQ197" i="9" s="1"/>
  <c r="DG197" i="9"/>
  <c r="DP197" i="9" s="1"/>
  <c r="DF197" i="9"/>
  <c r="DO197" i="9" s="1"/>
  <c r="DE197" i="9"/>
  <c r="DN197" i="9" s="1"/>
  <c r="DD197" i="9"/>
  <c r="DM197" i="9" s="1"/>
  <c r="DC197" i="9"/>
  <c r="DL197" i="9" s="1"/>
  <c r="DB197" i="9"/>
  <c r="DK197" i="9" s="1"/>
  <c r="DA197" i="9"/>
  <c r="DJ197" i="9" s="1"/>
  <c r="X197" i="9"/>
  <c r="W197" i="9"/>
  <c r="Y197" i="9" s="1"/>
  <c r="R197" i="9"/>
  <c r="Q197" i="9"/>
  <c r="S197" i="9" s="1"/>
  <c r="L197" i="9"/>
  <c r="K197" i="9"/>
  <c r="M197" i="9" s="1"/>
  <c r="DI196" i="9"/>
  <c r="DH196" i="9"/>
  <c r="DQ196" i="9" s="1"/>
  <c r="DG196" i="9"/>
  <c r="DP196" i="9" s="1"/>
  <c r="DF196" i="9"/>
  <c r="DO196" i="9" s="1"/>
  <c r="DE196" i="9"/>
  <c r="DN196" i="9" s="1"/>
  <c r="DD196" i="9"/>
  <c r="DM196" i="9" s="1"/>
  <c r="DC196" i="9"/>
  <c r="DL196" i="9" s="1"/>
  <c r="DB196" i="9"/>
  <c r="DK196" i="9" s="1"/>
  <c r="DA196" i="9"/>
  <c r="DJ196" i="9" s="1"/>
  <c r="X196" i="9"/>
  <c r="V196" i="9"/>
  <c r="W196" i="9" s="1"/>
  <c r="Y196" i="9" s="1"/>
  <c r="R196" i="9"/>
  <c r="P196" i="9"/>
  <c r="Q196" i="9" s="1"/>
  <c r="S196" i="9" s="1"/>
  <c r="L196" i="9"/>
  <c r="J196" i="9"/>
  <c r="K196" i="9" s="1"/>
  <c r="M196" i="9" s="1"/>
  <c r="DI195" i="9"/>
  <c r="DH195" i="9"/>
  <c r="DQ195" i="9" s="1"/>
  <c r="DG195" i="9"/>
  <c r="DP195" i="9" s="1"/>
  <c r="DF195" i="9"/>
  <c r="DO195" i="9" s="1"/>
  <c r="DE195" i="9"/>
  <c r="DN195" i="9" s="1"/>
  <c r="DD195" i="9"/>
  <c r="DM195" i="9" s="1"/>
  <c r="DC195" i="9"/>
  <c r="DL195" i="9" s="1"/>
  <c r="DB195" i="9"/>
  <c r="DK195" i="9" s="1"/>
  <c r="DA195" i="9"/>
  <c r="DJ195" i="9" s="1"/>
  <c r="X195" i="9"/>
  <c r="V195" i="9"/>
  <c r="W195" i="9" s="1"/>
  <c r="Y195" i="9" s="1"/>
  <c r="R195" i="9"/>
  <c r="P195" i="9"/>
  <c r="Q195" i="9" s="1"/>
  <c r="S195" i="9" s="1"/>
  <c r="L195" i="9"/>
  <c r="J195" i="9"/>
  <c r="K195" i="9" s="1"/>
  <c r="M195" i="9" s="1"/>
  <c r="DI194" i="9"/>
  <c r="DH194" i="9"/>
  <c r="DQ194" i="9" s="1"/>
  <c r="DG194" i="9"/>
  <c r="DP194" i="9" s="1"/>
  <c r="DF194" i="9"/>
  <c r="DO194" i="9" s="1"/>
  <c r="DE194" i="9"/>
  <c r="DN194" i="9" s="1"/>
  <c r="DD194" i="9"/>
  <c r="DM194" i="9" s="1"/>
  <c r="DC194" i="9"/>
  <c r="DL194" i="9" s="1"/>
  <c r="DB194" i="9"/>
  <c r="DK194" i="9" s="1"/>
  <c r="DA194" i="9"/>
  <c r="DJ194" i="9" s="1"/>
  <c r="X194" i="9"/>
  <c r="V194" i="9"/>
  <c r="W194" i="9" s="1"/>
  <c r="Y194" i="9" s="1"/>
  <c r="R194" i="9"/>
  <c r="P194" i="9"/>
  <c r="Q194" i="9" s="1"/>
  <c r="S194" i="9" s="1"/>
  <c r="L194" i="9"/>
  <c r="J194" i="9"/>
  <c r="K194" i="9" s="1"/>
  <c r="M194" i="9" s="1"/>
  <c r="DI193" i="9"/>
  <c r="DH193" i="9"/>
  <c r="DQ193" i="9" s="1"/>
  <c r="DG193" i="9"/>
  <c r="DP193" i="9" s="1"/>
  <c r="DF193" i="9"/>
  <c r="DO193" i="9" s="1"/>
  <c r="DE193" i="9"/>
  <c r="DN193" i="9" s="1"/>
  <c r="DD193" i="9"/>
  <c r="DM193" i="9" s="1"/>
  <c r="DC193" i="9"/>
  <c r="DL193" i="9" s="1"/>
  <c r="DB193" i="9"/>
  <c r="DK193" i="9" s="1"/>
  <c r="DA193" i="9"/>
  <c r="DJ193" i="9" s="1"/>
  <c r="X193" i="9"/>
  <c r="V193" i="9"/>
  <c r="W193" i="9" s="1"/>
  <c r="Y193" i="9" s="1"/>
  <c r="R193" i="9"/>
  <c r="P193" i="9"/>
  <c r="Q193" i="9" s="1"/>
  <c r="S193" i="9" s="1"/>
  <c r="L193" i="9"/>
  <c r="J193" i="9"/>
  <c r="K193" i="9" s="1"/>
  <c r="M193" i="9" s="1"/>
  <c r="DI192" i="9"/>
  <c r="DH192" i="9"/>
  <c r="DQ192" i="9" s="1"/>
  <c r="DG192" i="9"/>
  <c r="DP192" i="9" s="1"/>
  <c r="DF192" i="9"/>
  <c r="DO192" i="9" s="1"/>
  <c r="DE192" i="9"/>
  <c r="DN192" i="9" s="1"/>
  <c r="DD192" i="9"/>
  <c r="DM192" i="9" s="1"/>
  <c r="DC192" i="9"/>
  <c r="DL192" i="9" s="1"/>
  <c r="DB192" i="9"/>
  <c r="DK192" i="9" s="1"/>
  <c r="DA192" i="9"/>
  <c r="DJ192" i="9" s="1"/>
  <c r="X192" i="9"/>
  <c r="V192" i="9"/>
  <c r="W192" i="9" s="1"/>
  <c r="Y192" i="9" s="1"/>
  <c r="R192" i="9"/>
  <c r="P192" i="9"/>
  <c r="Q192" i="9" s="1"/>
  <c r="S192" i="9" s="1"/>
  <c r="L192" i="9"/>
  <c r="J192" i="9"/>
  <c r="K192" i="9" s="1"/>
  <c r="M192" i="9" s="1"/>
  <c r="DI191" i="9"/>
  <c r="DH191" i="9"/>
  <c r="DQ191" i="9" s="1"/>
  <c r="DG191" i="9"/>
  <c r="DP191" i="9" s="1"/>
  <c r="DF191" i="9"/>
  <c r="DO191" i="9" s="1"/>
  <c r="DE191" i="9"/>
  <c r="DN191" i="9" s="1"/>
  <c r="DD191" i="9"/>
  <c r="DM191" i="9" s="1"/>
  <c r="DC191" i="9"/>
  <c r="DL191" i="9" s="1"/>
  <c r="DB191" i="9"/>
  <c r="DK191" i="9" s="1"/>
  <c r="DA191" i="9"/>
  <c r="DJ191" i="9" s="1"/>
  <c r="X191" i="9"/>
  <c r="V191" i="9"/>
  <c r="W191" i="9" s="1"/>
  <c r="Y191" i="9" s="1"/>
  <c r="R191" i="9"/>
  <c r="P191" i="9"/>
  <c r="Q191" i="9" s="1"/>
  <c r="S191" i="9" s="1"/>
  <c r="L191" i="9"/>
  <c r="J191" i="9"/>
  <c r="K191" i="9" s="1"/>
  <c r="M191" i="9" s="1"/>
  <c r="DI190" i="9"/>
  <c r="DH190" i="9"/>
  <c r="DQ190" i="9" s="1"/>
  <c r="DG190" i="9"/>
  <c r="DP190" i="9" s="1"/>
  <c r="DF190" i="9"/>
  <c r="DO190" i="9" s="1"/>
  <c r="DE190" i="9"/>
  <c r="DN190" i="9" s="1"/>
  <c r="DD190" i="9"/>
  <c r="DM190" i="9" s="1"/>
  <c r="DC190" i="9"/>
  <c r="DL190" i="9" s="1"/>
  <c r="DB190" i="9"/>
  <c r="DK190" i="9" s="1"/>
  <c r="DA190" i="9"/>
  <c r="DJ190" i="9" s="1"/>
  <c r="X190" i="9"/>
  <c r="V190" i="9"/>
  <c r="W190" i="9" s="1"/>
  <c r="Y190" i="9" s="1"/>
  <c r="R190" i="9"/>
  <c r="P190" i="9"/>
  <c r="Q190" i="9" s="1"/>
  <c r="S190" i="9" s="1"/>
  <c r="L190" i="9"/>
  <c r="J190" i="9"/>
  <c r="K190" i="9" s="1"/>
  <c r="M190" i="9" s="1"/>
  <c r="DI189" i="9"/>
  <c r="DH189" i="9"/>
  <c r="DQ189" i="9" s="1"/>
  <c r="DG189" i="9"/>
  <c r="DP189" i="9" s="1"/>
  <c r="DF189" i="9"/>
  <c r="DO189" i="9" s="1"/>
  <c r="DE189" i="9"/>
  <c r="DN189" i="9" s="1"/>
  <c r="DD189" i="9"/>
  <c r="DM189" i="9" s="1"/>
  <c r="DC189" i="9"/>
  <c r="DL189" i="9" s="1"/>
  <c r="DB189" i="9"/>
  <c r="DK189" i="9" s="1"/>
  <c r="DA189" i="9"/>
  <c r="DJ189" i="9" s="1"/>
  <c r="X189" i="9"/>
  <c r="W189" i="9"/>
  <c r="Y189" i="9" s="1"/>
  <c r="R189" i="9"/>
  <c r="Q189" i="9"/>
  <c r="S189" i="9" s="1"/>
  <c r="L189" i="9"/>
  <c r="K189" i="9"/>
  <c r="M189" i="9" s="1"/>
  <c r="DI188" i="9"/>
  <c r="DH188" i="9"/>
  <c r="DQ188" i="9" s="1"/>
  <c r="DG188" i="9"/>
  <c r="DP188" i="9" s="1"/>
  <c r="DF188" i="9"/>
  <c r="DO188" i="9" s="1"/>
  <c r="DE188" i="9"/>
  <c r="DN188" i="9" s="1"/>
  <c r="DD188" i="9"/>
  <c r="DM188" i="9" s="1"/>
  <c r="DC188" i="9"/>
  <c r="DL188" i="9" s="1"/>
  <c r="DB188" i="9"/>
  <c r="DK188" i="9" s="1"/>
  <c r="DA188" i="9"/>
  <c r="DJ188" i="9" s="1"/>
  <c r="X188" i="9"/>
  <c r="V188" i="9"/>
  <c r="W188" i="9" s="1"/>
  <c r="Y188" i="9" s="1"/>
  <c r="R188" i="9"/>
  <c r="P188" i="9"/>
  <c r="Q188" i="9" s="1"/>
  <c r="S188" i="9" s="1"/>
  <c r="L188" i="9"/>
  <c r="J188" i="9"/>
  <c r="K188" i="9" s="1"/>
  <c r="M188" i="9" s="1"/>
  <c r="DI187" i="9"/>
  <c r="DH187" i="9"/>
  <c r="DQ187" i="9" s="1"/>
  <c r="DG187" i="9"/>
  <c r="DP187" i="9" s="1"/>
  <c r="DF187" i="9"/>
  <c r="DO187" i="9" s="1"/>
  <c r="DE187" i="9"/>
  <c r="DN187" i="9" s="1"/>
  <c r="DD187" i="9"/>
  <c r="DM187" i="9" s="1"/>
  <c r="DC187" i="9"/>
  <c r="DL187" i="9" s="1"/>
  <c r="DB187" i="9"/>
  <c r="DK187" i="9" s="1"/>
  <c r="DA187" i="9"/>
  <c r="DJ187" i="9" s="1"/>
  <c r="X187" i="9"/>
  <c r="V187" i="9"/>
  <c r="W187" i="9" s="1"/>
  <c r="Y187" i="9" s="1"/>
  <c r="R187" i="9"/>
  <c r="P187" i="9"/>
  <c r="Q187" i="9" s="1"/>
  <c r="S187" i="9" s="1"/>
  <c r="L187" i="9"/>
  <c r="J187" i="9"/>
  <c r="K187" i="9" s="1"/>
  <c r="M187" i="9" s="1"/>
  <c r="DI186" i="9"/>
  <c r="DH186" i="9"/>
  <c r="DQ186" i="9" s="1"/>
  <c r="DG186" i="9"/>
  <c r="DP186" i="9" s="1"/>
  <c r="DF186" i="9"/>
  <c r="DO186" i="9" s="1"/>
  <c r="DE186" i="9"/>
  <c r="DN186" i="9" s="1"/>
  <c r="DD186" i="9"/>
  <c r="DM186" i="9" s="1"/>
  <c r="DC186" i="9"/>
  <c r="DL186" i="9" s="1"/>
  <c r="DB186" i="9"/>
  <c r="DK186" i="9" s="1"/>
  <c r="DA186" i="9"/>
  <c r="DJ186" i="9" s="1"/>
  <c r="X186" i="9"/>
  <c r="V186" i="9"/>
  <c r="W186" i="9" s="1"/>
  <c r="Y186" i="9" s="1"/>
  <c r="R186" i="9"/>
  <c r="P186" i="9"/>
  <c r="Q186" i="9" s="1"/>
  <c r="S186" i="9" s="1"/>
  <c r="L186" i="9"/>
  <c r="J186" i="9"/>
  <c r="K186" i="9" s="1"/>
  <c r="M186" i="9" s="1"/>
  <c r="DI185" i="9"/>
  <c r="DH185" i="9"/>
  <c r="DQ185" i="9" s="1"/>
  <c r="DG185" i="9"/>
  <c r="DP185" i="9" s="1"/>
  <c r="DF185" i="9"/>
  <c r="DO185" i="9" s="1"/>
  <c r="DE185" i="9"/>
  <c r="DN185" i="9" s="1"/>
  <c r="DD185" i="9"/>
  <c r="DM185" i="9" s="1"/>
  <c r="DC185" i="9"/>
  <c r="DL185" i="9" s="1"/>
  <c r="DB185" i="9"/>
  <c r="DK185" i="9" s="1"/>
  <c r="DA185" i="9"/>
  <c r="DJ185" i="9" s="1"/>
  <c r="X185" i="9"/>
  <c r="V185" i="9"/>
  <c r="W185" i="9" s="1"/>
  <c r="Y185" i="9" s="1"/>
  <c r="R185" i="9"/>
  <c r="P185" i="9"/>
  <c r="Q185" i="9" s="1"/>
  <c r="S185" i="9" s="1"/>
  <c r="L185" i="9"/>
  <c r="J185" i="9"/>
  <c r="K185" i="9" s="1"/>
  <c r="M185" i="9" s="1"/>
  <c r="DI184" i="9"/>
  <c r="DH184" i="9"/>
  <c r="DQ184" i="9" s="1"/>
  <c r="DG184" i="9"/>
  <c r="DP184" i="9" s="1"/>
  <c r="DF184" i="9"/>
  <c r="DO184" i="9" s="1"/>
  <c r="DE184" i="9"/>
  <c r="DN184" i="9" s="1"/>
  <c r="DD184" i="9"/>
  <c r="DM184" i="9" s="1"/>
  <c r="DC184" i="9"/>
  <c r="DL184" i="9" s="1"/>
  <c r="DB184" i="9"/>
  <c r="DK184" i="9" s="1"/>
  <c r="DA184" i="9"/>
  <c r="DJ184" i="9" s="1"/>
  <c r="X184" i="9"/>
  <c r="V184" i="9"/>
  <c r="W184" i="9" s="1"/>
  <c r="Y184" i="9" s="1"/>
  <c r="R184" i="9"/>
  <c r="P184" i="9"/>
  <c r="Q184" i="9" s="1"/>
  <c r="S184" i="9" s="1"/>
  <c r="L184" i="9"/>
  <c r="J184" i="9"/>
  <c r="K184" i="9" s="1"/>
  <c r="M184" i="9" s="1"/>
  <c r="DI183" i="9"/>
  <c r="DH183" i="9"/>
  <c r="DQ183" i="9" s="1"/>
  <c r="DG183" i="9"/>
  <c r="DP183" i="9" s="1"/>
  <c r="DF183" i="9"/>
  <c r="DO183" i="9" s="1"/>
  <c r="DE183" i="9"/>
  <c r="DN183" i="9" s="1"/>
  <c r="DD183" i="9"/>
  <c r="DM183" i="9" s="1"/>
  <c r="DC183" i="9"/>
  <c r="DL183" i="9" s="1"/>
  <c r="DB183" i="9"/>
  <c r="DK183" i="9" s="1"/>
  <c r="DA183" i="9"/>
  <c r="DJ183" i="9" s="1"/>
  <c r="X183" i="9"/>
  <c r="V183" i="9"/>
  <c r="W183" i="9" s="1"/>
  <c r="Y183" i="9" s="1"/>
  <c r="R183" i="9"/>
  <c r="P183" i="9"/>
  <c r="Q183" i="9" s="1"/>
  <c r="S183" i="9" s="1"/>
  <c r="L183" i="9"/>
  <c r="J183" i="9"/>
  <c r="K183" i="9" s="1"/>
  <c r="M183" i="9" s="1"/>
  <c r="DI182" i="9"/>
  <c r="DH182" i="9"/>
  <c r="DQ182" i="9" s="1"/>
  <c r="DG182" i="9"/>
  <c r="DP182" i="9" s="1"/>
  <c r="DF182" i="9"/>
  <c r="DO182" i="9" s="1"/>
  <c r="DE182" i="9"/>
  <c r="DN182" i="9" s="1"/>
  <c r="DD182" i="9"/>
  <c r="DM182" i="9" s="1"/>
  <c r="DC182" i="9"/>
  <c r="DL182" i="9" s="1"/>
  <c r="DB182" i="9"/>
  <c r="DK182" i="9" s="1"/>
  <c r="DA182" i="9"/>
  <c r="DJ182" i="9" s="1"/>
  <c r="X182" i="9"/>
  <c r="V182" i="9"/>
  <c r="W182" i="9" s="1"/>
  <c r="Y182" i="9" s="1"/>
  <c r="R182" i="9"/>
  <c r="P182" i="9"/>
  <c r="Q182" i="9" s="1"/>
  <c r="S182" i="9" s="1"/>
  <c r="L182" i="9"/>
  <c r="J182" i="9"/>
  <c r="K182" i="9" s="1"/>
  <c r="M182" i="9" s="1"/>
  <c r="DI181" i="9"/>
  <c r="DH181" i="9"/>
  <c r="DQ181" i="9" s="1"/>
  <c r="DG181" i="9"/>
  <c r="DP181" i="9" s="1"/>
  <c r="DF181" i="9"/>
  <c r="DO181" i="9" s="1"/>
  <c r="DE181" i="9"/>
  <c r="DN181" i="9" s="1"/>
  <c r="DD181" i="9"/>
  <c r="DM181" i="9" s="1"/>
  <c r="DC181" i="9"/>
  <c r="DL181" i="9" s="1"/>
  <c r="DB181" i="9"/>
  <c r="DK181" i="9" s="1"/>
  <c r="DA181" i="9"/>
  <c r="DJ181" i="9" s="1"/>
  <c r="X181" i="9"/>
  <c r="V181" i="9"/>
  <c r="W181" i="9" s="1"/>
  <c r="Y181" i="9" s="1"/>
  <c r="R181" i="9"/>
  <c r="P181" i="9"/>
  <c r="Q181" i="9" s="1"/>
  <c r="S181" i="9" s="1"/>
  <c r="L181" i="9"/>
  <c r="J181" i="9"/>
  <c r="K181" i="9" s="1"/>
  <c r="M181" i="9" s="1"/>
  <c r="DI180" i="9"/>
  <c r="DH180" i="9"/>
  <c r="DQ180" i="9" s="1"/>
  <c r="DG180" i="9"/>
  <c r="DP180" i="9" s="1"/>
  <c r="DF180" i="9"/>
  <c r="DO180" i="9" s="1"/>
  <c r="DE180" i="9"/>
  <c r="DN180" i="9" s="1"/>
  <c r="DD180" i="9"/>
  <c r="DM180" i="9" s="1"/>
  <c r="DC180" i="9"/>
  <c r="DL180" i="9" s="1"/>
  <c r="DB180" i="9"/>
  <c r="DK180" i="9" s="1"/>
  <c r="DA180" i="9"/>
  <c r="DJ180" i="9" s="1"/>
  <c r="X180" i="9"/>
  <c r="V180" i="9"/>
  <c r="W180" i="9" s="1"/>
  <c r="Y180" i="9" s="1"/>
  <c r="R180" i="9"/>
  <c r="P180" i="9"/>
  <c r="Q180" i="9" s="1"/>
  <c r="S180" i="9" s="1"/>
  <c r="L180" i="9"/>
  <c r="J180" i="9"/>
  <c r="K180" i="9" s="1"/>
  <c r="M180" i="9" s="1"/>
  <c r="DI179" i="9"/>
  <c r="DH179" i="9"/>
  <c r="DQ179" i="9" s="1"/>
  <c r="DG179" i="9"/>
  <c r="DP179" i="9" s="1"/>
  <c r="DF179" i="9"/>
  <c r="DO179" i="9" s="1"/>
  <c r="DE179" i="9"/>
  <c r="DN179" i="9" s="1"/>
  <c r="DD179" i="9"/>
  <c r="DM179" i="9" s="1"/>
  <c r="DC179" i="9"/>
  <c r="DL179" i="9" s="1"/>
  <c r="DB179" i="9"/>
  <c r="DK179" i="9" s="1"/>
  <c r="DA179" i="9"/>
  <c r="DJ179" i="9" s="1"/>
  <c r="X179" i="9"/>
  <c r="V179" i="9"/>
  <c r="W179" i="9" s="1"/>
  <c r="Y179" i="9" s="1"/>
  <c r="R179" i="9"/>
  <c r="P179" i="9"/>
  <c r="Q179" i="9" s="1"/>
  <c r="S179" i="9" s="1"/>
  <c r="L179" i="9"/>
  <c r="J179" i="9"/>
  <c r="K179" i="9" s="1"/>
  <c r="M179" i="9" s="1"/>
  <c r="DI178" i="9"/>
  <c r="DH178" i="9"/>
  <c r="DQ178" i="9" s="1"/>
  <c r="DG178" i="9"/>
  <c r="DP178" i="9" s="1"/>
  <c r="DF178" i="9"/>
  <c r="DO178" i="9" s="1"/>
  <c r="DE178" i="9"/>
  <c r="DN178" i="9" s="1"/>
  <c r="DD178" i="9"/>
  <c r="DM178" i="9" s="1"/>
  <c r="DC178" i="9"/>
  <c r="DL178" i="9" s="1"/>
  <c r="DB178" i="9"/>
  <c r="DK178" i="9" s="1"/>
  <c r="DA178" i="9"/>
  <c r="DJ178" i="9" s="1"/>
  <c r="X178" i="9"/>
  <c r="W178" i="9"/>
  <c r="Y178" i="9" s="1"/>
  <c r="R178" i="9"/>
  <c r="Q178" i="9"/>
  <c r="S178" i="9" s="1"/>
  <c r="L178" i="9"/>
  <c r="K178" i="9"/>
  <c r="M178" i="9" s="1"/>
  <c r="DI177" i="9"/>
  <c r="DH177" i="9"/>
  <c r="DQ177" i="9" s="1"/>
  <c r="DG177" i="9"/>
  <c r="DP177" i="9" s="1"/>
  <c r="DF177" i="9"/>
  <c r="DO177" i="9" s="1"/>
  <c r="DE177" i="9"/>
  <c r="DN177" i="9" s="1"/>
  <c r="DD177" i="9"/>
  <c r="DM177" i="9" s="1"/>
  <c r="DC177" i="9"/>
  <c r="DL177" i="9" s="1"/>
  <c r="DB177" i="9"/>
  <c r="DK177" i="9" s="1"/>
  <c r="DA177" i="9"/>
  <c r="DJ177" i="9" s="1"/>
  <c r="X177" i="9"/>
  <c r="W177" i="9"/>
  <c r="Y177" i="9" s="1"/>
  <c r="R177" i="9"/>
  <c r="Q177" i="9"/>
  <c r="S177" i="9" s="1"/>
  <c r="L177" i="9"/>
  <c r="K177" i="9"/>
  <c r="M177" i="9" s="1"/>
  <c r="DI176" i="9"/>
  <c r="DH176" i="9"/>
  <c r="DQ176" i="9" s="1"/>
  <c r="DG176" i="9"/>
  <c r="DP176" i="9" s="1"/>
  <c r="DF176" i="9"/>
  <c r="DO176" i="9" s="1"/>
  <c r="DE176" i="9"/>
  <c r="DN176" i="9" s="1"/>
  <c r="DD176" i="9"/>
  <c r="DM176" i="9" s="1"/>
  <c r="DC176" i="9"/>
  <c r="DL176" i="9" s="1"/>
  <c r="DB176" i="9"/>
  <c r="DK176" i="9" s="1"/>
  <c r="DA176" i="9"/>
  <c r="DJ176" i="9" s="1"/>
  <c r="X176" i="9"/>
  <c r="W176" i="9"/>
  <c r="Y176" i="9" s="1"/>
  <c r="R176" i="9"/>
  <c r="Q176" i="9"/>
  <c r="S176" i="9" s="1"/>
  <c r="L176" i="9"/>
  <c r="K176" i="9"/>
  <c r="M176" i="9" s="1"/>
  <c r="DI175" i="9"/>
  <c r="DH175" i="9"/>
  <c r="DQ175" i="9" s="1"/>
  <c r="DG175" i="9"/>
  <c r="DP175" i="9" s="1"/>
  <c r="DF175" i="9"/>
  <c r="DO175" i="9" s="1"/>
  <c r="DE175" i="9"/>
  <c r="DN175" i="9" s="1"/>
  <c r="DD175" i="9"/>
  <c r="DM175" i="9" s="1"/>
  <c r="DC175" i="9"/>
  <c r="DL175" i="9" s="1"/>
  <c r="DB175" i="9"/>
  <c r="DK175" i="9" s="1"/>
  <c r="DA175" i="9"/>
  <c r="DJ175" i="9" s="1"/>
  <c r="X175" i="9"/>
  <c r="V175" i="9"/>
  <c r="W175" i="9" s="1"/>
  <c r="Y175" i="9" s="1"/>
  <c r="R175" i="9"/>
  <c r="P175" i="9"/>
  <c r="Q175" i="9" s="1"/>
  <c r="S175" i="9" s="1"/>
  <c r="L175" i="9"/>
  <c r="J175" i="9"/>
  <c r="K175" i="9" s="1"/>
  <c r="M175" i="9" s="1"/>
  <c r="DI174" i="9"/>
  <c r="DH174" i="9"/>
  <c r="DQ174" i="9" s="1"/>
  <c r="DG174" i="9"/>
  <c r="DP174" i="9" s="1"/>
  <c r="DF174" i="9"/>
  <c r="DO174" i="9" s="1"/>
  <c r="DE174" i="9"/>
  <c r="DN174" i="9" s="1"/>
  <c r="DD174" i="9"/>
  <c r="DM174" i="9" s="1"/>
  <c r="DC174" i="9"/>
  <c r="DL174" i="9" s="1"/>
  <c r="DB174" i="9"/>
  <c r="DK174" i="9" s="1"/>
  <c r="DA174" i="9"/>
  <c r="DJ174" i="9" s="1"/>
  <c r="X174" i="9"/>
  <c r="V174" i="9"/>
  <c r="W174" i="9" s="1"/>
  <c r="Y174" i="9" s="1"/>
  <c r="R174" i="9"/>
  <c r="Q174" i="9"/>
  <c r="S174" i="9" s="1"/>
  <c r="L174" i="9"/>
  <c r="K174" i="9"/>
  <c r="M174" i="9" s="1"/>
  <c r="DI173" i="9"/>
  <c r="DH173" i="9"/>
  <c r="DQ173" i="9" s="1"/>
  <c r="DG173" i="9"/>
  <c r="DP173" i="9" s="1"/>
  <c r="DF173" i="9"/>
  <c r="DO173" i="9" s="1"/>
  <c r="DE173" i="9"/>
  <c r="DN173" i="9" s="1"/>
  <c r="DD173" i="9"/>
  <c r="DM173" i="9" s="1"/>
  <c r="DC173" i="9"/>
  <c r="DL173" i="9" s="1"/>
  <c r="DB173" i="9"/>
  <c r="DK173" i="9" s="1"/>
  <c r="DA173" i="9"/>
  <c r="DJ173" i="9" s="1"/>
  <c r="X173" i="9"/>
  <c r="W173" i="9"/>
  <c r="Y173" i="9" s="1"/>
  <c r="R173" i="9"/>
  <c r="Q173" i="9"/>
  <c r="S173" i="9" s="1"/>
  <c r="L173" i="9"/>
  <c r="K173" i="9"/>
  <c r="M173" i="9" s="1"/>
  <c r="DI172" i="9"/>
  <c r="DH172" i="9"/>
  <c r="DQ172" i="9" s="1"/>
  <c r="DG172" i="9"/>
  <c r="DP172" i="9" s="1"/>
  <c r="DF172" i="9"/>
  <c r="DO172" i="9" s="1"/>
  <c r="DE172" i="9"/>
  <c r="DN172" i="9" s="1"/>
  <c r="DD172" i="9"/>
  <c r="DM172" i="9" s="1"/>
  <c r="DC172" i="9"/>
  <c r="DL172" i="9" s="1"/>
  <c r="DB172" i="9"/>
  <c r="DK172" i="9" s="1"/>
  <c r="DA172" i="9"/>
  <c r="DJ172" i="9" s="1"/>
  <c r="X172" i="9"/>
  <c r="V172" i="9"/>
  <c r="W172" i="9" s="1"/>
  <c r="Y172" i="9" s="1"/>
  <c r="R172" i="9"/>
  <c r="P172" i="9"/>
  <c r="Q172" i="9" s="1"/>
  <c r="S172" i="9" s="1"/>
  <c r="L172" i="9"/>
  <c r="J172" i="9"/>
  <c r="K172" i="9" s="1"/>
  <c r="M172" i="9" s="1"/>
  <c r="DI171" i="9"/>
  <c r="DH171" i="9"/>
  <c r="DQ171" i="9" s="1"/>
  <c r="DG171" i="9"/>
  <c r="DP171" i="9" s="1"/>
  <c r="DF171" i="9"/>
  <c r="DO171" i="9" s="1"/>
  <c r="DE171" i="9"/>
  <c r="DN171" i="9" s="1"/>
  <c r="DD171" i="9"/>
  <c r="DM171" i="9" s="1"/>
  <c r="DC171" i="9"/>
  <c r="DL171" i="9" s="1"/>
  <c r="DB171" i="9"/>
  <c r="DK171" i="9" s="1"/>
  <c r="DA171" i="9"/>
  <c r="DJ171" i="9" s="1"/>
  <c r="X171" i="9"/>
  <c r="V171" i="9"/>
  <c r="W171" i="9" s="1"/>
  <c r="Y171" i="9" s="1"/>
  <c r="R171" i="9"/>
  <c r="P171" i="9"/>
  <c r="Q171" i="9" s="1"/>
  <c r="S171" i="9" s="1"/>
  <c r="L171" i="9"/>
  <c r="J171" i="9"/>
  <c r="K171" i="9" s="1"/>
  <c r="M171" i="9" s="1"/>
  <c r="DI170" i="9"/>
  <c r="DH170" i="9"/>
  <c r="DQ170" i="9" s="1"/>
  <c r="DG170" i="9"/>
  <c r="DP170" i="9" s="1"/>
  <c r="DF170" i="9"/>
  <c r="DO170" i="9" s="1"/>
  <c r="DE170" i="9"/>
  <c r="DN170" i="9" s="1"/>
  <c r="DD170" i="9"/>
  <c r="DM170" i="9" s="1"/>
  <c r="DC170" i="9"/>
  <c r="DL170" i="9" s="1"/>
  <c r="DB170" i="9"/>
  <c r="DK170" i="9" s="1"/>
  <c r="DA170" i="9"/>
  <c r="DJ170" i="9" s="1"/>
  <c r="X170" i="9"/>
  <c r="V170" i="9"/>
  <c r="W170" i="9" s="1"/>
  <c r="Y170" i="9" s="1"/>
  <c r="R170" i="9"/>
  <c r="P170" i="9"/>
  <c r="Q170" i="9" s="1"/>
  <c r="S170" i="9" s="1"/>
  <c r="L170" i="9"/>
  <c r="J170" i="9"/>
  <c r="K170" i="9" s="1"/>
  <c r="M170" i="9" s="1"/>
  <c r="DI169" i="9"/>
  <c r="DH169" i="9"/>
  <c r="DQ169" i="9" s="1"/>
  <c r="DG169" i="9"/>
  <c r="DP169" i="9" s="1"/>
  <c r="DF169" i="9"/>
  <c r="DO169" i="9" s="1"/>
  <c r="DE169" i="9"/>
  <c r="DN169" i="9" s="1"/>
  <c r="DD169" i="9"/>
  <c r="DM169" i="9" s="1"/>
  <c r="DC169" i="9"/>
  <c r="DL169" i="9" s="1"/>
  <c r="DB169" i="9"/>
  <c r="DK169" i="9" s="1"/>
  <c r="DA169" i="9"/>
  <c r="DJ169" i="9" s="1"/>
  <c r="X169" i="9"/>
  <c r="V169" i="9"/>
  <c r="W169" i="9" s="1"/>
  <c r="Y169" i="9" s="1"/>
  <c r="R169" i="9"/>
  <c r="P169" i="9"/>
  <c r="Q169" i="9" s="1"/>
  <c r="S169" i="9" s="1"/>
  <c r="L169" i="9"/>
  <c r="J169" i="9"/>
  <c r="K169" i="9" s="1"/>
  <c r="M169" i="9" s="1"/>
  <c r="DI168" i="9"/>
  <c r="DH168" i="9"/>
  <c r="DQ168" i="9" s="1"/>
  <c r="DG168" i="9"/>
  <c r="DP168" i="9" s="1"/>
  <c r="DF168" i="9"/>
  <c r="DO168" i="9" s="1"/>
  <c r="DE168" i="9"/>
  <c r="DN168" i="9" s="1"/>
  <c r="DD168" i="9"/>
  <c r="DM168" i="9" s="1"/>
  <c r="DC168" i="9"/>
  <c r="DL168" i="9" s="1"/>
  <c r="DB168" i="9"/>
  <c r="DK168" i="9" s="1"/>
  <c r="DA168" i="9"/>
  <c r="DJ168" i="9" s="1"/>
  <c r="X168" i="9"/>
  <c r="V168" i="9"/>
  <c r="W168" i="9" s="1"/>
  <c r="Y168" i="9" s="1"/>
  <c r="R168" i="9"/>
  <c r="P168" i="9"/>
  <c r="Q168" i="9" s="1"/>
  <c r="S168" i="9" s="1"/>
  <c r="L168" i="9"/>
  <c r="J168" i="9"/>
  <c r="K168" i="9" s="1"/>
  <c r="M168" i="9" s="1"/>
  <c r="DI167" i="9"/>
  <c r="DH167" i="9"/>
  <c r="DQ167" i="9" s="1"/>
  <c r="DG167" i="9"/>
  <c r="DP167" i="9" s="1"/>
  <c r="DF167" i="9"/>
  <c r="DO167" i="9" s="1"/>
  <c r="DE167" i="9"/>
  <c r="DN167" i="9" s="1"/>
  <c r="DD167" i="9"/>
  <c r="DM167" i="9" s="1"/>
  <c r="DC167" i="9"/>
  <c r="DL167" i="9" s="1"/>
  <c r="DB167" i="9"/>
  <c r="DK167" i="9" s="1"/>
  <c r="DA167" i="9"/>
  <c r="DJ167" i="9" s="1"/>
  <c r="X167" i="9"/>
  <c r="V167" i="9"/>
  <c r="W167" i="9" s="1"/>
  <c r="Y167" i="9" s="1"/>
  <c r="R167" i="9"/>
  <c r="P167" i="9"/>
  <c r="Q167" i="9" s="1"/>
  <c r="S167" i="9" s="1"/>
  <c r="L167" i="9"/>
  <c r="J167" i="9"/>
  <c r="K167" i="9" s="1"/>
  <c r="M167" i="9" s="1"/>
  <c r="DI166" i="9"/>
  <c r="DH166" i="9"/>
  <c r="DQ166" i="9" s="1"/>
  <c r="DG166" i="9"/>
  <c r="DP166" i="9" s="1"/>
  <c r="DF166" i="9"/>
  <c r="DO166" i="9" s="1"/>
  <c r="DE166" i="9"/>
  <c r="DN166" i="9" s="1"/>
  <c r="DD166" i="9"/>
  <c r="DM166" i="9" s="1"/>
  <c r="DC166" i="9"/>
  <c r="DL166" i="9" s="1"/>
  <c r="DB166" i="9"/>
  <c r="DK166" i="9" s="1"/>
  <c r="DA166" i="9"/>
  <c r="DJ166" i="9" s="1"/>
  <c r="X166" i="9"/>
  <c r="V166" i="9"/>
  <c r="W166" i="9" s="1"/>
  <c r="Y166" i="9" s="1"/>
  <c r="R166" i="9"/>
  <c r="P166" i="9"/>
  <c r="Q166" i="9" s="1"/>
  <c r="S166" i="9" s="1"/>
  <c r="L166" i="9"/>
  <c r="J166" i="9"/>
  <c r="K166" i="9" s="1"/>
  <c r="M166" i="9" s="1"/>
  <c r="DI165" i="9"/>
  <c r="DH165" i="9"/>
  <c r="DQ165" i="9" s="1"/>
  <c r="DG165" i="9"/>
  <c r="DP165" i="9" s="1"/>
  <c r="DF165" i="9"/>
  <c r="DO165" i="9" s="1"/>
  <c r="DE165" i="9"/>
  <c r="DN165" i="9" s="1"/>
  <c r="DD165" i="9"/>
  <c r="DM165" i="9" s="1"/>
  <c r="DC165" i="9"/>
  <c r="DL165" i="9" s="1"/>
  <c r="DB165" i="9"/>
  <c r="DK165" i="9" s="1"/>
  <c r="DA165" i="9"/>
  <c r="DJ165" i="9" s="1"/>
  <c r="X165" i="9"/>
  <c r="V165" i="9"/>
  <c r="W165" i="9" s="1"/>
  <c r="Y165" i="9" s="1"/>
  <c r="R165" i="9"/>
  <c r="P165" i="9"/>
  <c r="Q165" i="9" s="1"/>
  <c r="S165" i="9" s="1"/>
  <c r="L165" i="9"/>
  <c r="J165" i="9"/>
  <c r="K165" i="9" s="1"/>
  <c r="M165" i="9" s="1"/>
  <c r="DI164" i="9"/>
  <c r="DH164" i="9"/>
  <c r="DQ164" i="9" s="1"/>
  <c r="DG164" i="9"/>
  <c r="DP164" i="9" s="1"/>
  <c r="DF164" i="9"/>
  <c r="DO164" i="9" s="1"/>
  <c r="DE164" i="9"/>
  <c r="DN164" i="9" s="1"/>
  <c r="DD164" i="9"/>
  <c r="DM164" i="9" s="1"/>
  <c r="DC164" i="9"/>
  <c r="DL164" i="9" s="1"/>
  <c r="DB164" i="9"/>
  <c r="DK164" i="9" s="1"/>
  <c r="DA164" i="9"/>
  <c r="DJ164" i="9" s="1"/>
  <c r="X164" i="9"/>
  <c r="V164" i="9"/>
  <c r="W164" i="9" s="1"/>
  <c r="Y164" i="9" s="1"/>
  <c r="R164" i="9"/>
  <c r="P164" i="9"/>
  <c r="Q164" i="9" s="1"/>
  <c r="S164" i="9" s="1"/>
  <c r="L164" i="9"/>
  <c r="J164" i="9"/>
  <c r="K164" i="9" s="1"/>
  <c r="M164" i="9" s="1"/>
  <c r="DI163" i="9"/>
  <c r="DH163" i="9"/>
  <c r="DQ163" i="9" s="1"/>
  <c r="DG163" i="9"/>
  <c r="DP163" i="9" s="1"/>
  <c r="DF163" i="9"/>
  <c r="DO163" i="9" s="1"/>
  <c r="DE163" i="9"/>
  <c r="DN163" i="9" s="1"/>
  <c r="DD163" i="9"/>
  <c r="DM163" i="9" s="1"/>
  <c r="DC163" i="9"/>
  <c r="DL163" i="9" s="1"/>
  <c r="DB163" i="9"/>
  <c r="DK163" i="9" s="1"/>
  <c r="DA163" i="9"/>
  <c r="DJ163" i="9" s="1"/>
  <c r="X163" i="9"/>
  <c r="W163" i="9"/>
  <c r="Y163" i="9" s="1"/>
  <c r="R163" i="9"/>
  <c r="Q163" i="9"/>
  <c r="S163" i="9" s="1"/>
  <c r="L163" i="9"/>
  <c r="K163" i="9"/>
  <c r="M163" i="9" s="1"/>
  <c r="DI162" i="9"/>
  <c r="DH162" i="9"/>
  <c r="DQ162" i="9" s="1"/>
  <c r="DG162" i="9"/>
  <c r="DP162" i="9" s="1"/>
  <c r="DF162" i="9"/>
  <c r="DO162" i="9" s="1"/>
  <c r="DE162" i="9"/>
  <c r="DN162" i="9" s="1"/>
  <c r="DD162" i="9"/>
  <c r="DM162" i="9" s="1"/>
  <c r="DC162" i="9"/>
  <c r="DL162" i="9" s="1"/>
  <c r="DB162" i="9"/>
  <c r="DK162" i="9" s="1"/>
  <c r="DA162" i="9"/>
  <c r="DJ162" i="9" s="1"/>
  <c r="X162" i="9"/>
  <c r="W162" i="9"/>
  <c r="Y162" i="9" s="1"/>
  <c r="R162" i="9"/>
  <c r="Q162" i="9"/>
  <c r="S162" i="9" s="1"/>
  <c r="L162" i="9"/>
  <c r="K162" i="9"/>
  <c r="M162" i="9" s="1"/>
  <c r="DI161" i="9"/>
  <c r="DH161" i="9"/>
  <c r="DQ161" i="9" s="1"/>
  <c r="DG161" i="9"/>
  <c r="DP161" i="9" s="1"/>
  <c r="DF161" i="9"/>
  <c r="DO161" i="9" s="1"/>
  <c r="DE161" i="9"/>
  <c r="DN161" i="9" s="1"/>
  <c r="DD161" i="9"/>
  <c r="DM161" i="9" s="1"/>
  <c r="DC161" i="9"/>
  <c r="DL161" i="9" s="1"/>
  <c r="DB161" i="9"/>
  <c r="DK161" i="9" s="1"/>
  <c r="DA161" i="9"/>
  <c r="DJ161" i="9" s="1"/>
  <c r="X161" i="9"/>
  <c r="W161" i="9"/>
  <c r="Y161" i="9" s="1"/>
  <c r="R161" i="9"/>
  <c r="Q161" i="9"/>
  <c r="S161" i="9" s="1"/>
  <c r="L161" i="9"/>
  <c r="K161" i="9"/>
  <c r="M161" i="9" s="1"/>
  <c r="DI160" i="9"/>
  <c r="DH160" i="9"/>
  <c r="DQ160" i="9" s="1"/>
  <c r="DG160" i="9"/>
  <c r="DP160" i="9" s="1"/>
  <c r="DF160" i="9"/>
  <c r="DO160" i="9" s="1"/>
  <c r="DE160" i="9"/>
  <c r="DN160" i="9" s="1"/>
  <c r="DD160" i="9"/>
  <c r="DM160" i="9" s="1"/>
  <c r="DC160" i="9"/>
  <c r="DL160" i="9" s="1"/>
  <c r="DB160" i="9"/>
  <c r="DK160" i="9" s="1"/>
  <c r="DA160" i="9"/>
  <c r="DJ160" i="9" s="1"/>
  <c r="X160" i="9"/>
  <c r="W160" i="9"/>
  <c r="Y160" i="9" s="1"/>
  <c r="R160" i="9"/>
  <c r="Q160" i="9"/>
  <c r="S160" i="9" s="1"/>
  <c r="L160" i="9"/>
  <c r="K160" i="9"/>
  <c r="M160" i="9" s="1"/>
  <c r="DI159" i="9"/>
  <c r="DH159" i="9"/>
  <c r="DQ159" i="9" s="1"/>
  <c r="DG159" i="9"/>
  <c r="DP159" i="9" s="1"/>
  <c r="DF159" i="9"/>
  <c r="DO159" i="9" s="1"/>
  <c r="DE159" i="9"/>
  <c r="DN159" i="9" s="1"/>
  <c r="DD159" i="9"/>
  <c r="DM159" i="9" s="1"/>
  <c r="DC159" i="9"/>
  <c r="DL159" i="9" s="1"/>
  <c r="DB159" i="9"/>
  <c r="DK159" i="9" s="1"/>
  <c r="DA159" i="9"/>
  <c r="DJ159" i="9" s="1"/>
  <c r="X159" i="9"/>
  <c r="W159" i="9"/>
  <c r="Y159" i="9" s="1"/>
  <c r="R159" i="9"/>
  <c r="Q159" i="9"/>
  <c r="S159" i="9" s="1"/>
  <c r="L159" i="9"/>
  <c r="K159" i="9"/>
  <c r="M159" i="9" s="1"/>
  <c r="DI158" i="9"/>
  <c r="DH158" i="9"/>
  <c r="DQ158" i="9" s="1"/>
  <c r="DG158" i="9"/>
  <c r="DP158" i="9" s="1"/>
  <c r="DF158" i="9"/>
  <c r="DO158" i="9" s="1"/>
  <c r="DE158" i="9"/>
  <c r="DN158" i="9" s="1"/>
  <c r="DD158" i="9"/>
  <c r="DM158" i="9" s="1"/>
  <c r="DC158" i="9"/>
  <c r="DL158" i="9" s="1"/>
  <c r="DB158" i="9"/>
  <c r="DK158" i="9" s="1"/>
  <c r="DA158" i="9"/>
  <c r="DJ158" i="9" s="1"/>
  <c r="X158" i="9"/>
  <c r="W158" i="9"/>
  <c r="Y158" i="9" s="1"/>
  <c r="R158" i="9"/>
  <c r="Q158" i="9"/>
  <c r="S158" i="9" s="1"/>
  <c r="L158" i="9"/>
  <c r="K158" i="9"/>
  <c r="M158" i="9" s="1"/>
  <c r="DI157" i="9"/>
  <c r="DH157" i="9"/>
  <c r="DQ157" i="9" s="1"/>
  <c r="DG157" i="9"/>
  <c r="DP157" i="9" s="1"/>
  <c r="DF157" i="9"/>
  <c r="DO157" i="9" s="1"/>
  <c r="DE157" i="9"/>
  <c r="DN157" i="9" s="1"/>
  <c r="DD157" i="9"/>
  <c r="DM157" i="9" s="1"/>
  <c r="DC157" i="9"/>
  <c r="DL157" i="9" s="1"/>
  <c r="DB157" i="9"/>
  <c r="DK157" i="9" s="1"/>
  <c r="DA157" i="9"/>
  <c r="DJ157" i="9" s="1"/>
  <c r="X157" i="9"/>
  <c r="W157" i="9"/>
  <c r="Y157" i="9" s="1"/>
  <c r="R157" i="9"/>
  <c r="Q157" i="9"/>
  <c r="S157" i="9" s="1"/>
  <c r="L157" i="9"/>
  <c r="K157" i="9"/>
  <c r="M157" i="9" s="1"/>
  <c r="DI156" i="9"/>
  <c r="DH156" i="9"/>
  <c r="DQ156" i="9" s="1"/>
  <c r="DG156" i="9"/>
  <c r="DP156" i="9" s="1"/>
  <c r="DF156" i="9"/>
  <c r="DO156" i="9" s="1"/>
  <c r="DE156" i="9"/>
  <c r="DN156" i="9" s="1"/>
  <c r="DD156" i="9"/>
  <c r="DM156" i="9" s="1"/>
  <c r="DC156" i="9"/>
  <c r="DL156" i="9" s="1"/>
  <c r="DB156" i="9"/>
  <c r="DK156" i="9" s="1"/>
  <c r="DA156" i="9"/>
  <c r="DJ156" i="9" s="1"/>
  <c r="X156" i="9"/>
  <c r="W156" i="9"/>
  <c r="Y156" i="9" s="1"/>
  <c r="R156" i="9"/>
  <c r="Q156" i="9"/>
  <c r="S156" i="9" s="1"/>
  <c r="L156" i="9"/>
  <c r="K156" i="9"/>
  <c r="M156" i="9" s="1"/>
  <c r="DI155" i="9"/>
  <c r="DH155" i="9"/>
  <c r="DQ155" i="9" s="1"/>
  <c r="DG155" i="9"/>
  <c r="DP155" i="9" s="1"/>
  <c r="DF155" i="9"/>
  <c r="DO155" i="9" s="1"/>
  <c r="DE155" i="9"/>
  <c r="DN155" i="9" s="1"/>
  <c r="DD155" i="9"/>
  <c r="DM155" i="9" s="1"/>
  <c r="DC155" i="9"/>
  <c r="DL155" i="9" s="1"/>
  <c r="DB155" i="9"/>
  <c r="DK155" i="9" s="1"/>
  <c r="DA155" i="9"/>
  <c r="DJ155" i="9" s="1"/>
  <c r="X155" i="9"/>
  <c r="W155" i="9"/>
  <c r="Y155" i="9" s="1"/>
  <c r="R155" i="9"/>
  <c r="Q155" i="9"/>
  <c r="S155" i="9" s="1"/>
  <c r="L155" i="9"/>
  <c r="K155" i="9"/>
  <c r="M155" i="9" s="1"/>
  <c r="DI154" i="9"/>
  <c r="DH154" i="9"/>
  <c r="DQ154" i="9" s="1"/>
  <c r="DG154" i="9"/>
  <c r="DP154" i="9" s="1"/>
  <c r="DF154" i="9"/>
  <c r="DO154" i="9" s="1"/>
  <c r="DE154" i="9"/>
  <c r="DN154" i="9" s="1"/>
  <c r="DD154" i="9"/>
  <c r="DM154" i="9" s="1"/>
  <c r="DC154" i="9"/>
  <c r="DL154" i="9" s="1"/>
  <c r="DB154" i="9"/>
  <c r="DK154" i="9" s="1"/>
  <c r="DA154" i="9"/>
  <c r="DJ154" i="9" s="1"/>
  <c r="X154" i="9"/>
  <c r="W154" i="9"/>
  <c r="Y154" i="9" s="1"/>
  <c r="R154" i="9"/>
  <c r="Q154" i="9"/>
  <c r="S154" i="9" s="1"/>
  <c r="L154" i="9"/>
  <c r="K154" i="9"/>
  <c r="M154" i="9" s="1"/>
  <c r="DI153" i="9"/>
  <c r="DH153" i="9"/>
  <c r="DQ153" i="9" s="1"/>
  <c r="DG153" i="9"/>
  <c r="DP153" i="9" s="1"/>
  <c r="DF153" i="9"/>
  <c r="DO153" i="9" s="1"/>
  <c r="DE153" i="9"/>
  <c r="DN153" i="9" s="1"/>
  <c r="DD153" i="9"/>
  <c r="DM153" i="9" s="1"/>
  <c r="DC153" i="9"/>
  <c r="DL153" i="9" s="1"/>
  <c r="DB153" i="9"/>
  <c r="DK153" i="9" s="1"/>
  <c r="DA153" i="9"/>
  <c r="DJ153" i="9" s="1"/>
  <c r="X153" i="9"/>
  <c r="W153" i="9"/>
  <c r="Y153" i="9" s="1"/>
  <c r="R153" i="9"/>
  <c r="Q153" i="9"/>
  <c r="S153" i="9" s="1"/>
  <c r="L153" i="9"/>
  <c r="K153" i="9"/>
  <c r="M153" i="9" s="1"/>
  <c r="DI152" i="9"/>
  <c r="DH152" i="9"/>
  <c r="DQ152" i="9" s="1"/>
  <c r="DG152" i="9"/>
  <c r="DP152" i="9" s="1"/>
  <c r="DF152" i="9"/>
  <c r="DO152" i="9" s="1"/>
  <c r="DE152" i="9"/>
  <c r="DN152" i="9" s="1"/>
  <c r="DD152" i="9"/>
  <c r="DM152" i="9" s="1"/>
  <c r="DC152" i="9"/>
  <c r="DL152" i="9" s="1"/>
  <c r="DB152" i="9"/>
  <c r="DK152" i="9" s="1"/>
  <c r="DA152" i="9"/>
  <c r="DJ152" i="9" s="1"/>
  <c r="X152" i="9"/>
  <c r="W152" i="9"/>
  <c r="Y152" i="9" s="1"/>
  <c r="R152" i="9"/>
  <c r="Q152" i="9"/>
  <c r="S152" i="9" s="1"/>
  <c r="L152" i="9"/>
  <c r="K152" i="9"/>
  <c r="M152" i="9" s="1"/>
  <c r="DI151" i="9"/>
  <c r="DH151" i="9"/>
  <c r="DQ151" i="9" s="1"/>
  <c r="DG151" i="9"/>
  <c r="DP151" i="9" s="1"/>
  <c r="DF151" i="9"/>
  <c r="DO151" i="9" s="1"/>
  <c r="DE151" i="9"/>
  <c r="DN151" i="9" s="1"/>
  <c r="DD151" i="9"/>
  <c r="DM151" i="9" s="1"/>
  <c r="DC151" i="9"/>
  <c r="DL151" i="9" s="1"/>
  <c r="DB151" i="9"/>
  <c r="DK151" i="9" s="1"/>
  <c r="DA151" i="9"/>
  <c r="DJ151" i="9" s="1"/>
  <c r="X151" i="9"/>
  <c r="W151" i="9"/>
  <c r="Y151" i="9" s="1"/>
  <c r="R151" i="9"/>
  <c r="Q151" i="9"/>
  <c r="S151" i="9" s="1"/>
  <c r="L151" i="9"/>
  <c r="K151" i="9"/>
  <c r="M151" i="9" s="1"/>
  <c r="DI150" i="9"/>
  <c r="DH150" i="9"/>
  <c r="DQ150" i="9" s="1"/>
  <c r="DG150" i="9"/>
  <c r="DP150" i="9" s="1"/>
  <c r="DF150" i="9"/>
  <c r="DO150" i="9" s="1"/>
  <c r="DE150" i="9"/>
  <c r="DN150" i="9" s="1"/>
  <c r="DD150" i="9"/>
  <c r="DM150" i="9" s="1"/>
  <c r="DC150" i="9"/>
  <c r="DL150" i="9" s="1"/>
  <c r="DB150" i="9"/>
  <c r="DK150" i="9" s="1"/>
  <c r="DA150" i="9"/>
  <c r="DJ150" i="9" s="1"/>
  <c r="X150" i="9"/>
  <c r="W150" i="9"/>
  <c r="Y150" i="9" s="1"/>
  <c r="R150" i="9"/>
  <c r="Q150" i="9"/>
  <c r="S150" i="9" s="1"/>
  <c r="L150" i="9"/>
  <c r="K150" i="9"/>
  <c r="M150" i="9" s="1"/>
  <c r="DI149" i="9"/>
  <c r="DH149" i="9"/>
  <c r="DQ149" i="9" s="1"/>
  <c r="DG149" i="9"/>
  <c r="DP149" i="9" s="1"/>
  <c r="DF149" i="9"/>
  <c r="DO149" i="9" s="1"/>
  <c r="DE149" i="9"/>
  <c r="DN149" i="9" s="1"/>
  <c r="DD149" i="9"/>
  <c r="DM149" i="9" s="1"/>
  <c r="DC149" i="9"/>
  <c r="DL149" i="9" s="1"/>
  <c r="DB149" i="9"/>
  <c r="DK149" i="9" s="1"/>
  <c r="DA149" i="9"/>
  <c r="DJ149" i="9" s="1"/>
  <c r="X149" i="9"/>
  <c r="W149" i="9"/>
  <c r="Y149" i="9" s="1"/>
  <c r="R149" i="9"/>
  <c r="Q149" i="9"/>
  <c r="S149" i="9" s="1"/>
  <c r="L149" i="9"/>
  <c r="K149" i="9"/>
  <c r="M149" i="9" s="1"/>
  <c r="DI148" i="9"/>
  <c r="DH148" i="9"/>
  <c r="DQ148" i="9" s="1"/>
  <c r="DG148" i="9"/>
  <c r="DP148" i="9" s="1"/>
  <c r="DF148" i="9"/>
  <c r="DO148" i="9" s="1"/>
  <c r="DE148" i="9"/>
  <c r="DN148" i="9" s="1"/>
  <c r="DD148" i="9"/>
  <c r="DM148" i="9" s="1"/>
  <c r="DC148" i="9"/>
  <c r="DL148" i="9" s="1"/>
  <c r="DB148" i="9"/>
  <c r="DK148" i="9" s="1"/>
  <c r="DA148" i="9"/>
  <c r="DJ148" i="9" s="1"/>
  <c r="X148" i="9"/>
  <c r="W148" i="9"/>
  <c r="Y148" i="9" s="1"/>
  <c r="R148" i="9"/>
  <c r="Q148" i="9"/>
  <c r="S148" i="9" s="1"/>
  <c r="L148" i="9"/>
  <c r="K148" i="9"/>
  <c r="M148" i="9" s="1"/>
  <c r="DI147" i="9"/>
  <c r="DH147" i="9"/>
  <c r="DQ147" i="9" s="1"/>
  <c r="DG147" i="9"/>
  <c r="DP147" i="9" s="1"/>
  <c r="DF147" i="9"/>
  <c r="DO147" i="9" s="1"/>
  <c r="DE147" i="9"/>
  <c r="DN147" i="9" s="1"/>
  <c r="DD147" i="9"/>
  <c r="DM147" i="9" s="1"/>
  <c r="DC147" i="9"/>
  <c r="DL147" i="9" s="1"/>
  <c r="DB147" i="9"/>
  <c r="DK147" i="9" s="1"/>
  <c r="DA147" i="9"/>
  <c r="DJ147" i="9" s="1"/>
  <c r="X147" i="9"/>
  <c r="V147" i="9"/>
  <c r="W147" i="9" s="1"/>
  <c r="Y147" i="9" s="1"/>
  <c r="R147" i="9"/>
  <c r="P147" i="9"/>
  <c r="Q147" i="9" s="1"/>
  <c r="S147" i="9" s="1"/>
  <c r="L147" i="9"/>
  <c r="J147" i="9"/>
  <c r="K147" i="9" s="1"/>
  <c r="M147" i="9" s="1"/>
  <c r="DI146" i="9"/>
  <c r="DH146" i="9"/>
  <c r="DQ146" i="9" s="1"/>
  <c r="DG146" i="9"/>
  <c r="DP146" i="9" s="1"/>
  <c r="DF146" i="9"/>
  <c r="DO146" i="9" s="1"/>
  <c r="DE146" i="9"/>
  <c r="DN146" i="9" s="1"/>
  <c r="DD146" i="9"/>
  <c r="DM146" i="9" s="1"/>
  <c r="DC146" i="9"/>
  <c r="DL146" i="9" s="1"/>
  <c r="DB146" i="9"/>
  <c r="DK146" i="9" s="1"/>
  <c r="DA146" i="9"/>
  <c r="DJ146" i="9" s="1"/>
  <c r="X146" i="9"/>
  <c r="W146" i="9"/>
  <c r="Y146" i="9" s="1"/>
  <c r="R146" i="9"/>
  <c r="Q146" i="9"/>
  <c r="S146" i="9" s="1"/>
  <c r="L146" i="9"/>
  <c r="K146" i="9"/>
  <c r="M146" i="9" s="1"/>
  <c r="DI145" i="9"/>
  <c r="DH145" i="9"/>
  <c r="DQ145" i="9" s="1"/>
  <c r="DG145" i="9"/>
  <c r="DP145" i="9" s="1"/>
  <c r="DF145" i="9"/>
  <c r="DO145" i="9" s="1"/>
  <c r="DE145" i="9"/>
  <c r="DN145" i="9" s="1"/>
  <c r="DD145" i="9"/>
  <c r="DM145" i="9" s="1"/>
  <c r="DC145" i="9"/>
  <c r="DL145" i="9" s="1"/>
  <c r="DB145" i="9"/>
  <c r="DK145" i="9" s="1"/>
  <c r="DA145" i="9"/>
  <c r="DJ145" i="9" s="1"/>
  <c r="X145" i="9"/>
  <c r="W145" i="9"/>
  <c r="Y145" i="9" s="1"/>
  <c r="R145" i="9"/>
  <c r="Q145" i="9"/>
  <c r="S145" i="9" s="1"/>
  <c r="L145" i="9"/>
  <c r="K145" i="9"/>
  <c r="M145" i="9" s="1"/>
  <c r="DI144" i="9"/>
  <c r="DH144" i="9"/>
  <c r="DQ144" i="9" s="1"/>
  <c r="DG144" i="9"/>
  <c r="DP144" i="9" s="1"/>
  <c r="DF144" i="9"/>
  <c r="DO144" i="9" s="1"/>
  <c r="DE144" i="9"/>
  <c r="DN144" i="9" s="1"/>
  <c r="DD144" i="9"/>
  <c r="DM144" i="9" s="1"/>
  <c r="DC144" i="9"/>
  <c r="DL144" i="9" s="1"/>
  <c r="DB144" i="9"/>
  <c r="DK144" i="9" s="1"/>
  <c r="DA144" i="9"/>
  <c r="DJ144" i="9" s="1"/>
  <c r="X144" i="9"/>
  <c r="W144" i="9"/>
  <c r="Y144" i="9" s="1"/>
  <c r="R144" i="9"/>
  <c r="Q144" i="9"/>
  <c r="S144" i="9" s="1"/>
  <c r="L144" i="9"/>
  <c r="K144" i="9"/>
  <c r="M144" i="9" s="1"/>
  <c r="DI143" i="9"/>
  <c r="DH143" i="9"/>
  <c r="DQ143" i="9" s="1"/>
  <c r="DG143" i="9"/>
  <c r="DP143" i="9" s="1"/>
  <c r="DF143" i="9"/>
  <c r="DO143" i="9" s="1"/>
  <c r="DE143" i="9"/>
  <c r="DN143" i="9" s="1"/>
  <c r="DD143" i="9"/>
  <c r="DM143" i="9" s="1"/>
  <c r="DC143" i="9"/>
  <c r="DL143" i="9" s="1"/>
  <c r="DB143" i="9"/>
  <c r="DK143" i="9" s="1"/>
  <c r="DA143" i="9"/>
  <c r="DJ143" i="9" s="1"/>
  <c r="X143" i="9"/>
  <c r="W143" i="9"/>
  <c r="Y143" i="9" s="1"/>
  <c r="R143" i="9"/>
  <c r="Q143" i="9"/>
  <c r="S143" i="9" s="1"/>
  <c r="L143" i="9"/>
  <c r="K143" i="9"/>
  <c r="M143" i="9" s="1"/>
  <c r="DI142" i="9"/>
  <c r="DH142" i="9"/>
  <c r="DQ142" i="9" s="1"/>
  <c r="DG142" i="9"/>
  <c r="DP142" i="9" s="1"/>
  <c r="DF142" i="9"/>
  <c r="DO142" i="9" s="1"/>
  <c r="DE142" i="9"/>
  <c r="DN142" i="9" s="1"/>
  <c r="DD142" i="9"/>
  <c r="DM142" i="9" s="1"/>
  <c r="DC142" i="9"/>
  <c r="DL142" i="9" s="1"/>
  <c r="DB142" i="9"/>
  <c r="DK142" i="9" s="1"/>
  <c r="DA142" i="9"/>
  <c r="DJ142" i="9" s="1"/>
  <c r="X142" i="9"/>
  <c r="W142" i="9"/>
  <c r="Y142" i="9" s="1"/>
  <c r="R142" i="9"/>
  <c r="Q142" i="9"/>
  <c r="S142" i="9" s="1"/>
  <c r="L142" i="9"/>
  <c r="K142" i="9"/>
  <c r="M142" i="9" s="1"/>
  <c r="DI141" i="9"/>
  <c r="DH141" i="9"/>
  <c r="DQ141" i="9" s="1"/>
  <c r="DG141" i="9"/>
  <c r="DP141" i="9" s="1"/>
  <c r="DF141" i="9"/>
  <c r="DO141" i="9" s="1"/>
  <c r="DE141" i="9"/>
  <c r="DN141" i="9" s="1"/>
  <c r="DD141" i="9"/>
  <c r="DM141" i="9" s="1"/>
  <c r="DC141" i="9"/>
  <c r="DL141" i="9" s="1"/>
  <c r="DB141" i="9"/>
  <c r="DK141" i="9" s="1"/>
  <c r="DA141" i="9"/>
  <c r="DJ141" i="9" s="1"/>
  <c r="X141" i="9"/>
  <c r="W141" i="9"/>
  <c r="Y141" i="9" s="1"/>
  <c r="R141" i="9"/>
  <c r="Q141" i="9"/>
  <c r="S141" i="9" s="1"/>
  <c r="L141" i="9"/>
  <c r="K141" i="9"/>
  <c r="M141" i="9" s="1"/>
  <c r="DI140" i="9"/>
  <c r="DH140" i="9"/>
  <c r="DQ140" i="9" s="1"/>
  <c r="DG140" i="9"/>
  <c r="DP140" i="9" s="1"/>
  <c r="DF140" i="9"/>
  <c r="DO140" i="9" s="1"/>
  <c r="DE140" i="9"/>
  <c r="DN140" i="9" s="1"/>
  <c r="DD140" i="9"/>
  <c r="DM140" i="9" s="1"/>
  <c r="DC140" i="9"/>
  <c r="DL140" i="9" s="1"/>
  <c r="DB140" i="9"/>
  <c r="DK140" i="9" s="1"/>
  <c r="DA140" i="9"/>
  <c r="DJ140" i="9" s="1"/>
  <c r="X140" i="9"/>
  <c r="W140" i="9"/>
  <c r="Y140" i="9" s="1"/>
  <c r="R140" i="9"/>
  <c r="Q140" i="9"/>
  <c r="S140" i="9" s="1"/>
  <c r="L140" i="9"/>
  <c r="K140" i="9"/>
  <c r="M140" i="9" s="1"/>
  <c r="DI139" i="9"/>
  <c r="DH139" i="9"/>
  <c r="DQ139" i="9" s="1"/>
  <c r="DG139" i="9"/>
  <c r="DP139" i="9" s="1"/>
  <c r="DF139" i="9"/>
  <c r="DO139" i="9" s="1"/>
  <c r="DE139" i="9"/>
  <c r="DN139" i="9" s="1"/>
  <c r="DD139" i="9"/>
  <c r="DM139" i="9" s="1"/>
  <c r="DC139" i="9"/>
  <c r="DL139" i="9" s="1"/>
  <c r="DB139" i="9"/>
  <c r="DK139" i="9" s="1"/>
  <c r="DA139" i="9"/>
  <c r="DJ139" i="9" s="1"/>
  <c r="X139" i="9"/>
  <c r="W139" i="9"/>
  <c r="Y139" i="9" s="1"/>
  <c r="R139" i="9"/>
  <c r="Q139" i="9"/>
  <c r="S139" i="9" s="1"/>
  <c r="L139" i="9"/>
  <c r="K139" i="9"/>
  <c r="M139" i="9" s="1"/>
  <c r="DI138" i="9"/>
  <c r="DH138" i="9"/>
  <c r="DQ138" i="9" s="1"/>
  <c r="DG138" i="9"/>
  <c r="DP138" i="9" s="1"/>
  <c r="DF138" i="9"/>
  <c r="DO138" i="9" s="1"/>
  <c r="DE138" i="9"/>
  <c r="DN138" i="9" s="1"/>
  <c r="DD138" i="9"/>
  <c r="DM138" i="9" s="1"/>
  <c r="DC138" i="9"/>
  <c r="DL138" i="9" s="1"/>
  <c r="DB138" i="9"/>
  <c r="DK138" i="9" s="1"/>
  <c r="DA138" i="9"/>
  <c r="DJ138" i="9" s="1"/>
  <c r="X138" i="9"/>
  <c r="W138" i="9"/>
  <c r="Y138" i="9" s="1"/>
  <c r="R138" i="9"/>
  <c r="Q138" i="9"/>
  <c r="S138" i="9" s="1"/>
  <c r="L138" i="9"/>
  <c r="K138" i="9"/>
  <c r="M138" i="9" s="1"/>
  <c r="DI137" i="9"/>
  <c r="DH137" i="9"/>
  <c r="DQ137" i="9" s="1"/>
  <c r="DG137" i="9"/>
  <c r="DP137" i="9" s="1"/>
  <c r="DF137" i="9"/>
  <c r="DO137" i="9" s="1"/>
  <c r="DE137" i="9"/>
  <c r="DN137" i="9" s="1"/>
  <c r="DD137" i="9"/>
  <c r="DM137" i="9" s="1"/>
  <c r="DC137" i="9"/>
  <c r="DL137" i="9" s="1"/>
  <c r="DB137" i="9"/>
  <c r="DK137" i="9" s="1"/>
  <c r="DA137" i="9"/>
  <c r="DJ137" i="9" s="1"/>
  <c r="X137" i="9"/>
  <c r="W137" i="9"/>
  <c r="Y137" i="9" s="1"/>
  <c r="R137" i="9"/>
  <c r="Q137" i="9"/>
  <c r="S137" i="9" s="1"/>
  <c r="L137" i="9"/>
  <c r="K137" i="9"/>
  <c r="M137" i="9" s="1"/>
  <c r="DI136" i="9"/>
  <c r="DH136" i="9"/>
  <c r="DQ136" i="9" s="1"/>
  <c r="DG136" i="9"/>
  <c r="DP136" i="9" s="1"/>
  <c r="DF136" i="9"/>
  <c r="DO136" i="9" s="1"/>
  <c r="DE136" i="9"/>
  <c r="DN136" i="9" s="1"/>
  <c r="DD136" i="9"/>
  <c r="DM136" i="9" s="1"/>
  <c r="DC136" i="9"/>
  <c r="DL136" i="9" s="1"/>
  <c r="DB136" i="9"/>
  <c r="DK136" i="9" s="1"/>
  <c r="DA136" i="9"/>
  <c r="DJ136" i="9" s="1"/>
  <c r="X136" i="9"/>
  <c r="W136" i="9"/>
  <c r="Y136" i="9" s="1"/>
  <c r="R136" i="9"/>
  <c r="Q136" i="9"/>
  <c r="S136" i="9" s="1"/>
  <c r="L136" i="9"/>
  <c r="K136" i="9"/>
  <c r="M136" i="9" s="1"/>
  <c r="DI135" i="9"/>
  <c r="DH135" i="9"/>
  <c r="DQ135" i="9" s="1"/>
  <c r="DG135" i="9"/>
  <c r="DP135" i="9" s="1"/>
  <c r="DF135" i="9"/>
  <c r="DO135" i="9" s="1"/>
  <c r="DE135" i="9"/>
  <c r="DN135" i="9" s="1"/>
  <c r="DD135" i="9"/>
  <c r="DM135" i="9" s="1"/>
  <c r="DC135" i="9"/>
  <c r="DL135" i="9" s="1"/>
  <c r="DB135" i="9"/>
  <c r="DK135" i="9" s="1"/>
  <c r="DA135" i="9"/>
  <c r="DJ135" i="9" s="1"/>
  <c r="X135" i="9"/>
  <c r="W135" i="9"/>
  <c r="Y135" i="9" s="1"/>
  <c r="R135" i="9"/>
  <c r="Q135" i="9"/>
  <c r="S135" i="9" s="1"/>
  <c r="L135" i="9"/>
  <c r="K135" i="9"/>
  <c r="M135" i="9" s="1"/>
  <c r="DI134" i="9"/>
  <c r="DH134" i="9"/>
  <c r="DQ134" i="9" s="1"/>
  <c r="DG134" i="9"/>
  <c r="DP134" i="9" s="1"/>
  <c r="DF134" i="9"/>
  <c r="DO134" i="9" s="1"/>
  <c r="DE134" i="9"/>
  <c r="DN134" i="9" s="1"/>
  <c r="DD134" i="9"/>
  <c r="DM134" i="9" s="1"/>
  <c r="DC134" i="9"/>
  <c r="DL134" i="9" s="1"/>
  <c r="DB134" i="9"/>
  <c r="DK134" i="9" s="1"/>
  <c r="DA134" i="9"/>
  <c r="DJ134" i="9" s="1"/>
  <c r="X134" i="9"/>
  <c r="W134" i="9"/>
  <c r="Y134" i="9" s="1"/>
  <c r="R134" i="9"/>
  <c r="Q134" i="9"/>
  <c r="S134" i="9" s="1"/>
  <c r="L134" i="9"/>
  <c r="K134" i="9"/>
  <c r="M134" i="9" s="1"/>
  <c r="DI133" i="9"/>
  <c r="DH133" i="9"/>
  <c r="DQ133" i="9" s="1"/>
  <c r="DG133" i="9"/>
  <c r="DP133" i="9" s="1"/>
  <c r="DF133" i="9"/>
  <c r="DO133" i="9" s="1"/>
  <c r="DE133" i="9"/>
  <c r="DN133" i="9" s="1"/>
  <c r="DD133" i="9"/>
  <c r="DM133" i="9" s="1"/>
  <c r="DC133" i="9"/>
  <c r="DL133" i="9" s="1"/>
  <c r="DB133" i="9"/>
  <c r="DK133" i="9" s="1"/>
  <c r="DA133" i="9"/>
  <c r="DJ133" i="9" s="1"/>
  <c r="X133" i="9"/>
  <c r="W133" i="9"/>
  <c r="Y133" i="9" s="1"/>
  <c r="R133" i="9"/>
  <c r="Q133" i="9"/>
  <c r="S133" i="9" s="1"/>
  <c r="L133" i="9"/>
  <c r="K133" i="9"/>
  <c r="M133" i="9" s="1"/>
  <c r="DI132" i="9"/>
  <c r="DH132" i="9"/>
  <c r="DQ132" i="9" s="1"/>
  <c r="DG132" i="9"/>
  <c r="DP132" i="9" s="1"/>
  <c r="DF132" i="9"/>
  <c r="DO132" i="9" s="1"/>
  <c r="DE132" i="9"/>
  <c r="DN132" i="9" s="1"/>
  <c r="DD132" i="9"/>
  <c r="DM132" i="9" s="1"/>
  <c r="DC132" i="9"/>
  <c r="DL132" i="9" s="1"/>
  <c r="DB132" i="9"/>
  <c r="DK132" i="9" s="1"/>
  <c r="DA132" i="9"/>
  <c r="DJ132" i="9" s="1"/>
  <c r="X132" i="9"/>
  <c r="W132" i="9"/>
  <c r="Y132" i="9" s="1"/>
  <c r="R132" i="9"/>
  <c r="Q132" i="9"/>
  <c r="S132" i="9" s="1"/>
  <c r="L132" i="9"/>
  <c r="K132" i="9"/>
  <c r="M132" i="9" s="1"/>
  <c r="DI131" i="9"/>
  <c r="DH131" i="9"/>
  <c r="DQ131" i="9" s="1"/>
  <c r="DG131" i="9"/>
  <c r="DP131" i="9" s="1"/>
  <c r="DF131" i="9"/>
  <c r="DO131" i="9" s="1"/>
  <c r="DE131" i="9"/>
  <c r="DN131" i="9" s="1"/>
  <c r="DD131" i="9"/>
  <c r="DM131" i="9" s="1"/>
  <c r="DC131" i="9"/>
  <c r="DL131" i="9" s="1"/>
  <c r="DB131" i="9"/>
  <c r="DK131" i="9" s="1"/>
  <c r="DA131" i="9"/>
  <c r="DJ131" i="9" s="1"/>
  <c r="X131" i="9"/>
  <c r="W131" i="9"/>
  <c r="Y131" i="9" s="1"/>
  <c r="R131" i="9"/>
  <c r="P131" i="9"/>
  <c r="Q131" i="9" s="1"/>
  <c r="S131" i="9" s="1"/>
  <c r="L131" i="9"/>
  <c r="K131" i="9"/>
  <c r="M131" i="9" s="1"/>
  <c r="DI130" i="9"/>
  <c r="DH130" i="9"/>
  <c r="DQ130" i="9" s="1"/>
  <c r="DG130" i="9"/>
  <c r="DP130" i="9" s="1"/>
  <c r="DF130" i="9"/>
  <c r="DO130" i="9" s="1"/>
  <c r="DE130" i="9"/>
  <c r="DN130" i="9" s="1"/>
  <c r="DD130" i="9"/>
  <c r="DM130" i="9" s="1"/>
  <c r="DC130" i="9"/>
  <c r="DL130" i="9" s="1"/>
  <c r="DB130" i="9"/>
  <c r="DK130" i="9" s="1"/>
  <c r="DA130" i="9"/>
  <c r="DJ130" i="9" s="1"/>
  <c r="X130" i="9"/>
  <c r="W130" i="9"/>
  <c r="Y130" i="9" s="1"/>
  <c r="R130" i="9"/>
  <c r="P130" i="9"/>
  <c r="Q130" i="9" s="1"/>
  <c r="S130" i="9" s="1"/>
  <c r="L130" i="9"/>
  <c r="K130" i="9"/>
  <c r="M130" i="9" s="1"/>
  <c r="DI129" i="9"/>
  <c r="DH129" i="9"/>
  <c r="DQ129" i="9" s="1"/>
  <c r="DG129" i="9"/>
  <c r="DP129" i="9" s="1"/>
  <c r="DF129" i="9"/>
  <c r="DO129" i="9" s="1"/>
  <c r="DE129" i="9"/>
  <c r="DN129" i="9" s="1"/>
  <c r="DD129" i="9"/>
  <c r="DM129" i="9" s="1"/>
  <c r="DC129" i="9"/>
  <c r="DL129" i="9" s="1"/>
  <c r="DB129" i="9"/>
  <c r="DK129" i="9" s="1"/>
  <c r="DA129" i="9"/>
  <c r="DJ129" i="9" s="1"/>
  <c r="X129" i="9"/>
  <c r="W129" i="9"/>
  <c r="Y129" i="9" s="1"/>
  <c r="R129" i="9"/>
  <c r="P129" i="9"/>
  <c r="Q129" i="9" s="1"/>
  <c r="S129" i="9" s="1"/>
  <c r="L129" i="9"/>
  <c r="K129" i="9"/>
  <c r="M129" i="9" s="1"/>
  <c r="DI128" i="9"/>
  <c r="DH128" i="9"/>
  <c r="DQ128" i="9" s="1"/>
  <c r="DG128" i="9"/>
  <c r="DP128" i="9" s="1"/>
  <c r="DF128" i="9"/>
  <c r="DO128" i="9" s="1"/>
  <c r="DE128" i="9"/>
  <c r="DN128" i="9" s="1"/>
  <c r="DD128" i="9"/>
  <c r="DM128" i="9" s="1"/>
  <c r="DC128" i="9"/>
  <c r="DL128" i="9" s="1"/>
  <c r="DB128" i="9"/>
  <c r="DK128" i="9" s="1"/>
  <c r="DA128" i="9"/>
  <c r="DJ128" i="9" s="1"/>
  <c r="X128" i="9"/>
  <c r="V128" i="9"/>
  <c r="W128" i="9" s="1"/>
  <c r="Y128" i="9" s="1"/>
  <c r="R128" i="9"/>
  <c r="Q128" i="9"/>
  <c r="S128" i="9" s="1"/>
  <c r="L128" i="9"/>
  <c r="K128" i="9"/>
  <c r="M128" i="9" s="1"/>
  <c r="DI127" i="9"/>
  <c r="DH127" i="9"/>
  <c r="DQ127" i="9" s="1"/>
  <c r="DG127" i="9"/>
  <c r="DP127" i="9" s="1"/>
  <c r="DF127" i="9"/>
  <c r="DO127" i="9" s="1"/>
  <c r="DE127" i="9"/>
  <c r="DN127" i="9" s="1"/>
  <c r="DD127" i="9"/>
  <c r="DM127" i="9" s="1"/>
  <c r="DC127" i="9"/>
  <c r="DL127" i="9" s="1"/>
  <c r="DB127" i="9"/>
  <c r="DK127" i="9" s="1"/>
  <c r="DA127" i="9"/>
  <c r="DJ127" i="9" s="1"/>
  <c r="X127" i="9"/>
  <c r="W127" i="9"/>
  <c r="Y127" i="9" s="1"/>
  <c r="R127" i="9"/>
  <c r="Q127" i="9"/>
  <c r="S127" i="9" s="1"/>
  <c r="L127" i="9"/>
  <c r="K127" i="9"/>
  <c r="M127" i="9" s="1"/>
  <c r="DI126" i="9"/>
  <c r="DH126" i="9"/>
  <c r="DQ126" i="9" s="1"/>
  <c r="DG126" i="9"/>
  <c r="DP126" i="9" s="1"/>
  <c r="DF126" i="9"/>
  <c r="DO126" i="9" s="1"/>
  <c r="DE126" i="9"/>
  <c r="DN126" i="9" s="1"/>
  <c r="DD126" i="9"/>
  <c r="DM126" i="9" s="1"/>
  <c r="DC126" i="9"/>
  <c r="DL126" i="9" s="1"/>
  <c r="DB126" i="9"/>
  <c r="DK126" i="9" s="1"/>
  <c r="DA126" i="9"/>
  <c r="DJ126" i="9" s="1"/>
  <c r="X126" i="9"/>
  <c r="W126" i="9"/>
  <c r="Y126" i="9" s="1"/>
  <c r="R126" i="9"/>
  <c r="Q126" i="9"/>
  <c r="S126" i="9" s="1"/>
  <c r="L126" i="9"/>
  <c r="K126" i="9"/>
  <c r="M126" i="9" s="1"/>
  <c r="DI125" i="9"/>
  <c r="DH125" i="9"/>
  <c r="DQ125" i="9" s="1"/>
  <c r="DG125" i="9"/>
  <c r="DP125" i="9" s="1"/>
  <c r="DF125" i="9"/>
  <c r="DO125" i="9" s="1"/>
  <c r="DE125" i="9"/>
  <c r="DN125" i="9" s="1"/>
  <c r="DD125" i="9"/>
  <c r="DM125" i="9" s="1"/>
  <c r="DC125" i="9"/>
  <c r="DL125" i="9" s="1"/>
  <c r="DB125" i="9"/>
  <c r="DK125" i="9" s="1"/>
  <c r="DA125" i="9"/>
  <c r="DJ125" i="9" s="1"/>
  <c r="X125" i="9"/>
  <c r="V125" i="9"/>
  <c r="W125" i="9" s="1"/>
  <c r="Y125" i="9" s="1"/>
  <c r="R125" i="9"/>
  <c r="Q125" i="9"/>
  <c r="S125" i="9" s="1"/>
  <c r="L125" i="9"/>
  <c r="K125" i="9"/>
  <c r="M125" i="9" s="1"/>
  <c r="DI124" i="9"/>
  <c r="DH124" i="9"/>
  <c r="DQ124" i="9" s="1"/>
  <c r="DG124" i="9"/>
  <c r="DP124" i="9" s="1"/>
  <c r="DF124" i="9"/>
  <c r="DO124" i="9" s="1"/>
  <c r="DE124" i="9"/>
  <c r="DN124" i="9" s="1"/>
  <c r="DD124" i="9"/>
  <c r="DM124" i="9" s="1"/>
  <c r="DC124" i="9"/>
  <c r="DL124" i="9" s="1"/>
  <c r="DB124" i="9"/>
  <c r="DK124" i="9" s="1"/>
  <c r="DA124" i="9"/>
  <c r="DJ124" i="9" s="1"/>
  <c r="X124" i="9"/>
  <c r="W124" i="9"/>
  <c r="Y124" i="9" s="1"/>
  <c r="R124" i="9"/>
  <c r="Q124" i="9"/>
  <c r="S124" i="9" s="1"/>
  <c r="L124" i="9"/>
  <c r="K124" i="9"/>
  <c r="M124" i="9" s="1"/>
  <c r="DI123" i="9"/>
  <c r="DH123" i="9"/>
  <c r="DQ123" i="9" s="1"/>
  <c r="DG123" i="9"/>
  <c r="DP123" i="9" s="1"/>
  <c r="DF123" i="9"/>
  <c r="DO123" i="9" s="1"/>
  <c r="DE123" i="9"/>
  <c r="DN123" i="9" s="1"/>
  <c r="DD123" i="9"/>
  <c r="DM123" i="9" s="1"/>
  <c r="DC123" i="9"/>
  <c r="DL123" i="9" s="1"/>
  <c r="DB123" i="9"/>
  <c r="DK123" i="9" s="1"/>
  <c r="DA123" i="9"/>
  <c r="DJ123" i="9" s="1"/>
  <c r="X123" i="9"/>
  <c r="W123" i="9"/>
  <c r="Y123" i="9" s="1"/>
  <c r="R123" i="9"/>
  <c r="Q123" i="9"/>
  <c r="S123" i="9" s="1"/>
  <c r="L123" i="9"/>
  <c r="K123" i="9"/>
  <c r="M123" i="9" s="1"/>
  <c r="DI122" i="9"/>
  <c r="DH122" i="9"/>
  <c r="DQ122" i="9" s="1"/>
  <c r="DG122" i="9"/>
  <c r="DP122" i="9" s="1"/>
  <c r="DF122" i="9"/>
  <c r="DO122" i="9" s="1"/>
  <c r="DE122" i="9"/>
  <c r="DN122" i="9" s="1"/>
  <c r="DD122" i="9"/>
  <c r="DM122" i="9" s="1"/>
  <c r="DC122" i="9"/>
  <c r="DL122" i="9" s="1"/>
  <c r="DB122" i="9"/>
  <c r="DK122" i="9" s="1"/>
  <c r="DA122" i="9"/>
  <c r="DJ122" i="9" s="1"/>
  <c r="X122" i="9"/>
  <c r="W122" i="9"/>
  <c r="Y122" i="9" s="1"/>
  <c r="R122" i="9"/>
  <c r="Q122" i="9"/>
  <c r="S122" i="9" s="1"/>
  <c r="L122" i="9"/>
  <c r="K122" i="9"/>
  <c r="M122" i="9" s="1"/>
  <c r="DI121" i="9"/>
  <c r="DH121" i="9"/>
  <c r="DQ121" i="9" s="1"/>
  <c r="DG121" i="9"/>
  <c r="DP121" i="9" s="1"/>
  <c r="DF121" i="9"/>
  <c r="DO121" i="9" s="1"/>
  <c r="DE121" i="9"/>
  <c r="DN121" i="9" s="1"/>
  <c r="DD121" i="9"/>
  <c r="DM121" i="9" s="1"/>
  <c r="DC121" i="9"/>
  <c r="DL121" i="9" s="1"/>
  <c r="DB121" i="9"/>
  <c r="DK121" i="9" s="1"/>
  <c r="DA121" i="9"/>
  <c r="DJ121" i="9" s="1"/>
  <c r="X121" i="9"/>
  <c r="W121" i="9"/>
  <c r="Y121" i="9" s="1"/>
  <c r="R121" i="9"/>
  <c r="Q121" i="9"/>
  <c r="S121" i="9" s="1"/>
  <c r="L121" i="9"/>
  <c r="K121" i="9"/>
  <c r="M121" i="9" s="1"/>
  <c r="DI120" i="9"/>
  <c r="DH120" i="9"/>
  <c r="DQ120" i="9" s="1"/>
  <c r="DG120" i="9"/>
  <c r="DP120" i="9" s="1"/>
  <c r="DF120" i="9"/>
  <c r="DO120" i="9" s="1"/>
  <c r="DE120" i="9"/>
  <c r="DN120" i="9" s="1"/>
  <c r="DD120" i="9"/>
  <c r="DM120" i="9" s="1"/>
  <c r="DC120" i="9"/>
  <c r="DL120" i="9" s="1"/>
  <c r="DB120" i="9"/>
  <c r="DK120" i="9" s="1"/>
  <c r="DA120" i="9"/>
  <c r="DJ120" i="9" s="1"/>
  <c r="X120" i="9"/>
  <c r="W120" i="9"/>
  <c r="Y120" i="9" s="1"/>
  <c r="R120" i="9"/>
  <c r="Q120" i="9"/>
  <c r="S120" i="9" s="1"/>
  <c r="L120" i="9"/>
  <c r="K120" i="9"/>
  <c r="M120" i="9" s="1"/>
  <c r="DI119" i="9"/>
  <c r="DH119" i="9"/>
  <c r="DG119" i="9"/>
  <c r="DF119" i="9"/>
  <c r="DO119" i="9" s="1"/>
  <c r="DE119" i="9"/>
  <c r="DN119" i="9" s="1"/>
  <c r="DD119" i="9"/>
  <c r="DC119" i="9"/>
  <c r="DB119" i="9"/>
  <c r="DK119" i="9" s="1"/>
  <c r="DA119" i="9"/>
  <c r="DJ119" i="9" s="1"/>
  <c r="U119" i="9"/>
  <c r="T119" i="9"/>
  <c r="R119" i="9"/>
  <c r="P119" i="9"/>
  <c r="Q119" i="9" s="1"/>
  <c r="S119" i="9" s="1"/>
  <c r="I119" i="9"/>
  <c r="J119" i="9" s="1"/>
  <c r="H119" i="9"/>
  <c r="DI115" i="9"/>
  <c r="DH115" i="9"/>
  <c r="DQ115" i="9" s="1"/>
  <c r="DG115" i="9"/>
  <c r="DF115" i="9"/>
  <c r="DO115" i="9" s="1"/>
  <c r="DE115" i="9"/>
  <c r="DD115" i="9"/>
  <c r="DM115" i="9" s="1"/>
  <c r="DC115" i="9"/>
  <c r="DB115" i="9"/>
  <c r="DK115" i="9" s="1"/>
  <c r="DA115" i="9"/>
  <c r="DJ115" i="9" s="1"/>
  <c r="X115" i="9"/>
  <c r="V115" i="9"/>
  <c r="W115" i="9" s="1"/>
  <c r="Y115" i="9" s="1"/>
  <c r="T115" i="9"/>
  <c r="R115" i="9"/>
  <c r="P115" i="9"/>
  <c r="Q115" i="9" s="1"/>
  <c r="S115" i="9" s="1"/>
  <c r="N115" i="9"/>
  <c r="L115" i="9"/>
  <c r="J115" i="9"/>
  <c r="K115" i="9" s="1"/>
  <c r="M115" i="9" s="1"/>
  <c r="H115" i="9"/>
  <c r="DI114" i="9"/>
  <c r="DH114" i="9"/>
  <c r="DQ114" i="9" s="1"/>
  <c r="DG114" i="9"/>
  <c r="DP114" i="9" s="1"/>
  <c r="DF114" i="9"/>
  <c r="DO114" i="9" s="1"/>
  <c r="DE114" i="9"/>
  <c r="DN114" i="9" s="1"/>
  <c r="DD114" i="9"/>
  <c r="DM114" i="9" s="1"/>
  <c r="DC114" i="9"/>
  <c r="DL114" i="9" s="1"/>
  <c r="DB114" i="9"/>
  <c r="DK114" i="9" s="1"/>
  <c r="DA114" i="9"/>
  <c r="DJ114" i="9" s="1"/>
  <c r="X114" i="9"/>
  <c r="V114" i="9"/>
  <c r="W114" i="9" s="1"/>
  <c r="Y114" i="9" s="1"/>
  <c r="R114" i="9"/>
  <c r="P114" i="9"/>
  <c r="Q114" i="9" s="1"/>
  <c r="S114" i="9" s="1"/>
  <c r="L114" i="9"/>
  <c r="J114" i="9"/>
  <c r="K114" i="9" s="1"/>
  <c r="M114" i="9" s="1"/>
  <c r="DI113" i="9"/>
  <c r="DH113" i="9"/>
  <c r="DQ113" i="9" s="1"/>
  <c r="DG113" i="9"/>
  <c r="DP113" i="9" s="1"/>
  <c r="DF113" i="9"/>
  <c r="DO113" i="9" s="1"/>
  <c r="DE113" i="9"/>
  <c r="DN113" i="9" s="1"/>
  <c r="DD113" i="9"/>
  <c r="DM113" i="9" s="1"/>
  <c r="DC113" i="9"/>
  <c r="DL113" i="9" s="1"/>
  <c r="DB113" i="9"/>
  <c r="DK113" i="9" s="1"/>
  <c r="DA113" i="9"/>
  <c r="DJ113" i="9" s="1"/>
  <c r="X113" i="9"/>
  <c r="V113" i="9"/>
  <c r="W113" i="9" s="1"/>
  <c r="Y113" i="9" s="1"/>
  <c r="R113" i="9"/>
  <c r="P113" i="9"/>
  <c r="Q113" i="9" s="1"/>
  <c r="S113" i="9" s="1"/>
  <c r="L113" i="9"/>
  <c r="J113" i="9"/>
  <c r="K113" i="9" s="1"/>
  <c r="M113" i="9" s="1"/>
  <c r="DI112" i="9"/>
  <c r="DH112" i="9"/>
  <c r="DQ112" i="9" s="1"/>
  <c r="DG112" i="9"/>
  <c r="DP112" i="9" s="1"/>
  <c r="DF112" i="9"/>
  <c r="DO112" i="9" s="1"/>
  <c r="DE112" i="9"/>
  <c r="DN112" i="9" s="1"/>
  <c r="DD112" i="9"/>
  <c r="DM112" i="9" s="1"/>
  <c r="DC112" i="9"/>
  <c r="DL112" i="9" s="1"/>
  <c r="DB112" i="9"/>
  <c r="DK112" i="9" s="1"/>
  <c r="DA112" i="9"/>
  <c r="DJ112" i="9" s="1"/>
  <c r="X112" i="9"/>
  <c r="V112" i="9"/>
  <c r="W112" i="9" s="1"/>
  <c r="Y112" i="9" s="1"/>
  <c r="R112" i="9"/>
  <c r="P112" i="9"/>
  <c r="Q112" i="9" s="1"/>
  <c r="S112" i="9" s="1"/>
  <c r="L112" i="9"/>
  <c r="J112" i="9"/>
  <c r="K112" i="9" s="1"/>
  <c r="M112" i="9" s="1"/>
  <c r="DI111" i="9"/>
  <c r="DH111" i="9"/>
  <c r="DQ111" i="9" s="1"/>
  <c r="DG111" i="9"/>
  <c r="DP111" i="9" s="1"/>
  <c r="DF111" i="9"/>
  <c r="DO111" i="9" s="1"/>
  <c r="DE111" i="9"/>
  <c r="DN111" i="9" s="1"/>
  <c r="DD111" i="9"/>
  <c r="DM111" i="9" s="1"/>
  <c r="DC111" i="9"/>
  <c r="DL111" i="9" s="1"/>
  <c r="DB111" i="9"/>
  <c r="DK111" i="9" s="1"/>
  <c r="DA111" i="9"/>
  <c r="DJ111" i="9" s="1"/>
  <c r="X111" i="9"/>
  <c r="V111" i="9"/>
  <c r="W111" i="9" s="1"/>
  <c r="Y111" i="9" s="1"/>
  <c r="R111" i="9"/>
  <c r="P111" i="9"/>
  <c r="Q111" i="9" s="1"/>
  <c r="S111" i="9" s="1"/>
  <c r="L111" i="9"/>
  <c r="J111" i="9"/>
  <c r="K111" i="9" s="1"/>
  <c r="M111" i="9" s="1"/>
  <c r="DI110" i="9"/>
  <c r="DH110" i="9"/>
  <c r="DQ110" i="9" s="1"/>
  <c r="DG110" i="9"/>
  <c r="DP110" i="9" s="1"/>
  <c r="DF110" i="9"/>
  <c r="DO110" i="9" s="1"/>
  <c r="DE110" i="9"/>
  <c r="DN110" i="9" s="1"/>
  <c r="DD110" i="9"/>
  <c r="DM110" i="9" s="1"/>
  <c r="DC110" i="9"/>
  <c r="DL110" i="9" s="1"/>
  <c r="DB110" i="9"/>
  <c r="DK110" i="9" s="1"/>
  <c r="DA110" i="9"/>
  <c r="DJ110" i="9" s="1"/>
  <c r="X110" i="9"/>
  <c r="V110" i="9"/>
  <c r="W110" i="9" s="1"/>
  <c r="Y110" i="9" s="1"/>
  <c r="R110" i="9"/>
  <c r="P110" i="9"/>
  <c r="Q110" i="9" s="1"/>
  <c r="S110" i="9" s="1"/>
  <c r="L110" i="9"/>
  <c r="J110" i="9"/>
  <c r="K110" i="9" s="1"/>
  <c r="M110" i="9" s="1"/>
  <c r="DI109" i="9"/>
  <c r="DH109" i="9"/>
  <c r="DQ109" i="9" s="1"/>
  <c r="DG109" i="9"/>
  <c r="DP109" i="9" s="1"/>
  <c r="DF109" i="9"/>
  <c r="DO109" i="9" s="1"/>
  <c r="DE109" i="9"/>
  <c r="DN109" i="9" s="1"/>
  <c r="DD109" i="9"/>
  <c r="DM109" i="9" s="1"/>
  <c r="DC109" i="9"/>
  <c r="DL109" i="9" s="1"/>
  <c r="DB109" i="9"/>
  <c r="DK109" i="9" s="1"/>
  <c r="DA109" i="9"/>
  <c r="DJ109" i="9" s="1"/>
  <c r="X109" i="9"/>
  <c r="V109" i="9"/>
  <c r="W109" i="9" s="1"/>
  <c r="Y109" i="9" s="1"/>
  <c r="R109" i="9"/>
  <c r="P109" i="9"/>
  <c r="Q109" i="9" s="1"/>
  <c r="S109" i="9" s="1"/>
  <c r="L109" i="9"/>
  <c r="J109" i="9"/>
  <c r="K109" i="9" s="1"/>
  <c r="M109" i="9" s="1"/>
  <c r="DI108" i="9"/>
  <c r="DH108" i="9"/>
  <c r="DQ108" i="9" s="1"/>
  <c r="DG108" i="9"/>
  <c r="DP108" i="9" s="1"/>
  <c r="DF108" i="9"/>
  <c r="DO108" i="9" s="1"/>
  <c r="DE108" i="9"/>
  <c r="DN108" i="9" s="1"/>
  <c r="DD108" i="9"/>
  <c r="DM108" i="9" s="1"/>
  <c r="DC108" i="9"/>
  <c r="DL108" i="9" s="1"/>
  <c r="DB108" i="9"/>
  <c r="DK108" i="9" s="1"/>
  <c r="DA108" i="9"/>
  <c r="DJ108" i="9" s="1"/>
  <c r="X108" i="9"/>
  <c r="V108" i="9"/>
  <c r="W108" i="9" s="1"/>
  <c r="Y108" i="9" s="1"/>
  <c r="R108" i="9"/>
  <c r="P108" i="9"/>
  <c r="Q108" i="9" s="1"/>
  <c r="S108" i="9" s="1"/>
  <c r="L108" i="9"/>
  <c r="J108" i="9"/>
  <c r="K108" i="9" s="1"/>
  <c r="M108" i="9" s="1"/>
  <c r="DI107" i="9"/>
  <c r="DH107" i="9"/>
  <c r="DQ107" i="9" s="1"/>
  <c r="DG107" i="9"/>
  <c r="DP107" i="9" s="1"/>
  <c r="DF107" i="9"/>
  <c r="DO107" i="9" s="1"/>
  <c r="DE107" i="9"/>
  <c r="DN107" i="9" s="1"/>
  <c r="DD107" i="9"/>
  <c r="DM107" i="9" s="1"/>
  <c r="DC107" i="9"/>
  <c r="DL107" i="9" s="1"/>
  <c r="DB107" i="9"/>
  <c r="DK107" i="9" s="1"/>
  <c r="DA107" i="9"/>
  <c r="DJ107" i="9" s="1"/>
  <c r="X107" i="9"/>
  <c r="V107" i="9"/>
  <c r="W107" i="9" s="1"/>
  <c r="Y107" i="9" s="1"/>
  <c r="R107" i="9"/>
  <c r="P107" i="9"/>
  <c r="Q107" i="9" s="1"/>
  <c r="S107" i="9" s="1"/>
  <c r="L107" i="9"/>
  <c r="J107" i="9"/>
  <c r="K107" i="9" s="1"/>
  <c r="M107" i="9" s="1"/>
  <c r="DG106" i="9"/>
  <c r="DE106" i="9"/>
  <c r="DC106" i="9"/>
  <c r="DB106" i="9"/>
  <c r="DA106" i="9"/>
  <c r="DJ106" i="9" s="1"/>
  <c r="T106" i="9"/>
  <c r="N106" i="9"/>
  <c r="H106" i="9"/>
  <c r="G106" i="9"/>
  <c r="E106" i="9"/>
  <c r="D106" i="9"/>
  <c r="DG105" i="9"/>
  <c r="DE105" i="9"/>
  <c r="DC105" i="9"/>
  <c r="DB105" i="9"/>
  <c r="DA105" i="9"/>
  <c r="DJ105" i="9" s="1"/>
  <c r="T105" i="9"/>
  <c r="N105" i="9"/>
  <c r="H105" i="9"/>
  <c r="G105" i="9"/>
  <c r="E105" i="9"/>
  <c r="D105" i="9"/>
  <c r="DI104" i="9"/>
  <c r="DH104" i="9"/>
  <c r="DQ104" i="9" s="1"/>
  <c r="DG104" i="9"/>
  <c r="DP104" i="9" s="1"/>
  <c r="DF104" i="9"/>
  <c r="DO104" i="9" s="1"/>
  <c r="DE104" i="9"/>
  <c r="DN104" i="9" s="1"/>
  <c r="DD104" i="9"/>
  <c r="DM104" i="9" s="1"/>
  <c r="DC104" i="9"/>
  <c r="DL104" i="9" s="1"/>
  <c r="DB104" i="9"/>
  <c r="DK104" i="9" s="1"/>
  <c r="DA104" i="9"/>
  <c r="DJ104" i="9" s="1"/>
  <c r="X104" i="9"/>
  <c r="V104" i="9"/>
  <c r="W104" i="9" s="1"/>
  <c r="Y104" i="9" s="1"/>
  <c r="R104" i="9"/>
  <c r="P104" i="9"/>
  <c r="Q104" i="9" s="1"/>
  <c r="S104" i="9" s="1"/>
  <c r="L104" i="9"/>
  <c r="J104" i="9"/>
  <c r="K104" i="9" s="1"/>
  <c r="M104" i="9" s="1"/>
  <c r="DI103" i="9"/>
  <c r="DH103" i="9"/>
  <c r="DQ103" i="9" s="1"/>
  <c r="DG103" i="9"/>
  <c r="DP103" i="9" s="1"/>
  <c r="DF103" i="9"/>
  <c r="DO103" i="9" s="1"/>
  <c r="DE103" i="9"/>
  <c r="DN103" i="9" s="1"/>
  <c r="DD103" i="9"/>
  <c r="DM103" i="9" s="1"/>
  <c r="DC103" i="9"/>
  <c r="DL103" i="9" s="1"/>
  <c r="DB103" i="9"/>
  <c r="DK103" i="9" s="1"/>
  <c r="DA103" i="9"/>
  <c r="DJ103" i="9" s="1"/>
  <c r="X103" i="9"/>
  <c r="V103" i="9"/>
  <c r="W103" i="9" s="1"/>
  <c r="Y103" i="9" s="1"/>
  <c r="R103" i="9"/>
  <c r="P103" i="9"/>
  <c r="Q103" i="9" s="1"/>
  <c r="S103" i="9" s="1"/>
  <c r="L103" i="9"/>
  <c r="J103" i="9"/>
  <c r="K103" i="9" s="1"/>
  <c r="M103" i="9" s="1"/>
  <c r="DI102" i="9"/>
  <c r="DH102" i="9"/>
  <c r="DQ102" i="9" s="1"/>
  <c r="DG102" i="9"/>
  <c r="DP102" i="9" s="1"/>
  <c r="DF102" i="9"/>
  <c r="DO102" i="9" s="1"/>
  <c r="DE102" i="9"/>
  <c r="DN102" i="9" s="1"/>
  <c r="DD102" i="9"/>
  <c r="DM102" i="9" s="1"/>
  <c r="DC102" i="9"/>
  <c r="DL102" i="9" s="1"/>
  <c r="DB102" i="9"/>
  <c r="DK102" i="9" s="1"/>
  <c r="DA102" i="9"/>
  <c r="DJ102" i="9" s="1"/>
  <c r="X102" i="9"/>
  <c r="V102" i="9"/>
  <c r="W102" i="9" s="1"/>
  <c r="Y102" i="9" s="1"/>
  <c r="R102" i="9"/>
  <c r="P102" i="9"/>
  <c r="Q102" i="9" s="1"/>
  <c r="S102" i="9" s="1"/>
  <c r="L102" i="9"/>
  <c r="J102" i="9"/>
  <c r="K102" i="9" s="1"/>
  <c r="M102" i="9" s="1"/>
  <c r="DI101" i="9"/>
  <c r="DH101" i="9"/>
  <c r="DQ101" i="9" s="1"/>
  <c r="DG101" i="9"/>
  <c r="DP101" i="9" s="1"/>
  <c r="DF101" i="9"/>
  <c r="DO101" i="9" s="1"/>
  <c r="DE101" i="9"/>
  <c r="DN101" i="9" s="1"/>
  <c r="DD101" i="9"/>
  <c r="DM101" i="9" s="1"/>
  <c r="DC101" i="9"/>
  <c r="DL101" i="9" s="1"/>
  <c r="DB101" i="9"/>
  <c r="DK101" i="9" s="1"/>
  <c r="DA101" i="9"/>
  <c r="DJ101" i="9" s="1"/>
  <c r="X101" i="9"/>
  <c r="V101" i="9"/>
  <c r="W101" i="9" s="1"/>
  <c r="Y101" i="9" s="1"/>
  <c r="R101" i="9"/>
  <c r="P101" i="9"/>
  <c r="Q101" i="9" s="1"/>
  <c r="S101" i="9" s="1"/>
  <c r="L101" i="9"/>
  <c r="J101" i="9"/>
  <c r="K101" i="9" s="1"/>
  <c r="M101" i="9" s="1"/>
  <c r="DI100" i="9"/>
  <c r="DH100" i="9"/>
  <c r="DQ100" i="9" s="1"/>
  <c r="DG100" i="9"/>
  <c r="DP100" i="9" s="1"/>
  <c r="DF100" i="9"/>
  <c r="DO100" i="9" s="1"/>
  <c r="DE100" i="9"/>
  <c r="DN100" i="9" s="1"/>
  <c r="DD100" i="9"/>
  <c r="DM100" i="9" s="1"/>
  <c r="DC100" i="9"/>
  <c r="DL100" i="9" s="1"/>
  <c r="DB100" i="9"/>
  <c r="DK100" i="9" s="1"/>
  <c r="DA100" i="9"/>
  <c r="DJ100" i="9" s="1"/>
  <c r="X100" i="9"/>
  <c r="V100" i="9"/>
  <c r="W100" i="9" s="1"/>
  <c r="Y100" i="9" s="1"/>
  <c r="R100" i="9"/>
  <c r="P100" i="9"/>
  <c r="Q100" i="9" s="1"/>
  <c r="S100" i="9" s="1"/>
  <c r="L100" i="9"/>
  <c r="J100" i="9"/>
  <c r="K100" i="9" s="1"/>
  <c r="M100" i="9" s="1"/>
  <c r="DI99" i="9"/>
  <c r="DH99" i="9"/>
  <c r="DQ99" i="9" s="1"/>
  <c r="DG99" i="9"/>
  <c r="DP99" i="9" s="1"/>
  <c r="DF99" i="9"/>
  <c r="DO99" i="9" s="1"/>
  <c r="DE99" i="9"/>
  <c r="DN99" i="9" s="1"/>
  <c r="DD99" i="9"/>
  <c r="DM99" i="9" s="1"/>
  <c r="DC99" i="9"/>
  <c r="DL99" i="9" s="1"/>
  <c r="DB99" i="9"/>
  <c r="DK99" i="9" s="1"/>
  <c r="DA99" i="9"/>
  <c r="DJ99" i="9" s="1"/>
  <c r="X99" i="9"/>
  <c r="V99" i="9"/>
  <c r="W99" i="9" s="1"/>
  <c r="Y99" i="9" s="1"/>
  <c r="R99" i="9"/>
  <c r="P99" i="9"/>
  <c r="Q99" i="9" s="1"/>
  <c r="S99" i="9" s="1"/>
  <c r="L99" i="9"/>
  <c r="J99" i="9"/>
  <c r="K99" i="9" s="1"/>
  <c r="M99" i="9" s="1"/>
  <c r="DG98" i="9"/>
  <c r="DE98" i="9"/>
  <c r="DD98" i="9"/>
  <c r="DC98" i="9"/>
  <c r="DB98" i="9"/>
  <c r="DK98" i="9" s="1"/>
  <c r="DA98" i="9"/>
  <c r="DJ98" i="9" s="1"/>
  <c r="T98" i="9"/>
  <c r="N98" i="9"/>
  <c r="I98" i="9"/>
  <c r="L98" i="9" s="1"/>
  <c r="H98" i="9"/>
  <c r="G98" i="9"/>
  <c r="DI97" i="9"/>
  <c r="DH97" i="9"/>
  <c r="DQ97" i="9" s="1"/>
  <c r="DG97" i="9"/>
  <c r="DP97" i="9" s="1"/>
  <c r="DF97" i="9"/>
  <c r="DO97" i="9" s="1"/>
  <c r="DE97" i="9"/>
  <c r="DN97" i="9" s="1"/>
  <c r="DD97" i="9"/>
  <c r="DM97" i="9" s="1"/>
  <c r="DC97" i="9"/>
  <c r="DL97" i="9" s="1"/>
  <c r="DB97" i="9"/>
  <c r="DK97" i="9" s="1"/>
  <c r="DA97" i="9"/>
  <c r="DJ97" i="9" s="1"/>
  <c r="X97" i="9"/>
  <c r="V97" i="9"/>
  <c r="W97" i="9" s="1"/>
  <c r="Y97" i="9" s="1"/>
  <c r="R97" i="9"/>
  <c r="P97" i="9"/>
  <c r="Q97" i="9" s="1"/>
  <c r="S97" i="9" s="1"/>
  <c r="L97" i="9"/>
  <c r="J97" i="9"/>
  <c r="K97" i="9" s="1"/>
  <c r="M97" i="9" s="1"/>
  <c r="DG96" i="9"/>
  <c r="DE96" i="9"/>
  <c r="DC96" i="9"/>
  <c r="DB96" i="9"/>
  <c r="DK96" i="9" s="1"/>
  <c r="DA96" i="9"/>
  <c r="DJ96" i="9" s="1"/>
  <c r="T96" i="9"/>
  <c r="N96" i="9"/>
  <c r="H96" i="9"/>
  <c r="G96" i="9"/>
  <c r="DI95" i="9"/>
  <c r="DH95" i="9"/>
  <c r="DQ95" i="9" s="1"/>
  <c r="DG95" i="9"/>
  <c r="DP95" i="9" s="1"/>
  <c r="DF95" i="9"/>
  <c r="DO95" i="9" s="1"/>
  <c r="DE95" i="9"/>
  <c r="DN95" i="9" s="1"/>
  <c r="DD95" i="9"/>
  <c r="DM95" i="9" s="1"/>
  <c r="DC95" i="9"/>
  <c r="DL95" i="9" s="1"/>
  <c r="DB95" i="9"/>
  <c r="DK95" i="9" s="1"/>
  <c r="DA95" i="9"/>
  <c r="DJ95" i="9" s="1"/>
  <c r="X95" i="9"/>
  <c r="V95" i="9"/>
  <c r="W95" i="9" s="1"/>
  <c r="Y95" i="9" s="1"/>
  <c r="R95" i="9"/>
  <c r="P95" i="9"/>
  <c r="Q95" i="9" s="1"/>
  <c r="S95" i="9" s="1"/>
  <c r="L95" i="9"/>
  <c r="J95" i="9"/>
  <c r="K95" i="9" s="1"/>
  <c r="M95" i="9" s="1"/>
  <c r="DG94" i="9"/>
  <c r="DE94" i="9"/>
  <c r="DD94" i="9"/>
  <c r="DM94" i="9" s="1"/>
  <c r="DC94" i="9"/>
  <c r="DL94" i="9" s="1"/>
  <c r="DB94" i="9"/>
  <c r="DK94" i="9" s="1"/>
  <c r="DA94" i="9"/>
  <c r="DJ94" i="9" s="1"/>
  <c r="T94" i="9"/>
  <c r="O94" i="9"/>
  <c r="R94" i="9" s="1"/>
  <c r="N94" i="9"/>
  <c r="L94" i="9"/>
  <c r="J94" i="9"/>
  <c r="K94" i="9" s="1"/>
  <c r="M94" i="9" s="1"/>
  <c r="G94" i="9"/>
  <c r="DG93" i="9"/>
  <c r="DE93" i="9"/>
  <c r="DC93" i="9"/>
  <c r="DB93" i="9"/>
  <c r="DK93" i="9" s="1"/>
  <c r="DA93" i="9"/>
  <c r="DJ93" i="9" s="1"/>
  <c r="T93" i="9"/>
  <c r="N93" i="9"/>
  <c r="H93" i="9"/>
  <c r="G93" i="9"/>
  <c r="DI92" i="9"/>
  <c r="DH92" i="9"/>
  <c r="DQ92" i="9" s="1"/>
  <c r="DG92" i="9"/>
  <c r="DP92" i="9" s="1"/>
  <c r="DF92" i="9"/>
  <c r="DO92" i="9" s="1"/>
  <c r="DE92" i="9"/>
  <c r="DN92" i="9" s="1"/>
  <c r="DD92" i="9"/>
  <c r="DM92" i="9" s="1"/>
  <c r="DC92" i="9"/>
  <c r="DL92" i="9" s="1"/>
  <c r="DB92" i="9"/>
  <c r="DK92" i="9" s="1"/>
  <c r="DA92" i="9"/>
  <c r="DJ92" i="9" s="1"/>
  <c r="X92" i="9"/>
  <c r="V92" i="9"/>
  <c r="W92" i="9" s="1"/>
  <c r="Y92" i="9" s="1"/>
  <c r="R92" i="9"/>
  <c r="P92" i="9"/>
  <c r="Q92" i="9" s="1"/>
  <c r="S92" i="9" s="1"/>
  <c r="L92" i="9"/>
  <c r="J92" i="9"/>
  <c r="K92" i="9" s="1"/>
  <c r="M92" i="9" s="1"/>
  <c r="DI91" i="9"/>
  <c r="DH91" i="9"/>
  <c r="DQ91" i="9" s="1"/>
  <c r="DG91" i="9"/>
  <c r="DP91" i="9" s="1"/>
  <c r="DF91" i="9"/>
  <c r="DO91" i="9" s="1"/>
  <c r="DE91" i="9"/>
  <c r="DN91" i="9" s="1"/>
  <c r="DD91" i="9"/>
  <c r="DM91" i="9" s="1"/>
  <c r="DC91" i="9"/>
  <c r="DL91" i="9" s="1"/>
  <c r="DB91" i="9"/>
  <c r="DK91" i="9" s="1"/>
  <c r="DA91" i="9"/>
  <c r="DJ91" i="9" s="1"/>
  <c r="X91" i="9"/>
  <c r="V91" i="9"/>
  <c r="W91" i="9" s="1"/>
  <c r="Y91" i="9" s="1"/>
  <c r="R91" i="9"/>
  <c r="P91" i="9"/>
  <c r="Q91" i="9" s="1"/>
  <c r="S91" i="9" s="1"/>
  <c r="L91" i="9"/>
  <c r="J91" i="9"/>
  <c r="K91" i="9" s="1"/>
  <c r="M91" i="9" s="1"/>
  <c r="DI90" i="9"/>
  <c r="DR90" i="9" s="1"/>
  <c r="DH90" i="9"/>
  <c r="DQ90" i="9" s="1"/>
  <c r="DG90" i="9"/>
  <c r="DP90" i="9" s="1"/>
  <c r="DF90" i="9"/>
  <c r="DO90" i="9" s="1"/>
  <c r="DE90" i="9"/>
  <c r="DN90" i="9" s="1"/>
  <c r="DD90" i="9"/>
  <c r="DM90" i="9" s="1"/>
  <c r="DC90" i="9"/>
  <c r="DL90" i="9" s="1"/>
  <c r="DB90" i="9"/>
  <c r="DK90" i="9" s="1"/>
  <c r="DA90" i="9"/>
  <c r="DJ90" i="9" s="1"/>
  <c r="X90" i="9"/>
  <c r="V90" i="9"/>
  <c r="W90" i="9" s="1"/>
  <c r="Y90" i="9" s="1"/>
  <c r="R90" i="9"/>
  <c r="P90" i="9"/>
  <c r="Q90" i="9" s="1"/>
  <c r="S90" i="9" s="1"/>
  <c r="L90" i="9"/>
  <c r="J90" i="9"/>
  <c r="K90" i="9" s="1"/>
  <c r="M90" i="9" s="1"/>
  <c r="DI89" i="9"/>
  <c r="DR89" i="9" s="1"/>
  <c r="DH89" i="9"/>
  <c r="DQ89" i="9" s="1"/>
  <c r="DG89" i="9"/>
  <c r="DP89" i="9" s="1"/>
  <c r="DF89" i="9"/>
  <c r="DO89" i="9" s="1"/>
  <c r="DE89" i="9"/>
  <c r="DN89" i="9" s="1"/>
  <c r="DD89" i="9"/>
  <c r="DM89" i="9" s="1"/>
  <c r="DC89" i="9"/>
  <c r="DL89" i="9" s="1"/>
  <c r="DB89" i="9"/>
  <c r="DK89" i="9" s="1"/>
  <c r="DA89" i="9"/>
  <c r="DJ89" i="9" s="1"/>
  <c r="X89" i="9"/>
  <c r="V89" i="9"/>
  <c r="W89" i="9" s="1"/>
  <c r="Y89" i="9" s="1"/>
  <c r="R89" i="9"/>
  <c r="P89" i="9"/>
  <c r="Q89" i="9" s="1"/>
  <c r="S89" i="9" s="1"/>
  <c r="L89" i="9"/>
  <c r="J89" i="9"/>
  <c r="K89" i="9" s="1"/>
  <c r="M89" i="9" s="1"/>
  <c r="DI88" i="9"/>
  <c r="DH88" i="9"/>
  <c r="DQ88" i="9" s="1"/>
  <c r="DG88" i="9"/>
  <c r="DP88" i="9" s="1"/>
  <c r="DF88" i="9"/>
  <c r="DO88" i="9" s="1"/>
  <c r="DE88" i="9"/>
  <c r="DN88" i="9" s="1"/>
  <c r="DD88" i="9"/>
  <c r="DM88" i="9" s="1"/>
  <c r="DC88" i="9"/>
  <c r="DL88" i="9" s="1"/>
  <c r="DB88" i="9"/>
  <c r="DK88" i="9" s="1"/>
  <c r="DA88" i="9"/>
  <c r="DJ88" i="9" s="1"/>
  <c r="X88" i="9"/>
  <c r="V88" i="9"/>
  <c r="W88" i="9" s="1"/>
  <c r="Y88" i="9" s="1"/>
  <c r="R88" i="9"/>
  <c r="P88" i="9"/>
  <c r="Q88" i="9" s="1"/>
  <c r="S88" i="9" s="1"/>
  <c r="L88" i="9"/>
  <c r="J88" i="9"/>
  <c r="K88" i="9" s="1"/>
  <c r="M88" i="9" s="1"/>
  <c r="DI87" i="9"/>
  <c r="DH87" i="9"/>
  <c r="DQ87" i="9" s="1"/>
  <c r="DG87" i="9"/>
  <c r="DP87" i="9" s="1"/>
  <c r="DF87" i="9"/>
  <c r="DO87" i="9" s="1"/>
  <c r="DE87" i="9"/>
  <c r="DN87" i="9" s="1"/>
  <c r="DD87" i="9"/>
  <c r="DM87" i="9" s="1"/>
  <c r="DC87" i="9"/>
  <c r="DL87" i="9" s="1"/>
  <c r="DB87" i="9"/>
  <c r="DK87" i="9" s="1"/>
  <c r="DA87" i="9"/>
  <c r="DJ87" i="9" s="1"/>
  <c r="X87" i="9"/>
  <c r="V87" i="9"/>
  <c r="W87" i="9" s="1"/>
  <c r="Y87" i="9" s="1"/>
  <c r="R87" i="9"/>
  <c r="P87" i="9"/>
  <c r="Q87" i="9" s="1"/>
  <c r="S87" i="9" s="1"/>
  <c r="L87" i="9"/>
  <c r="J87" i="9"/>
  <c r="K87" i="9" s="1"/>
  <c r="M87" i="9" s="1"/>
  <c r="DI86" i="9"/>
  <c r="DH86" i="9"/>
  <c r="DQ86" i="9" s="1"/>
  <c r="DG86" i="9"/>
  <c r="DP86" i="9" s="1"/>
  <c r="DF86" i="9"/>
  <c r="DO86" i="9" s="1"/>
  <c r="DE86" i="9"/>
  <c r="DN86" i="9" s="1"/>
  <c r="DD86" i="9"/>
  <c r="DM86" i="9" s="1"/>
  <c r="DC86" i="9"/>
  <c r="DL86" i="9" s="1"/>
  <c r="DB86" i="9"/>
  <c r="DK86" i="9" s="1"/>
  <c r="DA86" i="9"/>
  <c r="DJ86" i="9" s="1"/>
  <c r="X86" i="9"/>
  <c r="V86" i="9"/>
  <c r="W86" i="9" s="1"/>
  <c r="Y86" i="9" s="1"/>
  <c r="R86" i="9"/>
  <c r="P86" i="9"/>
  <c r="Q86" i="9" s="1"/>
  <c r="S86" i="9" s="1"/>
  <c r="L86" i="9"/>
  <c r="J86" i="9"/>
  <c r="K86" i="9" s="1"/>
  <c r="M86" i="9" s="1"/>
  <c r="DI85" i="9"/>
  <c r="DH85" i="9"/>
  <c r="DQ85" i="9" s="1"/>
  <c r="DG85" i="9"/>
  <c r="DP85" i="9" s="1"/>
  <c r="DF85" i="9"/>
  <c r="DO85" i="9" s="1"/>
  <c r="DE85" i="9"/>
  <c r="DN85" i="9" s="1"/>
  <c r="DD85" i="9"/>
  <c r="DM85" i="9" s="1"/>
  <c r="DC85" i="9"/>
  <c r="DL85" i="9" s="1"/>
  <c r="DB85" i="9"/>
  <c r="DK85" i="9" s="1"/>
  <c r="DA85" i="9"/>
  <c r="DJ85" i="9" s="1"/>
  <c r="X85" i="9"/>
  <c r="V85" i="9"/>
  <c r="W85" i="9" s="1"/>
  <c r="Y85" i="9" s="1"/>
  <c r="R85" i="9"/>
  <c r="P85" i="9"/>
  <c r="Q85" i="9" s="1"/>
  <c r="S85" i="9" s="1"/>
  <c r="L85" i="9"/>
  <c r="J85" i="9"/>
  <c r="K85" i="9" s="1"/>
  <c r="M85" i="9" s="1"/>
  <c r="DI84" i="9"/>
  <c r="DH84" i="9"/>
  <c r="DQ84" i="9" s="1"/>
  <c r="DG84" i="9"/>
  <c r="DP84" i="9" s="1"/>
  <c r="DF84" i="9"/>
  <c r="DO84" i="9" s="1"/>
  <c r="DE84" i="9"/>
  <c r="DN84" i="9" s="1"/>
  <c r="DD84" i="9"/>
  <c r="DM84" i="9" s="1"/>
  <c r="DC84" i="9"/>
  <c r="DL84" i="9" s="1"/>
  <c r="DB84" i="9"/>
  <c r="DK84" i="9" s="1"/>
  <c r="DA84" i="9"/>
  <c r="DJ84" i="9" s="1"/>
  <c r="X84" i="9"/>
  <c r="V84" i="9"/>
  <c r="W84" i="9" s="1"/>
  <c r="Y84" i="9" s="1"/>
  <c r="R84" i="9"/>
  <c r="P84" i="9"/>
  <c r="Q84" i="9" s="1"/>
  <c r="S84" i="9" s="1"/>
  <c r="L84" i="9"/>
  <c r="J84" i="9"/>
  <c r="K84" i="9" s="1"/>
  <c r="M84" i="9" s="1"/>
  <c r="DI83" i="9"/>
  <c r="DH83" i="9"/>
  <c r="DQ83" i="9" s="1"/>
  <c r="DG83" i="9"/>
  <c r="DP83" i="9" s="1"/>
  <c r="DF83" i="9"/>
  <c r="DO83" i="9" s="1"/>
  <c r="DE83" i="9"/>
  <c r="DN83" i="9" s="1"/>
  <c r="DD83" i="9"/>
  <c r="DM83" i="9" s="1"/>
  <c r="DC83" i="9"/>
  <c r="DL83" i="9" s="1"/>
  <c r="DB83" i="9"/>
  <c r="DK83" i="9" s="1"/>
  <c r="DA83" i="9"/>
  <c r="DJ83" i="9" s="1"/>
  <c r="X83" i="9"/>
  <c r="V83" i="9"/>
  <c r="W83" i="9" s="1"/>
  <c r="Y83" i="9" s="1"/>
  <c r="R83" i="9"/>
  <c r="P83" i="9"/>
  <c r="Q83" i="9" s="1"/>
  <c r="S83" i="9" s="1"/>
  <c r="L83" i="9"/>
  <c r="J83" i="9"/>
  <c r="K83" i="9" s="1"/>
  <c r="M83" i="9" s="1"/>
  <c r="DI82" i="9"/>
  <c r="DH82" i="9"/>
  <c r="DQ82" i="9" s="1"/>
  <c r="DG82" i="9"/>
  <c r="DP82" i="9" s="1"/>
  <c r="DF82" i="9"/>
  <c r="DO82" i="9" s="1"/>
  <c r="DE82" i="9"/>
  <c r="DN82" i="9" s="1"/>
  <c r="DD82" i="9"/>
  <c r="DM82" i="9" s="1"/>
  <c r="DC82" i="9"/>
  <c r="DL82" i="9" s="1"/>
  <c r="DB82" i="9"/>
  <c r="DK82" i="9" s="1"/>
  <c r="DA82" i="9"/>
  <c r="DJ82" i="9" s="1"/>
  <c r="X82" i="9"/>
  <c r="V82" i="9"/>
  <c r="W82" i="9" s="1"/>
  <c r="Y82" i="9" s="1"/>
  <c r="R82" i="9"/>
  <c r="P82" i="9"/>
  <c r="Q82" i="9" s="1"/>
  <c r="S82" i="9" s="1"/>
  <c r="L82" i="9"/>
  <c r="J82" i="9"/>
  <c r="K82" i="9" s="1"/>
  <c r="M82" i="9" s="1"/>
  <c r="DI81" i="9"/>
  <c r="DH81" i="9"/>
  <c r="DQ81" i="9" s="1"/>
  <c r="DG81" i="9"/>
  <c r="DP81" i="9" s="1"/>
  <c r="DF81" i="9"/>
  <c r="DO81" i="9" s="1"/>
  <c r="DE81" i="9"/>
  <c r="DN81" i="9" s="1"/>
  <c r="DD81" i="9"/>
  <c r="DM81" i="9" s="1"/>
  <c r="DC81" i="9"/>
  <c r="DL81" i="9" s="1"/>
  <c r="DB81" i="9"/>
  <c r="DK81" i="9" s="1"/>
  <c r="DA81" i="9"/>
  <c r="DJ81" i="9" s="1"/>
  <c r="X81" i="9"/>
  <c r="V81" i="9"/>
  <c r="W81" i="9" s="1"/>
  <c r="Y81" i="9" s="1"/>
  <c r="R81" i="9"/>
  <c r="P81" i="9"/>
  <c r="Q81" i="9" s="1"/>
  <c r="S81" i="9" s="1"/>
  <c r="L81" i="9"/>
  <c r="J81" i="9"/>
  <c r="K81" i="9" s="1"/>
  <c r="M81" i="9" s="1"/>
  <c r="DI80" i="9"/>
  <c r="DH80" i="9"/>
  <c r="DQ80" i="9" s="1"/>
  <c r="DG80" i="9"/>
  <c r="DP80" i="9" s="1"/>
  <c r="DF80" i="9"/>
  <c r="DO80" i="9" s="1"/>
  <c r="DE80" i="9"/>
  <c r="DN80" i="9" s="1"/>
  <c r="DD80" i="9"/>
  <c r="DM80" i="9" s="1"/>
  <c r="DC80" i="9"/>
  <c r="DL80" i="9" s="1"/>
  <c r="DB80" i="9"/>
  <c r="DK80" i="9" s="1"/>
  <c r="DA80" i="9"/>
  <c r="DJ80" i="9" s="1"/>
  <c r="X80" i="9"/>
  <c r="V80" i="9"/>
  <c r="W80" i="9" s="1"/>
  <c r="Y80" i="9" s="1"/>
  <c r="R80" i="9"/>
  <c r="P80" i="9"/>
  <c r="Q80" i="9" s="1"/>
  <c r="S80" i="9" s="1"/>
  <c r="L80" i="9"/>
  <c r="J80" i="9"/>
  <c r="K80" i="9" s="1"/>
  <c r="M80" i="9" s="1"/>
  <c r="DI79" i="9"/>
  <c r="DH79" i="9"/>
  <c r="DQ79" i="9" s="1"/>
  <c r="DG79" i="9"/>
  <c r="DP79" i="9" s="1"/>
  <c r="DF79" i="9"/>
  <c r="DO79" i="9" s="1"/>
  <c r="DE79" i="9"/>
  <c r="DN79" i="9" s="1"/>
  <c r="DD79" i="9"/>
  <c r="DM79" i="9" s="1"/>
  <c r="DC79" i="9"/>
  <c r="DL79" i="9" s="1"/>
  <c r="DB79" i="9"/>
  <c r="DK79" i="9" s="1"/>
  <c r="DA79" i="9"/>
  <c r="DJ79" i="9" s="1"/>
  <c r="X79" i="9"/>
  <c r="V79" i="9"/>
  <c r="W79" i="9" s="1"/>
  <c r="Y79" i="9" s="1"/>
  <c r="R79" i="9"/>
  <c r="P79" i="9"/>
  <c r="Q79" i="9" s="1"/>
  <c r="S79" i="9" s="1"/>
  <c r="L79" i="9"/>
  <c r="J79" i="9"/>
  <c r="K79" i="9" s="1"/>
  <c r="M79" i="9" s="1"/>
  <c r="DI78" i="9"/>
  <c r="DH78" i="9"/>
  <c r="DQ78" i="9" s="1"/>
  <c r="DG78" i="9"/>
  <c r="DP78" i="9" s="1"/>
  <c r="DF78" i="9"/>
  <c r="DO78" i="9" s="1"/>
  <c r="DE78" i="9"/>
  <c r="DN78" i="9" s="1"/>
  <c r="DD78" i="9"/>
  <c r="DM78" i="9" s="1"/>
  <c r="DC78" i="9"/>
  <c r="DL78" i="9" s="1"/>
  <c r="DB78" i="9"/>
  <c r="DK78" i="9" s="1"/>
  <c r="DA78" i="9"/>
  <c r="DJ78" i="9" s="1"/>
  <c r="X78" i="9"/>
  <c r="V78" i="9"/>
  <c r="W78" i="9" s="1"/>
  <c r="Y78" i="9" s="1"/>
  <c r="R78" i="9"/>
  <c r="P78" i="9"/>
  <c r="Q78" i="9" s="1"/>
  <c r="S78" i="9" s="1"/>
  <c r="L78" i="9"/>
  <c r="J78" i="9"/>
  <c r="K78" i="9" s="1"/>
  <c r="M78" i="9" s="1"/>
  <c r="DI77" i="9"/>
  <c r="DH77" i="9"/>
  <c r="DQ77" i="9" s="1"/>
  <c r="DG77" i="9"/>
  <c r="DP77" i="9" s="1"/>
  <c r="DF77" i="9"/>
  <c r="DO77" i="9" s="1"/>
  <c r="DE77" i="9"/>
  <c r="DN77" i="9" s="1"/>
  <c r="DD77" i="9"/>
  <c r="DM77" i="9" s="1"/>
  <c r="DC77" i="9"/>
  <c r="DL77" i="9" s="1"/>
  <c r="DB77" i="9"/>
  <c r="DK77" i="9" s="1"/>
  <c r="DA77" i="9"/>
  <c r="DJ77" i="9" s="1"/>
  <c r="X77" i="9"/>
  <c r="V77" i="9"/>
  <c r="W77" i="9" s="1"/>
  <c r="Y77" i="9" s="1"/>
  <c r="R77" i="9"/>
  <c r="P77" i="9"/>
  <c r="Q77" i="9" s="1"/>
  <c r="S77" i="9" s="1"/>
  <c r="L77" i="9"/>
  <c r="J77" i="9"/>
  <c r="K77" i="9" s="1"/>
  <c r="M77" i="9" s="1"/>
  <c r="DI76" i="9"/>
  <c r="DH76" i="9"/>
  <c r="DQ76" i="9" s="1"/>
  <c r="DG76" i="9"/>
  <c r="DP76" i="9" s="1"/>
  <c r="DF76" i="9"/>
  <c r="DO76" i="9" s="1"/>
  <c r="DE76" i="9"/>
  <c r="DN76" i="9" s="1"/>
  <c r="DD76" i="9"/>
  <c r="DM76" i="9" s="1"/>
  <c r="DC76" i="9"/>
  <c r="DL76" i="9" s="1"/>
  <c r="DB76" i="9"/>
  <c r="DK76" i="9" s="1"/>
  <c r="DA76" i="9"/>
  <c r="DJ76" i="9" s="1"/>
  <c r="X76" i="9"/>
  <c r="V76" i="9"/>
  <c r="W76" i="9" s="1"/>
  <c r="Y76" i="9" s="1"/>
  <c r="R76" i="9"/>
  <c r="P76" i="9"/>
  <c r="Q76" i="9" s="1"/>
  <c r="S76" i="9" s="1"/>
  <c r="L76" i="9"/>
  <c r="J76" i="9"/>
  <c r="K76" i="9" s="1"/>
  <c r="M76" i="9" s="1"/>
  <c r="DI75" i="9"/>
  <c r="DH75" i="9"/>
  <c r="DQ75" i="9" s="1"/>
  <c r="DG75" i="9"/>
  <c r="DP75" i="9" s="1"/>
  <c r="DF75" i="9"/>
  <c r="DO75" i="9" s="1"/>
  <c r="DE75" i="9"/>
  <c r="DN75" i="9" s="1"/>
  <c r="DD75" i="9"/>
  <c r="DM75" i="9" s="1"/>
  <c r="DC75" i="9"/>
  <c r="DL75" i="9" s="1"/>
  <c r="DB75" i="9"/>
  <c r="DK75" i="9" s="1"/>
  <c r="DA75" i="9"/>
  <c r="DJ75" i="9" s="1"/>
  <c r="X75" i="9"/>
  <c r="V75" i="9"/>
  <c r="W75" i="9" s="1"/>
  <c r="Y75" i="9" s="1"/>
  <c r="R75" i="9"/>
  <c r="P75" i="9"/>
  <c r="Q75" i="9" s="1"/>
  <c r="S75" i="9" s="1"/>
  <c r="L75" i="9"/>
  <c r="J75" i="9"/>
  <c r="K75" i="9" s="1"/>
  <c r="M75" i="9" s="1"/>
  <c r="DI74" i="9"/>
  <c r="DH74" i="9"/>
  <c r="DQ74" i="9" s="1"/>
  <c r="DG74" i="9"/>
  <c r="DP74" i="9" s="1"/>
  <c r="DF74" i="9"/>
  <c r="DO74" i="9" s="1"/>
  <c r="DE74" i="9"/>
  <c r="DN74" i="9" s="1"/>
  <c r="DD74" i="9"/>
  <c r="DM74" i="9" s="1"/>
  <c r="DC74" i="9"/>
  <c r="DL74" i="9" s="1"/>
  <c r="DB74" i="9"/>
  <c r="DK74" i="9" s="1"/>
  <c r="DA74" i="9"/>
  <c r="DJ74" i="9" s="1"/>
  <c r="X74" i="9"/>
  <c r="V74" i="9"/>
  <c r="W74" i="9" s="1"/>
  <c r="Y74" i="9" s="1"/>
  <c r="R74" i="9"/>
  <c r="P74" i="9"/>
  <c r="Q74" i="9" s="1"/>
  <c r="S74" i="9" s="1"/>
  <c r="L74" i="9"/>
  <c r="J74" i="9"/>
  <c r="K74" i="9" s="1"/>
  <c r="M74" i="9" s="1"/>
  <c r="G74" i="9"/>
  <c r="DI73" i="9"/>
  <c r="DH73" i="9"/>
  <c r="DQ73" i="9" s="1"/>
  <c r="DG73" i="9"/>
  <c r="DP73" i="9" s="1"/>
  <c r="DF73" i="9"/>
  <c r="DO73" i="9" s="1"/>
  <c r="DE73" i="9"/>
  <c r="DN73" i="9" s="1"/>
  <c r="DD73" i="9"/>
  <c r="DM73" i="9" s="1"/>
  <c r="DC73" i="9"/>
  <c r="DL73" i="9" s="1"/>
  <c r="DB73" i="9"/>
  <c r="DK73" i="9" s="1"/>
  <c r="DA73" i="9"/>
  <c r="DJ73" i="9" s="1"/>
  <c r="X73" i="9"/>
  <c r="V73" i="9"/>
  <c r="W73" i="9" s="1"/>
  <c r="Y73" i="9" s="1"/>
  <c r="R73" i="9"/>
  <c r="P73" i="9"/>
  <c r="Q73" i="9" s="1"/>
  <c r="S73" i="9" s="1"/>
  <c r="L73" i="9"/>
  <c r="J73" i="9"/>
  <c r="K73" i="9" s="1"/>
  <c r="M73" i="9" s="1"/>
  <c r="G73" i="9"/>
  <c r="DI72" i="9"/>
  <c r="DH72" i="9"/>
  <c r="DQ72" i="9" s="1"/>
  <c r="DG72" i="9"/>
  <c r="DP72" i="9" s="1"/>
  <c r="DF72" i="9"/>
  <c r="DO72" i="9" s="1"/>
  <c r="DE72" i="9"/>
  <c r="DN72" i="9" s="1"/>
  <c r="DD72" i="9"/>
  <c r="DM72" i="9" s="1"/>
  <c r="DC72" i="9"/>
  <c r="DL72" i="9" s="1"/>
  <c r="DB72" i="9"/>
  <c r="DK72" i="9" s="1"/>
  <c r="DA72" i="9"/>
  <c r="DJ72" i="9" s="1"/>
  <c r="X72" i="9"/>
  <c r="V72" i="9"/>
  <c r="W72" i="9" s="1"/>
  <c r="Y72" i="9" s="1"/>
  <c r="R72" i="9"/>
  <c r="P72" i="9"/>
  <c r="Q72" i="9" s="1"/>
  <c r="S72" i="9" s="1"/>
  <c r="L72" i="9"/>
  <c r="J72" i="9"/>
  <c r="K72" i="9" s="1"/>
  <c r="M72" i="9" s="1"/>
  <c r="DI71" i="9"/>
  <c r="DH71" i="9"/>
  <c r="DQ71" i="9" s="1"/>
  <c r="DG71" i="9"/>
  <c r="DP71" i="9" s="1"/>
  <c r="DF71" i="9"/>
  <c r="DO71" i="9" s="1"/>
  <c r="DE71" i="9"/>
  <c r="DN71" i="9" s="1"/>
  <c r="DD71" i="9"/>
  <c r="DM71" i="9" s="1"/>
  <c r="DC71" i="9"/>
  <c r="DL71" i="9" s="1"/>
  <c r="DB71" i="9"/>
  <c r="DK71" i="9" s="1"/>
  <c r="DA71" i="9"/>
  <c r="DJ71" i="9" s="1"/>
  <c r="X71" i="9"/>
  <c r="V71" i="9"/>
  <c r="W71" i="9" s="1"/>
  <c r="Y71" i="9" s="1"/>
  <c r="R71" i="9"/>
  <c r="P71" i="9"/>
  <c r="Q71" i="9" s="1"/>
  <c r="S71" i="9" s="1"/>
  <c r="L71" i="9"/>
  <c r="J71" i="9"/>
  <c r="K71" i="9" s="1"/>
  <c r="M71" i="9" s="1"/>
  <c r="DI70" i="9"/>
  <c r="DH70" i="9"/>
  <c r="DQ70" i="9" s="1"/>
  <c r="DG70" i="9"/>
  <c r="DP70" i="9" s="1"/>
  <c r="DF70" i="9"/>
  <c r="DO70" i="9" s="1"/>
  <c r="DE70" i="9"/>
  <c r="DN70" i="9" s="1"/>
  <c r="DD70" i="9"/>
  <c r="DM70" i="9" s="1"/>
  <c r="DC70" i="9"/>
  <c r="DL70" i="9" s="1"/>
  <c r="DB70" i="9"/>
  <c r="DK70" i="9" s="1"/>
  <c r="DA70" i="9"/>
  <c r="DJ70" i="9" s="1"/>
  <c r="X70" i="9"/>
  <c r="V70" i="9"/>
  <c r="W70" i="9" s="1"/>
  <c r="Y70" i="9" s="1"/>
  <c r="R70" i="9"/>
  <c r="P70" i="9"/>
  <c r="Q70" i="9" s="1"/>
  <c r="S70" i="9" s="1"/>
  <c r="L70" i="9"/>
  <c r="J70" i="9"/>
  <c r="K70" i="9" s="1"/>
  <c r="M70" i="9" s="1"/>
  <c r="DI69" i="9"/>
  <c r="DH69" i="9"/>
  <c r="DQ69" i="9" s="1"/>
  <c r="DG69" i="9"/>
  <c r="DP69" i="9" s="1"/>
  <c r="DF69" i="9"/>
  <c r="DO69" i="9" s="1"/>
  <c r="DE69" i="9"/>
  <c r="DN69" i="9" s="1"/>
  <c r="DD69" i="9"/>
  <c r="DM69" i="9" s="1"/>
  <c r="DC69" i="9"/>
  <c r="DL69" i="9" s="1"/>
  <c r="DB69" i="9"/>
  <c r="DK69" i="9" s="1"/>
  <c r="DA69" i="9"/>
  <c r="DJ69" i="9" s="1"/>
  <c r="X69" i="9"/>
  <c r="V69" i="9"/>
  <c r="W69" i="9" s="1"/>
  <c r="Y69" i="9" s="1"/>
  <c r="R69" i="9"/>
  <c r="P69" i="9"/>
  <c r="Q69" i="9" s="1"/>
  <c r="S69" i="9" s="1"/>
  <c r="L69" i="9"/>
  <c r="J69" i="9"/>
  <c r="K69" i="9" s="1"/>
  <c r="M69" i="9" s="1"/>
  <c r="DI68" i="9"/>
  <c r="DH68" i="9"/>
  <c r="DQ68" i="9" s="1"/>
  <c r="DG68" i="9"/>
  <c r="DP68" i="9" s="1"/>
  <c r="DF68" i="9"/>
  <c r="DO68" i="9" s="1"/>
  <c r="DE68" i="9"/>
  <c r="DN68" i="9" s="1"/>
  <c r="DD68" i="9"/>
  <c r="DM68" i="9" s="1"/>
  <c r="DC68" i="9"/>
  <c r="DL68" i="9" s="1"/>
  <c r="DB68" i="9"/>
  <c r="DK68" i="9" s="1"/>
  <c r="DA68" i="9"/>
  <c r="DJ68" i="9" s="1"/>
  <c r="X68" i="9"/>
  <c r="V68" i="9"/>
  <c r="W68" i="9" s="1"/>
  <c r="Y68" i="9" s="1"/>
  <c r="R68" i="9"/>
  <c r="P68" i="9"/>
  <c r="Q68" i="9" s="1"/>
  <c r="S68" i="9" s="1"/>
  <c r="L68" i="9"/>
  <c r="J68" i="9"/>
  <c r="K68" i="9" s="1"/>
  <c r="M68" i="9" s="1"/>
  <c r="DI67" i="9"/>
  <c r="DH67" i="9"/>
  <c r="DQ67" i="9" s="1"/>
  <c r="DG67" i="9"/>
  <c r="DP67" i="9" s="1"/>
  <c r="DF67" i="9"/>
  <c r="DO67" i="9" s="1"/>
  <c r="DE67" i="9"/>
  <c r="DN67" i="9" s="1"/>
  <c r="DD67" i="9"/>
  <c r="DM67" i="9" s="1"/>
  <c r="DC67" i="9"/>
  <c r="DL67" i="9" s="1"/>
  <c r="DB67" i="9"/>
  <c r="DK67" i="9" s="1"/>
  <c r="DA67" i="9"/>
  <c r="DJ67" i="9" s="1"/>
  <c r="X67" i="9"/>
  <c r="V67" i="9"/>
  <c r="W67" i="9" s="1"/>
  <c r="Y67" i="9" s="1"/>
  <c r="R67" i="9"/>
  <c r="P67" i="9"/>
  <c r="Q67" i="9" s="1"/>
  <c r="S67" i="9" s="1"/>
  <c r="L67" i="9"/>
  <c r="J67" i="9"/>
  <c r="K67" i="9" s="1"/>
  <c r="M67" i="9" s="1"/>
  <c r="DI66" i="9"/>
  <c r="DH66" i="9"/>
  <c r="DQ66" i="9" s="1"/>
  <c r="DG66" i="9"/>
  <c r="DP66" i="9" s="1"/>
  <c r="DF66" i="9"/>
  <c r="DO66" i="9" s="1"/>
  <c r="DE66" i="9"/>
  <c r="DN66" i="9" s="1"/>
  <c r="DD66" i="9"/>
  <c r="DM66" i="9" s="1"/>
  <c r="DC66" i="9"/>
  <c r="DL66" i="9" s="1"/>
  <c r="DB66" i="9"/>
  <c r="DK66" i="9" s="1"/>
  <c r="DA66" i="9"/>
  <c r="DJ66" i="9" s="1"/>
  <c r="X66" i="9"/>
  <c r="V66" i="9"/>
  <c r="W66" i="9" s="1"/>
  <c r="Y66" i="9" s="1"/>
  <c r="R66" i="9"/>
  <c r="P66" i="9"/>
  <c r="Q66" i="9" s="1"/>
  <c r="S66" i="9" s="1"/>
  <c r="L66" i="9"/>
  <c r="J66" i="9"/>
  <c r="K66" i="9" s="1"/>
  <c r="M66" i="9" s="1"/>
  <c r="DI65" i="9"/>
  <c r="DH65" i="9"/>
  <c r="DQ65" i="9" s="1"/>
  <c r="DG65" i="9"/>
  <c r="DP65" i="9" s="1"/>
  <c r="DF65" i="9"/>
  <c r="DO65" i="9" s="1"/>
  <c r="DE65" i="9"/>
  <c r="DN65" i="9" s="1"/>
  <c r="DD65" i="9"/>
  <c r="DM65" i="9" s="1"/>
  <c r="DC65" i="9"/>
  <c r="DL65" i="9" s="1"/>
  <c r="DB65" i="9"/>
  <c r="DK65" i="9" s="1"/>
  <c r="DA65" i="9"/>
  <c r="DJ65" i="9" s="1"/>
  <c r="X65" i="9"/>
  <c r="V65" i="9"/>
  <c r="W65" i="9" s="1"/>
  <c r="Y65" i="9" s="1"/>
  <c r="R65" i="9"/>
  <c r="P65" i="9"/>
  <c r="Q65" i="9" s="1"/>
  <c r="S65" i="9" s="1"/>
  <c r="L65" i="9"/>
  <c r="J65" i="9"/>
  <c r="K65" i="9" s="1"/>
  <c r="M65" i="9" s="1"/>
  <c r="DI64" i="9"/>
  <c r="DH64" i="9"/>
  <c r="DQ64" i="9" s="1"/>
  <c r="DG64" i="9"/>
  <c r="DP64" i="9" s="1"/>
  <c r="DF64" i="9"/>
  <c r="DO64" i="9" s="1"/>
  <c r="DE64" i="9"/>
  <c r="DN64" i="9" s="1"/>
  <c r="DD64" i="9"/>
  <c r="DM64" i="9" s="1"/>
  <c r="DC64" i="9"/>
  <c r="DL64" i="9" s="1"/>
  <c r="DB64" i="9"/>
  <c r="DK64" i="9" s="1"/>
  <c r="DA64" i="9"/>
  <c r="DJ64" i="9" s="1"/>
  <c r="X64" i="9"/>
  <c r="V64" i="9"/>
  <c r="W64" i="9" s="1"/>
  <c r="Y64" i="9" s="1"/>
  <c r="R64" i="9"/>
  <c r="P64" i="9"/>
  <c r="Q64" i="9" s="1"/>
  <c r="S64" i="9" s="1"/>
  <c r="L64" i="9"/>
  <c r="J64" i="9"/>
  <c r="K64" i="9" s="1"/>
  <c r="M64" i="9" s="1"/>
  <c r="DI63" i="9"/>
  <c r="DH63" i="9"/>
  <c r="DQ63" i="9" s="1"/>
  <c r="DG63" i="9"/>
  <c r="DP63" i="9" s="1"/>
  <c r="DF63" i="9"/>
  <c r="DO63" i="9" s="1"/>
  <c r="DE63" i="9"/>
  <c r="DN63" i="9" s="1"/>
  <c r="DD63" i="9"/>
  <c r="DM63" i="9" s="1"/>
  <c r="DC63" i="9"/>
  <c r="DL63" i="9" s="1"/>
  <c r="DB63" i="9"/>
  <c r="DK63" i="9" s="1"/>
  <c r="DA63" i="9"/>
  <c r="DJ63" i="9" s="1"/>
  <c r="X63" i="9"/>
  <c r="V63" i="9"/>
  <c r="W63" i="9" s="1"/>
  <c r="Y63" i="9" s="1"/>
  <c r="R63" i="9"/>
  <c r="P63" i="9"/>
  <c r="Q63" i="9" s="1"/>
  <c r="S63" i="9" s="1"/>
  <c r="L63" i="9"/>
  <c r="J63" i="9"/>
  <c r="K63" i="9" s="1"/>
  <c r="M63" i="9" s="1"/>
  <c r="DI62" i="9"/>
  <c r="DH62" i="9"/>
  <c r="DG62" i="9"/>
  <c r="DF62" i="9"/>
  <c r="DO62" i="9" s="1"/>
  <c r="DE62" i="9"/>
  <c r="DN62" i="9" s="1"/>
  <c r="DD62" i="9"/>
  <c r="DM62" i="9" s="1"/>
  <c r="DC62" i="9"/>
  <c r="DL62" i="9" s="1"/>
  <c r="DB62" i="9"/>
  <c r="DK62" i="9" s="1"/>
  <c r="DA62" i="9"/>
  <c r="DJ62" i="9" s="1"/>
  <c r="U62" i="9"/>
  <c r="T62" i="9"/>
  <c r="R62" i="9"/>
  <c r="P62" i="9"/>
  <c r="Q62" i="9" s="1"/>
  <c r="S62" i="9" s="1"/>
  <c r="L62" i="9"/>
  <c r="J62" i="9"/>
  <c r="K62" i="9" s="1"/>
  <c r="M62" i="9" s="1"/>
  <c r="DI61" i="9"/>
  <c r="DH61" i="9"/>
  <c r="DG61" i="9"/>
  <c r="DF61" i="9"/>
  <c r="DO61" i="9" s="1"/>
  <c r="DE61" i="9"/>
  <c r="DN61" i="9" s="1"/>
  <c r="DD61" i="9"/>
  <c r="DM61" i="9" s="1"/>
  <c r="DC61" i="9"/>
  <c r="DL61" i="9" s="1"/>
  <c r="DB61" i="9"/>
  <c r="DK61" i="9" s="1"/>
  <c r="DA61" i="9"/>
  <c r="DJ61" i="9" s="1"/>
  <c r="U61" i="9"/>
  <c r="V61" i="9" s="1"/>
  <c r="T61" i="9"/>
  <c r="R61" i="9"/>
  <c r="P61" i="9"/>
  <c r="Q61" i="9" s="1"/>
  <c r="S61" i="9" s="1"/>
  <c r="L61" i="9"/>
  <c r="J61" i="9"/>
  <c r="K61" i="9" s="1"/>
  <c r="M61" i="9" s="1"/>
  <c r="DI60" i="9"/>
  <c r="DH60" i="9"/>
  <c r="DQ60" i="9" s="1"/>
  <c r="DG60" i="9"/>
  <c r="DP60" i="9" s="1"/>
  <c r="DF60" i="9"/>
  <c r="DO60" i="9" s="1"/>
  <c r="DE60" i="9"/>
  <c r="DN60" i="9" s="1"/>
  <c r="DD60" i="9"/>
  <c r="DM60" i="9" s="1"/>
  <c r="DC60" i="9"/>
  <c r="DL60" i="9" s="1"/>
  <c r="DB60" i="9"/>
  <c r="DK60" i="9" s="1"/>
  <c r="DA60" i="9"/>
  <c r="DJ60" i="9" s="1"/>
  <c r="X60" i="9"/>
  <c r="V60" i="9"/>
  <c r="W60" i="9" s="1"/>
  <c r="Y60" i="9" s="1"/>
  <c r="R60" i="9"/>
  <c r="P60" i="9"/>
  <c r="Q60" i="9" s="1"/>
  <c r="S60" i="9" s="1"/>
  <c r="L60" i="9"/>
  <c r="J60" i="9"/>
  <c r="K60" i="9" s="1"/>
  <c r="M60" i="9" s="1"/>
  <c r="DI59" i="9"/>
  <c r="DH59" i="9"/>
  <c r="DQ59" i="9" s="1"/>
  <c r="DG59" i="9"/>
  <c r="DP59" i="9" s="1"/>
  <c r="DF59" i="9"/>
  <c r="DO59" i="9" s="1"/>
  <c r="DE59" i="9"/>
  <c r="DN59" i="9" s="1"/>
  <c r="DD59" i="9"/>
  <c r="DM59" i="9" s="1"/>
  <c r="DC59" i="9"/>
  <c r="DL59" i="9" s="1"/>
  <c r="DB59" i="9"/>
  <c r="DK59" i="9" s="1"/>
  <c r="DA59" i="9"/>
  <c r="DJ59" i="9" s="1"/>
  <c r="X59" i="9"/>
  <c r="V59" i="9"/>
  <c r="W59" i="9" s="1"/>
  <c r="Y59" i="9" s="1"/>
  <c r="R59" i="9"/>
  <c r="P59" i="9"/>
  <c r="Q59" i="9" s="1"/>
  <c r="S59" i="9" s="1"/>
  <c r="L59" i="9"/>
  <c r="J59" i="9"/>
  <c r="K59" i="9" s="1"/>
  <c r="M59" i="9" s="1"/>
  <c r="DI58" i="9"/>
  <c r="DH58" i="9"/>
  <c r="DQ58" i="9" s="1"/>
  <c r="DG58" i="9"/>
  <c r="DP58" i="9" s="1"/>
  <c r="DF58" i="9"/>
  <c r="DO58" i="9" s="1"/>
  <c r="DE58" i="9"/>
  <c r="DN58" i="9" s="1"/>
  <c r="DD58" i="9"/>
  <c r="DM58" i="9" s="1"/>
  <c r="DC58" i="9"/>
  <c r="DL58" i="9" s="1"/>
  <c r="DB58" i="9"/>
  <c r="DK58" i="9" s="1"/>
  <c r="DA58" i="9"/>
  <c r="DJ58" i="9" s="1"/>
  <c r="X58" i="9"/>
  <c r="V58" i="9"/>
  <c r="W58" i="9" s="1"/>
  <c r="Y58" i="9" s="1"/>
  <c r="R58" i="9"/>
  <c r="P58" i="9"/>
  <c r="Q58" i="9" s="1"/>
  <c r="S58" i="9" s="1"/>
  <c r="L58" i="9"/>
  <c r="J58" i="9"/>
  <c r="K58" i="9" s="1"/>
  <c r="M58" i="9" s="1"/>
  <c r="DI57" i="9"/>
  <c r="DH57" i="9"/>
  <c r="DQ57" i="9" s="1"/>
  <c r="DG57" i="9"/>
  <c r="DP57" i="9" s="1"/>
  <c r="DF57" i="9"/>
  <c r="DO57" i="9" s="1"/>
  <c r="DE57" i="9"/>
  <c r="DN57" i="9" s="1"/>
  <c r="DD57" i="9"/>
  <c r="DM57" i="9" s="1"/>
  <c r="DC57" i="9"/>
  <c r="DL57" i="9" s="1"/>
  <c r="DB57" i="9"/>
  <c r="DK57" i="9" s="1"/>
  <c r="DA57" i="9"/>
  <c r="DJ57" i="9" s="1"/>
  <c r="X57" i="9"/>
  <c r="V57" i="9"/>
  <c r="W57" i="9" s="1"/>
  <c r="Y57" i="9" s="1"/>
  <c r="R57" i="9"/>
  <c r="P57" i="9"/>
  <c r="Q57" i="9" s="1"/>
  <c r="S57" i="9" s="1"/>
  <c r="L57" i="9"/>
  <c r="J57" i="9"/>
  <c r="K57" i="9" s="1"/>
  <c r="M57" i="9" s="1"/>
  <c r="DI56" i="9"/>
  <c r="DH56" i="9"/>
  <c r="DQ56" i="9" s="1"/>
  <c r="DG56" i="9"/>
  <c r="DP56" i="9" s="1"/>
  <c r="DF56" i="9"/>
  <c r="DO56" i="9" s="1"/>
  <c r="DE56" i="9"/>
  <c r="DN56" i="9" s="1"/>
  <c r="DD56" i="9"/>
  <c r="DM56" i="9" s="1"/>
  <c r="DC56" i="9"/>
  <c r="DL56" i="9" s="1"/>
  <c r="DB56" i="9"/>
  <c r="DK56" i="9" s="1"/>
  <c r="DA56" i="9"/>
  <c r="DJ56" i="9" s="1"/>
  <c r="X56" i="9"/>
  <c r="V56" i="9"/>
  <c r="W56" i="9" s="1"/>
  <c r="Y56" i="9" s="1"/>
  <c r="R56" i="9"/>
  <c r="P56" i="9"/>
  <c r="Q56" i="9" s="1"/>
  <c r="S56" i="9" s="1"/>
  <c r="L56" i="9"/>
  <c r="J56" i="9"/>
  <c r="K56" i="9" s="1"/>
  <c r="M56" i="9" s="1"/>
  <c r="DI55" i="9"/>
  <c r="DH55" i="9"/>
  <c r="DQ55" i="9" s="1"/>
  <c r="DG55" i="9"/>
  <c r="DP55" i="9" s="1"/>
  <c r="DF55" i="9"/>
  <c r="DO55" i="9" s="1"/>
  <c r="DE55" i="9"/>
  <c r="DN55" i="9" s="1"/>
  <c r="DD55" i="9"/>
  <c r="DM55" i="9" s="1"/>
  <c r="DC55" i="9"/>
  <c r="DL55" i="9" s="1"/>
  <c r="DB55" i="9"/>
  <c r="DK55" i="9" s="1"/>
  <c r="DA55" i="9"/>
  <c r="DJ55" i="9" s="1"/>
  <c r="X55" i="9"/>
  <c r="V55" i="9"/>
  <c r="W55" i="9" s="1"/>
  <c r="Y55" i="9" s="1"/>
  <c r="R55" i="9"/>
  <c r="P55" i="9"/>
  <c r="Q55" i="9" s="1"/>
  <c r="S55" i="9" s="1"/>
  <c r="L55" i="9"/>
  <c r="J55" i="9"/>
  <c r="K55" i="9" s="1"/>
  <c r="M55" i="9" s="1"/>
  <c r="DI54" i="9"/>
  <c r="DH54" i="9"/>
  <c r="DQ54" i="9" s="1"/>
  <c r="DG54" i="9"/>
  <c r="DP54" i="9" s="1"/>
  <c r="DF54" i="9"/>
  <c r="DO54" i="9" s="1"/>
  <c r="DE54" i="9"/>
  <c r="DN54" i="9" s="1"/>
  <c r="DD54" i="9"/>
  <c r="DM54" i="9" s="1"/>
  <c r="DC54" i="9"/>
  <c r="DL54" i="9" s="1"/>
  <c r="DB54" i="9"/>
  <c r="DK54" i="9" s="1"/>
  <c r="DA54" i="9"/>
  <c r="DJ54" i="9" s="1"/>
  <c r="X54" i="9"/>
  <c r="V54" i="9"/>
  <c r="W54" i="9" s="1"/>
  <c r="Y54" i="9" s="1"/>
  <c r="R54" i="9"/>
  <c r="P54" i="9"/>
  <c r="Q54" i="9" s="1"/>
  <c r="S54" i="9" s="1"/>
  <c r="L54" i="9"/>
  <c r="J54" i="9"/>
  <c r="K54" i="9" s="1"/>
  <c r="M54" i="9" s="1"/>
  <c r="DI53" i="9"/>
  <c r="DH53" i="9"/>
  <c r="DQ53" i="9" s="1"/>
  <c r="DG53" i="9"/>
  <c r="DP53" i="9" s="1"/>
  <c r="DF53" i="9"/>
  <c r="DO53" i="9" s="1"/>
  <c r="DE53" i="9"/>
  <c r="DN53" i="9" s="1"/>
  <c r="DD53" i="9"/>
  <c r="DM53" i="9" s="1"/>
  <c r="DC53" i="9"/>
  <c r="DL53" i="9" s="1"/>
  <c r="DB53" i="9"/>
  <c r="DK53" i="9" s="1"/>
  <c r="DA53" i="9"/>
  <c r="DJ53" i="9" s="1"/>
  <c r="X53" i="9"/>
  <c r="V53" i="9"/>
  <c r="W53" i="9" s="1"/>
  <c r="Y53" i="9" s="1"/>
  <c r="R53" i="9"/>
  <c r="P53" i="9"/>
  <c r="Q53" i="9" s="1"/>
  <c r="S53" i="9" s="1"/>
  <c r="L53" i="9"/>
  <c r="J53" i="9"/>
  <c r="K53" i="9" s="1"/>
  <c r="M53" i="9" s="1"/>
  <c r="DI52" i="9"/>
  <c r="DH52" i="9"/>
  <c r="DQ52" i="9" s="1"/>
  <c r="DG52" i="9"/>
  <c r="DP52" i="9" s="1"/>
  <c r="DF52" i="9"/>
  <c r="DO52" i="9" s="1"/>
  <c r="DE52" i="9"/>
  <c r="DN52" i="9" s="1"/>
  <c r="DD52" i="9"/>
  <c r="DM52" i="9" s="1"/>
  <c r="DC52" i="9"/>
  <c r="DL52" i="9" s="1"/>
  <c r="DB52" i="9"/>
  <c r="DK52" i="9" s="1"/>
  <c r="DA52" i="9"/>
  <c r="DJ52" i="9" s="1"/>
  <c r="X52" i="9"/>
  <c r="V52" i="9"/>
  <c r="W52" i="9" s="1"/>
  <c r="Y52" i="9" s="1"/>
  <c r="R52" i="9"/>
  <c r="P52" i="9"/>
  <c r="Q52" i="9" s="1"/>
  <c r="S52" i="9" s="1"/>
  <c r="L52" i="9"/>
  <c r="J52" i="9"/>
  <c r="K52" i="9" s="1"/>
  <c r="M52" i="9" s="1"/>
  <c r="DI51" i="9"/>
  <c r="DH51" i="9"/>
  <c r="DQ51" i="9" s="1"/>
  <c r="DG51" i="9"/>
  <c r="DP51" i="9" s="1"/>
  <c r="DF51" i="9"/>
  <c r="DO51" i="9" s="1"/>
  <c r="DE51" i="9"/>
  <c r="DN51" i="9" s="1"/>
  <c r="DD51" i="9"/>
  <c r="DM51" i="9" s="1"/>
  <c r="DC51" i="9"/>
  <c r="DL51" i="9" s="1"/>
  <c r="DB51" i="9"/>
  <c r="DK51" i="9" s="1"/>
  <c r="DA51" i="9"/>
  <c r="DJ51" i="9" s="1"/>
  <c r="X51" i="9"/>
  <c r="V51" i="9"/>
  <c r="W51" i="9" s="1"/>
  <c r="Y51" i="9" s="1"/>
  <c r="R51" i="9"/>
  <c r="P51" i="9"/>
  <c r="Q51" i="9" s="1"/>
  <c r="S51" i="9" s="1"/>
  <c r="L51" i="9"/>
  <c r="J51" i="9"/>
  <c r="K51" i="9" s="1"/>
  <c r="M51" i="9" s="1"/>
  <c r="DI50" i="9"/>
  <c r="DH50" i="9"/>
  <c r="DQ50" i="9" s="1"/>
  <c r="DG50" i="9"/>
  <c r="DP50" i="9" s="1"/>
  <c r="DF50" i="9"/>
  <c r="DO50" i="9" s="1"/>
  <c r="DE50" i="9"/>
  <c r="DN50" i="9" s="1"/>
  <c r="DD50" i="9"/>
  <c r="DM50" i="9" s="1"/>
  <c r="DC50" i="9"/>
  <c r="DL50" i="9" s="1"/>
  <c r="DB50" i="9"/>
  <c r="DK50" i="9" s="1"/>
  <c r="DA50" i="9"/>
  <c r="DJ50" i="9" s="1"/>
  <c r="X50" i="9"/>
  <c r="V50" i="9"/>
  <c r="W50" i="9" s="1"/>
  <c r="Y50" i="9" s="1"/>
  <c r="R50" i="9"/>
  <c r="P50" i="9"/>
  <c r="Q50" i="9" s="1"/>
  <c r="S50" i="9" s="1"/>
  <c r="L50" i="9"/>
  <c r="J50" i="9"/>
  <c r="K50" i="9" s="1"/>
  <c r="M50" i="9" s="1"/>
  <c r="DG49" i="9"/>
  <c r="DE49" i="9"/>
  <c r="DC49" i="9"/>
  <c r="DB49" i="9"/>
  <c r="DA49" i="9"/>
  <c r="DJ49" i="9" s="1"/>
  <c r="T49" i="9"/>
  <c r="N49" i="9"/>
  <c r="H49" i="9"/>
  <c r="G49" i="9"/>
  <c r="E49" i="9"/>
  <c r="D49" i="9"/>
  <c r="DH48" i="9"/>
  <c r="DG48" i="9"/>
  <c r="DE48" i="9"/>
  <c r="DC48" i="9"/>
  <c r="DB48" i="9"/>
  <c r="DA48" i="9"/>
  <c r="DJ48" i="9" s="1"/>
  <c r="U48" i="9"/>
  <c r="X48" i="9" s="1"/>
  <c r="T48" i="9"/>
  <c r="N48" i="9"/>
  <c r="H48" i="9"/>
  <c r="G48" i="9"/>
  <c r="E48" i="9"/>
  <c r="D48" i="9"/>
  <c r="DI47" i="9"/>
  <c r="DH47" i="9"/>
  <c r="DQ47" i="9" s="1"/>
  <c r="DG47" i="9"/>
  <c r="DP47" i="9" s="1"/>
  <c r="DF47" i="9"/>
  <c r="DO47" i="9" s="1"/>
  <c r="DE47" i="9"/>
  <c r="DN47" i="9" s="1"/>
  <c r="DD47" i="9"/>
  <c r="DM47" i="9" s="1"/>
  <c r="DC47" i="9"/>
  <c r="DL47" i="9" s="1"/>
  <c r="DB47" i="9"/>
  <c r="DK47" i="9" s="1"/>
  <c r="DA47" i="9"/>
  <c r="DJ47" i="9" s="1"/>
  <c r="X47" i="9"/>
  <c r="V47" i="9"/>
  <c r="W47" i="9" s="1"/>
  <c r="Y47" i="9" s="1"/>
  <c r="R47" i="9"/>
  <c r="P47" i="9"/>
  <c r="Q47" i="9" s="1"/>
  <c r="S47" i="9" s="1"/>
  <c r="L47" i="9"/>
  <c r="J47" i="9"/>
  <c r="K47" i="9" s="1"/>
  <c r="M47" i="9" s="1"/>
  <c r="DI46" i="9"/>
  <c r="DH46" i="9"/>
  <c r="DG46" i="9"/>
  <c r="DF46" i="9"/>
  <c r="DE46" i="9"/>
  <c r="DD46" i="9"/>
  <c r="DC46" i="9"/>
  <c r="DB46" i="9"/>
  <c r="DA46" i="9"/>
  <c r="DJ46" i="9" s="1"/>
  <c r="AA46" i="9"/>
  <c r="AC46" i="9" s="1"/>
  <c r="U46" i="9"/>
  <c r="X46" i="9" s="1"/>
  <c r="T46" i="9"/>
  <c r="O46" i="9"/>
  <c r="R46" i="9" s="1"/>
  <c r="N46" i="9"/>
  <c r="I46" i="9"/>
  <c r="H46" i="9"/>
  <c r="G46" i="9"/>
  <c r="E46" i="9"/>
  <c r="D46" i="9"/>
  <c r="DG45" i="9"/>
  <c r="DE45" i="9"/>
  <c r="DC45" i="9"/>
  <c r="DB45" i="9"/>
  <c r="DA45" i="9"/>
  <c r="DJ45" i="9" s="1"/>
  <c r="T45" i="9"/>
  <c r="N45" i="9"/>
  <c r="H45" i="9"/>
  <c r="G45" i="9"/>
  <c r="E45" i="9"/>
  <c r="D45" i="9"/>
  <c r="DG44" i="9"/>
  <c r="DE44" i="9"/>
  <c r="DC44" i="9"/>
  <c r="DB44" i="9"/>
  <c r="DA44" i="9"/>
  <c r="DJ44" i="9" s="1"/>
  <c r="T44" i="9"/>
  <c r="N44" i="9"/>
  <c r="H44" i="9"/>
  <c r="G44" i="9"/>
  <c r="E44" i="9"/>
  <c r="D44" i="9"/>
  <c r="DH43" i="9"/>
  <c r="DG43" i="9"/>
  <c r="DE43" i="9"/>
  <c r="DC43" i="9"/>
  <c r="DB43" i="9"/>
  <c r="DA43" i="9"/>
  <c r="DJ43" i="9" s="1"/>
  <c r="U43" i="9"/>
  <c r="T43" i="9"/>
  <c r="N43" i="9"/>
  <c r="H43" i="9"/>
  <c r="G43" i="9"/>
  <c r="E43" i="9"/>
  <c r="D43" i="9"/>
  <c r="DG42" i="9"/>
  <c r="DE42" i="9"/>
  <c r="DC42" i="9"/>
  <c r="DB42" i="9"/>
  <c r="DA42" i="9"/>
  <c r="DJ42" i="9" s="1"/>
  <c r="T42" i="9"/>
  <c r="N42" i="9"/>
  <c r="H42" i="9"/>
  <c r="G42" i="9"/>
  <c r="E42" i="9"/>
  <c r="D42" i="9"/>
  <c r="DI41" i="9"/>
  <c r="DH41" i="9"/>
  <c r="DQ41" i="9" s="1"/>
  <c r="DG41" i="9"/>
  <c r="DP41" i="9" s="1"/>
  <c r="DF41" i="9"/>
  <c r="DO41" i="9" s="1"/>
  <c r="DE41" i="9"/>
  <c r="DN41" i="9" s="1"/>
  <c r="DD41" i="9"/>
  <c r="DM41" i="9" s="1"/>
  <c r="DC41" i="9"/>
  <c r="DL41" i="9" s="1"/>
  <c r="DB41" i="9"/>
  <c r="DK41" i="9" s="1"/>
  <c r="DA41" i="9"/>
  <c r="DJ41" i="9" s="1"/>
  <c r="X41" i="9"/>
  <c r="V41" i="9"/>
  <c r="W41" i="9" s="1"/>
  <c r="Y41" i="9" s="1"/>
  <c r="R41" i="9"/>
  <c r="P41" i="9"/>
  <c r="Q41" i="9" s="1"/>
  <c r="S41" i="9" s="1"/>
  <c r="L41" i="9"/>
  <c r="J41" i="9"/>
  <c r="K41" i="9" s="1"/>
  <c r="M41" i="9" s="1"/>
  <c r="DI40" i="9"/>
  <c r="DH40" i="9"/>
  <c r="DQ40" i="9" s="1"/>
  <c r="DG40" i="9"/>
  <c r="DP40" i="9" s="1"/>
  <c r="DF40" i="9"/>
  <c r="DO40" i="9" s="1"/>
  <c r="DE40" i="9"/>
  <c r="DN40" i="9" s="1"/>
  <c r="DD40" i="9"/>
  <c r="DM40" i="9" s="1"/>
  <c r="DC40" i="9"/>
  <c r="DL40" i="9" s="1"/>
  <c r="DB40" i="9"/>
  <c r="DK40" i="9" s="1"/>
  <c r="DA40" i="9"/>
  <c r="DJ40" i="9" s="1"/>
  <c r="X40" i="9"/>
  <c r="V40" i="9"/>
  <c r="W40" i="9" s="1"/>
  <c r="Y40" i="9" s="1"/>
  <c r="R40" i="9"/>
  <c r="P40" i="9"/>
  <c r="Q40" i="9" s="1"/>
  <c r="S40" i="9" s="1"/>
  <c r="L40" i="9"/>
  <c r="J40" i="9"/>
  <c r="K40" i="9" s="1"/>
  <c r="M40" i="9" s="1"/>
  <c r="DI39" i="9"/>
  <c r="DH39" i="9"/>
  <c r="DQ39" i="9" s="1"/>
  <c r="DG39" i="9"/>
  <c r="DP39" i="9" s="1"/>
  <c r="DF39" i="9"/>
  <c r="DO39" i="9" s="1"/>
  <c r="DE39" i="9"/>
  <c r="DN39" i="9" s="1"/>
  <c r="DD39" i="9"/>
  <c r="DM39" i="9" s="1"/>
  <c r="DC39" i="9"/>
  <c r="DL39" i="9" s="1"/>
  <c r="DB39" i="9"/>
  <c r="DK39" i="9" s="1"/>
  <c r="DA39" i="9"/>
  <c r="DJ39" i="9" s="1"/>
  <c r="X39" i="9"/>
  <c r="V39" i="9"/>
  <c r="W39" i="9" s="1"/>
  <c r="Y39" i="9" s="1"/>
  <c r="R39" i="9"/>
  <c r="P39" i="9"/>
  <c r="Q39" i="9" s="1"/>
  <c r="S39" i="9" s="1"/>
  <c r="L39" i="9"/>
  <c r="J39" i="9"/>
  <c r="K39" i="9" s="1"/>
  <c r="M39" i="9" s="1"/>
  <c r="DG38" i="9"/>
  <c r="DE38" i="9"/>
  <c r="DC38" i="9"/>
  <c r="DB38" i="9"/>
  <c r="DA38" i="9"/>
  <c r="DJ38" i="9" s="1"/>
  <c r="T38" i="9"/>
  <c r="N38" i="9"/>
  <c r="H38" i="9"/>
  <c r="G38" i="9"/>
  <c r="E38" i="9"/>
  <c r="D38" i="9"/>
  <c r="DI37" i="9"/>
  <c r="DH37" i="9"/>
  <c r="DQ37" i="9" s="1"/>
  <c r="DG37" i="9"/>
  <c r="DP37" i="9" s="1"/>
  <c r="DF37" i="9"/>
  <c r="DO37" i="9" s="1"/>
  <c r="DE37" i="9"/>
  <c r="DN37" i="9" s="1"/>
  <c r="DD37" i="9"/>
  <c r="DM37" i="9" s="1"/>
  <c r="DC37" i="9"/>
  <c r="DL37" i="9" s="1"/>
  <c r="DB37" i="9"/>
  <c r="DK37" i="9" s="1"/>
  <c r="DA37" i="9"/>
  <c r="DJ37" i="9" s="1"/>
  <c r="X37" i="9"/>
  <c r="V37" i="9"/>
  <c r="W37" i="9" s="1"/>
  <c r="Y37" i="9" s="1"/>
  <c r="R37" i="9"/>
  <c r="P37" i="9"/>
  <c r="Q37" i="9" s="1"/>
  <c r="S37" i="9" s="1"/>
  <c r="L37" i="9"/>
  <c r="J37" i="9"/>
  <c r="K37" i="9" s="1"/>
  <c r="M37" i="9" s="1"/>
  <c r="DI36" i="9"/>
  <c r="DH36" i="9"/>
  <c r="DQ36" i="9" s="1"/>
  <c r="DG36" i="9"/>
  <c r="DP36" i="9" s="1"/>
  <c r="DF36" i="9"/>
  <c r="DO36" i="9" s="1"/>
  <c r="DE36" i="9"/>
  <c r="DN36" i="9" s="1"/>
  <c r="DD36" i="9"/>
  <c r="DM36" i="9" s="1"/>
  <c r="DC36" i="9"/>
  <c r="DL36" i="9" s="1"/>
  <c r="DB36" i="9"/>
  <c r="DK36" i="9" s="1"/>
  <c r="DA36" i="9"/>
  <c r="DJ36" i="9" s="1"/>
  <c r="X36" i="9"/>
  <c r="V36" i="9"/>
  <c r="W36" i="9" s="1"/>
  <c r="Y36" i="9" s="1"/>
  <c r="R36" i="9"/>
  <c r="P36" i="9"/>
  <c r="Q36" i="9" s="1"/>
  <c r="S36" i="9" s="1"/>
  <c r="L36" i="9"/>
  <c r="J36" i="9"/>
  <c r="K36" i="9" s="1"/>
  <c r="M36" i="9" s="1"/>
  <c r="DI35" i="9"/>
  <c r="DH35" i="9"/>
  <c r="DQ35" i="9" s="1"/>
  <c r="DG35" i="9"/>
  <c r="DP35" i="9" s="1"/>
  <c r="DF35" i="9"/>
  <c r="DO35" i="9" s="1"/>
  <c r="DE35" i="9"/>
  <c r="DN35" i="9" s="1"/>
  <c r="DD35" i="9"/>
  <c r="DM35" i="9" s="1"/>
  <c r="DC35" i="9"/>
  <c r="DL35" i="9" s="1"/>
  <c r="DB35" i="9"/>
  <c r="DK35" i="9" s="1"/>
  <c r="DA35" i="9"/>
  <c r="DJ35" i="9" s="1"/>
  <c r="X35" i="9"/>
  <c r="V35" i="9"/>
  <c r="W35" i="9" s="1"/>
  <c r="Y35" i="9" s="1"/>
  <c r="R35" i="9"/>
  <c r="P35" i="9"/>
  <c r="Q35" i="9" s="1"/>
  <c r="S35" i="9" s="1"/>
  <c r="L35" i="9"/>
  <c r="J35" i="9"/>
  <c r="K35" i="9" s="1"/>
  <c r="M35" i="9" s="1"/>
  <c r="DI34" i="9"/>
  <c r="DH34" i="9"/>
  <c r="DQ34" i="9" s="1"/>
  <c r="DG34" i="9"/>
  <c r="DP34" i="9" s="1"/>
  <c r="DF34" i="9"/>
  <c r="DO34" i="9" s="1"/>
  <c r="DE34" i="9"/>
  <c r="DN34" i="9" s="1"/>
  <c r="DD34" i="9"/>
  <c r="DM34" i="9" s="1"/>
  <c r="DC34" i="9"/>
  <c r="DL34" i="9" s="1"/>
  <c r="DB34" i="9"/>
  <c r="DK34" i="9" s="1"/>
  <c r="DA34" i="9"/>
  <c r="DJ34" i="9" s="1"/>
  <c r="X34" i="9"/>
  <c r="V34" i="9"/>
  <c r="W34" i="9" s="1"/>
  <c r="Y34" i="9" s="1"/>
  <c r="R34" i="9"/>
  <c r="P34" i="9"/>
  <c r="Q34" i="9" s="1"/>
  <c r="S34" i="9" s="1"/>
  <c r="L34" i="9"/>
  <c r="J34" i="9"/>
  <c r="K34" i="9" s="1"/>
  <c r="M34" i="9" s="1"/>
  <c r="DI33" i="9"/>
  <c r="DH33" i="9"/>
  <c r="DQ33" i="9" s="1"/>
  <c r="DG33" i="9"/>
  <c r="DP33" i="9" s="1"/>
  <c r="DF33" i="9"/>
  <c r="DO33" i="9" s="1"/>
  <c r="DE33" i="9"/>
  <c r="DN33" i="9" s="1"/>
  <c r="DD33" i="9"/>
  <c r="DM33" i="9" s="1"/>
  <c r="DC33" i="9"/>
  <c r="DL33" i="9" s="1"/>
  <c r="DB33" i="9"/>
  <c r="DK33" i="9" s="1"/>
  <c r="DA33" i="9"/>
  <c r="DJ33" i="9" s="1"/>
  <c r="X33" i="9"/>
  <c r="V33" i="9"/>
  <c r="W33" i="9" s="1"/>
  <c r="Y33" i="9" s="1"/>
  <c r="R33" i="9"/>
  <c r="P33" i="9"/>
  <c r="Q33" i="9" s="1"/>
  <c r="S33" i="9" s="1"/>
  <c r="L33" i="9"/>
  <c r="J33" i="9"/>
  <c r="K33" i="9" s="1"/>
  <c r="M33" i="9" s="1"/>
  <c r="DI32" i="9"/>
  <c r="DH32" i="9"/>
  <c r="DQ32" i="9" s="1"/>
  <c r="DG32" i="9"/>
  <c r="DP32" i="9" s="1"/>
  <c r="DF32" i="9"/>
  <c r="DO32" i="9" s="1"/>
  <c r="DE32" i="9"/>
  <c r="DN32" i="9" s="1"/>
  <c r="DD32" i="9"/>
  <c r="DM32" i="9" s="1"/>
  <c r="DC32" i="9"/>
  <c r="DL32" i="9" s="1"/>
  <c r="DB32" i="9"/>
  <c r="DK32" i="9" s="1"/>
  <c r="DA32" i="9"/>
  <c r="DJ32" i="9" s="1"/>
  <c r="X32" i="9"/>
  <c r="V32" i="9"/>
  <c r="W32" i="9" s="1"/>
  <c r="Y32" i="9" s="1"/>
  <c r="R32" i="9"/>
  <c r="P32" i="9"/>
  <c r="Q32" i="9" s="1"/>
  <c r="S32" i="9" s="1"/>
  <c r="L32" i="9"/>
  <c r="J32" i="9"/>
  <c r="K32" i="9" s="1"/>
  <c r="M32" i="9" s="1"/>
  <c r="DI31" i="9"/>
  <c r="DH31" i="9"/>
  <c r="DQ31" i="9" s="1"/>
  <c r="DG31" i="9"/>
  <c r="DP31" i="9" s="1"/>
  <c r="DF31" i="9"/>
  <c r="DO31" i="9" s="1"/>
  <c r="DE31" i="9"/>
  <c r="DN31" i="9" s="1"/>
  <c r="DD31" i="9"/>
  <c r="DM31" i="9" s="1"/>
  <c r="DC31" i="9"/>
  <c r="DL31" i="9" s="1"/>
  <c r="DB31" i="9"/>
  <c r="DK31" i="9" s="1"/>
  <c r="DA31" i="9"/>
  <c r="DJ31" i="9" s="1"/>
  <c r="X31" i="9"/>
  <c r="V31" i="9"/>
  <c r="W31" i="9" s="1"/>
  <c r="Y31" i="9" s="1"/>
  <c r="R31" i="9"/>
  <c r="P31" i="9"/>
  <c r="Q31" i="9" s="1"/>
  <c r="S31" i="9" s="1"/>
  <c r="L31" i="9"/>
  <c r="J31" i="9"/>
  <c r="K31" i="9" s="1"/>
  <c r="M31" i="9" s="1"/>
  <c r="DI30" i="9"/>
  <c r="DH30" i="9"/>
  <c r="DQ30" i="9" s="1"/>
  <c r="DG30" i="9"/>
  <c r="DP30" i="9" s="1"/>
  <c r="DF30" i="9"/>
  <c r="DO30" i="9" s="1"/>
  <c r="DE30" i="9"/>
  <c r="DN30" i="9" s="1"/>
  <c r="DD30" i="9"/>
  <c r="DM30" i="9" s="1"/>
  <c r="DC30" i="9"/>
  <c r="DL30" i="9" s="1"/>
  <c r="DB30" i="9"/>
  <c r="DK30" i="9" s="1"/>
  <c r="DA30" i="9"/>
  <c r="DJ30" i="9" s="1"/>
  <c r="X30" i="9"/>
  <c r="V30" i="9"/>
  <c r="W30" i="9" s="1"/>
  <c r="Y30" i="9" s="1"/>
  <c r="R30" i="9"/>
  <c r="P30" i="9"/>
  <c r="Q30" i="9" s="1"/>
  <c r="S30" i="9" s="1"/>
  <c r="L30" i="9"/>
  <c r="J30" i="9"/>
  <c r="K30" i="9" s="1"/>
  <c r="M30" i="9" s="1"/>
  <c r="DI29" i="9"/>
  <c r="DH29" i="9"/>
  <c r="DQ29" i="9" s="1"/>
  <c r="DG29" i="9"/>
  <c r="DP29" i="9" s="1"/>
  <c r="DF29" i="9"/>
  <c r="DO29" i="9" s="1"/>
  <c r="DE29" i="9"/>
  <c r="DN29" i="9" s="1"/>
  <c r="DD29" i="9"/>
  <c r="DM29" i="9" s="1"/>
  <c r="DC29" i="9"/>
  <c r="DL29" i="9" s="1"/>
  <c r="DB29" i="9"/>
  <c r="DK29" i="9" s="1"/>
  <c r="DA29" i="9"/>
  <c r="DJ29" i="9" s="1"/>
  <c r="X29" i="9"/>
  <c r="V29" i="9"/>
  <c r="W29" i="9" s="1"/>
  <c r="Y29" i="9" s="1"/>
  <c r="R29" i="9"/>
  <c r="P29" i="9"/>
  <c r="Q29" i="9" s="1"/>
  <c r="S29" i="9" s="1"/>
  <c r="L29" i="9"/>
  <c r="J29" i="9"/>
  <c r="K29" i="9" s="1"/>
  <c r="M29" i="9" s="1"/>
  <c r="DI28" i="9"/>
  <c r="DH28" i="9"/>
  <c r="DQ28" i="9" s="1"/>
  <c r="DG28" i="9"/>
  <c r="DP28" i="9" s="1"/>
  <c r="DF28" i="9"/>
  <c r="DO28" i="9" s="1"/>
  <c r="DE28" i="9"/>
  <c r="DN28" i="9" s="1"/>
  <c r="DD28" i="9"/>
  <c r="DM28" i="9" s="1"/>
  <c r="DC28" i="9"/>
  <c r="DL28" i="9" s="1"/>
  <c r="DB28" i="9"/>
  <c r="DK28" i="9" s="1"/>
  <c r="DA28" i="9"/>
  <c r="DJ28" i="9" s="1"/>
  <c r="X28" i="9"/>
  <c r="V28" i="9"/>
  <c r="W28" i="9" s="1"/>
  <c r="Y28" i="9" s="1"/>
  <c r="R28" i="9"/>
  <c r="P28" i="9"/>
  <c r="Q28" i="9" s="1"/>
  <c r="S28" i="9" s="1"/>
  <c r="L28" i="9"/>
  <c r="J28" i="9"/>
  <c r="K28" i="9" s="1"/>
  <c r="M28" i="9" s="1"/>
  <c r="DI27" i="9"/>
  <c r="DH27" i="9"/>
  <c r="DQ27" i="9" s="1"/>
  <c r="DG27" i="9"/>
  <c r="DP27" i="9" s="1"/>
  <c r="DF27" i="9"/>
  <c r="DO27" i="9" s="1"/>
  <c r="DE27" i="9"/>
  <c r="DN27" i="9" s="1"/>
  <c r="DD27" i="9"/>
  <c r="DM27" i="9" s="1"/>
  <c r="DC27" i="9"/>
  <c r="DL27" i="9" s="1"/>
  <c r="DB27" i="9"/>
  <c r="DK27" i="9" s="1"/>
  <c r="DA27" i="9"/>
  <c r="DJ27" i="9" s="1"/>
  <c r="X27" i="9"/>
  <c r="V27" i="9"/>
  <c r="W27" i="9" s="1"/>
  <c r="Y27" i="9" s="1"/>
  <c r="R27" i="9"/>
  <c r="P27" i="9"/>
  <c r="Q27" i="9" s="1"/>
  <c r="S27" i="9" s="1"/>
  <c r="L27" i="9"/>
  <c r="J27" i="9"/>
  <c r="K27" i="9" s="1"/>
  <c r="M27" i="9" s="1"/>
  <c r="DI26" i="9"/>
  <c r="DH26" i="9"/>
  <c r="DQ26" i="9" s="1"/>
  <c r="DG26" i="9"/>
  <c r="DP26" i="9" s="1"/>
  <c r="DF26" i="9"/>
  <c r="DO26" i="9" s="1"/>
  <c r="DE26" i="9"/>
  <c r="DN26" i="9" s="1"/>
  <c r="DD26" i="9"/>
  <c r="DM26" i="9" s="1"/>
  <c r="DC26" i="9"/>
  <c r="DL26" i="9" s="1"/>
  <c r="DB26" i="9"/>
  <c r="DK26" i="9" s="1"/>
  <c r="DA26" i="9"/>
  <c r="DJ26" i="9" s="1"/>
  <c r="X26" i="9"/>
  <c r="V26" i="9"/>
  <c r="W26" i="9" s="1"/>
  <c r="Y26" i="9" s="1"/>
  <c r="R26" i="9"/>
  <c r="P26" i="9"/>
  <c r="Q26" i="9" s="1"/>
  <c r="S26" i="9" s="1"/>
  <c r="L26" i="9"/>
  <c r="J26" i="9"/>
  <c r="K26" i="9" s="1"/>
  <c r="M26" i="9" s="1"/>
  <c r="DI25" i="9"/>
  <c r="DH25" i="9"/>
  <c r="DQ25" i="9" s="1"/>
  <c r="DG25" i="9"/>
  <c r="DP25" i="9" s="1"/>
  <c r="DF25" i="9"/>
  <c r="DO25" i="9" s="1"/>
  <c r="DE25" i="9"/>
  <c r="DN25" i="9" s="1"/>
  <c r="DD25" i="9"/>
  <c r="DM25" i="9" s="1"/>
  <c r="DC25" i="9"/>
  <c r="DL25" i="9" s="1"/>
  <c r="DB25" i="9"/>
  <c r="DK25" i="9" s="1"/>
  <c r="DA25" i="9"/>
  <c r="DJ25" i="9" s="1"/>
  <c r="X25" i="9"/>
  <c r="V25" i="9"/>
  <c r="W25" i="9" s="1"/>
  <c r="Y25" i="9" s="1"/>
  <c r="R25" i="9"/>
  <c r="P25" i="9"/>
  <c r="Q25" i="9" s="1"/>
  <c r="S25" i="9" s="1"/>
  <c r="L25" i="9"/>
  <c r="J25" i="9"/>
  <c r="K25" i="9" s="1"/>
  <c r="M25" i="9" s="1"/>
  <c r="DG24" i="9"/>
  <c r="DE24" i="9"/>
  <c r="DC24" i="9"/>
  <c r="DB24" i="9"/>
  <c r="DA24" i="9"/>
  <c r="DJ24" i="9" s="1"/>
  <c r="T24" i="9"/>
  <c r="N24" i="9"/>
  <c r="H24" i="9"/>
  <c r="G24" i="9"/>
  <c r="E24" i="9"/>
  <c r="D24" i="9"/>
  <c r="DI23" i="9"/>
  <c r="DH23" i="9"/>
  <c r="DQ23" i="9" s="1"/>
  <c r="DG23" i="9"/>
  <c r="DP23" i="9" s="1"/>
  <c r="DF23" i="9"/>
  <c r="DO23" i="9" s="1"/>
  <c r="DE23" i="9"/>
  <c r="DN23" i="9" s="1"/>
  <c r="DD23" i="9"/>
  <c r="DM23" i="9" s="1"/>
  <c r="DC23" i="9"/>
  <c r="DL23" i="9" s="1"/>
  <c r="DB23" i="9"/>
  <c r="DK23" i="9" s="1"/>
  <c r="DA23" i="9"/>
  <c r="DJ23" i="9" s="1"/>
  <c r="X23" i="9"/>
  <c r="V23" i="9"/>
  <c r="W23" i="9" s="1"/>
  <c r="Y23" i="9" s="1"/>
  <c r="R23" i="9"/>
  <c r="P23" i="9"/>
  <c r="Q23" i="9" s="1"/>
  <c r="S23" i="9" s="1"/>
  <c r="L23" i="9"/>
  <c r="J23" i="9"/>
  <c r="K23" i="9" s="1"/>
  <c r="M23" i="9" s="1"/>
  <c r="DI22" i="9"/>
  <c r="DH22" i="9"/>
  <c r="DQ22" i="9" s="1"/>
  <c r="DG22" i="9"/>
  <c r="DP22" i="9" s="1"/>
  <c r="DF22" i="9"/>
  <c r="DO22" i="9" s="1"/>
  <c r="DE22" i="9"/>
  <c r="DN22" i="9" s="1"/>
  <c r="DD22" i="9"/>
  <c r="DM22" i="9" s="1"/>
  <c r="DC22" i="9"/>
  <c r="DL22" i="9" s="1"/>
  <c r="DB22" i="9"/>
  <c r="DK22" i="9" s="1"/>
  <c r="DA22" i="9"/>
  <c r="DJ22" i="9" s="1"/>
  <c r="X22" i="9"/>
  <c r="V22" i="9"/>
  <c r="W22" i="9" s="1"/>
  <c r="Y22" i="9" s="1"/>
  <c r="R22" i="9"/>
  <c r="P22" i="9"/>
  <c r="Q22" i="9" s="1"/>
  <c r="S22" i="9" s="1"/>
  <c r="L22" i="9"/>
  <c r="J22" i="9"/>
  <c r="K22" i="9" s="1"/>
  <c r="M22" i="9" s="1"/>
  <c r="DI21" i="9"/>
  <c r="DH21" i="9"/>
  <c r="DQ21" i="9" s="1"/>
  <c r="DG21" i="9"/>
  <c r="DP21" i="9" s="1"/>
  <c r="DF21" i="9"/>
  <c r="DO21" i="9" s="1"/>
  <c r="DE21" i="9"/>
  <c r="DN21" i="9" s="1"/>
  <c r="DD21" i="9"/>
  <c r="DM21" i="9" s="1"/>
  <c r="DC21" i="9"/>
  <c r="DL21" i="9" s="1"/>
  <c r="DB21" i="9"/>
  <c r="DK21" i="9" s="1"/>
  <c r="DA21" i="9"/>
  <c r="DJ21" i="9" s="1"/>
  <c r="X21" i="9"/>
  <c r="V21" i="9"/>
  <c r="W21" i="9" s="1"/>
  <c r="Y21" i="9" s="1"/>
  <c r="R21" i="9"/>
  <c r="P21" i="9"/>
  <c r="Q21" i="9" s="1"/>
  <c r="S21" i="9" s="1"/>
  <c r="L21" i="9"/>
  <c r="J21" i="9"/>
  <c r="K21" i="9" s="1"/>
  <c r="M21" i="9" s="1"/>
  <c r="DG20" i="9"/>
  <c r="DE20" i="9"/>
  <c r="DC20" i="9"/>
  <c r="DB20" i="9"/>
  <c r="DA20" i="9"/>
  <c r="DJ20" i="9" s="1"/>
  <c r="T20" i="9"/>
  <c r="N20" i="9"/>
  <c r="H20" i="9"/>
  <c r="G20" i="9"/>
  <c r="E20" i="9"/>
  <c r="D20" i="9"/>
  <c r="DG19" i="9"/>
  <c r="DE19" i="9"/>
  <c r="DC19" i="9"/>
  <c r="DB19" i="9"/>
  <c r="DA19" i="9"/>
  <c r="DJ19" i="9" s="1"/>
  <c r="T19" i="9"/>
  <c r="N19" i="9"/>
  <c r="H19" i="9"/>
  <c r="G19" i="9"/>
  <c r="E19" i="9"/>
  <c r="D19" i="9"/>
  <c r="DI18" i="9"/>
  <c r="DH18" i="9"/>
  <c r="DQ18" i="9" s="1"/>
  <c r="DG18" i="9"/>
  <c r="DP18" i="9" s="1"/>
  <c r="DF18" i="9"/>
  <c r="DO18" i="9" s="1"/>
  <c r="DE18" i="9"/>
  <c r="DN18" i="9" s="1"/>
  <c r="DD18" i="9"/>
  <c r="DM18" i="9" s="1"/>
  <c r="DC18" i="9"/>
  <c r="DL18" i="9" s="1"/>
  <c r="DB18" i="9"/>
  <c r="DK18" i="9" s="1"/>
  <c r="DA18" i="9"/>
  <c r="DJ18" i="9" s="1"/>
  <c r="X18" i="9"/>
  <c r="V18" i="9"/>
  <c r="W18" i="9" s="1"/>
  <c r="Y18" i="9" s="1"/>
  <c r="R18" i="9"/>
  <c r="P18" i="9"/>
  <c r="Q18" i="9" s="1"/>
  <c r="S18" i="9" s="1"/>
  <c r="L18" i="9"/>
  <c r="J18" i="9"/>
  <c r="K18" i="9" s="1"/>
  <c r="M18" i="9" s="1"/>
  <c r="DG17" i="9"/>
  <c r="DE17" i="9"/>
  <c r="DC17" i="9"/>
  <c r="DB17" i="9"/>
  <c r="DA17" i="9"/>
  <c r="DJ17" i="9" s="1"/>
  <c r="T17" i="9"/>
  <c r="N17" i="9"/>
  <c r="H17" i="9"/>
  <c r="G17" i="9"/>
  <c r="E17" i="9"/>
  <c r="D17" i="9"/>
  <c r="DH16" i="9"/>
  <c r="DG16" i="9"/>
  <c r="DE16" i="9"/>
  <c r="DC16" i="9"/>
  <c r="DB16" i="9"/>
  <c r="DA16" i="9"/>
  <c r="DJ16" i="9" s="1"/>
  <c r="AC16" i="9"/>
  <c r="U16" i="9"/>
  <c r="T16" i="9"/>
  <c r="N16" i="9"/>
  <c r="H16" i="9"/>
  <c r="G16" i="9"/>
  <c r="E16" i="9"/>
  <c r="D16" i="9"/>
  <c r="DI15" i="9"/>
  <c r="DH15" i="9"/>
  <c r="DQ15" i="9" s="1"/>
  <c r="DG15" i="9"/>
  <c r="DP15" i="9" s="1"/>
  <c r="DF15" i="9"/>
  <c r="DO15" i="9" s="1"/>
  <c r="DE15" i="9"/>
  <c r="DN15" i="9" s="1"/>
  <c r="DD15" i="9"/>
  <c r="DM15" i="9" s="1"/>
  <c r="DC15" i="9"/>
  <c r="DL15" i="9" s="1"/>
  <c r="DB15" i="9"/>
  <c r="DK15" i="9" s="1"/>
  <c r="DA15" i="9"/>
  <c r="DJ15" i="9" s="1"/>
  <c r="X15" i="9"/>
  <c r="V15" i="9"/>
  <c r="W15" i="9" s="1"/>
  <c r="Y15" i="9" s="1"/>
  <c r="R15" i="9"/>
  <c r="P15" i="9"/>
  <c r="Q15" i="9" s="1"/>
  <c r="S15" i="9" s="1"/>
  <c r="L15" i="9"/>
  <c r="J15" i="9"/>
  <c r="K15" i="9" s="1"/>
  <c r="M15" i="9" s="1"/>
  <c r="DI14" i="9"/>
  <c r="DH14" i="9"/>
  <c r="DQ14" i="9" s="1"/>
  <c r="DG14" i="9"/>
  <c r="DP14" i="9" s="1"/>
  <c r="DF14" i="9"/>
  <c r="DO14" i="9" s="1"/>
  <c r="DE14" i="9"/>
  <c r="DN14" i="9" s="1"/>
  <c r="DD14" i="9"/>
  <c r="DM14" i="9" s="1"/>
  <c r="DC14" i="9"/>
  <c r="DL14" i="9" s="1"/>
  <c r="DB14" i="9"/>
  <c r="DK14" i="9" s="1"/>
  <c r="DA14" i="9"/>
  <c r="DJ14" i="9" s="1"/>
  <c r="X14" i="9"/>
  <c r="V14" i="9"/>
  <c r="W14" i="9" s="1"/>
  <c r="Y14" i="9" s="1"/>
  <c r="R14" i="9"/>
  <c r="P14" i="9"/>
  <c r="Q14" i="9" s="1"/>
  <c r="S14" i="9" s="1"/>
  <c r="L14" i="9"/>
  <c r="J14" i="9"/>
  <c r="K14" i="9" s="1"/>
  <c r="M14" i="9" s="1"/>
  <c r="DI13" i="9"/>
  <c r="DH13" i="9"/>
  <c r="DQ13" i="9" s="1"/>
  <c r="DG13" i="9"/>
  <c r="DP13" i="9" s="1"/>
  <c r="DF13" i="9"/>
  <c r="DO13" i="9" s="1"/>
  <c r="DE13" i="9"/>
  <c r="DN13" i="9" s="1"/>
  <c r="DD13" i="9"/>
  <c r="DM13" i="9" s="1"/>
  <c r="DC13" i="9"/>
  <c r="DL13" i="9" s="1"/>
  <c r="DB13" i="9"/>
  <c r="DK13" i="9" s="1"/>
  <c r="DA13" i="9"/>
  <c r="DJ13" i="9" s="1"/>
  <c r="X13" i="9"/>
  <c r="V13" i="9"/>
  <c r="W13" i="9" s="1"/>
  <c r="Y13" i="9" s="1"/>
  <c r="R13" i="9"/>
  <c r="P13" i="9"/>
  <c r="Q13" i="9" s="1"/>
  <c r="S13" i="9" s="1"/>
  <c r="L13" i="9"/>
  <c r="J13" i="9"/>
  <c r="K13" i="9" s="1"/>
  <c r="M13" i="9" s="1"/>
  <c r="DG12" i="9"/>
  <c r="DE12" i="9"/>
  <c r="DC12" i="9"/>
  <c r="DB12" i="9"/>
  <c r="DA12" i="9"/>
  <c r="DJ12" i="9" s="1"/>
  <c r="T12" i="9"/>
  <c r="N12" i="9"/>
  <c r="H12" i="9"/>
  <c r="G12" i="9"/>
  <c r="E12" i="9"/>
  <c r="D12" i="9"/>
  <c r="A12" i="9"/>
  <c r="A13" i="9" s="1"/>
  <c r="V123" i="6"/>
  <c r="V120" i="6"/>
  <c r="W213" i="6"/>
  <c r="R89" i="6"/>
  <c r="L89" i="6"/>
  <c r="V168" i="6"/>
  <c r="V258" i="6"/>
  <c r="W258" i="6" s="1"/>
  <c r="H12" i="6"/>
  <c r="R258" i="6"/>
  <c r="P258" i="6"/>
  <c r="Q258" i="6" s="1"/>
  <c r="S258" i="6" s="1"/>
  <c r="L258" i="6"/>
  <c r="J258" i="6"/>
  <c r="K258" i="6" s="1"/>
  <c r="M258" i="6" s="1"/>
  <c r="X258" i="6"/>
  <c r="I267" i="6"/>
  <c r="I270" i="6"/>
  <c r="I269" i="6"/>
  <c r="I266" i="6"/>
  <c r="V71" i="6"/>
  <c r="X74" i="6"/>
  <c r="D48" i="6"/>
  <c r="D45" i="6"/>
  <c r="F110" i="7" l="1"/>
  <c r="L110" i="7" s="1"/>
  <c r="AC42" i="10"/>
  <c r="AD154" i="10"/>
  <c r="DS154" i="10" s="1"/>
  <c r="AA48" i="10"/>
  <c r="F47" i="7" s="1"/>
  <c r="L47" i="7" s="1"/>
  <c r="K271" i="10"/>
  <c r="AC5" i="10" s="1"/>
  <c r="AD151" i="10"/>
  <c r="DS151" i="10" s="1"/>
  <c r="AC48" i="10"/>
  <c r="AB179" i="10"/>
  <c r="G175" i="7" s="1"/>
  <c r="N175" i="7" s="1"/>
  <c r="AD89" i="10"/>
  <c r="DS89" i="10" s="1"/>
  <c r="AD32" i="10"/>
  <c r="DS32" i="10" s="1"/>
  <c r="AB240" i="10"/>
  <c r="AD240" i="10" s="1"/>
  <c r="DS240" i="10" s="1"/>
  <c r="F236" i="7"/>
  <c r="L236" i="7" s="1"/>
  <c r="G236" i="7"/>
  <c r="N236" i="7" s="1"/>
  <c r="AB100" i="10"/>
  <c r="AD100" i="10" s="1"/>
  <c r="DS100" i="10" s="1"/>
  <c r="F99" i="7"/>
  <c r="L99" i="7" s="1"/>
  <c r="AB32" i="10"/>
  <c r="F31" i="7"/>
  <c r="L31" i="7" s="1"/>
  <c r="G31" i="7"/>
  <c r="N31" i="7" s="1"/>
  <c r="AB59" i="10"/>
  <c r="AD59" i="10" s="1"/>
  <c r="DS59" i="10" s="1"/>
  <c r="F58" i="7"/>
  <c r="L58" i="7" s="1"/>
  <c r="AB25" i="10"/>
  <c r="AD25" i="10" s="1"/>
  <c r="DS25" i="10" s="1"/>
  <c r="G24" i="7"/>
  <c r="N24" i="7" s="1"/>
  <c r="F24" i="7"/>
  <c r="L24" i="7" s="1"/>
  <c r="AB15" i="10"/>
  <c r="AD15" i="10" s="1"/>
  <c r="DS15" i="10" s="1"/>
  <c r="F14" i="7"/>
  <c r="L14" i="7" s="1"/>
  <c r="G14" i="7"/>
  <c r="N14" i="7" s="1"/>
  <c r="AB197" i="10"/>
  <c r="G193" i="7" s="1"/>
  <c r="N193" i="7" s="1"/>
  <c r="F193" i="7"/>
  <c r="L193" i="7" s="1"/>
  <c r="AB152" i="10"/>
  <c r="G148" i="7" s="1"/>
  <c r="N148" i="7" s="1"/>
  <c r="F148" i="7"/>
  <c r="L148" i="7" s="1"/>
  <c r="AB242" i="10"/>
  <c r="F238" i="7"/>
  <c r="L238" i="7" s="1"/>
  <c r="G238" i="7"/>
  <c r="N238" i="7" s="1"/>
  <c r="AB141" i="10"/>
  <c r="AD141" i="10" s="1"/>
  <c r="DS141" i="10" s="1"/>
  <c r="F137" i="7"/>
  <c r="L137" i="7" s="1"/>
  <c r="AB81" i="10"/>
  <c r="AD81" i="10" s="1"/>
  <c r="DS81" i="10" s="1"/>
  <c r="F80" i="7"/>
  <c r="L80" i="7" s="1"/>
  <c r="G80" i="7"/>
  <c r="N80" i="7" s="1"/>
  <c r="AB142" i="10"/>
  <c r="G138" i="7" s="1"/>
  <c r="N138" i="7" s="1"/>
  <c r="F138" i="7"/>
  <c r="L138" i="7" s="1"/>
  <c r="AB35" i="10"/>
  <c r="AD35" i="10" s="1"/>
  <c r="DS35" i="10" s="1"/>
  <c r="G34" i="7"/>
  <c r="N34" i="7" s="1"/>
  <c r="F34" i="7"/>
  <c r="L34" i="7" s="1"/>
  <c r="AB101" i="10"/>
  <c r="AD101" i="10" s="1"/>
  <c r="DS101" i="10" s="1"/>
  <c r="F100" i="7"/>
  <c r="L100" i="7" s="1"/>
  <c r="AB26" i="10"/>
  <c r="AD26" i="10" s="1"/>
  <c r="DS26" i="10" s="1"/>
  <c r="G25" i="7"/>
  <c r="N25" i="7" s="1"/>
  <c r="F25" i="7"/>
  <c r="L25" i="7" s="1"/>
  <c r="AB163" i="10"/>
  <c r="AD163" i="10" s="1"/>
  <c r="DS163" i="10" s="1"/>
  <c r="F159" i="7"/>
  <c r="L159" i="7" s="1"/>
  <c r="AB23" i="10"/>
  <c r="G22" i="7" s="1"/>
  <c r="N22" i="7" s="1"/>
  <c r="F22" i="7"/>
  <c r="L22" i="7" s="1"/>
  <c r="AB205" i="10"/>
  <c r="AD205" i="10" s="1"/>
  <c r="DS205" i="10" s="1"/>
  <c r="F201" i="7"/>
  <c r="L201" i="7" s="1"/>
  <c r="G201" i="7"/>
  <c r="N201" i="7" s="1"/>
  <c r="AB235" i="10"/>
  <c r="AD235" i="10" s="1"/>
  <c r="DS235" i="10" s="1"/>
  <c r="F231" i="7"/>
  <c r="L231" i="7" s="1"/>
  <c r="G231" i="7"/>
  <c r="N231" i="7" s="1"/>
  <c r="AB237" i="10"/>
  <c r="AD237" i="10" s="1"/>
  <c r="DS237" i="10" s="1"/>
  <c r="F233" i="7"/>
  <c r="L233" i="7" s="1"/>
  <c r="AB71" i="10"/>
  <c r="AD71" i="10" s="1"/>
  <c r="DS71" i="10" s="1"/>
  <c r="G70" i="7"/>
  <c r="N70" i="7" s="1"/>
  <c r="F70" i="7"/>
  <c r="L70" i="7" s="1"/>
  <c r="AD114" i="10"/>
  <c r="DS114" i="10" s="1"/>
  <c r="AB176" i="10"/>
  <c r="AD176" i="10" s="1"/>
  <c r="DS176" i="10" s="1"/>
  <c r="F172" i="7"/>
  <c r="L172" i="7" s="1"/>
  <c r="G172" i="7"/>
  <c r="N172" i="7" s="1"/>
  <c r="AB72" i="10"/>
  <c r="AD72" i="10" s="1"/>
  <c r="DS72" i="10" s="1"/>
  <c r="G71" i="7"/>
  <c r="N71" i="7" s="1"/>
  <c r="F71" i="7"/>
  <c r="L71" i="7" s="1"/>
  <c r="AB187" i="10"/>
  <c r="AD187" i="10" s="1"/>
  <c r="DS187" i="10" s="1"/>
  <c r="F183" i="7"/>
  <c r="L183" i="7" s="1"/>
  <c r="AB122" i="10"/>
  <c r="AD122" i="10" s="1"/>
  <c r="DS122" i="10" s="1"/>
  <c r="F118" i="7"/>
  <c r="L118" i="7" s="1"/>
  <c r="AB184" i="10"/>
  <c r="G180" i="7" s="1"/>
  <c r="N180" i="7" s="1"/>
  <c r="F180" i="7"/>
  <c r="L180" i="7" s="1"/>
  <c r="AB60" i="10"/>
  <c r="AD60" i="10" s="1"/>
  <c r="DS60" i="10" s="1"/>
  <c r="F59" i="7"/>
  <c r="L59" i="7" s="1"/>
  <c r="AB144" i="10"/>
  <c r="AD144" i="10" s="1"/>
  <c r="DS144" i="10" s="1"/>
  <c r="F140" i="7"/>
  <c r="L140" i="7" s="1"/>
  <c r="G140" i="7"/>
  <c r="N140" i="7" s="1"/>
  <c r="AB189" i="10"/>
  <c r="AD189" i="10" s="1"/>
  <c r="DS189" i="10" s="1"/>
  <c r="F185" i="7"/>
  <c r="L185" i="7" s="1"/>
  <c r="G185" i="7"/>
  <c r="N185" i="7" s="1"/>
  <c r="AB203" i="10"/>
  <c r="AD203" i="10" s="1"/>
  <c r="DS203" i="10" s="1"/>
  <c r="F199" i="7"/>
  <c r="L199" i="7" s="1"/>
  <c r="AB234" i="10"/>
  <c r="AD234" i="10" s="1"/>
  <c r="DS234" i="10" s="1"/>
  <c r="G230" i="7"/>
  <c r="N230" i="7" s="1"/>
  <c r="F230" i="7"/>
  <c r="L230" i="7" s="1"/>
  <c r="AB153" i="10"/>
  <c r="F149" i="7"/>
  <c r="L149" i="7" s="1"/>
  <c r="G149" i="7"/>
  <c r="N149" i="7" s="1"/>
  <c r="AB27" i="10"/>
  <c r="AD27" i="10" s="1"/>
  <c r="DS27" i="10" s="1"/>
  <c r="F26" i="7"/>
  <c r="L26" i="7" s="1"/>
  <c r="AB245" i="10"/>
  <c r="AD245" i="10" s="1"/>
  <c r="DS245" i="10" s="1"/>
  <c r="F241" i="7"/>
  <c r="L241" i="7" s="1"/>
  <c r="G241" i="7"/>
  <c r="N241" i="7" s="1"/>
  <c r="AB241" i="10"/>
  <c r="AD241" i="10" s="1"/>
  <c r="DS241" i="10" s="1"/>
  <c r="F237" i="7"/>
  <c r="L237" i="7" s="1"/>
  <c r="AB193" i="10"/>
  <c r="G189" i="7" s="1"/>
  <c r="N189" i="7" s="1"/>
  <c r="F189" i="7"/>
  <c r="L189" i="7" s="1"/>
  <c r="AB221" i="10"/>
  <c r="G217" i="7" s="1"/>
  <c r="N217" i="7" s="1"/>
  <c r="F217" i="7"/>
  <c r="L217" i="7" s="1"/>
  <c r="AB69" i="10"/>
  <c r="AD69" i="10" s="1"/>
  <c r="DS69" i="10" s="1"/>
  <c r="F68" i="7"/>
  <c r="L68" i="7" s="1"/>
  <c r="G68" i="7"/>
  <c r="N68" i="7" s="1"/>
  <c r="AB125" i="10"/>
  <c r="AD125" i="10" s="1"/>
  <c r="DS125" i="10" s="1"/>
  <c r="F121" i="7"/>
  <c r="L121" i="7" s="1"/>
  <c r="AD88" i="10"/>
  <c r="DS88" i="10" s="1"/>
  <c r="AB138" i="10"/>
  <c r="AD138" i="10" s="1"/>
  <c r="DS138" i="10" s="1"/>
  <c r="F134" i="7"/>
  <c r="L134" i="7" s="1"/>
  <c r="G134" i="7"/>
  <c r="N134" i="7" s="1"/>
  <c r="AD56" i="10"/>
  <c r="DS56" i="10" s="1"/>
  <c r="AB133" i="10"/>
  <c r="G129" i="7" s="1"/>
  <c r="N129" i="7" s="1"/>
  <c r="F129" i="7"/>
  <c r="L129" i="7" s="1"/>
  <c r="AB92" i="10"/>
  <c r="AD92" i="10" s="1"/>
  <c r="DS92" i="10" s="1"/>
  <c r="G91" i="7"/>
  <c r="N91" i="7" s="1"/>
  <c r="F91" i="7"/>
  <c r="L91" i="7" s="1"/>
  <c r="AB246" i="10"/>
  <c r="AD246" i="10" s="1"/>
  <c r="DS246" i="10" s="1"/>
  <c r="F242" i="7"/>
  <c r="L242" i="7" s="1"/>
  <c r="G242" i="7"/>
  <c r="N242" i="7" s="1"/>
  <c r="AB132" i="10"/>
  <c r="AD132" i="10" s="1"/>
  <c r="DS132" i="10" s="1"/>
  <c r="F128" i="7"/>
  <c r="L128" i="7" s="1"/>
  <c r="AD153" i="10"/>
  <c r="DS153" i="10" s="1"/>
  <c r="AB218" i="10"/>
  <c r="AD218" i="10" s="1"/>
  <c r="DS218" i="10" s="1"/>
  <c r="G214" i="7"/>
  <c r="N214" i="7" s="1"/>
  <c r="F214" i="7"/>
  <c r="L214" i="7" s="1"/>
  <c r="AB29" i="10"/>
  <c r="AD29" i="10" s="1"/>
  <c r="DS29" i="10" s="1"/>
  <c r="G28" i="7"/>
  <c r="N28" i="7" s="1"/>
  <c r="F28" i="7"/>
  <c r="L28" i="7" s="1"/>
  <c r="AB172" i="10"/>
  <c r="G168" i="7" s="1"/>
  <c r="N168" i="7" s="1"/>
  <c r="F168" i="7"/>
  <c r="L168" i="7" s="1"/>
  <c r="AB159" i="10"/>
  <c r="F155" i="7"/>
  <c r="L155" i="7" s="1"/>
  <c r="G155" i="7"/>
  <c r="N155" i="7" s="1"/>
  <c r="AB165" i="10"/>
  <c r="AD165" i="10" s="1"/>
  <c r="DS165" i="10" s="1"/>
  <c r="F161" i="7"/>
  <c r="L161" i="7" s="1"/>
  <c r="AB180" i="10"/>
  <c r="G176" i="7" s="1"/>
  <c r="N176" i="7" s="1"/>
  <c r="F176" i="7"/>
  <c r="L176" i="7" s="1"/>
  <c r="AB251" i="10"/>
  <c r="AD251" i="10" s="1"/>
  <c r="DS251" i="10" s="1"/>
  <c r="F247" i="7"/>
  <c r="L247" i="7" s="1"/>
  <c r="G247" i="7"/>
  <c r="N247" i="7" s="1"/>
  <c r="AB236" i="10"/>
  <c r="AD236" i="10" s="1"/>
  <c r="DS236" i="10" s="1"/>
  <c r="F232" i="7"/>
  <c r="L232" i="7" s="1"/>
  <c r="G232" i="7"/>
  <c r="N232" i="7" s="1"/>
  <c r="AB14" i="10"/>
  <c r="AD14" i="10" s="1"/>
  <c r="DS14" i="10" s="1"/>
  <c r="F13" i="7"/>
  <c r="L13" i="7" s="1"/>
  <c r="AB37" i="10"/>
  <c r="G36" i="7" s="1"/>
  <c r="N36" i="7" s="1"/>
  <c r="F36" i="7"/>
  <c r="L36" i="7" s="1"/>
  <c r="AB185" i="10"/>
  <c r="G181" i="7" s="1"/>
  <c r="N181" i="7" s="1"/>
  <c r="F181" i="7"/>
  <c r="L181" i="7" s="1"/>
  <c r="AB202" i="10"/>
  <c r="F198" i="7"/>
  <c r="L198" i="7" s="1"/>
  <c r="G198" i="7"/>
  <c r="N198" i="7" s="1"/>
  <c r="AB227" i="10"/>
  <c r="AD227" i="10" s="1"/>
  <c r="DS227" i="10" s="1"/>
  <c r="G223" i="7"/>
  <c r="N223" i="7" s="1"/>
  <c r="F223" i="7"/>
  <c r="L223" i="7" s="1"/>
  <c r="AB123" i="10"/>
  <c r="AD123" i="10" s="1"/>
  <c r="DS123" i="10" s="1"/>
  <c r="F119" i="7"/>
  <c r="L119" i="7" s="1"/>
  <c r="G119" i="7"/>
  <c r="N119" i="7" s="1"/>
  <c r="AB174" i="10"/>
  <c r="G170" i="7"/>
  <c r="N170" i="7" s="1"/>
  <c r="F170" i="7"/>
  <c r="L170" i="7" s="1"/>
  <c r="AB228" i="10"/>
  <c r="G224" i="7" s="1"/>
  <c r="N224" i="7" s="1"/>
  <c r="F224" i="7"/>
  <c r="L224" i="7" s="1"/>
  <c r="AB190" i="10"/>
  <c r="G186" i="7" s="1"/>
  <c r="N186" i="7" s="1"/>
  <c r="F186" i="7"/>
  <c r="L186" i="7" s="1"/>
  <c r="AB91" i="10"/>
  <c r="F90" i="7"/>
  <c r="L90" i="7" s="1"/>
  <c r="G90" i="7"/>
  <c r="N90" i="7" s="1"/>
  <c r="AB219" i="10"/>
  <c r="AD219" i="10" s="1"/>
  <c r="DS219" i="10" s="1"/>
  <c r="G215" i="7"/>
  <c r="N215" i="7" s="1"/>
  <c r="F215" i="7"/>
  <c r="L215" i="7" s="1"/>
  <c r="AD179" i="10"/>
  <c r="DS179" i="10" s="1"/>
  <c r="AD225" i="10"/>
  <c r="DS225" i="10" s="1"/>
  <c r="AB137" i="10"/>
  <c r="G133" i="7" s="1"/>
  <c r="N133" i="7" s="1"/>
  <c r="F133" i="7"/>
  <c r="L133" i="7" s="1"/>
  <c r="AB120" i="10"/>
  <c r="AD120" i="10" s="1"/>
  <c r="DS120" i="10" s="1"/>
  <c r="G116" i="7"/>
  <c r="N116" i="7" s="1"/>
  <c r="F116" i="7"/>
  <c r="L116" i="7" s="1"/>
  <c r="AB39" i="10"/>
  <c r="AD39" i="10" s="1"/>
  <c r="DS39" i="10" s="1"/>
  <c r="F38" i="7"/>
  <c r="L38" i="7" s="1"/>
  <c r="AB160" i="10"/>
  <c r="AD160" i="10" s="1"/>
  <c r="DS160" i="10" s="1"/>
  <c r="F156" i="7"/>
  <c r="L156" i="7" s="1"/>
  <c r="G156" i="7"/>
  <c r="N156" i="7" s="1"/>
  <c r="AB167" i="10"/>
  <c r="G163" i="7"/>
  <c r="N163" i="7" s="1"/>
  <c r="F163" i="7"/>
  <c r="L163" i="7" s="1"/>
  <c r="AB178" i="10"/>
  <c r="G174" i="7" s="1"/>
  <c r="N174" i="7" s="1"/>
  <c r="F174" i="7"/>
  <c r="L174" i="7" s="1"/>
  <c r="AB191" i="10"/>
  <c r="AD191" i="10" s="1"/>
  <c r="DS191" i="10" s="1"/>
  <c r="F187" i="7"/>
  <c r="L187" i="7" s="1"/>
  <c r="AB73" i="10"/>
  <c r="AD73" i="10" s="1"/>
  <c r="DS73" i="10" s="1"/>
  <c r="F72" i="7"/>
  <c r="L72" i="7" s="1"/>
  <c r="G72" i="7"/>
  <c r="N72" i="7" s="1"/>
  <c r="AB244" i="10"/>
  <c r="AD244" i="10" s="1"/>
  <c r="DS244" i="10" s="1"/>
  <c r="G240" i="7"/>
  <c r="N240" i="7" s="1"/>
  <c r="F240" i="7"/>
  <c r="L240" i="7" s="1"/>
  <c r="AB110" i="10"/>
  <c r="AD110" i="10" s="1"/>
  <c r="DS110" i="10" s="1"/>
  <c r="G109" i="7"/>
  <c r="N109" i="7" s="1"/>
  <c r="F109" i="7"/>
  <c r="L109" i="7" s="1"/>
  <c r="AD167" i="10"/>
  <c r="DS167" i="10" s="1"/>
  <c r="AB162" i="10"/>
  <c r="G158" i="7" s="1"/>
  <c r="N158" i="7" s="1"/>
  <c r="F158" i="7"/>
  <c r="L158" i="7" s="1"/>
  <c r="AB50" i="10"/>
  <c r="G49" i="7" s="1"/>
  <c r="N49" i="7" s="1"/>
  <c r="F49" i="7"/>
  <c r="L49" i="7" s="1"/>
  <c r="AB85" i="10"/>
  <c r="AD85" i="10" s="1"/>
  <c r="DS85" i="10" s="1"/>
  <c r="F84" i="7"/>
  <c r="L84" i="7" s="1"/>
  <c r="G84" i="7"/>
  <c r="N84" i="7" s="1"/>
  <c r="AB216" i="10"/>
  <c r="AD216" i="10" s="1"/>
  <c r="DS216" i="10" s="1"/>
  <c r="F212" i="7"/>
  <c r="L212" i="7" s="1"/>
  <c r="AB217" i="10"/>
  <c r="AD217" i="10" s="1"/>
  <c r="DS217" i="10" s="1"/>
  <c r="F213" i="7"/>
  <c r="L213" i="7" s="1"/>
  <c r="G213" i="7"/>
  <c r="N213" i="7" s="1"/>
  <c r="AB155" i="10"/>
  <c r="AD155" i="10" s="1"/>
  <c r="DS155" i="10" s="1"/>
  <c r="F151" i="7"/>
  <c r="L151" i="7" s="1"/>
  <c r="AB136" i="10"/>
  <c r="AD136" i="10" s="1"/>
  <c r="DS136" i="10" s="1"/>
  <c r="F132" i="7"/>
  <c r="L132" i="7" s="1"/>
  <c r="G132" i="7"/>
  <c r="N132" i="7" s="1"/>
  <c r="AB183" i="10"/>
  <c r="G179" i="7" s="1"/>
  <c r="N179" i="7" s="1"/>
  <c r="F179" i="7"/>
  <c r="L179" i="7" s="1"/>
  <c r="AB47" i="10"/>
  <c r="AD47" i="10" s="1"/>
  <c r="DS47" i="10" s="1"/>
  <c r="G46" i="7"/>
  <c r="N46" i="7" s="1"/>
  <c r="F46" i="7"/>
  <c r="L46" i="7" s="1"/>
  <c r="AB156" i="10"/>
  <c r="G152" i="7"/>
  <c r="N152" i="7" s="1"/>
  <c r="F152" i="7"/>
  <c r="L152" i="7" s="1"/>
  <c r="AB139" i="10"/>
  <c r="AD139" i="10" s="1"/>
  <c r="DS139" i="10" s="1"/>
  <c r="G135" i="7"/>
  <c r="N135" i="7" s="1"/>
  <c r="F135" i="7"/>
  <c r="L135" i="7" s="1"/>
  <c r="AB164" i="10"/>
  <c r="AD164" i="10" s="1"/>
  <c r="DS164" i="10" s="1"/>
  <c r="F160" i="7"/>
  <c r="L160" i="7" s="1"/>
  <c r="G160" i="7"/>
  <c r="N160" i="7" s="1"/>
  <c r="AB146" i="10"/>
  <c r="G142" i="7" s="1"/>
  <c r="N142" i="7" s="1"/>
  <c r="F142" i="7"/>
  <c r="L142" i="7" s="1"/>
  <c r="AB258" i="10"/>
  <c r="AD258" i="10" s="1"/>
  <c r="G254" i="7"/>
  <c r="N254" i="7" s="1"/>
  <c r="F254" i="7"/>
  <c r="L254" i="7" s="1"/>
  <c r="AB195" i="10"/>
  <c r="AD195" i="10" s="1"/>
  <c r="DS195" i="10" s="1"/>
  <c r="F191" i="7"/>
  <c r="L191" i="7" s="1"/>
  <c r="AB188" i="10"/>
  <c r="G184" i="7" s="1"/>
  <c r="N184" i="7" s="1"/>
  <c r="F184" i="7"/>
  <c r="L184" i="7" s="1"/>
  <c r="AB239" i="10"/>
  <c r="AD239" i="10" s="1"/>
  <c r="DS239" i="10" s="1"/>
  <c r="G235" i="7"/>
  <c r="N235" i="7" s="1"/>
  <c r="F235" i="7"/>
  <c r="L235" i="7" s="1"/>
  <c r="AC96" i="10"/>
  <c r="AB210" i="10"/>
  <c r="AD210" i="10" s="1"/>
  <c r="DS210" i="10" s="1"/>
  <c r="F206" i="7"/>
  <c r="L206" i="7" s="1"/>
  <c r="G206" i="7"/>
  <c r="N206" i="7" s="1"/>
  <c r="AB171" i="10"/>
  <c r="AD171" i="10" s="1"/>
  <c r="DS171" i="10" s="1"/>
  <c r="F167" i="7"/>
  <c r="L167" i="7" s="1"/>
  <c r="AB215" i="10"/>
  <c r="AD215" i="10" s="1"/>
  <c r="DS215" i="10" s="1"/>
  <c r="F211" i="7"/>
  <c r="L211" i="7" s="1"/>
  <c r="AB31" i="10"/>
  <c r="G30" i="7" s="1"/>
  <c r="N30" i="7" s="1"/>
  <c r="F30" i="7"/>
  <c r="L30" i="7" s="1"/>
  <c r="AB169" i="10"/>
  <c r="G165" i="7"/>
  <c r="N165" i="7" s="1"/>
  <c r="F165" i="7"/>
  <c r="L165" i="7" s="1"/>
  <c r="AB36" i="10"/>
  <c r="AD36" i="10" s="1"/>
  <c r="DS36" i="10" s="1"/>
  <c r="F35" i="7"/>
  <c r="L35" i="7" s="1"/>
  <c r="G35" i="7"/>
  <c r="N35" i="7" s="1"/>
  <c r="AB257" i="10"/>
  <c r="AD257" i="10" s="1"/>
  <c r="DS257" i="10" s="1"/>
  <c r="G253" i="7"/>
  <c r="N253" i="7" s="1"/>
  <c r="F253" i="7"/>
  <c r="L253" i="7" s="1"/>
  <c r="AD146" i="10"/>
  <c r="DS146" i="10" s="1"/>
  <c r="AB250" i="10"/>
  <c r="AD250" i="10" s="1"/>
  <c r="DS250" i="10" s="1"/>
  <c r="G246" i="7"/>
  <c r="N246" i="7" s="1"/>
  <c r="F246" i="7"/>
  <c r="L246" i="7" s="1"/>
  <c r="AB206" i="10"/>
  <c r="AD206" i="10" s="1"/>
  <c r="DS206" i="10" s="1"/>
  <c r="F202" i="7"/>
  <c r="L202" i="7" s="1"/>
  <c r="AB80" i="10"/>
  <c r="AD80" i="10" s="1"/>
  <c r="DS80" i="10" s="1"/>
  <c r="G79" i="7"/>
  <c r="N79" i="7" s="1"/>
  <c r="F79" i="7"/>
  <c r="L79" i="7" s="1"/>
  <c r="AB147" i="10"/>
  <c r="AD147" i="10" s="1"/>
  <c r="DS147" i="10" s="1"/>
  <c r="G143" i="7"/>
  <c r="N143" i="7" s="1"/>
  <c r="F143" i="7"/>
  <c r="L143" i="7" s="1"/>
  <c r="AB53" i="10"/>
  <c r="AD53" i="10" s="1"/>
  <c r="DS53" i="10" s="1"/>
  <c r="F52" i="7"/>
  <c r="L52" i="7" s="1"/>
  <c r="G52" i="7"/>
  <c r="N52" i="7" s="1"/>
  <c r="AD159" i="10"/>
  <c r="DS159" i="10" s="1"/>
  <c r="AD192" i="10"/>
  <c r="DS192" i="10" s="1"/>
  <c r="AB18" i="10"/>
  <c r="G17" i="7" s="1"/>
  <c r="N17" i="7" s="1"/>
  <c r="F17" i="7"/>
  <c r="L17" i="7" s="1"/>
  <c r="AB54" i="10"/>
  <c r="F53" i="7"/>
  <c r="L53" i="7" s="1"/>
  <c r="G53" i="7"/>
  <c r="N53" i="7" s="1"/>
  <c r="AB88" i="10"/>
  <c r="G87" i="7"/>
  <c r="N87" i="7" s="1"/>
  <c r="F87" i="7"/>
  <c r="L87" i="7" s="1"/>
  <c r="AB129" i="10"/>
  <c r="AD129" i="10" s="1"/>
  <c r="DS129" i="10" s="1"/>
  <c r="G125" i="7"/>
  <c r="N125" i="7" s="1"/>
  <c r="F125" i="7"/>
  <c r="L125" i="7" s="1"/>
  <c r="AB224" i="10"/>
  <c r="AD224" i="10" s="1"/>
  <c r="DS224" i="10" s="1"/>
  <c r="F220" i="7"/>
  <c r="L220" i="7" s="1"/>
  <c r="G220" i="7"/>
  <c r="N220" i="7" s="1"/>
  <c r="AB33" i="10"/>
  <c r="AD33" i="10" s="1"/>
  <c r="DS33" i="10" s="1"/>
  <c r="F32" i="7"/>
  <c r="L32" i="7" s="1"/>
  <c r="AB109" i="10"/>
  <c r="G108" i="7" s="1"/>
  <c r="N108" i="7" s="1"/>
  <c r="F108" i="7"/>
  <c r="L108" i="7" s="1"/>
  <c r="AB64" i="10"/>
  <c r="G63" i="7" s="1"/>
  <c r="N63" i="7" s="1"/>
  <c r="F63" i="7"/>
  <c r="L63" i="7" s="1"/>
  <c r="AB118" i="10"/>
  <c r="AD118" i="10" s="1"/>
  <c r="DS118" i="10" s="1"/>
  <c r="F114" i="7"/>
  <c r="L114" i="7" s="1"/>
  <c r="G114" i="7"/>
  <c r="N114" i="7" s="1"/>
  <c r="AD222" i="10"/>
  <c r="DS222" i="10" s="1"/>
  <c r="AB102" i="10"/>
  <c r="AD102" i="10" s="1"/>
  <c r="DS102" i="10" s="1"/>
  <c r="F101" i="7"/>
  <c r="L101" i="7" s="1"/>
  <c r="G101" i="7"/>
  <c r="N101" i="7" s="1"/>
  <c r="AD148" i="10"/>
  <c r="DS148" i="10" s="1"/>
  <c r="AB230" i="10"/>
  <c r="G226" i="7" s="1"/>
  <c r="N226" i="7" s="1"/>
  <c r="F226" i="7"/>
  <c r="L226" i="7" s="1"/>
  <c r="AB222" i="10"/>
  <c r="F218" i="7"/>
  <c r="L218" i="7" s="1"/>
  <c r="G218" i="7"/>
  <c r="N218" i="7" s="1"/>
  <c r="AB192" i="10"/>
  <c r="G188" i="7" s="1"/>
  <c r="N188" i="7" s="1"/>
  <c r="F188" i="7"/>
  <c r="L188" i="7" s="1"/>
  <c r="AB209" i="10"/>
  <c r="AD209" i="10" s="1"/>
  <c r="DS209" i="10" s="1"/>
  <c r="F205" i="7"/>
  <c r="L205" i="7" s="1"/>
  <c r="G205" i="7"/>
  <c r="N205" i="7" s="1"/>
  <c r="AB148" i="10"/>
  <c r="G144" i="7"/>
  <c r="N144" i="7" s="1"/>
  <c r="F144" i="7"/>
  <c r="L144" i="7" s="1"/>
  <c r="AB67" i="10"/>
  <c r="G66" i="7" s="1"/>
  <c r="N66" i="7" s="1"/>
  <c r="F66" i="7"/>
  <c r="L66" i="7" s="1"/>
  <c r="AB170" i="10"/>
  <c r="G166" i="7" s="1"/>
  <c r="N166" i="7" s="1"/>
  <c r="F166" i="7"/>
  <c r="L166" i="7" s="1"/>
  <c r="AB252" i="10"/>
  <c r="G248" i="7"/>
  <c r="N248" i="7" s="1"/>
  <c r="F248" i="7"/>
  <c r="L248" i="7" s="1"/>
  <c r="AB40" i="10"/>
  <c r="AD40" i="10" s="1"/>
  <c r="DS40" i="10" s="1"/>
  <c r="G39" i="7"/>
  <c r="N39" i="7" s="1"/>
  <c r="F39" i="7"/>
  <c r="L39" i="7" s="1"/>
  <c r="AB220" i="10"/>
  <c r="AD220" i="10" s="1"/>
  <c r="DS220" i="10" s="1"/>
  <c r="G216" i="7"/>
  <c r="N216" i="7" s="1"/>
  <c r="F216" i="7"/>
  <c r="L216" i="7" s="1"/>
  <c r="AB22" i="10"/>
  <c r="G21" i="7" s="1"/>
  <c r="N21" i="7" s="1"/>
  <c r="F21" i="7"/>
  <c r="L21" i="7" s="1"/>
  <c r="AB34" i="10"/>
  <c r="AD34" i="10" s="1"/>
  <c r="DS34" i="10" s="1"/>
  <c r="G33" i="7"/>
  <c r="N33" i="7" s="1"/>
  <c r="F33" i="7"/>
  <c r="L33" i="7" s="1"/>
  <c r="AB61" i="10"/>
  <c r="G60" i="7" s="1"/>
  <c r="N60" i="7" s="1"/>
  <c r="F60" i="7"/>
  <c r="L60" i="7" s="1"/>
  <c r="AB207" i="10"/>
  <c r="AD207" i="10" s="1"/>
  <c r="DS207" i="10" s="1"/>
  <c r="G203" i="7"/>
  <c r="N203" i="7" s="1"/>
  <c r="F203" i="7"/>
  <c r="L203" i="7" s="1"/>
  <c r="AB233" i="10"/>
  <c r="AD233" i="10" s="1"/>
  <c r="DS233" i="10" s="1"/>
  <c r="F229" i="7"/>
  <c r="L229" i="7" s="1"/>
  <c r="G229" i="7"/>
  <c r="N229" i="7" s="1"/>
  <c r="AB194" i="10"/>
  <c r="G190" i="7" s="1"/>
  <c r="N190" i="7" s="1"/>
  <c r="F190" i="7"/>
  <c r="L190" i="7" s="1"/>
  <c r="AB121" i="10"/>
  <c r="AD121" i="10" s="1"/>
  <c r="DS121" i="10" s="1"/>
  <c r="F117" i="7"/>
  <c r="L117" i="7" s="1"/>
  <c r="G117" i="7"/>
  <c r="N117" i="7" s="1"/>
  <c r="AB200" i="10"/>
  <c r="G196" i="7" s="1"/>
  <c r="N196" i="7" s="1"/>
  <c r="F196" i="7"/>
  <c r="L196" i="7" s="1"/>
  <c r="AB223" i="10"/>
  <c r="G219" i="7" s="1"/>
  <c r="N219" i="7" s="1"/>
  <c r="F219" i="7"/>
  <c r="L219" i="7" s="1"/>
  <c r="AB198" i="10"/>
  <c r="F194" i="7"/>
  <c r="L194" i="7" s="1"/>
  <c r="G194" i="7"/>
  <c r="N194" i="7" s="1"/>
  <c r="AB231" i="10"/>
  <c r="G227" i="7" s="1"/>
  <c r="N227" i="7" s="1"/>
  <c r="F227" i="7"/>
  <c r="L227" i="7" s="1"/>
  <c r="AB201" i="10"/>
  <c r="AD201" i="10" s="1"/>
  <c r="DS201" i="10" s="1"/>
  <c r="G197" i="7"/>
  <c r="N197" i="7" s="1"/>
  <c r="F197" i="7"/>
  <c r="L197" i="7" s="1"/>
  <c r="AB173" i="10"/>
  <c r="AD173" i="10" s="1"/>
  <c r="DS173" i="10" s="1"/>
  <c r="G169" i="7"/>
  <c r="N169" i="7" s="1"/>
  <c r="F169" i="7"/>
  <c r="L169" i="7" s="1"/>
  <c r="AB28" i="10"/>
  <c r="G27" i="7" s="1"/>
  <c r="N27" i="7" s="1"/>
  <c r="F27" i="7"/>
  <c r="L27" i="7" s="1"/>
  <c r="AB213" i="10"/>
  <c r="AD213" i="10" s="1"/>
  <c r="DS213" i="10" s="1"/>
  <c r="F209" i="7"/>
  <c r="L209" i="7" s="1"/>
  <c r="G209" i="7"/>
  <c r="N209" i="7" s="1"/>
  <c r="AB166" i="10"/>
  <c r="G162" i="7" s="1"/>
  <c r="N162" i="7" s="1"/>
  <c r="F162" i="7"/>
  <c r="L162" i="7" s="1"/>
  <c r="AB186" i="10"/>
  <c r="AD186" i="10" s="1"/>
  <c r="DS186" i="10" s="1"/>
  <c r="F182" i="7"/>
  <c r="L182" i="7" s="1"/>
  <c r="G182" i="7"/>
  <c r="N182" i="7" s="1"/>
  <c r="AB238" i="10"/>
  <c r="AD238" i="10" s="1"/>
  <c r="DS238" i="10" s="1"/>
  <c r="G234" i="7"/>
  <c r="N234" i="7" s="1"/>
  <c r="F234" i="7"/>
  <c r="L234" i="7" s="1"/>
  <c r="AB117" i="10"/>
  <c r="G113" i="7" s="1"/>
  <c r="N113" i="7" s="1"/>
  <c r="F113" i="7"/>
  <c r="L113" i="7" s="1"/>
  <c r="AB62" i="10"/>
  <c r="AD62" i="10" s="1"/>
  <c r="DS62" i="10" s="1"/>
  <c r="G61" i="7"/>
  <c r="N61" i="7" s="1"/>
  <c r="F61" i="7"/>
  <c r="L61" i="7" s="1"/>
  <c r="AB41" i="10"/>
  <c r="AD41" i="10" s="1"/>
  <c r="DS41" i="10" s="1"/>
  <c r="F40" i="7"/>
  <c r="L40" i="7" s="1"/>
  <c r="AB126" i="10"/>
  <c r="AD126" i="10" s="1"/>
  <c r="DS126" i="10" s="1"/>
  <c r="F122" i="7"/>
  <c r="L122" i="7" s="1"/>
  <c r="AD13" i="10"/>
  <c r="DS13" i="10" s="1"/>
  <c r="AB143" i="10"/>
  <c r="G139" i="7"/>
  <c r="N139" i="7" s="1"/>
  <c r="F139" i="7"/>
  <c r="L139" i="7" s="1"/>
  <c r="AB58" i="10"/>
  <c r="G57" i="7" s="1"/>
  <c r="N57" i="7" s="1"/>
  <c r="F57" i="7"/>
  <c r="L57" i="7" s="1"/>
  <c r="AB97" i="10"/>
  <c r="AD97" i="10" s="1"/>
  <c r="DS97" i="10" s="1"/>
  <c r="G96" i="7"/>
  <c r="N96" i="7" s="1"/>
  <c r="F96" i="7"/>
  <c r="L96" i="7" s="1"/>
  <c r="AB211" i="10"/>
  <c r="G207" i="7" s="1"/>
  <c r="N207" i="7" s="1"/>
  <c r="F207" i="7"/>
  <c r="L207" i="7" s="1"/>
  <c r="AB157" i="10"/>
  <c r="AD157" i="10" s="1"/>
  <c r="DS157" i="10" s="1"/>
  <c r="G153" i="7"/>
  <c r="N153" i="7" s="1"/>
  <c r="F153" i="7"/>
  <c r="L153" i="7" s="1"/>
  <c r="AB232" i="10"/>
  <c r="AD232" i="10" s="1"/>
  <c r="DS232" i="10" s="1"/>
  <c r="F228" i="7"/>
  <c r="L228" i="7" s="1"/>
  <c r="AB208" i="10"/>
  <c r="AD208" i="10" s="1"/>
  <c r="DS208" i="10" s="1"/>
  <c r="F204" i="7"/>
  <c r="L204" i="7" s="1"/>
  <c r="G204" i="7"/>
  <c r="N204" i="7" s="1"/>
  <c r="AB204" i="10"/>
  <c r="AD204" i="10" s="1"/>
  <c r="DS204" i="10" s="1"/>
  <c r="F200" i="7"/>
  <c r="L200" i="7" s="1"/>
  <c r="G200" i="7"/>
  <c r="N200" i="7" s="1"/>
  <c r="AB175" i="10"/>
  <c r="G171" i="7" s="1"/>
  <c r="N171" i="7" s="1"/>
  <c r="F171" i="7"/>
  <c r="L171" i="7" s="1"/>
  <c r="AB82" i="10"/>
  <c r="G81" i="7" s="1"/>
  <c r="N81" i="7" s="1"/>
  <c r="F81" i="7"/>
  <c r="L81" i="7" s="1"/>
  <c r="AB87" i="10"/>
  <c r="AD87" i="10" s="1"/>
  <c r="DS87" i="10" s="1"/>
  <c r="G86" i="7"/>
  <c r="N86" i="7" s="1"/>
  <c r="F86" i="7"/>
  <c r="L86" i="7" s="1"/>
  <c r="AB55" i="10"/>
  <c r="AD55" i="10" s="1"/>
  <c r="DS55" i="10" s="1"/>
  <c r="G54" i="7"/>
  <c r="N54" i="7" s="1"/>
  <c r="F54" i="7"/>
  <c r="L54" i="7" s="1"/>
  <c r="AB212" i="10"/>
  <c r="G208" i="7" s="1"/>
  <c r="N208" i="7" s="1"/>
  <c r="F208" i="7"/>
  <c r="L208" i="7" s="1"/>
  <c r="AB140" i="10"/>
  <c r="AD140" i="10" s="1"/>
  <c r="DS140" i="10" s="1"/>
  <c r="G136" i="7"/>
  <c r="N136" i="7" s="1"/>
  <c r="F136" i="7"/>
  <c r="L136" i="7" s="1"/>
  <c r="AB57" i="10"/>
  <c r="AD57" i="10" s="1"/>
  <c r="DS57" i="10" s="1"/>
  <c r="G56" i="7"/>
  <c r="N56" i="7" s="1"/>
  <c r="F56" i="7"/>
  <c r="L56" i="7" s="1"/>
  <c r="AB13" i="10"/>
  <c r="F12" i="7"/>
  <c r="L12" i="7" s="1"/>
  <c r="G12" i="7"/>
  <c r="N12" i="7" s="1"/>
  <c r="AB229" i="10"/>
  <c r="AD229" i="10" s="1"/>
  <c r="DS229" i="10" s="1"/>
  <c r="F225" i="7"/>
  <c r="L225" i="7" s="1"/>
  <c r="AB182" i="10"/>
  <c r="G178" i="7" s="1"/>
  <c r="N178" i="7" s="1"/>
  <c r="F178" i="7"/>
  <c r="L178" i="7" s="1"/>
  <c r="AB119" i="10"/>
  <c r="AD119" i="10" s="1"/>
  <c r="DS119" i="10" s="1"/>
  <c r="F115" i="7"/>
  <c r="L115" i="7" s="1"/>
  <c r="G115" i="7"/>
  <c r="N115" i="7" s="1"/>
  <c r="AB65" i="10"/>
  <c r="G64" i="7" s="1"/>
  <c r="N64" i="7" s="1"/>
  <c r="F64" i="7"/>
  <c r="L64" i="7" s="1"/>
  <c r="AD54" i="10"/>
  <c r="DS54" i="10" s="1"/>
  <c r="AB21" i="10"/>
  <c r="AD21" i="10" s="1"/>
  <c r="DS21" i="10" s="1"/>
  <c r="F20" i="7"/>
  <c r="L20" i="7" s="1"/>
  <c r="AB63" i="10"/>
  <c r="AD63" i="10" s="1"/>
  <c r="DS63" i="10" s="1"/>
  <c r="F62" i="7"/>
  <c r="L62" i="7" s="1"/>
  <c r="G62" i="7"/>
  <c r="N62" i="7" s="1"/>
  <c r="AB48" i="10"/>
  <c r="AD48" i="10" s="1"/>
  <c r="DS48" i="10" s="1"/>
  <c r="AB130" i="10"/>
  <c r="AD130" i="10" s="1"/>
  <c r="DS130" i="10" s="1"/>
  <c r="G126" i="7"/>
  <c r="N126" i="7" s="1"/>
  <c r="F126" i="7"/>
  <c r="L126" i="7" s="1"/>
  <c r="AB66" i="10"/>
  <c r="G65" i="7"/>
  <c r="N65" i="7" s="1"/>
  <c r="F65" i="7"/>
  <c r="L65" i="7" s="1"/>
  <c r="AB149" i="10"/>
  <c r="AD149" i="10" s="1"/>
  <c r="DS149" i="10" s="1"/>
  <c r="G145" i="7"/>
  <c r="N145" i="7" s="1"/>
  <c r="F145" i="7"/>
  <c r="L145" i="7" s="1"/>
  <c r="AB68" i="10"/>
  <c r="AD68" i="10" s="1"/>
  <c r="DS68" i="10" s="1"/>
  <c r="F67" i="7"/>
  <c r="L67" i="7" s="1"/>
  <c r="G67" i="7"/>
  <c r="N67" i="7" s="1"/>
  <c r="AB253" i="10"/>
  <c r="AD253" i="10" s="1"/>
  <c r="DS253" i="10" s="1"/>
  <c r="G249" i="7"/>
  <c r="N249" i="7" s="1"/>
  <c r="F249" i="7"/>
  <c r="L249" i="7" s="1"/>
  <c r="AB127" i="10"/>
  <c r="AD127" i="10" s="1"/>
  <c r="DS127" i="10" s="1"/>
  <c r="F123" i="7"/>
  <c r="L123" i="7" s="1"/>
  <c r="AB103" i="10"/>
  <c r="AD103" i="10" s="1"/>
  <c r="DS103" i="10" s="1"/>
  <c r="G102" i="7"/>
  <c r="N102" i="7" s="1"/>
  <c r="F102" i="7"/>
  <c r="L102" i="7" s="1"/>
  <c r="AB106" i="10"/>
  <c r="AD106" i="10" s="1"/>
  <c r="DS106" i="10" s="1"/>
  <c r="F105" i="7"/>
  <c r="L105" i="7" s="1"/>
  <c r="G105" i="7"/>
  <c r="N105" i="7" s="1"/>
  <c r="AB83" i="10"/>
  <c r="AD83" i="10" s="1"/>
  <c r="DS83" i="10" s="1"/>
  <c r="F82" i="7"/>
  <c r="L82" i="7" s="1"/>
  <c r="AB51" i="10"/>
  <c r="AD51" i="10" s="1"/>
  <c r="DS51" i="10" s="1"/>
  <c r="F50" i="7"/>
  <c r="L50" i="7" s="1"/>
  <c r="G50" i="7"/>
  <c r="N50" i="7" s="1"/>
  <c r="AB247" i="10"/>
  <c r="AD247" i="10" s="1"/>
  <c r="DS247" i="10" s="1"/>
  <c r="F243" i="7"/>
  <c r="L243" i="7" s="1"/>
  <c r="AB248" i="10"/>
  <c r="G244" i="7" s="1"/>
  <c r="N244" i="7" s="1"/>
  <c r="F244" i="7"/>
  <c r="L244" i="7" s="1"/>
  <c r="AB128" i="10"/>
  <c r="AD128" i="10" s="1"/>
  <c r="DS128" i="10" s="1"/>
  <c r="F124" i="7"/>
  <c r="L124" i="7" s="1"/>
  <c r="G124" i="7"/>
  <c r="N124" i="7" s="1"/>
  <c r="AB116" i="10"/>
  <c r="AD116" i="10" s="1"/>
  <c r="DS116" i="10" s="1"/>
  <c r="F112" i="7"/>
  <c r="L112" i="7" s="1"/>
  <c r="G112" i="7"/>
  <c r="N112" i="7" s="1"/>
  <c r="AB75" i="10"/>
  <c r="AD75" i="10" s="1"/>
  <c r="DS75" i="10" s="1"/>
  <c r="F74" i="7"/>
  <c r="L74" i="7" s="1"/>
  <c r="AD198" i="10"/>
  <c r="DS198" i="10" s="1"/>
  <c r="AB77" i="10"/>
  <c r="AD77" i="10" s="1"/>
  <c r="DS77" i="10" s="1"/>
  <c r="G76" i="7"/>
  <c r="N76" i="7" s="1"/>
  <c r="F76" i="7"/>
  <c r="L76" i="7" s="1"/>
  <c r="AB168" i="10"/>
  <c r="G164" i="7" s="1"/>
  <c r="N164" i="7" s="1"/>
  <c r="F164" i="7"/>
  <c r="L164" i="7" s="1"/>
  <c r="AD181" i="10"/>
  <c r="DS181" i="10" s="1"/>
  <c r="AB225" i="10"/>
  <c r="F221" i="7"/>
  <c r="L221" i="7" s="1"/>
  <c r="G221" i="7"/>
  <c r="N221" i="7" s="1"/>
  <c r="AB107" i="10"/>
  <c r="AD107" i="10" s="1"/>
  <c r="DS107" i="10" s="1"/>
  <c r="F106" i="7"/>
  <c r="L106" i="7" s="1"/>
  <c r="G106" i="7"/>
  <c r="N106" i="7" s="1"/>
  <c r="AB76" i="10"/>
  <c r="AD76" i="10" s="1"/>
  <c r="DS76" i="10" s="1"/>
  <c r="F75" i="7"/>
  <c r="L75" i="7" s="1"/>
  <c r="AB214" i="10"/>
  <c r="G210" i="7" s="1"/>
  <c r="N210" i="7" s="1"/>
  <c r="F210" i="7"/>
  <c r="L210" i="7" s="1"/>
  <c r="AB95" i="10"/>
  <c r="AD95" i="10" s="1"/>
  <c r="DS95" i="10" s="1"/>
  <c r="F94" i="7"/>
  <c r="L94" i="7" s="1"/>
  <c r="AB196" i="10"/>
  <c r="AD196" i="10" s="1"/>
  <c r="DS196" i="10" s="1"/>
  <c r="F192" i="7"/>
  <c r="L192" i="7" s="1"/>
  <c r="G192" i="7"/>
  <c r="N192" i="7" s="1"/>
  <c r="AB78" i="10"/>
  <c r="AD78" i="10" s="1"/>
  <c r="DS78" i="10" s="1"/>
  <c r="G77" i="7"/>
  <c r="N77" i="7" s="1"/>
  <c r="F77" i="7"/>
  <c r="L77" i="7" s="1"/>
  <c r="AB135" i="10"/>
  <c r="G131" i="7"/>
  <c r="N131" i="7" s="1"/>
  <c r="F131" i="7"/>
  <c r="L131" i="7" s="1"/>
  <c r="AB145" i="10"/>
  <c r="AD145" i="10" s="1"/>
  <c r="DS145" i="10" s="1"/>
  <c r="F141" i="7"/>
  <c r="L141" i="7" s="1"/>
  <c r="AC254" i="10"/>
  <c r="AB115" i="10"/>
  <c r="AD115" i="10" s="1"/>
  <c r="DS115" i="10" s="1"/>
  <c r="F111" i="7"/>
  <c r="L111" i="7" s="1"/>
  <c r="AB177" i="10"/>
  <c r="F173" i="7"/>
  <c r="L173" i="7" s="1"/>
  <c r="G173" i="7"/>
  <c r="N173" i="7" s="1"/>
  <c r="AB158" i="10"/>
  <c r="AD158" i="10" s="1"/>
  <c r="DS158" i="10" s="1"/>
  <c r="G154" i="7"/>
  <c r="N154" i="7" s="1"/>
  <c r="F154" i="7"/>
  <c r="L154" i="7" s="1"/>
  <c r="AB30" i="10"/>
  <c r="G29" i="7" s="1"/>
  <c r="N29" i="7" s="1"/>
  <c r="F29" i="7"/>
  <c r="L29" i="7" s="1"/>
  <c r="AB108" i="10"/>
  <c r="AD108" i="10" s="1"/>
  <c r="DS108" i="10" s="1"/>
  <c r="G107" i="7"/>
  <c r="N107" i="7" s="1"/>
  <c r="F107" i="7"/>
  <c r="L107" i="7" s="1"/>
  <c r="AB99" i="10"/>
  <c r="AD99" i="10" s="1"/>
  <c r="DS99" i="10" s="1"/>
  <c r="F98" i="7"/>
  <c r="L98" i="7" s="1"/>
  <c r="G98" i="7"/>
  <c r="N98" i="7" s="1"/>
  <c r="AB74" i="10"/>
  <c r="AD74" i="10" s="1"/>
  <c r="DS74" i="10" s="1"/>
  <c r="F73" i="7"/>
  <c r="L73" i="7" s="1"/>
  <c r="AB249" i="10"/>
  <c r="AD249" i="10" s="1"/>
  <c r="DS249" i="10" s="1"/>
  <c r="F245" i="7"/>
  <c r="L245" i="7" s="1"/>
  <c r="G245" i="7"/>
  <c r="N245" i="7" s="1"/>
  <c r="AA49" i="10"/>
  <c r="AB131" i="10"/>
  <c r="AD131" i="10" s="1"/>
  <c r="DS131" i="10" s="1"/>
  <c r="F127" i="7"/>
  <c r="L127" i="7" s="1"/>
  <c r="G127" i="7"/>
  <c r="N127" i="7" s="1"/>
  <c r="AB150" i="10"/>
  <c r="AD150" i="10" s="1"/>
  <c r="DS150" i="10" s="1"/>
  <c r="F146" i="7"/>
  <c r="L146" i="7" s="1"/>
  <c r="G146" i="7"/>
  <c r="N146" i="7" s="1"/>
  <c r="AB70" i="10"/>
  <c r="AD70" i="10" s="1"/>
  <c r="DS70" i="10" s="1"/>
  <c r="G69" i="7"/>
  <c r="N69" i="7" s="1"/>
  <c r="F69" i="7"/>
  <c r="L69" i="7" s="1"/>
  <c r="AB84" i="10"/>
  <c r="AD84" i="10" s="1"/>
  <c r="DS84" i="10" s="1"/>
  <c r="F83" i="7"/>
  <c r="L83" i="7" s="1"/>
  <c r="AB243" i="10"/>
  <c r="G239" i="7" s="1"/>
  <c r="N239" i="7" s="1"/>
  <c r="F239" i="7"/>
  <c r="L239" i="7" s="1"/>
  <c r="AB86" i="10"/>
  <c r="AD86" i="10" s="1"/>
  <c r="DS86" i="10" s="1"/>
  <c r="G85" i="7"/>
  <c r="N85" i="7" s="1"/>
  <c r="F85" i="7"/>
  <c r="L85" i="7" s="1"/>
  <c r="AB161" i="10"/>
  <c r="AD161" i="10" s="1"/>
  <c r="DS161" i="10" s="1"/>
  <c r="F157" i="7"/>
  <c r="L157" i="7" s="1"/>
  <c r="G157" i="7"/>
  <c r="N157" i="7" s="1"/>
  <c r="AD82" i="10"/>
  <c r="DS82" i="10" s="1"/>
  <c r="AB79" i="10"/>
  <c r="G78" i="7" s="1"/>
  <c r="N78" i="7" s="1"/>
  <c r="F78" i="7"/>
  <c r="L78" i="7" s="1"/>
  <c r="AD64" i="10"/>
  <c r="DS64" i="10" s="1"/>
  <c r="AB134" i="10"/>
  <c r="AD134" i="10" s="1"/>
  <c r="DS134" i="10" s="1"/>
  <c r="F130" i="7"/>
  <c r="L130" i="7" s="1"/>
  <c r="AB124" i="10"/>
  <c r="AD124" i="10" s="1"/>
  <c r="DS124" i="10" s="1"/>
  <c r="G120" i="7"/>
  <c r="N120" i="7" s="1"/>
  <c r="F120" i="7"/>
  <c r="L120" i="7" s="1"/>
  <c r="AB226" i="10"/>
  <c r="AD226" i="10" s="1"/>
  <c r="DS226" i="10" s="1"/>
  <c r="F222" i="7"/>
  <c r="L222" i="7" s="1"/>
  <c r="G222" i="7"/>
  <c r="N222" i="7" s="1"/>
  <c r="AD228" i="10"/>
  <c r="DS228" i="10" s="1"/>
  <c r="AD143" i="10"/>
  <c r="DS143" i="10" s="1"/>
  <c r="AD66" i="10"/>
  <c r="DS66" i="10" s="1"/>
  <c r="N93" i="10"/>
  <c r="AC93" i="10" s="1"/>
  <c r="AA93" i="10"/>
  <c r="AA43" i="10"/>
  <c r="N49" i="10"/>
  <c r="AC49" i="10" s="1"/>
  <c r="AA42" i="10"/>
  <c r="AD242" i="10"/>
  <c r="DS242" i="10" s="1"/>
  <c r="AD135" i="10"/>
  <c r="DS135" i="10" s="1"/>
  <c r="AD177" i="10"/>
  <c r="DS177" i="10" s="1"/>
  <c r="AD221" i="10"/>
  <c r="DS221" i="10" s="1"/>
  <c r="AD214" i="10"/>
  <c r="DS214" i="10" s="1"/>
  <c r="AD182" i="10"/>
  <c r="DS182" i="10" s="1"/>
  <c r="AD156" i="10"/>
  <c r="DS156" i="10" s="1"/>
  <c r="Z44" i="10"/>
  <c r="AC44" i="10" s="1"/>
  <c r="AA44" i="10"/>
  <c r="T255" i="10"/>
  <c r="AC255" i="10" s="1"/>
  <c r="AA255" i="10"/>
  <c r="Z20" i="10"/>
  <c r="AC20" i="10" s="1"/>
  <c r="AA20" i="10"/>
  <c r="T17" i="10"/>
  <c r="AC17" i="10" s="1"/>
  <c r="AA17" i="10"/>
  <c r="Z45" i="10"/>
  <c r="AC45" i="10" s="1"/>
  <c r="AA45" i="10"/>
  <c r="Z105" i="10"/>
  <c r="AC105" i="10" s="1"/>
  <c r="AA105" i="10"/>
  <c r="AA19" i="10"/>
  <c r="N19" i="10"/>
  <c r="AC19" i="10" s="1"/>
  <c r="N24" i="10"/>
  <c r="AC24" i="10" s="1"/>
  <c r="AA24" i="10"/>
  <c r="N98" i="10"/>
  <c r="AC98" i="10" s="1"/>
  <c r="AA98" i="10"/>
  <c r="T94" i="10"/>
  <c r="AC94" i="10" s="1"/>
  <c r="AA94" i="10"/>
  <c r="AD169" i="10"/>
  <c r="DS169" i="10" s="1"/>
  <c r="AD174" i="10"/>
  <c r="DS174" i="10" s="1"/>
  <c r="AA38" i="10"/>
  <c r="AC38" i="10"/>
  <c r="AD202" i="10"/>
  <c r="DS202" i="10" s="1"/>
  <c r="AD133" i="10"/>
  <c r="DS133" i="10" s="1"/>
  <c r="AD248" i="10"/>
  <c r="DS248" i="10" s="1"/>
  <c r="AD252" i="10"/>
  <c r="DS252" i="10" s="1"/>
  <c r="N12" i="10"/>
  <c r="AC12" i="10" s="1"/>
  <c r="AA12" i="10"/>
  <c r="N256" i="10"/>
  <c r="AC256" i="10" s="1"/>
  <c r="AA256" i="10"/>
  <c r="AD91" i="10"/>
  <c r="DS91" i="10" s="1"/>
  <c r="AD184" i="10"/>
  <c r="DS184" i="10" s="1"/>
  <c r="AD185" i="10"/>
  <c r="DS185" i="10" s="1"/>
  <c r="AC199" i="10"/>
  <c r="AA199" i="10"/>
  <c r="AA104" i="10"/>
  <c r="N104" i="10"/>
  <c r="AC104" i="10" s="1"/>
  <c r="AD109" i="10"/>
  <c r="DS109" i="10" s="1"/>
  <c r="AA254" i="10"/>
  <c r="AA96" i="10"/>
  <c r="AB204" i="9"/>
  <c r="AB34" i="9"/>
  <c r="AB226" i="9"/>
  <c r="AB196" i="9"/>
  <c r="AB120" i="9"/>
  <c r="AB138" i="9"/>
  <c r="AB216" i="9"/>
  <c r="AB57" i="9"/>
  <c r="AB198" i="9"/>
  <c r="AB27" i="9"/>
  <c r="AB228" i="9"/>
  <c r="AB158" i="9"/>
  <c r="AB191" i="9"/>
  <c r="AB157" i="9"/>
  <c r="AB60" i="9"/>
  <c r="AB143" i="9"/>
  <c r="AB225" i="9"/>
  <c r="AB136" i="9"/>
  <c r="AB135" i="9"/>
  <c r="AB72" i="9"/>
  <c r="AB87" i="9"/>
  <c r="AB100" i="9"/>
  <c r="AB256" i="9"/>
  <c r="AB22" i="9"/>
  <c r="AB203" i="9"/>
  <c r="AB77" i="9"/>
  <c r="AB206" i="9"/>
  <c r="AB244" i="9"/>
  <c r="AB248" i="9"/>
  <c r="AB160" i="9"/>
  <c r="AB122" i="9"/>
  <c r="AB189" i="9"/>
  <c r="AB128" i="9"/>
  <c r="AB183" i="9"/>
  <c r="AB257" i="9"/>
  <c r="AB259" i="9"/>
  <c r="AB231" i="9"/>
  <c r="AB101" i="9"/>
  <c r="AB74" i="9"/>
  <c r="AB26" i="9"/>
  <c r="AB25" i="9"/>
  <c r="AB254" i="9"/>
  <c r="AB144" i="9"/>
  <c r="AB168" i="9"/>
  <c r="AB213" i="9"/>
  <c r="AB210" i="9"/>
  <c r="AB55" i="9"/>
  <c r="AB223" i="9"/>
  <c r="AB238" i="9"/>
  <c r="DN46" i="9"/>
  <c r="AB146" i="9"/>
  <c r="AB252" i="9"/>
  <c r="AB91" i="9"/>
  <c r="AB80" i="9"/>
  <c r="AB207" i="9"/>
  <c r="AB221" i="9"/>
  <c r="AB62" i="9"/>
  <c r="AB148" i="9"/>
  <c r="AB176" i="9"/>
  <c r="AB208" i="9"/>
  <c r="AB147" i="9"/>
  <c r="AB151" i="9"/>
  <c r="AB56" i="9"/>
  <c r="AB59" i="9"/>
  <c r="AB156" i="9"/>
  <c r="AB50" i="9"/>
  <c r="AB153" i="9"/>
  <c r="AB241" i="9"/>
  <c r="AB110" i="9"/>
  <c r="AB114" i="9"/>
  <c r="AB188" i="9"/>
  <c r="AB142" i="9"/>
  <c r="AB71" i="9"/>
  <c r="AB78" i="9"/>
  <c r="AB73" i="9"/>
  <c r="AB132" i="9"/>
  <c r="AB240" i="9"/>
  <c r="AB86" i="9"/>
  <c r="AB133" i="9"/>
  <c r="AB134" i="9"/>
  <c r="AB161" i="9"/>
  <c r="AB178" i="9"/>
  <c r="AB201" i="9"/>
  <c r="AB209" i="9"/>
  <c r="AB124" i="9"/>
  <c r="AB39" i="9"/>
  <c r="AB82" i="9"/>
  <c r="AB83" i="9"/>
  <c r="AB177" i="9"/>
  <c r="DR46" i="9"/>
  <c r="AB69" i="9"/>
  <c r="AB102" i="9"/>
  <c r="AB115" i="9"/>
  <c r="AB227" i="9"/>
  <c r="AB29" i="9"/>
  <c r="AB182" i="9"/>
  <c r="AB233" i="9"/>
  <c r="AB15" i="9"/>
  <c r="AB35" i="9"/>
  <c r="AB41" i="9"/>
  <c r="AB97" i="9"/>
  <c r="AB190" i="9"/>
  <c r="AB211" i="9"/>
  <c r="AB218" i="9"/>
  <c r="AB121" i="9"/>
  <c r="AB167" i="9"/>
  <c r="AB172" i="9"/>
  <c r="AB192" i="9"/>
  <c r="AB237" i="9"/>
  <c r="AB21" i="9"/>
  <c r="AB107" i="9"/>
  <c r="AB28" i="9"/>
  <c r="AB95" i="9"/>
  <c r="AB126" i="9"/>
  <c r="AB193" i="9"/>
  <c r="AB217" i="9"/>
  <c r="AB14" i="9"/>
  <c r="AB123" i="9"/>
  <c r="AB52" i="9"/>
  <c r="AB53" i="9"/>
  <c r="AB54" i="9"/>
  <c r="AB125" i="9"/>
  <c r="AB150" i="9"/>
  <c r="AB174" i="9"/>
  <c r="AB222" i="9"/>
  <c r="AB88" i="9"/>
  <c r="AB186" i="9"/>
  <c r="AB104" i="9"/>
  <c r="AB215" i="9"/>
  <c r="AB31" i="9"/>
  <c r="AB32" i="9"/>
  <c r="AB36" i="9"/>
  <c r="AB92" i="9"/>
  <c r="AB171" i="9"/>
  <c r="AB236" i="9"/>
  <c r="DM46" i="9"/>
  <c r="DN96" i="9"/>
  <c r="DP38" i="9"/>
  <c r="DO46" i="9"/>
  <c r="DL115" i="9"/>
  <c r="DM119" i="9"/>
  <c r="DP115" i="9"/>
  <c r="DP94" i="9"/>
  <c r="DK12" i="9"/>
  <c r="DN93" i="9"/>
  <c r="DP93" i="9"/>
  <c r="DP12" i="9"/>
  <c r="DN262" i="9"/>
  <c r="DQ16" i="9"/>
  <c r="DP46" i="9"/>
  <c r="DP105" i="9"/>
  <c r="DP16" i="9"/>
  <c r="DP42" i="9"/>
  <c r="DN16" i="9"/>
  <c r="DP262" i="9"/>
  <c r="DK42" i="9"/>
  <c r="DN94" i="9"/>
  <c r="DN49" i="9"/>
  <c r="DL48" i="9"/>
  <c r="DN48" i="9"/>
  <c r="DK46" i="9"/>
  <c r="DN44" i="9"/>
  <c r="J98" i="9"/>
  <c r="K98" i="9" s="1"/>
  <c r="M98" i="9" s="1"/>
  <c r="DP49" i="9"/>
  <c r="DM98" i="9"/>
  <c r="P94" i="9"/>
  <c r="Q94" i="9" s="1"/>
  <c r="S94" i="9" s="1"/>
  <c r="DN115" i="9"/>
  <c r="DN12" i="9"/>
  <c r="DK106" i="9"/>
  <c r="DQ119" i="9"/>
  <c r="DL105" i="9"/>
  <c r="DL106" i="9"/>
  <c r="DK43" i="9"/>
  <c r="DL46" i="9"/>
  <c r="DQ48" i="9"/>
  <c r="DP62" i="9"/>
  <c r="DN17" i="9"/>
  <c r="DP24" i="9"/>
  <c r="DQ62" i="9"/>
  <c r="DP98" i="9"/>
  <c r="DN261" i="9"/>
  <c r="DP261" i="9"/>
  <c r="DK16" i="9"/>
  <c r="DL20" i="9"/>
  <c r="DP260" i="9"/>
  <c r="DL262" i="9"/>
  <c r="DN24" i="9"/>
  <c r="DN42" i="9"/>
  <c r="DL96" i="9"/>
  <c r="DK38" i="9"/>
  <c r="DL16" i="9"/>
  <c r="DN38" i="9"/>
  <c r="DL42" i="9"/>
  <c r="DQ43" i="9"/>
  <c r="DL44" i="9"/>
  <c r="V48" i="9"/>
  <c r="W48" i="9" s="1"/>
  <c r="Y48" i="9" s="1"/>
  <c r="DP96" i="9"/>
  <c r="P46" i="9"/>
  <c r="Q46" i="9" s="1"/>
  <c r="S46" i="9" s="1"/>
  <c r="DL12" i="9"/>
  <c r="DL19" i="9"/>
  <c r="DN19" i="9"/>
  <c r="DP43" i="9"/>
  <c r="DP119" i="9"/>
  <c r="DP19" i="9"/>
  <c r="DK20" i="9"/>
  <c r="DK48" i="9"/>
  <c r="DN45" i="9"/>
  <c r="DN98" i="9"/>
  <c r="DL17" i="9"/>
  <c r="K119" i="9"/>
  <c r="M119" i="9" s="1"/>
  <c r="L119" i="9"/>
  <c r="DN43" i="9"/>
  <c r="DP45" i="9"/>
  <c r="J46" i="9"/>
  <c r="K46" i="9" s="1"/>
  <c r="M46" i="9" s="1"/>
  <c r="L46" i="9"/>
  <c r="DL261" i="9"/>
  <c r="DN20" i="9"/>
  <c r="DK24" i="9"/>
  <c r="DP48" i="9"/>
  <c r="DK49" i="9"/>
  <c r="DN105" i="9"/>
  <c r="DL43" i="9"/>
  <c r="DL45" i="9"/>
  <c r="DL38" i="9"/>
  <c r="DL49" i="9"/>
  <c r="DL98" i="9"/>
  <c r="DK105" i="9"/>
  <c r="DP20" i="9"/>
  <c r="DK44" i="9"/>
  <c r="DK45" i="9"/>
  <c r="DQ46" i="9"/>
  <c r="DQ61" i="9"/>
  <c r="AB30" i="9"/>
  <c r="AB18" i="9"/>
  <c r="AB23" i="9"/>
  <c r="AB37" i="9"/>
  <c r="AB79" i="9"/>
  <c r="AB81" i="9"/>
  <c r="AB33" i="9"/>
  <c r="AB70" i="9"/>
  <c r="AB13" i="9"/>
  <c r="AB47" i="9"/>
  <c r="AB164" i="9"/>
  <c r="AB84" i="9"/>
  <c r="AB180" i="9"/>
  <c r="DL24" i="9"/>
  <c r="AB112" i="9"/>
  <c r="AB51" i="9"/>
  <c r="DP106" i="9"/>
  <c r="AB152" i="9"/>
  <c r="X16" i="9"/>
  <c r="V46" i="9"/>
  <c r="W46" i="9" s="1"/>
  <c r="Y46" i="9" s="1"/>
  <c r="AB64" i="9"/>
  <c r="AB141" i="9"/>
  <c r="AB162" i="9"/>
  <c r="AB173" i="9"/>
  <c r="AB234" i="9"/>
  <c r="AB249" i="9"/>
  <c r="V16" i="9"/>
  <c r="W16" i="9" s="1"/>
  <c r="Y16" i="9" s="1"/>
  <c r="AB224" i="9"/>
  <c r="AB243" i="9"/>
  <c r="AB99" i="9"/>
  <c r="AB103" i="9"/>
  <c r="AB170" i="9"/>
  <c r="AB68" i="9"/>
  <c r="AB113" i="9"/>
  <c r="AB129" i="9"/>
  <c r="AB139" i="9"/>
  <c r="AB179" i="9"/>
  <c r="AB232" i="9"/>
  <c r="Z13" i="9"/>
  <c r="AA13" i="9" s="1"/>
  <c r="AB58" i="9"/>
  <c r="AB111" i="9"/>
  <c r="AB166" i="9"/>
  <c r="AB63" i="9"/>
  <c r="AB205" i="9"/>
  <c r="AB229" i="9"/>
  <c r="AB185" i="9"/>
  <c r="AB61" i="9"/>
  <c r="AB40" i="9"/>
  <c r="AB169" i="9"/>
  <c r="AB65" i="9"/>
  <c r="AB75" i="9"/>
  <c r="V119" i="9"/>
  <c r="W119" i="9" s="1"/>
  <c r="Y119" i="9" s="1"/>
  <c r="AB119" i="9" s="1"/>
  <c r="X119" i="9"/>
  <c r="AB200" i="9"/>
  <c r="AB108" i="9"/>
  <c r="AB131" i="9"/>
  <c r="AB165" i="9"/>
  <c r="AB181" i="9"/>
  <c r="AB187" i="9"/>
  <c r="AB247" i="9"/>
  <c r="AB140" i="9"/>
  <c r="AB175" i="9"/>
  <c r="AB184" i="9"/>
  <c r="AB212" i="9"/>
  <c r="AB246" i="9"/>
  <c r="AB250" i="9"/>
  <c r="Z264" i="9"/>
  <c r="AA264" i="9" s="1"/>
  <c r="AB76" i="9"/>
  <c r="AB155" i="9"/>
  <c r="AB199" i="9"/>
  <c r="AB255" i="9"/>
  <c r="AB258" i="9"/>
  <c r="A14" i="9"/>
  <c r="DP17" i="9"/>
  <c r="AB109" i="9"/>
  <c r="M264" i="9"/>
  <c r="AB264" i="9" s="1"/>
  <c r="X61" i="9"/>
  <c r="W61" i="9"/>
  <c r="Y61" i="9" s="1"/>
  <c r="AB66" i="9"/>
  <c r="DN106" i="9"/>
  <c r="AB127" i="9"/>
  <c r="AB220" i="9"/>
  <c r="AB251" i="9"/>
  <c r="AB85" i="9"/>
  <c r="AB130" i="9"/>
  <c r="AB202" i="9"/>
  <c r="AB214" i="9"/>
  <c r="AB230" i="9"/>
  <c r="I272" i="9"/>
  <c r="DK17" i="9"/>
  <c r="X62" i="9"/>
  <c r="DL93" i="9"/>
  <c r="AB137" i="9"/>
  <c r="AB149" i="9"/>
  <c r="Z263" i="9"/>
  <c r="AA263" i="9" s="1"/>
  <c r="M263" i="9"/>
  <c r="AB263" i="9" s="1"/>
  <c r="I275" i="9"/>
  <c r="I276" i="9" s="1"/>
  <c r="AB5" i="9" s="1"/>
  <c r="J273" i="9"/>
  <c r="X43" i="9"/>
  <c r="V43" i="9"/>
  <c r="W43" i="9" s="1"/>
  <c r="Y43" i="9" s="1"/>
  <c r="DP44" i="9"/>
  <c r="V62" i="9"/>
  <c r="W62" i="9" s="1"/>
  <c r="Y62" i="9" s="1"/>
  <c r="AB67" i="9"/>
  <c r="AB163" i="9"/>
  <c r="AB260" i="9"/>
  <c r="AB195" i="9"/>
  <c r="AB145" i="9"/>
  <c r="AB197" i="9"/>
  <c r="AB219" i="9"/>
  <c r="AB245" i="9"/>
  <c r="AB154" i="9"/>
  <c r="AB159" i="9"/>
  <c r="AB253" i="9"/>
  <c r="DK19" i="9"/>
  <c r="AB194" i="9"/>
  <c r="AB235" i="9"/>
  <c r="J276" i="9"/>
  <c r="DP61" i="9"/>
  <c r="DL119" i="9"/>
  <c r="AB242" i="9"/>
  <c r="AB239" i="9"/>
  <c r="Z258" i="6"/>
  <c r="AA258" i="6" s="1"/>
  <c r="Y258" i="6"/>
  <c r="I271" i="6"/>
  <c r="I268" i="6"/>
  <c r="X73" i="6"/>
  <c r="J71" i="6"/>
  <c r="AD50" i="10" l="1"/>
  <c r="DS50" i="10" s="1"/>
  <c r="AD223" i="10"/>
  <c r="DS223" i="10" s="1"/>
  <c r="G83" i="7"/>
  <c r="N83" i="7" s="1"/>
  <c r="G243" i="7"/>
  <c r="N243" i="7" s="1"/>
  <c r="G47" i="7"/>
  <c r="N47" i="7" s="1"/>
  <c r="G228" i="7"/>
  <c r="N228" i="7" s="1"/>
  <c r="AD61" i="10"/>
  <c r="DS61" i="10" s="1"/>
  <c r="G161" i="7"/>
  <c r="N161" i="7" s="1"/>
  <c r="G128" i="7"/>
  <c r="N128" i="7" s="1"/>
  <c r="G26" i="7"/>
  <c r="N26" i="7" s="1"/>
  <c r="G58" i="7"/>
  <c r="N58" i="7" s="1"/>
  <c r="AD183" i="10"/>
  <c r="DS183" i="10" s="1"/>
  <c r="G73" i="7"/>
  <c r="N73" i="7" s="1"/>
  <c r="G225" i="7"/>
  <c r="N225" i="7" s="1"/>
  <c r="G122" i="7"/>
  <c r="N122" i="7" s="1"/>
  <c r="G38" i="7"/>
  <c r="N38" i="7" s="1"/>
  <c r="G121" i="7"/>
  <c r="N121" i="7" s="1"/>
  <c r="G59" i="7"/>
  <c r="N59" i="7" s="1"/>
  <c r="G159" i="7"/>
  <c r="N159" i="7" s="1"/>
  <c r="G137" i="7"/>
  <c r="N137" i="7" s="1"/>
  <c r="AD152" i="10"/>
  <c r="DS152" i="10" s="1"/>
  <c r="AD28" i="10"/>
  <c r="DS28" i="10" s="1"/>
  <c r="AD172" i="10"/>
  <c r="DS172" i="10" s="1"/>
  <c r="G141" i="7"/>
  <c r="N141" i="7" s="1"/>
  <c r="G74" i="7"/>
  <c r="N74" i="7" s="1"/>
  <c r="G167" i="7"/>
  <c r="N167" i="7" s="1"/>
  <c r="G13" i="7"/>
  <c r="N13" i="7" s="1"/>
  <c r="G233" i="7"/>
  <c r="N233" i="7" s="1"/>
  <c r="AD65" i="10"/>
  <c r="DS65" i="10" s="1"/>
  <c r="G75" i="7"/>
  <c r="N75" i="7" s="1"/>
  <c r="G82" i="7"/>
  <c r="N82" i="7" s="1"/>
  <c r="G20" i="7"/>
  <c r="N20" i="7" s="1"/>
  <c r="G32" i="7"/>
  <c r="N32" i="7" s="1"/>
  <c r="G187" i="7"/>
  <c r="N187" i="7" s="1"/>
  <c r="G118" i="7"/>
  <c r="N118" i="7" s="1"/>
  <c r="G99" i="7"/>
  <c r="N99" i="7" s="1"/>
  <c r="AD170" i="10"/>
  <c r="DS170" i="10" s="1"/>
  <c r="AD79" i="10"/>
  <c r="DS79" i="10" s="1"/>
  <c r="AD190" i="10"/>
  <c r="DS190" i="10" s="1"/>
  <c r="AD200" i="10"/>
  <c r="DS200" i="10" s="1"/>
  <c r="AD180" i="10"/>
  <c r="DS180" i="10" s="1"/>
  <c r="AD18" i="10"/>
  <c r="DS18" i="10" s="1"/>
  <c r="AD58" i="10"/>
  <c r="DS58" i="10" s="1"/>
  <c r="AD243" i="10"/>
  <c r="DS243" i="10" s="1"/>
  <c r="AD212" i="10"/>
  <c r="DS212" i="10" s="1"/>
  <c r="AD117" i="10"/>
  <c r="DS117" i="10" s="1"/>
  <c r="G212" i="7"/>
  <c r="N212" i="7" s="1"/>
  <c r="G100" i="7"/>
  <c r="N100" i="7" s="1"/>
  <c r="AD168" i="10"/>
  <c r="DS168" i="10" s="1"/>
  <c r="G111" i="7"/>
  <c r="N111" i="7" s="1"/>
  <c r="G94" i="7"/>
  <c r="N94" i="7" s="1"/>
  <c r="G211" i="7"/>
  <c r="N211" i="7" s="1"/>
  <c r="G191" i="7"/>
  <c r="N191" i="7" s="1"/>
  <c r="G237" i="7"/>
  <c r="N237" i="7" s="1"/>
  <c r="G199" i="7"/>
  <c r="N199" i="7" s="1"/>
  <c r="G183" i="7"/>
  <c r="N183" i="7" s="1"/>
  <c r="AD194" i="10"/>
  <c r="DS194" i="10" s="1"/>
  <c r="F11" i="7"/>
  <c r="AD137" i="10"/>
  <c r="DS137" i="10" s="1"/>
  <c r="AB93" i="10"/>
  <c r="AD93" i="10" s="1"/>
  <c r="DS93" i="10" s="1"/>
  <c r="F92" i="7"/>
  <c r="L92" i="7" s="1"/>
  <c r="G92" i="7"/>
  <c r="N92" i="7" s="1"/>
  <c r="AD193" i="10"/>
  <c r="DS193" i="10" s="1"/>
  <c r="AD230" i="10"/>
  <c r="DS230" i="10" s="1"/>
  <c r="AB49" i="10"/>
  <c r="AD49" i="10" s="1"/>
  <c r="DS49" i="10" s="1"/>
  <c r="G48" i="7"/>
  <c r="N48" i="7" s="1"/>
  <c r="F48" i="7"/>
  <c r="L48" i="7" s="1"/>
  <c r="AB43" i="10"/>
  <c r="AD43" i="10" s="1"/>
  <c r="DS43" i="10" s="1"/>
  <c r="F42" i="7"/>
  <c r="L42" i="7" s="1"/>
  <c r="AD197" i="10"/>
  <c r="DS197" i="10" s="1"/>
  <c r="AB105" i="10"/>
  <c r="G104" i="7" s="1"/>
  <c r="N104" i="7" s="1"/>
  <c r="F104" i="7"/>
  <c r="L104" i="7" s="1"/>
  <c r="AD22" i="10"/>
  <c r="DS22" i="10" s="1"/>
  <c r="AB45" i="10"/>
  <c r="F44" i="7"/>
  <c r="L44" i="7" s="1"/>
  <c r="G44" i="7"/>
  <c r="N44" i="7" s="1"/>
  <c r="AD31" i="10"/>
  <c r="DS31" i="10" s="1"/>
  <c r="AB17" i="10"/>
  <c r="AD17" i="10" s="1"/>
  <c r="DS17" i="10" s="1"/>
  <c r="F16" i="7"/>
  <c r="L16" i="7" s="1"/>
  <c r="G16" i="7"/>
  <c r="N16" i="7" s="1"/>
  <c r="AD67" i="10"/>
  <c r="DS67" i="10" s="1"/>
  <c r="AB20" i="10"/>
  <c r="G19" i="7" s="1"/>
  <c r="N19" i="7" s="1"/>
  <c r="F19" i="7"/>
  <c r="L19" i="7" s="1"/>
  <c r="AD211" i="10"/>
  <c r="DS211" i="10" s="1"/>
  <c r="AB254" i="10"/>
  <c r="AD254" i="10" s="1"/>
  <c r="DS254" i="10" s="1"/>
  <c r="F250" i="7"/>
  <c r="L250" i="7" s="1"/>
  <c r="AB255" i="10"/>
  <c r="F251" i="7"/>
  <c r="L251" i="7" s="1"/>
  <c r="G251" i="7"/>
  <c r="N251" i="7" s="1"/>
  <c r="AD188" i="10"/>
  <c r="DS188" i="10" s="1"/>
  <c r="G130" i="7"/>
  <c r="N130" i="7" s="1"/>
  <c r="AD30" i="10"/>
  <c r="DS30" i="10" s="1"/>
  <c r="AB199" i="10"/>
  <c r="AD199" i="10" s="1"/>
  <c r="DS199" i="10" s="1"/>
  <c r="F195" i="7"/>
  <c r="L195" i="7" s="1"/>
  <c r="G195" i="7"/>
  <c r="N195" i="7" s="1"/>
  <c r="AB19" i="10"/>
  <c r="G18" i="7" s="1"/>
  <c r="N18" i="7" s="1"/>
  <c r="F18" i="7"/>
  <c r="L18" i="7" s="1"/>
  <c r="AB96" i="10"/>
  <c r="AD96" i="10" s="1"/>
  <c r="DS96" i="10" s="1"/>
  <c r="G95" i="7"/>
  <c r="N95" i="7" s="1"/>
  <c r="F95" i="7"/>
  <c r="L95" i="7" s="1"/>
  <c r="AB42" i="10"/>
  <c r="AD42" i="10" s="1"/>
  <c r="DS42" i="10" s="1"/>
  <c r="F41" i="7"/>
  <c r="L41" i="7" s="1"/>
  <c r="G40" i="7"/>
  <c r="N40" i="7" s="1"/>
  <c r="G202" i="7"/>
  <c r="N202" i="7" s="1"/>
  <c r="AD37" i="10"/>
  <c r="DS37" i="10" s="1"/>
  <c r="AB38" i="10"/>
  <c r="AD38" i="10" s="1"/>
  <c r="DS38" i="10" s="1"/>
  <c r="F37" i="7"/>
  <c r="L37" i="7" s="1"/>
  <c r="G37" i="7"/>
  <c r="N37" i="7" s="1"/>
  <c r="AB24" i="10"/>
  <c r="G23" i="7" s="1"/>
  <c r="N23" i="7" s="1"/>
  <c r="F23" i="7"/>
  <c r="L23" i="7" s="1"/>
  <c r="AB104" i="10"/>
  <c r="G103" i="7" s="1"/>
  <c r="N103" i="7" s="1"/>
  <c r="F103" i="7"/>
  <c r="L103" i="7" s="1"/>
  <c r="AD178" i="10"/>
  <c r="DS178" i="10" s="1"/>
  <c r="AB256" i="10"/>
  <c r="AD256" i="10" s="1"/>
  <c r="DS256" i="10" s="1"/>
  <c r="G252" i="7"/>
  <c r="N252" i="7" s="1"/>
  <c r="F252" i="7"/>
  <c r="L252" i="7" s="1"/>
  <c r="AD231" i="10"/>
  <c r="DS231" i="10" s="1"/>
  <c r="AD162" i="10"/>
  <c r="DS162" i="10" s="1"/>
  <c r="AD166" i="10"/>
  <c r="DS166" i="10" s="1"/>
  <c r="AD175" i="10"/>
  <c r="DS175" i="10" s="1"/>
  <c r="AD23" i="10"/>
  <c r="DS23" i="10" s="1"/>
  <c r="AD142" i="10"/>
  <c r="DS142" i="10" s="1"/>
  <c r="AB94" i="10"/>
  <c r="G93" i="7" s="1"/>
  <c r="N93" i="7" s="1"/>
  <c r="F93" i="7"/>
  <c r="L93" i="7" s="1"/>
  <c r="AB98" i="10"/>
  <c r="G97" i="7" s="1"/>
  <c r="N97" i="7" s="1"/>
  <c r="F97" i="7"/>
  <c r="L97" i="7" s="1"/>
  <c r="AB44" i="10"/>
  <c r="AD44" i="10" s="1"/>
  <c r="DS44" i="10" s="1"/>
  <c r="F43" i="7"/>
  <c r="L43" i="7" s="1"/>
  <c r="G123" i="7"/>
  <c r="N123" i="7" s="1"/>
  <c r="G151" i="7"/>
  <c r="N151" i="7" s="1"/>
  <c r="AD45" i="10"/>
  <c r="DS45" i="10" s="1"/>
  <c r="AB12" i="10"/>
  <c r="G11" i="7" s="1"/>
  <c r="AA111" i="10"/>
  <c r="AD12" i="10"/>
  <c r="DS12" i="10" s="1"/>
  <c r="AA260" i="10"/>
  <c r="AD255" i="10"/>
  <c r="DS255" i="10" s="1"/>
  <c r="AC264" i="9"/>
  <c r="AC263" i="9"/>
  <c r="DR263" i="9" s="1"/>
  <c r="A15" i="9"/>
  <c r="Z14" i="9"/>
  <c r="AA14" i="9" s="1"/>
  <c r="AC14" i="9" s="1"/>
  <c r="DR14" i="9" s="1"/>
  <c r="AC13" i="9"/>
  <c r="DR13" i="9" s="1"/>
  <c r="AB258" i="6"/>
  <c r="AC258" i="6" s="1"/>
  <c r="I272" i="6"/>
  <c r="AB5" i="6" s="1"/>
  <c r="L71" i="6"/>
  <c r="K71" i="6"/>
  <c r="G43" i="7" l="1"/>
  <c r="N43" i="7" s="1"/>
  <c r="AD98" i="10"/>
  <c r="DS98" i="10" s="1"/>
  <c r="AD104" i="10"/>
  <c r="DS104" i="10" s="1"/>
  <c r="AD105" i="10"/>
  <c r="DS105" i="10" s="1"/>
  <c r="G41" i="7"/>
  <c r="N41" i="7" s="1"/>
  <c r="AB260" i="10"/>
  <c r="G250" i="7"/>
  <c r="N250" i="7" s="1"/>
  <c r="AD24" i="10"/>
  <c r="DS24" i="10" s="1"/>
  <c r="AD19" i="10"/>
  <c r="DS19" i="10" s="1"/>
  <c r="AD20" i="10"/>
  <c r="DS20" i="10" s="1"/>
  <c r="AD94" i="10"/>
  <c r="DS94" i="10" s="1"/>
  <c r="AB111" i="10"/>
  <c r="AC3" i="10" s="1"/>
  <c r="G42" i="7"/>
  <c r="N42" i="7" s="1"/>
  <c r="Z15" i="9"/>
  <c r="AA15" i="9" s="1"/>
  <c r="AC15" i="9" s="1"/>
  <c r="DR15" i="9" s="1"/>
  <c r="A16" i="9"/>
  <c r="A17" i="9" s="1"/>
  <c r="BA248" i="8"/>
  <c r="AT248" i="8"/>
  <c r="AR248" i="8"/>
  <c r="AQ248" i="8"/>
  <c r="AG248" i="8"/>
  <c r="AE248" i="8"/>
  <c r="AD248" i="8"/>
  <c r="AF248" i="8" s="1"/>
  <c r="AH248" i="8" s="1"/>
  <c r="T248" i="8"/>
  <c r="Q248" i="8"/>
  <c r="BA247" i="8"/>
  <c r="AT247" i="8"/>
  <c r="AR247" i="8"/>
  <c r="AQ247" i="8"/>
  <c r="AG247" i="8"/>
  <c r="AD247" i="8"/>
  <c r="AE247" i="8" s="1"/>
  <c r="T247" i="8"/>
  <c r="Q247" i="8"/>
  <c r="BA246" i="8"/>
  <c r="AT246" i="8"/>
  <c r="AR246" i="8"/>
  <c r="AQ246" i="8"/>
  <c r="AG246" i="8"/>
  <c r="AD246" i="8"/>
  <c r="AE246" i="8" s="1"/>
  <c r="AF246" i="8" s="1"/>
  <c r="AH246" i="8" s="1"/>
  <c r="T246" i="8"/>
  <c r="Q246" i="8"/>
  <c r="BA245" i="8"/>
  <c r="AT245" i="8"/>
  <c r="AQ245" i="8"/>
  <c r="AG245" i="8"/>
  <c r="AD245" i="8"/>
  <c r="T245" i="8"/>
  <c r="Q245" i="8"/>
  <c r="R245" i="8" s="1"/>
  <c r="S245" i="8" s="1"/>
  <c r="U245" i="8" s="1"/>
  <c r="BA244" i="8"/>
  <c r="AT244" i="8"/>
  <c r="AQ244" i="8"/>
  <c r="AG244" i="8"/>
  <c r="AD244" i="8"/>
  <c r="T244" i="8"/>
  <c r="Q244" i="8"/>
  <c r="BA243" i="8"/>
  <c r="AT243" i="8"/>
  <c r="AQ243" i="8"/>
  <c r="AG243" i="8"/>
  <c r="AD243" i="8"/>
  <c r="T243" i="8"/>
  <c r="Q243" i="8"/>
  <c r="BA242" i="8"/>
  <c r="AT242" i="8"/>
  <c r="AQ242" i="8"/>
  <c r="AS242" i="8" s="1"/>
  <c r="AU242" i="8" s="1"/>
  <c r="AG242" i="8"/>
  <c r="AD242" i="8"/>
  <c r="AF242" i="8" s="1"/>
  <c r="AH242" i="8" s="1"/>
  <c r="T242" i="8"/>
  <c r="Q242" i="8"/>
  <c r="S242" i="8" s="1"/>
  <c r="BA241" i="8"/>
  <c r="AT241" i="8"/>
  <c r="AS241" i="8"/>
  <c r="AU241" i="8" s="1"/>
  <c r="AG241" i="8"/>
  <c r="AD241" i="8"/>
  <c r="AE241" i="8" s="1"/>
  <c r="T241" i="8"/>
  <c r="Q241" i="8"/>
  <c r="R241" i="8" s="1"/>
  <c r="S241" i="8" s="1"/>
  <c r="BA240" i="8"/>
  <c r="AT240" i="8"/>
  <c r="AQ240" i="8"/>
  <c r="AR240" i="8" s="1"/>
  <c r="AS240" i="8" s="1"/>
  <c r="AU240" i="8" s="1"/>
  <c r="AG240" i="8"/>
  <c r="AD240" i="8"/>
  <c r="T240" i="8"/>
  <c r="Q240" i="8"/>
  <c r="R240" i="8" s="1"/>
  <c r="BA239" i="8"/>
  <c r="AT239" i="8"/>
  <c r="AQ239" i="8"/>
  <c r="AG239" i="8"/>
  <c r="AD239" i="8"/>
  <c r="AE239" i="8" s="1"/>
  <c r="AF239" i="8" s="1"/>
  <c r="AH239" i="8" s="1"/>
  <c r="T239" i="8"/>
  <c r="Q239" i="8"/>
  <c r="BA238" i="8"/>
  <c r="AT238" i="8"/>
  <c r="AQ238" i="8"/>
  <c r="AR238" i="8" s="1"/>
  <c r="AS238" i="8" s="1"/>
  <c r="AU238" i="8" s="1"/>
  <c r="AG238" i="8"/>
  <c r="AD238" i="8"/>
  <c r="AE238" i="8" s="1"/>
  <c r="AF238" i="8" s="1"/>
  <c r="AH238" i="8" s="1"/>
  <c r="T238" i="8"/>
  <c r="Q238" i="8"/>
  <c r="BA237" i="8"/>
  <c r="AT237" i="8"/>
  <c r="AQ237" i="8"/>
  <c r="AR237" i="8" s="1"/>
  <c r="AS237" i="8" s="1"/>
  <c r="AU237" i="8" s="1"/>
  <c r="AG237" i="8"/>
  <c r="AD237" i="8"/>
  <c r="T237" i="8"/>
  <c r="Q237" i="8"/>
  <c r="R237" i="8" s="1"/>
  <c r="BA233" i="8"/>
  <c r="AT233" i="8"/>
  <c r="AQ233" i="8"/>
  <c r="AG233" i="8"/>
  <c r="AD233" i="8"/>
  <c r="T233" i="8"/>
  <c r="Q233" i="8"/>
  <c r="BA231" i="8"/>
  <c r="AT231" i="8"/>
  <c r="AQ231" i="8"/>
  <c r="AR231" i="8" s="1"/>
  <c r="AS231" i="8" s="1"/>
  <c r="AU231" i="8" s="1"/>
  <c r="AG231" i="8"/>
  <c r="AD231" i="8"/>
  <c r="Q231" i="8"/>
  <c r="BA230" i="8"/>
  <c r="AT230" i="8"/>
  <c r="AQ230" i="8"/>
  <c r="AR230" i="8" s="1"/>
  <c r="AS230" i="8" s="1"/>
  <c r="AU230" i="8" s="1"/>
  <c r="AG230" i="8"/>
  <c r="AD230" i="8"/>
  <c r="AE230" i="8" s="1"/>
  <c r="AF230" i="8" s="1"/>
  <c r="AH230" i="8" s="1"/>
  <c r="T230" i="8"/>
  <c r="Q230" i="8"/>
  <c r="BA229" i="8"/>
  <c r="AG229" i="8"/>
  <c r="AE229" i="8"/>
  <c r="AD229" i="8"/>
  <c r="T229" i="8"/>
  <c r="R229" i="8"/>
  <c r="Q229" i="8"/>
  <c r="BA228" i="8"/>
  <c r="AT228" i="8"/>
  <c r="AR228" i="8"/>
  <c r="AQ228" i="8"/>
  <c r="AG228" i="8"/>
  <c r="AE228" i="8"/>
  <c r="AD228" i="8"/>
  <c r="T228" i="8"/>
  <c r="R228" i="8"/>
  <c r="Q228" i="8"/>
  <c r="BA227" i="8"/>
  <c r="AT227" i="8"/>
  <c r="AR227" i="8"/>
  <c r="AQ227" i="8"/>
  <c r="AG227" i="8"/>
  <c r="AE227" i="8"/>
  <c r="AD227" i="8"/>
  <c r="T227" i="8"/>
  <c r="R227" i="8"/>
  <c r="Q227" i="8"/>
  <c r="BA226" i="8"/>
  <c r="AT226" i="8"/>
  <c r="AR226" i="8"/>
  <c r="AQ226" i="8"/>
  <c r="AG226" i="8"/>
  <c r="AE226" i="8"/>
  <c r="AD226" i="8"/>
  <c r="T226" i="8"/>
  <c r="R226" i="8"/>
  <c r="Q226" i="8"/>
  <c r="BA225" i="8"/>
  <c r="AT225" i="8"/>
  <c r="AR225" i="8"/>
  <c r="AQ225" i="8"/>
  <c r="AG225" i="8"/>
  <c r="AE225" i="8"/>
  <c r="AD225" i="8"/>
  <c r="AF225" i="8" s="1"/>
  <c r="AH225" i="8" s="1"/>
  <c r="T225" i="8"/>
  <c r="R225" i="8"/>
  <c r="Q225" i="8"/>
  <c r="S225" i="8" s="1"/>
  <c r="BA224" i="8"/>
  <c r="AT224" i="8"/>
  <c r="AR224" i="8"/>
  <c r="AQ224" i="8"/>
  <c r="AG224" i="8"/>
  <c r="AE224" i="8"/>
  <c r="AD224" i="8"/>
  <c r="AF224" i="8" s="1"/>
  <c r="AH224" i="8" s="1"/>
  <c r="T224" i="8"/>
  <c r="R224" i="8"/>
  <c r="Q224" i="8"/>
  <c r="BA223" i="8"/>
  <c r="AT223" i="8"/>
  <c r="AR223" i="8"/>
  <c r="AQ223" i="8"/>
  <c r="AG223" i="8"/>
  <c r="AE223" i="8"/>
  <c r="AD223" i="8"/>
  <c r="T223" i="8"/>
  <c r="R223" i="8"/>
  <c r="Q223" i="8"/>
  <c r="BA222" i="8"/>
  <c r="AG222" i="8"/>
  <c r="AE222" i="8"/>
  <c r="AD222" i="8"/>
  <c r="O43" i="6" s="1"/>
  <c r="Q43" i="6" s="1"/>
  <c r="T222" i="8"/>
  <c r="R222" i="8"/>
  <c r="Q222" i="8"/>
  <c r="BA221" i="8"/>
  <c r="AG221" i="8"/>
  <c r="AE221" i="8"/>
  <c r="AD221" i="8"/>
  <c r="T221" i="8"/>
  <c r="R221" i="8"/>
  <c r="Q221" i="8"/>
  <c r="BA220" i="8"/>
  <c r="AG220" i="8"/>
  <c r="AE220" i="8"/>
  <c r="AD220" i="8"/>
  <c r="T220" i="8"/>
  <c r="R220" i="8"/>
  <c r="Q220" i="8"/>
  <c r="BA219" i="8"/>
  <c r="AT219" i="8"/>
  <c r="AR219" i="8"/>
  <c r="AQ219" i="8"/>
  <c r="AG219" i="8"/>
  <c r="AE219" i="8"/>
  <c r="AD219" i="8"/>
  <c r="T219" i="8"/>
  <c r="R219" i="8"/>
  <c r="Q219" i="8"/>
  <c r="BA218" i="8"/>
  <c r="AT218" i="8"/>
  <c r="AR218" i="8"/>
  <c r="AQ218" i="8"/>
  <c r="AS218" i="8" s="1"/>
  <c r="AU218" i="8" s="1"/>
  <c r="AG218" i="8"/>
  <c r="AE218" i="8"/>
  <c r="AD218" i="8"/>
  <c r="T218" i="8"/>
  <c r="R218" i="8"/>
  <c r="Q218" i="8"/>
  <c r="BA212" i="8"/>
  <c r="AG212" i="8"/>
  <c r="AD212" i="8"/>
  <c r="T212" i="8"/>
  <c r="Q212" i="8"/>
  <c r="R212" i="8" s="1"/>
  <c r="S212" i="8" s="1"/>
  <c r="BA211" i="8"/>
  <c r="AG211" i="8"/>
  <c r="AD211" i="8"/>
  <c r="AE211" i="8" s="1"/>
  <c r="AF211" i="8" s="1"/>
  <c r="AH211" i="8" s="1"/>
  <c r="T211" i="8"/>
  <c r="Q211" i="8"/>
  <c r="BA210" i="8"/>
  <c r="AG210" i="8"/>
  <c r="AD210" i="8"/>
  <c r="T210" i="8"/>
  <c r="Q210" i="8"/>
  <c r="BA209" i="8"/>
  <c r="AG209" i="8"/>
  <c r="AD209" i="8"/>
  <c r="T209" i="8"/>
  <c r="Q209" i="8"/>
  <c r="BA208" i="8"/>
  <c r="AG208" i="8"/>
  <c r="AD208" i="8"/>
  <c r="T208" i="8"/>
  <c r="Q208" i="8"/>
  <c r="BA207" i="8"/>
  <c r="AG207" i="8"/>
  <c r="AD207" i="8"/>
  <c r="T207" i="8"/>
  <c r="Q207" i="8"/>
  <c r="BA206" i="8"/>
  <c r="AG206" i="8"/>
  <c r="AD206" i="8"/>
  <c r="T206" i="8"/>
  <c r="Q206" i="8"/>
  <c r="BA205" i="8"/>
  <c r="AG205" i="8"/>
  <c r="AD205" i="8"/>
  <c r="AE205" i="8" s="1"/>
  <c r="T205" i="8"/>
  <c r="Q205" i="8"/>
  <c r="R205" i="8" s="1"/>
  <c r="BA204" i="8"/>
  <c r="AT204" i="8"/>
  <c r="AQ204" i="8"/>
  <c r="AR204" i="8" s="1"/>
  <c r="AS204" i="8" s="1"/>
  <c r="AU204" i="8" s="1"/>
  <c r="AG204" i="8"/>
  <c r="AD204" i="8"/>
  <c r="AE204" i="8" s="1"/>
  <c r="AF204" i="8" s="1"/>
  <c r="AH204" i="8" s="1"/>
  <c r="T204" i="8"/>
  <c r="Q204" i="8"/>
  <c r="R204" i="8" s="1"/>
  <c r="S204" i="8" s="1"/>
  <c r="BA203" i="8"/>
  <c r="AT203" i="8"/>
  <c r="AQ203" i="8"/>
  <c r="AG203" i="8"/>
  <c r="AD203" i="8"/>
  <c r="AE203" i="8" s="1"/>
  <c r="T203" i="8"/>
  <c r="Q203" i="8"/>
  <c r="BA202" i="8"/>
  <c r="AT202" i="8"/>
  <c r="AQ202" i="8"/>
  <c r="AG202" i="8"/>
  <c r="AD202" i="8"/>
  <c r="T202" i="8"/>
  <c r="Q202" i="8"/>
  <c r="BA201" i="8"/>
  <c r="AQ201" i="8"/>
  <c r="AD201" i="8"/>
  <c r="Q201" i="8"/>
  <c r="BA200" i="8"/>
  <c r="AQ200" i="8"/>
  <c r="AD200" i="8"/>
  <c r="Q200" i="8"/>
  <c r="BA199" i="8"/>
  <c r="AQ199" i="8"/>
  <c r="AD199" i="8"/>
  <c r="AE199" i="8" s="1"/>
  <c r="AG199" i="8" s="1"/>
  <c r="Q199" i="8"/>
  <c r="BA196" i="8"/>
  <c r="AT196" i="8"/>
  <c r="AQ196" i="8"/>
  <c r="AG196" i="8"/>
  <c r="AD196" i="8"/>
  <c r="AE196" i="8" s="1"/>
  <c r="AF196" i="8" s="1"/>
  <c r="AH196" i="8" s="1"/>
  <c r="T196" i="8"/>
  <c r="Q196" i="8"/>
  <c r="R196" i="8" s="1"/>
  <c r="S196" i="8" s="1"/>
  <c r="BA195" i="8"/>
  <c r="AT195" i="8"/>
  <c r="AQ195" i="8"/>
  <c r="AG195" i="8"/>
  <c r="AD195" i="8"/>
  <c r="T195" i="8"/>
  <c r="Q195" i="8"/>
  <c r="AT194" i="8"/>
  <c r="AQ194" i="8"/>
  <c r="DH94" i="6" s="1"/>
  <c r="AG194" i="8"/>
  <c r="AE194" i="8"/>
  <c r="AF194" i="8" s="1"/>
  <c r="DF94" i="6" s="1"/>
  <c r="BA192" i="8"/>
  <c r="AT192" i="8"/>
  <c r="AQ192" i="8"/>
  <c r="AR192" i="8" s="1"/>
  <c r="AS192" i="8" s="1"/>
  <c r="AU192" i="8" s="1"/>
  <c r="AG192" i="8"/>
  <c r="AD192" i="8"/>
  <c r="T192" i="8"/>
  <c r="Q192" i="8"/>
  <c r="R192" i="8" s="1"/>
  <c r="S192" i="8" s="1"/>
  <c r="BA191" i="8"/>
  <c r="AT191" i="8"/>
  <c r="AQ191" i="8"/>
  <c r="AG191" i="8"/>
  <c r="AD191" i="8"/>
  <c r="T191" i="8"/>
  <c r="Q191" i="8"/>
  <c r="BA190" i="8"/>
  <c r="AT190" i="8"/>
  <c r="AQ190" i="8"/>
  <c r="AG190" i="8"/>
  <c r="AD190" i="8"/>
  <c r="AE190" i="8" s="1"/>
  <c r="AF190" i="8" s="1"/>
  <c r="AH190" i="8" s="1"/>
  <c r="T190" i="8"/>
  <c r="Q190" i="8"/>
  <c r="BA189" i="8"/>
  <c r="AT189" i="8"/>
  <c r="AQ189" i="8"/>
  <c r="AG189" i="8"/>
  <c r="AE189" i="8"/>
  <c r="AF189" i="8" s="1"/>
  <c r="AH189" i="8" s="1"/>
  <c r="T189" i="8"/>
  <c r="R189" i="8"/>
  <c r="S189" i="8" s="1"/>
  <c r="BA188" i="8"/>
  <c r="AT188" i="8"/>
  <c r="AQ188" i="8"/>
  <c r="AG188" i="8"/>
  <c r="AE188" i="8"/>
  <c r="AF188" i="8" s="1"/>
  <c r="AH188" i="8" s="1"/>
  <c r="T188" i="8"/>
  <c r="R188" i="8"/>
  <c r="S188" i="8" s="1"/>
  <c r="BA187" i="8"/>
  <c r="AT187" i="8"/>
  <c r="AQ187" i="8"/>
  <c r="AR187" i="8" s="1"/>
  <c r="AS187" i="8" s="1"/>
  <c r="AU187" i="8" s="1"/>
  <c r="AG187" i="8"/>
  <c r="AD187" i="8"/>
  <c r="AE187" i="8" s="1"/>
  <c r="AF187" i="8" s="1"/>
  <c r="AH187" i="8" s="1"/>
  <c r="T187" i="8"/>
  <c r="Q187" i="8"/>
  <c r="BA185" i="8"/>
  <c r="AT185" i="8"/>
  <c r="AR185" i="8"/>
  <c r="AQ185" i="8"/>
  <c r="AG185" i="8"/>
  <c r="AD185" i="8"/>
  <c r="T185" i="8"/>
  <c r="Q185" i="8"/>
  <c r="BA184" i="8"/>
  <c r="AT184" i="8"/>
  <c r="AQ184" i="8"/>
  <c r="AR184" i="8" s="1"/>
  <c r="AG184" i="8"/>
  <c r="AD184" i="8"/>
  <c r="T184" i="8"/>
  <c r="Q184" i="8"/>
  <c r="BA183" i="8"/>
  <c r="AT183" i="8"/>
  <c r="AQ183" i="8"/>
  <c r="AR183" i="8" s="1"/>
  <c r="AS183" i="8" s="1"/>
  <c r="AU183" i="8" s="1"/>
  <c r="AG183" i="8"/>
  <c r="AD183" i="8"/>
  <c r="T183" i="8"/>
  <c r="Q183" i="8"/>
  <c r="BA182" i="8"/>
  <c r="AT182" i="8"/>
  <c r="AQ182" i="8"/>
  <c r="AR182" i="8" s="1"/>
  <c r="AS182" i="8" s="1"/>
  <c r="AU182" i="8" s="1"/>
  <c r="AG182" i="8"/>
  <c r="AD182" i="8"/>
  <c r="T182" i="8"/>
  <c r="Q182" i="8"/>
  <c r="BA181" i="8"/>
  <c r="AT181" i="8"/>
  <c r="AQ181" i="8"/>
  <c r="AG181" i="8"/>
  <c r="AD181" i="8"/>
  <c r="AE181" i="8" s="1"/>
  <c r="AF181" i="8" s="1"/>
  <c r="AH181" i="8" s="1"/>
  <c r="T181" i="8"/>
  <c r="Q181" i="8"/>
  <c r="BA180" i="8"/>
  <c r="AT180" i="8"/>
  <c r="AQ180" i="8"/>
  <c r="AR180" i="8" s="1"/>
  <c r="AS180" i="8" s="1"/>
  <c r="AU180" i="8" s="1"/>
  <c r="AG180" i="8"/>
  <c r="AD180" i="8"/>
  <c r="T180" i="8"/>
  <c r="Q180" i="8"/>
  <c r="R180" i="8" s="1"/>
  <c r="BA179" i="8"/>
  <c r="AT179" i="8"/>
  <c r="AQ179" i="8"/>
  <c r="AG179" i="8"/>
  <c r="AD179" i="8"/>
  <c r="T179" i="8"/>
  <c r="Q179" i="8"/>
  <c r="R179" i="8" s="1"/>
  <c r="S179" i="8" s="1"/>
  <c r="BA178" i="8"/>
  <c r="AT178" i="8"/>
  <c r="AQ178" i="8"/>
  <c r="AG178" i="8"/>
  <c r="AD178" i="8"/>
  <c r="T178" i="8"/>
  <c r="Q178" i="8"/>
  <c r="BA177" i="8"/>
  <c r="AT177" i="8"/>
  <c r="AQ177" i="8"/>
  <c r="AR177" i="8" s="1"/>
  <c r="AS177" i="8" s="1"/>
  <c r="AU177" i="8" s="1"/>
  <c r="AG177" i="8"/>
  <c r="AD177" i="8"/>
  <c r="T177" i="8"/>
  <c r="Q177" i="8"/>
  <c r="BA176" i="8"/>
  <c r="AT176" i="8"/>
  <c r="AQ176" i="8"/>
  <c r="AG176" i="8"/>
  <c r="AD176" i="8"/>
  <c r="T176" i="8"/>
  <c r="Q176" i="8"/>
  <c r="BA175" i="8"/>
  <c r="AT175" i="8"/>
  <c r="AQ175" i="8"/>
  <c r="AG175" i="8"/>
  <c r="AD175" i="8"/>
  <c r="AE175" i="8" s="1"/>
  <c r="AF175" i="8" s="1"/>
  <c r="AH175" i="8" s="1"/>
  <c r="T175" i="8"/>
  <c r="Q175" i="8"/>
  <c r="BA174" i="8"/>
  <c r="AQ174" i="8"/>
  <c r="AD174" i="8"/>
  <c r="Q174" i="8"/>
  <c r="BA173" i="8"/>
  <c r="AT173" i="8"/>
  <c r="AQ173" i="8"/>
  <c r="AR173" i="8" s="1"/>
  <c r="AS173" i="8" s="1"/>
  <c r="AU173" i="8" s="1"/>
  <c r="AG173" i="8"/>
  <c r="AD173" i="8"/>
  <c r="T173" i="8"/>
  <c r="Q173" i="8"/>
  <c r="BA172" i="8"/>
  <c r="AT172" i="8"/>
  <c r="AQ172" i="8"/>
  <c r="AG172" i="8"/>
  <c r="AD172" i="8"/>
  <c r="T172" i="8"/>
  <c r="Q172" i="8"/>
  <c r="BA171" i="8"/>
  <c r="AT171" i="8"/>
  <c r="AQ171" i="8"/>
  <c r="AR171" i="8" s="1"/>
  <c r="AS171" i="8" s="1"/>
  <c r="AU171" i="8" s="1"/>
  <c r="AG171" i="8"/>
  <c r="AD171" i="8"/>
  <c r="T171" i="8"/>
  <c r="Q171" i="8"/>
  <c r="R171" i="8" s="1"/>
  <c r="S171" i="8" s="1"/>
  <c r="BA170" i="8"/>
  <c r="AT170" i="8"/>
  <c r="AQ170" i="8"/>
  <c r="AR170" i="8" s="1"/>
  <c r="AS170" i="8" s="1"/>
  <c r="AU170" i="8" s="1"/>
  <c r="AG170" i="8"/>
  <c r="AD170" i="8"/>
  <c r="T170" i="8"/>
  <c r="Q170" i="8"/>
  <c r="R170" i="8" s="1"/>
  <c r="BA168" i="8"/>
  <c r="AT168" i="8"/>
  <c r="AQ168" i="8"/>
  <c r="AD168" i="8"/>
  <c r="T168" i="8"/>
  <c r="Q168" i="8"/>
  <c r="BA167" i="8"/>
  <c r="AT167" i="8"/>
  <c r="AQ167" i="8"/>
  <c r="AR167" i="8" s="1"/>
  <c r="AS167" i="8" s="1"/>
  <c r="AU167" i="8" s="1"/>
  <c r="AD167" i="8"/>
  <c r="T167" i="8"/>
  <c r="Q167" i="8"/>
  <c r="BA166" i="8"/>
  <c r="AT166" i="8"/>
  <c r="AQ166" i="8"/>
  <c r="AG166" i="8"/>
  <c r="AD166" i="8"/>
  <c r="AE166" i="8" s="1"/>
  <c r="AF166" i="8" s="1"/>
  <c r="AH166" i="8" s="1"/>
  <c r="T166" i="8"/>
  <c r="Q166" i="8"/>
  <c r="R166" i="8" s="1"/>
  <c r="S166" i="8" s="1"/>
  <c r="BA163" i="8"/>
  <c r="AQ163" i="8"/>
  <c r="AG163" i="8"/>
  <c r="AD163" i="8"/>
  <c r="AE163" i="8" s="1"/>
  <c r="T163" i="8"/>
  <c r="Q163" i="8"/>
  <c r="BA162" i="8"/>
  <c r="T162" i="8"/>
  <c r="R162" i="8"/>
  <c r="Q162" i="8"/>
  <c r="DD48" i="6" s="1"/>
  <c r="BA161" i="8"/>
  <c r="AT161" i="8"/>
  <c r="AQ161" i="8"/>
  <c r="AG161" i="8"/>
  <c r="AD161" i="8"/>
  <c r="T161" i="8"/>
  <c r="Q161" i="8"/>
  <c r="BA160" i="8"/>
  <c r="AT160" i="8"/>
  <c r="AQ160" i="8"/>
  <c r="AR160" i="8" s="1"/>
  <c r="AG160" i="8"/>
  <c r="AD160" i="8"/>
  <c r="T160" i="8"/>
  <c r="Q160" i="8"/>
  <c r="BA158" i="8"/>
  <c r="AT158" i="8"/>
  <c r="AQ158" i="8"/>
  <c r="AR158" i="8" s="1"/>
  <c r="AS158" i="8" s="1"/>
  <c r="AU158" i="8" s="1"/>
  <c r="AG158" i="8"/>
  <c r="AD158" i="8"/>
  <c r="T158" i="8"/>
  <c r="Q158" i="8"/>
  <c r="BA157" i="8"/>
  <c r="AT157" i="8"/>
  <c r="AQ157" i="8"/>
  <c r="AG157" i="8"/>
  <c r="AD157" i="8"/>
  <c r="AE157" i="8" s="1"/>
  <c r="AF157" i="8" s="1"/>
  <c r="AH157" i="8" s="1"/>
  <c r="T157" i="8"/>
  <c r="Q157" i="8"/>
  <c r="BA156" i="8"/>
  <c r="AT156" i="8"/>
  <c r="AQ156" i="8"/>
  <c r="AG156" i="8"/>
  <c r="AD156" i="8"/>
  <c r="AE156" i="8" s="1"/>
  <c r="T156" i="8"/>
  <c r="Q156" i="8"/>
  <c r="R156" i="8" s="1"/>
  <c r="BA154" i="8"/>
  <c r="AT154" i="8"/>
  <c r="AQ154" i="8"/>
  <c r="AR154" i="8" s="1"/>
  <c r="AS154" i="8" s="1"/>
  <c r="AU154" i="8" s="1"/>
  <c r="AG154" i="8"/>
  <c r="AD154" i="8"/>
  <c r="AE154" i="8" s="1"/>
  <c r="AF154" i="8" s="1"/>
  <c r="AH154" i="8" s="1"/>
  <c r="T154" i="8"/>
  <c r="Q154" i="8"/>
  <c r="R154" i="8" s="1"/>
  <c r="S154" i="8" s="1"/>
  <c r="BA153" i="8"/>
  <c r="AT153" i="8"/>
  <c r="AQ153" i="8"/>
  <c r="AG153" i="8"/>
  <c r="AD153" i="8"/>
  <c r="T153" i="8"/>
  <c r="Q153" i="8"/>
  <c r="BA152" i="8"/>
  <c r="AT152" i="8"/>
  <c r="AQ152" i="8"/>
  <c r="AG152" i="8"/>
  <c r="AD152" i="8"/>
  <c r="T152" i="8"/>
  <c r="Q152" i="8"/>
  <c r="BA151" i="8"/>
  <c r="AT151" i="8"/>
  <c r="AQ151" i="8"/>
  <c r="AG151" i="8"/>
  <c r="AD151" i="8"/>
  <c r="AE151" i="8" s="1"/>
  <c r="AF151" i="8" s="1"/>
  <c r="AH151" i="8" s="1"/>
  <c r="T151" i="8"/>
  <c r="Q151" i="8"/>
  <c r="BA150" i="8"/>
  <c r="AT150" i="8"/>
  <c r="AQ150" i="8"/>
  <c r="AG150" i="8"/>
  <c r="AD150" i="8"/>
  <c r="AE150" i="8" s="1"/>
  <c r="AF150" i="8" s="1"/>
  <c r="T150" i="8"/>
  <c r="Q150" i="8"/>
  <c r="BA149" i="8"/>
  <c r="AT149" i="8"/>
  <c r="AQ149" i="8"/>
  <c r="AR149" i="8" s="1"/>
  <c r="AG149" i="8"/>
  <c r="AD149" i="8"/>
  <c r="T149" i="8"/>
  <c r="Q149" i="8"/>
  <c r="BA148" i="8"/>
  <c r="AT148" i="8"/>
  <c r="AQ148" i="8"/>
  <c r="AR148" i="8" s="1"/>
  <c r="AS148" i="8" s="1"/>
  <c r="AU148" i="8" s="1"/>
  <c r="AG148" i="8"/>
  <c r="AD148" i="8"/>
  <c r="AE148" i="8" s="1"/>
  <c r="AF148" i="8" s="1"/>
  <c r="AH148" i="8" s="1"/>
  <c r="T148" i="8"/>
  <c r="Q148" i="8"/>
  <c r="BA147" i="8"/>
  <c r="AT147" i="8"/>
  <c r="AQ147" i="8"/>
  <c r="AG147" i="8"/>
  <c r="AD147" i="8"/>
  <c r="T147" i="8"/>
  <c r="Q147" i="8"/>
  <c r="BA146" i="8"/>
  <c r="AT146" i="8"/>
  <c r="AQ146" i="8"/>
  <c r="AG146" i="8"/>
  <c r="AD146" i="8"/>
  <c r="AE146" i="8" s="1"/>
  <c r="T146" i="8"/>
  <c r="Q146" i="8"/>
  <c r="BA145" i="8"/>
  <c r="AT145" i="8"/>
  <c r="AQ145" i="8"/>
  <c r="AR145" i="8" s="1"/>
  <c r="AS145" i="8" s="1"/>
  <c r="AU145" i="8" s="1"/>
  <c r="AG145" i="8"/>
  <c r="AD145" i="8"/>
  <c r="AE145" i="8" s="1"/>
  <c r="T145" i="8"/>
  <c r="Q145" i="8"/>
  <c r="BA144" i="8"/>
  <c r="AT144" i="8"/>
  <c r="AR144" i="8"/>
  <c r="AQ144" i="8"/>
  <c r="AS144" i="8" s="1"/>
  <c r="AU144" i="8" s="1"/>
  <c r="AG144" i="8"/>
  <c r="AD144" i="8"/>
  <c r="T144" i="8"/>
  <c r="R144" i="8"/>
  <c r="S144" i="8" s="1"/>
  <c r="U144" i="8" s="1"/>
  <c r="BA143" i="8"/>
  <c r="AT143" i="8"/>
  <c r="AR143" i="8"/>
  <c r="AQ143" i="8"/>
  <c r="DH93" i="6" s="1"/>
  <c r="AG143" i="8"/>
  <c r="AD143" i="8"/>
  <c r="O93" i="9" s="1"/>
  <c r="T143" i="8"/>
  <c r="Q143" i="8"/>
  <c r="DD93" i="6" s="1"/>
  <c r="BA142" i="8"/>
  <c r="AT142" i="8"/>
  <c r="AR142" i="8"/>
  <c r="AQ142" i="8"/>
  <c r="AG142" i="8"/>
  <c r="AE142" i="8"/>
  <c r="AD142" i="8"/>
  <c r="T142" i="8"/>
  <c r="Q142" i="8"/>
  <c r="BA141" i="8"/>
  <c r="AT141" i="8"/>
  <c r="AQ141" i="8"/>
  <c r="AG141" i="8"/>
  <c r="AD141" i="8"/>
  <c r="T141" i="8"/>
  <c r="Q141" i="8"/>
  <c r="BA140" i="8"/>
  <c r="AT140" i="8"/>
  <c r="AR140" i="8"/>
  <c r="AS140" i="8" s="1"/>
  <c r="AU140" i="8" s="1"/>
  <c r="AD140" i="8"/>
  <c r="Q140" i="8"/>
  <c r="BA139" i="8"/>
  <c r="AT139" i="8"/>
  <c r="AQ139" i="8"/>
  <c r="AG139" i="8"/>
  <c r="AE139" i="8"/>
  <c r="AD139" i="8"/>
  <c r="BA137" i="8"/>
  <c r="AT137" i="8"/>
  <c r="AQ137" i="8"/>
  <c r="AG137" i="8"/>
  <c r="AD137" i="8"/>
  <c r="T137" i="8"/>
  <c r="Q137" i="8"/>
  <c r="R137" i="8" s="1"/>
  <c r="S137" i="8" s="1"/>
  <c r="U137" i="8" s="1"/>
  <c r="BA136" i="8"/>
  <c r="AT136" i="8"/>
  <c r="AR136" i="8"/>
  <c r="AQ136" i="8"/>
  <c r="AS136" i="8" s="1"/>
  <c r="AU136" i="8" s="1"/>
  <c r="AG136" i="8"/>
  <c r="AD136" i="8"/>
  <c r="AE136" i="8" s="1"/>
  <c r="T136" i="8"/>
  <c r="Q136" i="8"/>
  <c r="BA135" i="8"/>
  <c r="AT135" i="8"/>
  <c r="AQ135" i="8"/>
  <c r="AG135" i="8"/>
  <c r="AD135" i="8"/>
  <c r="AE135" i="8" s="1"/>
  <c r="T135" i="8"/>
  <c r="Q135" i="8"/>
  <c r="BA134" i="8"/>
  <c r="AT134" i="8"/>
  <c r="AR134" i="8"/>
  <c r="AQ134" i="8"/>
  <c r="AS134" i="8" s="1"/>
  <c r="AU134" i="8" s="1"/>
  <c r="AG134" i="8"/>
  <c r="AD134" i="8"/>
  <c r="AE134" i="8" s="1"/>
  <c r="T134" i="8"/>
  <c r="Q134" i="8"/>
  <c r="R134" i="8" s="1"/>
  <c r="S134" i="8" s="1"/>
  <c r="U134" i="8" s="1"/>
  <c r="BA129" i="8"/>
  <c r="AT129" i="8"/>
  <c r="AQ129" i="8"/>
  <c r="AR129" i="8" s="1"/>
  <c r="AS129" i="8" s="1"/>
  <c r="AU129" i="8" s="1"/>
  <c r="AG129" i="8"/>
  <c r="AD129" i="8"/>
  <c r="AE129" i="8" s="1"/>
  <c r="T129" i="8"/>
  <c r="R129" i="8"/>
  <c r="Q129" i="8"/>
  <c r="BA128" i="8"/>
  <c r="AT128" i="8"/>
  <c r="AQ128" i="8"/>
  <c r="AR128" i="8" s="1"/>
  <c r="AG128" i="8"/>
  <c r="AD128" i="8"/>
  <c r="T128" i="8"/>
  <c r="Q128" i="8"/>
  <c r="BA127" i="8"/>
  <c r="AT127" i="8"/>
  <c r="AQ127" i="8"/>
  <c r="AG127" i="8"/>
  <c r="AD127" i="8"/>
  <c r="T127" i="8"/>
  <c r="Q127" i="8"/>
  <c r="AT126" i="8"/>
  <c r="AQ126" i="8"/>
  <c r="AG126" i="8"/>
  <c r="AD126" i="8"/>
  <c r="AE126" i="8" s="1"/>
  <c r="T126" i="8"/>
  <c r="Q126" i="8"/>
  <c r="BA125" i="8"/>
  <c r="AT125" i="8"/>
  <c r="AQ125" i="8"/>
  <c r="AR125" i="8" s="1"/>
  <c r="AS125" i="8" s="1"/>
  <c r="AU125" i="8" s="1"/>
  <c r="AG125" i="8"/>
  <c r="AD125" i="8"/>
  <c r="T125" i="8"/>
  <c r="Q125" i="8"/>
  <c r="R125" i="8" s="1"/>
  <c r="BA124" i="8"/>
  <c r="AT124" i="8"/>
  <c r="AQ124" i="8"/>
  <c r="AG124" i="8"/>
  <c r="AE124" i="8"/>
  <c r="AD124" i="8"/>
  <c r="T124" i="8"/>
  <c r="Q124" i="8"/>
  <c r="R124" i="8" s="1"/>
  <c r="S124" i="8" s="1"/>
  <c r="BA123" i="8"/>
  <c r="AT123" i="8"/>
  <c r="AQ123" i="8"/>
  <c r="AG123" i="8"/>
  <c r="AD123" i="8"/>
  <c r="T123" i="8"/>
  <c r="Q123" i="8"/>
  <c r="BA120" i="8"/>
  <c r="AT120" i="8"/>
  <c r="AQ120" i="8"/>
  <c r="AG120" i="8"/>
  <c r="AD120" i="8"/>
  <c r="T120" i="8"/>
  <c r="Q120" i="8"/>
  <c r="R120" i="8" s="1"/>
  <c r="BA119" i="8"/>
  <c r="AT119" i="8"/>
  <c r="AQ119" i="8"/>
  <c r="AG119" i="8"/>
  <c r="AD119" i="8"/>
  <c r="AE119" i="8" s="1"/>
  <c r="AF119" i="8" s="1"/>
  <c r="AH119" i="8" s="1"/>
  <c r="T119" i="8"/>
  <c r="Q119" i="8"/>
  <c r="BA118" i="8"/>
  <c r="AT118" i="8"/>
  <c r="AR118" i="8"/>
  <c r="AQ118" i="8"/>
  <c r="AG118" i="8"/>
  <c r="AD118" i="8"/>
  <c r="T118" i="8"/>
  <c r="Q118" i="8"/>
  <c r="BA117" i="8"/>
  <c r="AT117" i="8"/>
  <c r="AQ117" i="8"/>
  <c r="AG117" i="8"/>
  <c r="AD117" i="8"/>
  <c r="AE117" i="8" s="1"/>
  <c r="AF117" i="8" s="1"/>
  <c r="AH117" i="8" s="1"/>
  <c r="T117" i="8"/>
  <c r="Q117" i="8"/>
  <c r="R117" i="8" s="1"/>
  <c r="S117" i="8" s="1"/>
  <c r="BA116" i="8"/>
  <c r="AT116" i="8"/>
  <c r="AQ116" i="8"/>
  <c r="AR116" i="8" s="1"/>
  <c r="AG116" i="8"/>
  <c r="AD116" i="8"/>
  <c r="AE116" i="8" s="1"/>
  <c r="T116" i="8"/>
  <c r="Q116" i="8"/>
  <c r="BA115" i="8"/>
  <c r="AT115" i="8"/>
  <c r="AQ115" i="8"/>
  <c r="AR115" i="8" s="1"/>
  <c r="AG115" i="8"/>
  <c r="AD115" i="8"/>
  <c r="AE115" i="8" s="1"/>
  <c r="T115" i="8"/>
  <c r="Q115" i="8"/>
  <c r="R115" i="8" s="1"/>
  <c r="S115" i="8" s="1"/>
  <c r="U115" i="8" s="1"/>
  <c r="BA114" i="8"/>
  <c r="AT114" i="8"/>
  <c r="AQ114" i="8"/>
  <c r="AR114" i="8" s="1"/>
  <c r="AS114" i="8" s="1"/>
  <c r="AU114" i="8" s="1"/>
  <c r="AG114" i="8"/>
  <c r="AD114" i="8"/>
  <c r="AE114" i="8" s="1"/>
  <c r="T114" i="8"/>
  <c r="Q114" i="8"/>
  <c r="BA113" i="8"/>
  <c r="AT113" i="8"/>
  <c r="AQ113" i="8"/>
  <c r="AG113" i="8"/>
  <c r="AD113" i="8"/>
  <c r="AE113" i="8" s="1"/>
  <c r="AF113" i="8" s="1"/>
  <c r="AH113" i="8" s="1"/>
  <c r="T113" i="8"/>
  <c r="Q113" i="8"/>
  <c r="BA112" i="8"/>
  <c r="AT112" i="8"/>
  <c r="AQ112" i="8"/>
  <c r="AG112" i="8"/>
  <c r="AD112" i="8"/>
  <c r="AE112" i="8" s="1"/>
  <c r="AF112" i="8" s="1"/>
  <c r="T112" i="8"/>
  <c r="Q112" i="8"/>
  <c r="R112" i="8" s="1"/>
  <c r="S112" i="8" s="1"/>
  <c r="U112" i="8" s="1"/>
  <c r="BA111" i="8"/>
  <c r="AT111" i="8"/>
  <c r="AQ111" i="8"/>
  <c r="AG111" i="8"/>
  <c r="AE111" i="8"/>
  <c r="AF111" i="8" s="1"/>
  <c r="AH111" i="8" s="1"/>
  <c r="T111" i="8"/>
  <c r="Q111" i="8"/>
  <c r="BA109" i="8"/>
  <c r="AT109" i="8"/>
  <c r="AQ109" i="8"/>
  <c r="AG109" i="8"/>
  <c r="AE109" i="8"/>
  <c r="AD109" i="8"/>
  <c r="T109" i="8"/>
  <c r="R109" i="8"/>
  <c r="Q109" i="8"/>
  <c r="BA108" i="8"/>
  <c r="AT108" i="8"/>
  <c r="AR108" i="8"/>
  <c r="AQ108" i="8"/>
  <c r="AG108" i="8"/>
  <c r="AD108" i="8"/>
  <c r="T108" i="8"/>
  <c r="Q108" i="8"/>
  <c r="BA105" i="8"/>
  <c r="AT105" i="8"/>
  <c r="AR105" i="8"/>
  <c r="AQ105" i="8"/>
  <c r="AG105" i="8"/>
  <c r="AD105" i="8"/>
  <c r="T105" i="8"/>
  <c r="Q105" i="8"/>
  <c r="R105" i="8" s="1"/>
  <c r="S105" i="8" s="1"/>
  <c r="BA104" i="8"/>
  <c r="AT104" i="8"/>
  <c r="AR104" i="8"/>
  <c r="AQ104" i="8"/>
  <c r="AG104" i="8"/>
  <c r="AE104" i="8"/>
  <c r="AD104" i="8"/>
  <c r="T104" i="8"/>
  <c r="R104" i="8"/>
  <c r="Q104" i="8"/>
  <c r="BA103" i="8"/>
  <c r="AT103" i="8"/>
  <c r="AQ103" i="8"/>
  <c r="AG103" i="8"/>
  <c r="AD103" i="8"/>
  <c r="AE103" i="8" s="1"/>
  <c r="T103" i="8"/>
  <c r="Q103" i="8"/>
  <c r="R103" i="8" s="1"/>
  <c r="BA102" i="8"/>
  <c r="AT102" i="8"/>
  <c r="AQ102" i="8"/>
  <c r="AG102" i="8"/>
  <c r="AD102" i="8"/>
  <c r="T102" i="8"/>
  <c r="Q102" i="8"/>
  <c r="R102" i="8" s="1"/>
  <c r="BA101" i="8"/>
  <c r="AT101" i="8"/>
  <c r="AQ101" i="8"/>
  <c r="AG101" i="8"/>
  <c r="AD101" i="8"/>
  <c r="T101" i="8"/>
  <c r="Q101" i="8"/>
  <c r="BA100" i="8"/>
  <c r="AT100" i="8"/>
  <c r="AQ100" i="8"/>
  <c r="AG100" i="8"/>
  <c r="AD100" i="8"/>
  <c r="T100" i="8"/>
  <c r="Q100" i="8"/>
  <c r="BA99" i="8"/>
  <c r="AT99" i="8"/>
  <c r="AQ99" i="8"/>
  <c r="AR99" i="8" s="1"/>
  <c r="AS99" i="8" s="1"/>
  <c r="AU99" i="8" s="1"/>
  <c r="AG99" i="8"/>
  <c r="AD99" i="8"/>
  <c r="T99" i="8"/>
  <c r="Q99" i="8"/>
  <c r="R99" i="8" s="1"/>
  <c r="S99" i="8" s="1"/>
  <c r="BA98" i="8"/>
  <c r="AT98" i="8"/>
  <c r="AQ98" i="8"/>
  <c r="AG98" i="8"/>
  <c r="AD98" i="8"/>
  <c r="T98" i="8"/>
  <c r="Q98" i="8"/>
  <c r="BA97" i="8"/>
  <c r="AT97" i="8"/>
  <c r="AQ97" i="8"/>
  <c r="AG97" i="8"/>
  <c r="AD97" i="8"/>
  <c r="AE97" i="8" s="1"/>
  <c r="T97" i="8"/>
  <c r="Q97" i="8"/>
  <c r="S97" i="8" s="1"/>
  <c r="BA96" i="8"/>
  <c r="AT96" i="8"/>
  <c r="AQ96" i="8"/>
  <c r="AG96" i="8"/>
  <c r="AD96" i="8"/>
  <c r="AE96" i="8" s="1"/>
  <c r="T96" i="8"/>
  <c r="Q96" i="8"/>
  <c r="R96" i="8" s="1"/>
  <c r="BA95" i="8"/>
  <c r="AT95" i="8"/>
  <c r="AQ95" i="8"/>
  <c r="AR95" i="8" s="1"/>
  <c r="AS95" i="8" s="1"/>
  <c r="AU95" i="8" s="1"/>
  <c r="AG95" i="8"/>
  <c r="AD95" i="8"/>
  <c r="T95" i="8"/>
  <c r="Q95" i="8"/>
  <c r="BA94" i="8"/>
  <c r="AT94" i="8"/>
  <c r="AQ94" i="8"/>
  <c r="AR94" i="8" s="1"/>
  <c r="AS94" i="8" s="1"/>
  <c r="AU94" i="8" s="1"/>
  <c r="AG94" i="8"/>
  <c r="AD94" i="8"/>
  <c r="T94" i="8"/>
  <c r="Q94" i="8"/>
  <c r="BA93" i="8"/>
  <c r="AT93" i="8"/>
  <c r="AQ93" i="8"/>
  <c r="AG93" i="8"/>
  <c r="AD93" i="8"/>
  <c r="T93" i="8"/>
  <c r="Q93" i="8"/>
  <c r="BA92" i="8"/>
  <c r="AT92" i="8"/>
  <c r="AQ92" i="8"/>
  <c r="AG92" i="8"/>
  <c r="AD92" i="8"/>
  <c r="AE92" i="8" s="1"/>
  <c r="AF92" i="8" s="1"/>
  <c r="AH92" i="8" s="1"/>
  <c r="T92" i="8"/>
  <c r="Q92" i="8"/>
  <c r="BA91" i="8"/>
  <c r="AT91" i="8"/>
  <c r="AQ91" i="8"/>
  <c r="AG91" i="8"/>
  <c r="AD91" i="8"/>
  <c r="AE91" i="8" s="1"/>
  <c r="T91" i="8"/>
  <c r="Q91" i="8"/>
  <c r="BA90" i="8"/>
  <c r="AT90" i="8"/>
  <c r="AQ90" i="8"/>
  <c r="AR90" i="8" s="1"/>
  <c r="AS90" i="8" s="1"/>
  <c r="AU90" i="8" s="1"/>
  <c r="AG90" i="8"/>
  <c r="AD90" i="8"/>
  <c r="AE90" i="8" s="1"/>
  <c r="AF90" i="8" s="1"/>
  <c r="AH90" i="8" s="1"/>
  <c r="T90" i="8"/>
  <c r="Q90" i="8"/>
  <c r="BA89" i="8"/>
  <c r="AT89" i="8"/>
  <c r="AQ89" i="8"/>
  <c r="DH24" i="6" s="1"/>
  <c r="AG89" i="8"/>
  <c r="AD89" i="8"/>
  <c r="T89" i="8"/>
  <c r="Q89" i="8"/>
  <c r="DD24" i="6" s="1"/>
  <c r="BA88" i="8"/>
  <c r="AT88" i="8"/>
  <c r="AQ88" i="8"/>
  <c r="AG88" i="8"/>
  <c r="AD88" i="8"/>
  <c r="T88" i="8"/>
  <c r="Q88" i="8"/>
  <c r="BA86" i="8"/>
  <c r="AT86" i="8"/>
  <c r="AQ86" i="8"/>
  <c r="AR86" i="8" s="1"/>
  <c r="AS86" i="8" s="1"/>
  <c r="AU86" i="8" s="1"/>
  <c r="AG86" i="8"/>
  <c r="AD86" i="8"/>
  <c r="T86" i="8"/>
  <c r="Q86" i="8"/>
  <c r="BA83" i="8"/>
  <c r="AT83" i="8"/>
  <c r="AQ83" i="8"/>
  <c r="AG83" i="8"/>
  <c r="AD83" i="8"/>
  <c r="T83" i="8"/>
  <c r="Q83" i="8"/>
  <c r="R83" i="8" s="1"/>
  <c r="S83" i="8" s="1"/>
  <c r="BA76" i="8"/>
  <c r="AG76" i="8"/>
  <c r="AD76" i="8"/>
  <c r="AE76" i="8" s="1"/>
  <c r="AF76" i="8" s="1"/>
  <c r="AH76" i="8" s="1"/>
  <c r="T76" i="8"/>
  <c r="Q76" i="8"/>
  <c r="R76" i="8" s="1"/>
  <c r="BA75" i="8"/>
  <c r="AG75" i="8"/>
  <c r="AD75" i="8"/>
  <c r="AE75" i="8" s="1"/>
  <c r="AF75" i="8" s="1"/>
  <c r="T75" i="8"/>
  <c r="Q75" i="8"/>
  <c r="BA74" i="8"/>
  <c r="AG74" i="8"/>
  <c r="AD74" i="8"/>
  <c r="AE74" i="8" s="1"/>
  <c r="T74" i="8"/>
  <c r="Q74" i="8"/>
  <c r="BA73" i="8"/>
  <c r="AT73" i="8"/>
  <c r="AQ73" i="8"/>
  <c r="AG73" i="8"/>
  <c r="AD73" i="8"/>
  <c r="AE73" i="8" s="1"/>
  <c r="AF73" i="8" s="1"/>
  <c r="AH73" i="8" s="1"/>
  <c r="T73" i="8"/>
  <c r="R73" i="8"/>
  <c r="S73" i="8" s="1"/>
  <c r="U73" i="8" s="1"/>
  <c r="BA69" i="8"/>
  <c r="AT69" i="8"/>
  <c r="AQ69" i="8"/>
  <c r="AR69" i="8" s="1"/>
  <c r="AS69" i="8" s="1"/>
  <c r="AU69" i="8" s="1"/>
  <c r="AG69" i="8"/>
  <c r="AD69" i="8"/>
  <c r="T69" i="8"/>
  <c r="Q69" i="8"/>
  <c r="R69" i="8" s="1"/>
  <c r="S69" i="8" s="1"/>
  <c r="BA67" i="8"/>
  <c r="AG67" i="8"/>
  <c r="AD67" i="8"/>
  <c r="T67" i="8"/>
  <c r="Q67" i="8"/>
  <c r="R67" i="8" s="1"/>
  <c r="S67" i="8" s="1"/>
  <c r="U67" i="8" s="1"/>
  <c r="BA66" i="8"/>
  <c r="AG66" i="8"/>
  <c r="AD66" i="8"/>
  <c r="T66" i="8"/>
  <c r="Q66" i="8"/>
  <c r="BA65" i="8"/>
  <c r="AT65" i="8"/>
  <c r="AQ65" i="8"/>
  <c r="AR65" i="8" s="1"/>
  <c r="AS65" i="8" s="1"/>
  <c r="AU65" i="8" s="1"/>
  <c r="AG65" i="8"/>
  <c r="AD65" i="8"/>
  <c r="T65" i="8"/>
  <c r="Q65" i="8"/>
  <c r="R65" i="8" s="1"/>
  <c r="S65" i="8" s="1"/>
  <c r="BA60" i="8"/>
  <c r="AT60" i="8"/>
  <c r="AQ60" i="8"/>
  <c r="AG60" i="8"/>
  <c r="AD60" i="8"/>
  <c r="AE60" i="8" s="1"/>
  <c r="AF60" i="8" s="1"/>
  <c r="AH60" i="8" s="1"/>
  <c r="T60" i="8"/>
  <c r="Q60" i="8"/>
  <c r="BA59" i="8"/>
  <c r="AT59" i="8"/>
  <c r="AQ59" i="8"/>
  <c r="AG59" i="8"/>
  <c r="AD59" i="8"/>
  <c r="T59" i="8"/>
  <c r="Q59" i="8"/>
  <c r="BA58" i="8"/>
  <c r="AT58" i="8"/>
  <c r="AQ58" i="8"/>
  <c r="AG58" i="8"/>
  <c r="AD58" i="8"/>
  <c r="T58" i="8"/>
  <c r="Q58" i="8"/>
  <c r="BA56" i="8"/>
  <c r="AG56" i="8"/>
  <c r="AD56" i="8"/>
  <c r="T56" i="8"/>
  <c r="Q56" i="8"/>
  <c r="R56" i="8" s="1"/>
  <c r="S56" i="8" s="1"/>
  <c r="BA55" i="8"/>
  <c r="AT55" i="8"/>
  <c r="AQ55" i="8"/>
  <c r="AG55" i="8"/>
  <c r="AD55" i="8"/>
  <c r="T55" i="8"/>
  <c r="Q55" i="8"/>
  <c r="R55" i="8" s="1"/>
  <c r="S55" i="8" s="1"/>
  <c r="BA54" i="8"/>
  <c r="AT54" i="8"/>
  <c r="AQ54" i="8"/>
  <c r="AR54" i="8" s="1"/>
  <c r="AG54" i="8"/>
  <c r="AD54" i="8"/>
  <c r="T54" i="8"/>
  <c r="Q54" i="8"/>
  <c r="BA51" i="8"/>
  <c r="AT51" i="8"/>
  <c r="AQ51" i="8"/>
  <c r="AR51" i="8" s="1"/>
  <c r="AG51" i="8"/>
  <c r="AD51" i="8"/>
  <c r="T51" i="8"/>
  <c r="Q51" i="8"/>
  <c r="R51" i="8" s="1"/>
  <c r="S51" i="8" s="1"/>
  <c r="U51" i="8" s="1"/>
  <c r="BA46" i="8"/>
  <c r="AT46" i="8"/>
  <c r="AQ46" i="8"/>
  <c r="AG46" i="8"/>
  <c r="AD46" i="8"/>
  <c r="T46" i="8"/>
  <c r="Q46" i="8"/>
  <c r="BA27" i="8"/>
  <c r="AT27" i="8"/>
  <c r="AQ27" i="8"/>
  <c r="AG27" i="8"/>
  <c r="AD27" i="8"/>
  <c r="T27" i="8"/>
  <c r="Q27" i="8"/>
  <c r="BA20" i="8"/>
  <c r="AT20" i="8"/>
  <c r="AR20" i="8"/>
  <c r="AQ20" i="8"/>
  <c r="AG20" i="8"/>
  <c r="AE20" i="8"/>
  <c r="AD20" i="8"/>
  <c r="T20" i="8"/>
  <c r="R20" i="8"/>
  <c r="S20" i="8" s="1"/>
  <c r="U20" i="8" s="1"/>
  <c r="BA19" i="8"/>
  <c r="AT19" i="8"/>
  <c r="AQ19" i="8"/>
  <c r="AG19" i="8"/>
  <c r="AD19" i="8"/>
  <c r="AE19" i="8" s="1"/>
  <c r="T19" i="8"/>
  <c r="Q19" i="8"/>
  <c r="R19" i="8" s="1"/>
  <c r="BA18" i="8"/>
  <c r="AQ18" i="8"/>
  <c r="DH256" i="6" s="1"/>
  <c r="AD18" i="8"/>
  <c r="O262" i="9" s="1"/>
  <c r="Q18" i="8"/>
  <c r="BA17" i="8"/>
  <c r="AQ17" i="8"/>
  <c r="AG17" i="8"/>
  <c r="AD17" i="8"/>
  <c r="Q17" i="8"/>
  <c r="BA16" i="8"/>
  <c r="AD16" i="8"/>
  <c r="Q16" i="8"/>
  <c r="R16" i="8" s="1"/>
  <c r="BA15" i="8"/>
  <c r="AQ15" i="8"/>
  <c r="DH255" i="6" s="1"/>
  <c r="AD15" i="8"/>
  <c r="O255" i="6" s="1"/>
  <c r="R255" i="6" s="1"/>
  <c r="Q15" i="8"/>
  <c r="DD255" i="6" s="1"/>
  <c r="BA14" i="8"/>
  <c r="AT14" i="8"/>
  <c r="AQ14" i="8"/>
  <c r="AR14" i="8" s="1"/>
  <c r="AS14" i="8" s="1"/>
  <c r="AU14" i="8" s="1"/>
  <c r="AG14" i="8"/>
  <c r="AD14" i="8"/>
  <c r="T14" i="8"/>
  <c r="Q14" i="8"/>
  <c r="R14" i="8" s="1"/>
  <c r="S14" i="8" s="1"/>
  <c r="BA12" i="8"/>
  <c r="AT12" i="8"/>
  <c r="AQ12" i="8"/>
  <c r="DH96" i="6" s="1"/>
  <c r="AG12" i="8"/>
  <c r="AD12" i="8"/>
  <c r="T12" i="8"/>
  <c r="Q12" i="8"/>
  <c r="DD96" i="6" s="1"/>
  <c r="BA11" i="8"/>
  <c r="AT11" i="8"/>
  <c r="AR11" i="8"/>
  <c r="AQ11" i="8"/>
  <c r="AG11" i="8"/>
  <c r="AD11" i="8"/>
  <c r="AE11" i="8" s="1"/>
  <c r="T11" i="8"/>
  <c r="Q11" i="8"/>
  <c r="BA10" i="8"/>
  <c r="AT10" i="8"/>
  <c r="AR10" i="8"/>
  <c r="AQ10" i="8"/>
  <c r="DH19" i="6" s="1"/>
  <c r="AG10" i="8"/>
  <c r="AE10" i="8"/>
  <c r="AD10" i="8"/>
  <c r="T10" i="8"/>
  <c r="Q10" i="8"/>
  <c r="DD19" i="6" s="1"/>
  <c r="BA9" i="8"/>
  <c r="AT9" i="8"/>
  <c r="AR9" i="8"/>
  <c r="AQ9" i="8"/>
  <c r="AG9" i="8"/>
  <c r="AD9" i="8"/>
  <c r="AE9" i="8" s="1"/>
  <c r="AF9" i="8" s="1"/>
  <c r="AH9" i="8" s="1"/>
  <c r="T9" i="8"/>
  <c r="Q9" i="8"/>
  <c r="R9" i="8" s="1"/>
  <c r="BA8" i="8"/>
  <c r="AT8" i="8"/>
  <c r="AQ8" i="8"/>
  <c r="AR8" i="8" s="1"/>
  <c r="AS8" i="8" s="1"/>
  <c r="AU8" i="8" s="1"/>
  <c r="AG8" i="8"/>
  <c r="AE8" i="8"/>
  <c r="AF8" i="8" s="1"/>
  <c r="AH8" i="8" s="1"/>
  <c r="T8" i="8"/>
  <c r="Q8" i="8"/>
  <c r="BA7" i="8"/>
  <c r="AT7" i="8"/>
  <c r="AQ7" i="8"/>
  <c r="AG7" i="8"/>
  <c r="AE7" i="8"/>
  <c r="AD7" i="8"/>
  <c r="T7" i="8"/>
  <c r="Q7" i="8"/>
  <c r="R7" i="8" s="1"/>
  <c r="BA6" i="8"/>
  <c r="AT6" i="8"/>
  <c r="AQ6" i="8"/>
  <c r="AG6" i="8"/>
  <c r="AD6" i="8"/>
  <c r="T6" i="8"/>
  <c r="Q6" i="8"/>
  <c r="BA5" i="8"/>
  <c r="AT5" i="8"/>
  <c r="AQ5" i="8"/>
  <c r="AR5" i="8" s="1"/>
  <c r="AS5" i="8" s="1"/>
  <c r="AU5" i="8" s="1"/>
  <c r="AG5" i="8"/>
  <c r="AD5" i="8"/>
  <c r="T5" i="8"/>
  <c r="Q5" i="8"/>
  <c r="S5" i="8" s="1"/>
  <c r="BA4" i="8"/>
  <c r="AT4" i="8"/>
  <c r="AQ4" i="8"/>
  <c r="AG4" i="8"/>
  <c r="AD4" i="8"/>
  <c r="AE4" i="8" s="1"/>
  <c r="AF4" i="8" s="1"/>
  <c r="AH4" i="8" s="1"/>
  <c r="T4" i="8"/>
  <c r="Q4" i="8"/>
  <c r="BA3" i="8"/>
  <c r="AT3" i="8"/>
  <c r="AQ3" i="8"/>
  <c r="AR3" i="8" s="1"/>
  <c r="AG3" i="8"/>
  <c r="AD3" i="8"/>
  <c r="T3" i="8"/>
  <c r="Q3" i="8"/>
  <c r="R3" i="8" s="1"/>
  <c r="S3" i="8" s="1"/>
  <c r="H277" i="7"/>
  <c r="K276" i="7"/>
  <c r="L276" i="7"/>
  <c r="K275" i="7"/>
  <c r="L275" i="7"/>
  <c r="K274" i="7"/>
  <c r="L274" i="7"/>
  <c r="K273" i="7"/>
  <c r="L273" i="7"/>
  <c r="K272" i="7"/>
  <c r="L272" i="7"/>
  <c r="K271" i="7"/>
  <c r="L271" i="7"/>
  <c r="H268" i="7"/>
  <c r="K11" i="7"/>
  <c r="I11" i="7"/>
  <c r="I8" i="7" s="1"/>
  <c r="E7" i="7"/>
  <c r="M273" i="7"/>
  <c r="J270" i="6"/>
  <c r="J269" i="6"/>
  <c r="J267" i="6"/>
  <c r="J266" i="6"/>
  <c r="DQ257" i="6"/>
  <c r="DP257" i="6"/>
  <c r="DO257" i="6"/>
  <c r="DN257" i="6"/>
  <c r="DM257" i="6"/>
  <c r="DL257" i="6"/>
  <c r="DK257" i="6"/>
  <c r="DJ257" i="6"/>
  <c r="X257" i="6"/>
  <c r="W257" i="6"/>
  <c r="Y257" i="6" s="1"/>
  <c r="R257" i="6"/>
  <c r="Q257" i="6"/>
  <c r="S257" i="6" s="1"/>
  <c r="L257" i="6"/>
  <c r="K257" i="6"/>
  <c r="M257" i="6" s="1"/>
  <c r="DK256" i="6"/>
  <c r="DJ256" i="6"/>
  <c r="T256" i="6"/>
  <c r="N256" i="6"/>
  <c r="H256" i="6"/>
  <c r="DK255" i="6"/>
  <c r="DJ255" i="6"/>
  <c r="T255" i="6"/>
  <c r="N255" i="6"/>
  <c r="H255" i="6"/>
  <c r="DN254" i="6"/>
  <c r="DJ254" i="6"/>
  <c r="T254" i="6"/>
  <c r="R254" i="6"/>
  <c r="P254" i="6"/>
  <c r="G254" i="6"/>
  <c r="DQ253" i="6"/>
  <c r="DP253" i="6"/>
  <c r="DO253" i="6"/>
  <c r="DN253" i="6"/>
  <c r="DM253" i="6"/>
  <c r="DL253" i="6"/>
  <c r="DK253" i="6"/>
  <c r="DJ253" i="6"/>
  <c r="X253" i="6"/>
  <c r="V253" i="6"/>
  <c r="W253" i="6" s="1"/>
  <c r="Y253" i="6" s="1"/>
  <c r="R253" i="6"/>
  <c r="P253" i="6"/>
  <c r="Q253" i="6" s="1"/>
  <c r="S253" i="6" s="1"/>
  <c r="L253" i="6"/>
  <c r="J253" i="6"/>
  <c r="K253" i="6" s="1"/>
  <c r="M253" i="6" s="1"/>
  <c r="DQ252" i="6"/>
  <c r="DP252" i="6"/>
  <c r="DO252" i="6"/>
  <c r="DN252" i="6"/>
  <c r="DM252" i="6"/>
  <c r="DL252" i="6"/>
  <c r="DJ252" i="6"/>
  <c r="X252" i="6"/>
  <c r="V252" i="6"/>
  <c r="W252" i="6" s="1"/>
  <c r="Y252" i="6" s="1"/>
  <c r="R252" i="6"/>
  <c r="P252" i="6"/>
  <c r="Q252" i="6" s="1"/>
  <c r="S252" i="6" s="1"/>
  <c r="L252" i="6"/>
  <c r="J252" i="6"/>
  <c r="K252" i="6" s="1"/>
  <c r="M252" i="6" s="1"/>
  <c r="DQ251" i="6"/>
  <c r="DP251" i="6"/>
  <c r="DO251" i="6"/>
  <c r="DN251" i="6"/>
  <c r="DM251" i="6"/>
  <c r="DL251" i="6"/>
  <c r="DK251" i="6"/>
  <c r="DJ251" i="6"/>
  <c r="X251" i="6"/>
  <c r="V251" i="6"/>
  <c r="W251" i="6" s="1"/>
  <c r="Y251" i="6" s="1"/>
  <c r="R251" i="6"/>
  <c r="P251" i="6"/>
  <c r="Q251" i="6" s="1"/>
  <c r="S251" i="6" s="1"/>
  <c r="L251" i="6"/>
  <c r="J251" i="6"/>
  <c r="K251" i="6" s="1"/>
  <c r="M251" i="6" s="1"/>
  <c r="DQ250" i="6"/>
  <c r="DP250" i="6"/>
  <c r="DO250" i="6"/>
  <c r="DN250" i="6"/>
  <c r="DM250" i="6"/>
  <c r="DL250" i="6"/>
  <c r="DK250" i="6"/>
  <c r="DJ250" i="6"/>
  <c r="X250" i="6"/>
  <c r="V250" i="6"/>
  <c r="W250" i="6" s="1"/>
  <c r="Y250" i="6" s="1"/>
  <c r="R250" i="6"/>
  <c r="P250" i="6"/>
  <c r="Q250" i="6" s="1"/>
  <c r="S250" i="6" s="1"/>
  <c r="L250" i="6"/>
  <c r="J250" i="6"/>
  <c r="K250" i="6" s="1"/>
  <c r="M250" i="6" s="1"/>
  <c r="DQ249" i="6"/>
  <c r="DP249" i="6"/>
  <c r="DO249" i="6"/>
  <c r="DN249" i="6"/>
  <c r="DM249" i="6"/>
  <c r="DL249" i="6"/>
  <c r="DK249" i="6"/>
  <c r="DJ249" i="6"/>
  <c r="X249" i="6"/>
  <c r="V249" i="6"/>
  <c r="W249" i="6" s="1"/>
  <c r="Y249" i="6" s="1"/>
  <c r="R249" i="6"/>
  <c r="P249" i="6"/>
  <c r="Q249" i="6" s="1"/>
  <c r="S249" i="6" s="1"/>
  <c r="L249" i="6"/>
  <c r="J249" i="6"/>
  <c r="K249" i="6" s="1"/>
  <c r="M249" i="6" s="1"/>
  <c r="DQ248" i="6"/>
  <c r="DP248" i="6"/>
  <c r="DO248" i="6"/>
  <c r="DN248" i="6"/>
  <c r="DM248" i="6"/>
  <c r="DL248" i="6"/>
  <c r="DK248" i="6"/>
  <c r="DJ248" i="6"/>
  <c r="X248" i="6"/>
  <c r="V248" i="6"/>
  <c r="W248" i="6" s="1"/>
  <c r="Y248" i="6" s="1"/>
  <c r="R248" i="6"/>
  <c r="P248" i="6"/>
  <c r="Q248" i="6" s="1"/>
  <c r="S248" i="6" s="1"/>
  <c r="L248" i="6"/>
  <c r="J248" i="6"/>
  <c r="K248" i="6" s="1"/>
  <c r="M248" i="6" s="1"/>
  <c r="DQ247" i="6"/>
  <c r="DP247" i="6"/>
  <c r="DO247" i="6"/>
  <c r="DN247" i="6"/>
  <c r="DM247" i="6"/>
  <c r="DL247" i="6"/>
  <c r="DK247" i="6"/>
  <c r="DJ247" i="6"/>
  <c r="X247" i="6"/>
  <c r="V247" i="6"/>
  <c r="W247" i="6" s="1"/>
  <c r="Y247" i="6" s="1"/>
  <c r="R247" i="6"/>
  <c r="P247" i="6"/>
  <c r="Q247" i="6" s="1"/>
  <c r="S247" i="6" s="1"/>
  <c r="L247" i="6"/>
  <c r="J247" i="6"/>
  <c r="K247" i="6" s="1"/>
  <c r="M247" i="6" s="1"/>
  <c r="DQ246" i="6"/>
  <c r="DP246" i="6"/>
  <c r="DO246" i="6"/>
  <c r="DN246" i="6"/>
  <c r="DM246" i="6"/>
  <c r="DL246" i="6"/>
  <c r="DK246" i="6"/>
  <c r="DJ246" i="6"/>
  <c r="X246" i="6"/>
  <c r="V246" i="6"/>
  <c r="W246" i="6" s="1"/>
  <c r="Y246" i="6" s="1"/>
  <c r="R246" i="6"/>
  <c r="P246" i="6"/>
  <c r="Q246" i="6" s="1"/>
  <c r="S246" i="6" s="1"/>
  <c r="L246" i="6"/>
  <c r="J246" i="6"/>
  <c r="K246" i="6" s="1"/>
  <c r="M246" i="6" s="1"/>
  <c r="DQ245" i="6"/>
  <c r="DP245" i="6"/>
  <c r="DO245" i="6"/>
  <c r="DN245" i="6"/>
  <c r="DM245" i="6"/>
  <c r="DL245" i="6"/>
  <c r="DK245" i="6"/>
  <c r="DJ245" i="6"/>
  <c r="X245" i="6"/>
  <c r="V245" i="6"/>
  <c r="W245" i="6" s="1"/>
  <c r="Y245" i="6" s="1"/>
  <c r="R245" i="6"/>
  <c r="P245" i="6"/>
  <c r="Q245" i="6" s="1"/>
  <c r="S245" i="6" s="1"/>
  <c r="L245" i="6"/>
  <c r="J245" i="6"/>
  <c r="K245" i="6" s="1"/>
  <c r="M245" i="6" s="1"/>
  <c r="DQ244" i="6"/>
  <c r="DP244" i="6"/>
  <c r="DO244" i="6"/>
  <c r="DN244" i="6"/>
  <c r="DM244" i="6"/>
  <c r="DL244" i="6"/>
  <c r="DK244" i="6"/>
  <c r="DJ244" i="6"/>
  <c r="X244" i="6"/>
  <c r="V244" i="6"/>
  <c r="W244" i="6" s="1"/>
  <c r="Y244" i="6" s="1"/>
  <c r="R244" i="6"/>
  <c r="P244" i="6"/>
  <c r="Q244" i="6" s="1"/>
  <c r="S244" i="6" s="1"/>
  <c r="L244" i="6"/>
  <c r="J244" i="6"/>
  <c r="K244" i="6" s="1"/>
  <c r="M244" i="6" s="1"/>
  <c r="DQ243" i="6"/>
  <c r="DP243" i="6"/>
  <c r="DO243" i="6"/>
  <c r="DN243" i="6"/>
  <c r="DM243" i="6"/>
  <c r="DL243" i="6"/>
  <c r="DK243" i="6"/>
  <c r="DJ243" i="6"/>
  <c r="X243" i="6"/>
  <c r="V243" i="6"/>
  <c r="W243" i="6" s="1"/>
  <c r="Y243" i="6" s="1"/>
  <c r="R243" i="6"/>
  <c r="P243" i="6"/>
  <c r="Q243" i="6" s="1"/>
  <c r="S243" i="6" s="1"/>
  <c r="L243" i="6"/>
  <c r="J243" i="6"/>
  <c r="K243" i="6" s="1"/>
  <c r="M243" i="6" s="1"/>
  <c r="DQ242" i="6"/>
  <c r="DP242" i="6"/>
  <c r="DO242" i="6"/>
  <c r="DN242" i="6"/>
  <c r="DM242" i="6"/>
  <c r="DL242" i="6"/>
  <c r="DK242" i="6"/>
  <c r="DJ242" i="6"/>
  <c r="X242" i="6"/>
  <c r="V242" i="6"/>
  <c r="W242" i="6" s="1"/>
  <c r="Y242" i="6" s="1"/>
  <c r="R242" i="6"/>
  <c r="Q242" i="6"/>
  <c r="S242" i="6" s="1"/>
  <c r="L242" i="6"/>
  <c r="K242" i="6"/>
  <c r="M242" i="6" s="1"/>
  <c r="DQ241" i="6"/>
  <c r="DP241" i="6"/>
  <c r="DO241" i="6"/>
  <c r="DN241" i="6"/>
  <c r="DM241" i="6"/>
  <c r="DL241" i="6"/>
  <c r="DK241" i="6"/>
  <c r="DJ241" i="6"/>
  <c r="X241" i="6"/>
  <c r="V241" i="6"/>
  <c r="W241" i="6" s="1"/>
  <c r="Y241" i="6" s="1"/>
  <c r="R241" i="6"/>
  <c r="P241" i="6"/>
  <c r="Q241" i="6" s="1"/>
  <c r="S241" i="6" s="1"/>
  <c r="L241" i="6"/>
  <c r="J241" i="6"/>
  <c r="K241" i="6" s="1"/>
  <c r="M241" i="6" s="1"/>
  <c r="DQ240" i="6"/>
  <c r="DP240" i="6"/>
  <c r="DO240" i="6"/>
  <c r="DN240" i="6"/>
  <c r="DM240" i="6"/>
  <c r="DL240" i="6"/>
  <c r="DK240" i="6"/>
  <c r="DJ240" i="6"/>
  <c r="X240" i="6"/>
  <c r="V240" i="6"/>
  <c r="W240" i="6" s="1"/>
  <c r="Y240" i="6" s="1"/>
  <c r="R240" i="6"/>
  <c r="P240" i="6"/>
  <c r="Q240" i="6" s="1"/>
  <c r="S240" i="6" s="1"/>
  <c r="L240" i="6"/>
  <c r="J240" i="6"/>
  <c r="K240" i="6" s="1"/>
  <c r="M240" i="6" s="1"/>
  <c r="DQ239" i="6"/>
  <c r="DP239" i="6"/>
  <c r="DO239" i="6"/>
  <c r="DN239" i="6"/>
  <c r="DM239" i="6"/>
  <c r="DL239" i="6"/>
  <c r="DK239" i="6"/>
  <c r="DJ239" i="6"/>
  <c r="X239" i="6"/>
  <c r="V239" i="6"/>
  <c r="W239" i="6" s="1"/>
  <c r="Y239" i="6" s="1"/>
  <c r="R239" i="6"/>
  <c r="P239" i="6"/>
  <c r="Q239" i="6" s="1"/>
  <c r="S239" i="6" s="1"/>
  <c r="L239" i="6"/>
  <c r="J239" i="6"/>
  <c r="K239" i="6" s="1"/>
  <c r="M239" i="6" s="1"/>
  <c r="DQ238" i="6"/>
  <c r="DP238" i="6"/>
  <c r="DO238" i="6"/>
  <c r="DN238" i="6"/>
  <c r="DM238" i="6"/>
  <c r="DL238" i="6"/>
  <c r="DK238" i="6"/>
  <c r="DJ238" i="6"/>
  <c r="X238" i="6"/>
  <c r="V238" i="6"/>
  <c r="W238" i="6" s="1"/>
  <c r="Y238" i="6" s="1"/>
  <c r="R238" i="6"/>
  <c r="P238" i="6"/>
  <c r="Q238" i="6" s="1"/>
  <c r="S238" i="6" s="1"/>
  <c r="L238" i="6"/>
  <c r="J238" i="6"/>
  <c r="K238" i="6" s="1"/>
  <c r="M238" i="6" s="1"/>
  <c r="DQ237" i="6"/>
  <c r="DP237" i="6"/>
  <c r="DO237" i="6"/>
  <c r="DN237" i="6"/>
  <c r="DM237" i="6"/>
  <c r="DL237" i="6"/>
  <c r="DK237" i="6"/>
  <c r="DJ237" i="6"/>
  <c r="X237" i="6"/>
  <c r="V237" i="6"/>
  <c r="W237" i="6" s="1"/>
  <c r="Y237" i="6" s="1"/>
  <c r="R237" i="6"/>
  <c r="P237" i="6"/>
  <c r="Q237" i="6" s="1"/>
  <c r="S237" i="6" s="1"/>
  <c r="L237" i="6"/>
  <c r="J237" i="6"/>
  <c r="K237" i="6" s="1"/>
  <c r="M237" i="6" s="1"/>
  <c r="DP236" i="6"/>
  <c r="DO236" i="6"/>
  <c r="DN236" i="6"/>
  <c r="DK236" i="6"/>
  <c r="DJ236" i="6"/>
  <c r="R236" i="6"/>
  <c r="P236" i="6"/>
  <c r="Q236" i="6" s="1"/>
  <c r="S236" i="6" s="1"/>
  <c r="DQ235" i="6"/>
  <c r="DP235" i="6"/>
  <c r="DO235" i="6"/>
  <c r="DN235" i="6"/>
  <c r="DM235" i="6"/>
  <c r="DL235" i="6"/>
  <c r="DK235" i="6"/>
  <c r="DJ235" i="6"/>
  <c r="X235" i="6"/>
  <c r="V235" i="6"/>
  <c r="W235" i="6" s="1"/>
  <c r="Y235" i="6" s="1"/>
  <c r="R235" i="6"/>
  <c r="P235" i="6"/>
  <c r="Q235" i="6" s="1"/>
  <c r="S235" i="6" s="1"/>
  <c r="L235" i="6"/>
  <c r="J235" i="6"/>
  <c r="K235" i="6" s="1"/>
  <c r="M235" i="6" s="1"/>
  <c r="DQ234" i="6"/>
  <c r="DP234" i="6"/>
  <c r="DO234" i="6"/>
  <c r="DN234" i="6"/>
  <c r="DM234" i="6"/>
  <c r="DL234" i="6"/>
  <c r="DK234" i="6"/>
  <c r="DJ234" i="6"/>
  <c r="X234" i="6"/>
  <c r="V234" i="6"/>
  <c r="W234" i="6" s="1"/>
  <c r="Y234" i="6" s="1"/>
  <c r="R234" i="6"/>
  <c r="P234" i="6"/>
  <c r="Q234" i="6" s="1"/>
  <c r="S234" i="6" s="1"/>
  <c r="L234" i="6"/>
  <c r="J234" i="6"/>
  <c r="K234" i="6" s="1"/>
  <c r="M234" i="6" s="1"/>
  <c r="DQ233" i="6"/>
  <c r="DP233" i="6"/>
  <c r="DO233" i="6"/>
  <c r="DN233" i="6"/>
  <c r="DM233" i="6"/>
  <c r="DL233" i="6"/>
  <c r="DK233" i="6"/>
  <c r="DJ233" i="6"/>
  <c r="X233" i="6"/>
  <c r="V233" i="6"/>
  <c r="W233" i="6" s="1"/>
  <c r="Y233" i="6" s="1"/>
  <c r="R233" i="6"/>
  <c r="P233" i="6"/>
  <c r="Q233" i="6" s="1"/>
  <c r="S233" i="6" s="1"/>
  <c r="L233" i="6"/>
  <c r="J233" i="6"/>
  <c r="K233" i="6" s="1"/>
  <c r="M233" i="6" s="1"/>
  <c r="DQ232" i="6"/>
  <c r="DP232" i="6"/>
  <c r="DO232" i="6"/>
  <c r="DN232" i="6"/>
  <c r="DM232" i="6"/>
  <c r="DL232" i="6"/>
  <c r="DJ232" i="6"/>
  <c r="X232" i="6"/>
  <c r="V232" i="6"/>
  <c r="W232" i="6" s="1"/>
  <c r="Y232" i="6" s="1"/>
  <c r="R232" i="6"/>
  <c r="S232" i="6"/>
  <c r="L232" i="6"/>
  <c r="J232" i="6"/>
  <c r="K232" i="6" s="1"/>
  <c r="M232" i="6" s="1"/>
  <c r="DQ231" i="6"/>
  <c r="DP231" i="6"/>
  <c r="DO231" i="6"/>
  <c r="DN231" i="6"/>
  <c r="DM231" i="6"/>
  <c r="DL231" i="6"/>
  <c r="DK231" i="6"/>
  <c r="DJ231" i="6"/>
  <c r="X231" i="6"/>
  <c r="V231" i="6"/>
  <c r="W231" i="6" s="1"/>
  <c r="Y231" i="6" s="1"/>
  <c r="R231" i="6"/>
  <c r="P231" i="6"/>
  <c r="Q231" i="6" s="1"/>
  <c r="S231" i="6" s="1"/>
  <c r="L231" i="6"/>
  <c r="J231" i="6"/>
  <c r="K231" i="6" s="1"/>
  <c r="M231" i="6" s="1"/>
  <c r="DQ230" i="6"/>
  <c r="DP230" i="6"/>
  <c r="DO230" i="6"/>
  <c r="DN230" i="6"/>
  <c r="DM230" i="6"/>
  <c r="DL230" i="6"/>
  <c r="DK230" i="6"/>
  <c r="DJ230" i="6"/>
  <c r="X230" i="6"/>
  <c r="V230" i="6"/>
  <c r="W230" i="6" s="1"/>
  <c r="Y230" i="6" s="1"/>
  <c r="R230" i="6"/>
  <c r="P230" i="6"/>
  <c r="Q230" i="6" s="1"/>
  <c r="S230" i="6" s="1"/>
  <c r="L230" i="6"/>
  <c r="J230" i="6"/>
  <c r="K230" i="6" s="1"/>
  <c r="M230" i="6" s="1"/>
  <c r="DQ229" i="6"/>
  <c r="DP229" i="6"/>
  <c r="DO229" i="6"/>
  <c r="DN229" i="6"/>
  <c r="DM229" i="6"/>
  <c r="DL229" i="6"/>
  <c r="DK229" i="6"/>
  <c r="DJ229" i="6"/>
  <c r="X229" i="6"/>
  <c r="V229" i="6"/>
  <c r="W229" i="6" s="1"/>
  <c r="Y229" i="6" s="1"/>
  <c r="R229" i="6"/>
  <c r="P229" i="6"/>
  <c r="Q229" i="6" s="1"/>
  <c r="S229" i="6" s="1"/>
  <c r="L229" i="6"/>
  <c r="J229" i="6"/>
  <c r="K229" i="6" s="1"/>
  <c r="M229" i="6" s="1"/>
  <c r="DP228" i="6"/>
  <c r="DN228" i="6"/>
  <c r="DM228" i="6"/>
  <c r="DL228" i="6"/>
  <c r="DK228" i="6"/>
  <c r="DJ228" i="6"/>
  <c r="R228" i="6"/>
  <c r="DQ227" i="6"/>
  <c r="DP227" i="6"/>
  <c r="DO227" i="6"/>
  <c r="DN227" i="6"/>
  <c r="DM227" i="6"/>
  <c r="DL227" i="6"/>
  <c r="DK227" i="6"/>
  <c r="DJ227" i="6"/>
  <c r="X227" i="6"/>
  <c r="V227" i="6"/>
  <c r="W227" i="6" s="1"/>
  <c r="Y227" i="6" s="1"/>
  <c r="R227" i="6"/>
  <c r="P227" i="6"/>
  <c r="Q227" i="6" s="1"/>
  <c r="S227" i="6" s="1"/>
  <c r="L227" i="6"/>
  <c r="J227" i="6"/>
  <c r="K227" i="6" s="1"/>
  <c r="M227" i="6" s="1"/>
  <c r="DQ226" i="6"/>
  <c r="DP226" i="6"/>
  <c r="DO226" i="6"/>
  <c r="DN226" i="6"/>
  <c r="DM226" i="6"/>
  <c r="DL226" i="6"/>
  <c r="DK226" i="6"/>
  <c r="DJ226" i="6"/>
  <c r="X226" i="6"/>
  <c r="V226" i="6"/>
  <c r="W226" i="6" s="1"/>
  <c r="Y226" i="6" s="1"/>
  <c r="R226" i="6"/>
  <c r="P226" i="6"/>
  <c r="Q226" i="6" s="1"/>
  <c r="S226" i="6" s="1"/>
  <c r="L226" i="6"/>
  <c r="J226" i="6"/>
  <c r="K226" i="6" s="1"/>
  <c r="M226" i="6" s="1"/>
  <c r="DQ225" i="6"/>
  <c r="DP225" i="6"/>
  <c r="DO225" i="6"/>
  <c r="DN225" i="6"/>
  <c r="DM225" i="6"/>
  <c r="DL225" i="6"/>
  <c r="DK225" i="6"/>
  <c r="DJ225" i="6"/>
  <c r="X225" i="6"/>
  <c r="V225" i="6"/>
  <c r="W225" i="6" s="1"/>
  <c r="Y225" i="6" s="1"/>
  <c r="R225" i="6"/>
  <c r="P225" i="6"/>
  <c r="Q225" i="6" s="1"/>
  <c r="S225" i="6" s="1"/>
  <c r="L225" i="6"/>
  <c r="J225" i="6"/>
  <c r="K225" i="6" s="1"/>
  <c r="M225" i="6" s="1"/>
  <c r="DQ224" i="6"/>
  <c r="DP224" i="6"/>
  <c r="DO224" i="6"/>
  <c r="DN224" i="6"/>
  <c r="DM224" i="6"/>
  <c r="DL224" i="6"/>
  <c r="DK224" i="6"/>
  <c r="DJ224" i="6"/>
  <c r="X224" i="6"/>
  <c r="V224" i="6"/>
  <c r="W224" i="6" s="1"/>
  <c r="Y224" i="6" s="1"/>
  <c r="R224" i="6"/>
  <c r="P224" i="6"/>
  <c r="Q224" i="6" s="1"/>
  <c r="S224" i="6" s="1"/>
  <c r="L224" i="6"/>
  <c r="J224" i="6"/>
  <c r="K224" i="6" s="1"/>
  <c r="M224" i="6" s="1"/>
  <c r="DQ223" i="6"/>
  <c r="DP223" i="6"/>
  <c r="DO223" i="6"/>
  <c r="DN223" i="6"/>
  <c r="DM223" i="6"/>
  <c r="DL223" i="6"/>
  <c r="DK223" i="6"/>
  <c r="DJ223" i="6"/>
  <c r="X223" i="6"/>
  <c r="V223" i="6"/>
  <c r="W223" i="6" s="1"/>
  <c r="Y223" i="6" s="1"/>
  <c r="R223" i="6"/>
  <c r="P223" i="6"/>
  <c r="Q223" i="6" s="1"/>
  <c r="S223" i="6" s="1"/>
  <c r="L223" i="6"/>
  <c r="J223" i="6"/>
  <c r="K223" i="6" s="1"/>
  <c r="M223" i="6" s="1"/>
  <c r="DQ222" i="6"/>
  <c r="DP222" i="6"/>
  <c r="DO222" i="6"/>
  <c r="DN222" i="6"/>
  <c r="DM222" i="6"/>
  <c r="DL222" i="6"/>
  <c r="DK222" i="6"/>
  <c r="DJ222" i="6"/>
  <c r="X222" i="6"/>
  <c r="V222" i="6"/>
  <c r="W222" i="6" s="1"/>
  <c r="Y222" i="6" s="1"/>
  <c r="R222" i="6"/>
  <c r="P222" i="6"/>
  <c r="Q222" i="6" s="1"/>
  <c r="S222" i="6" s="1"/>
  <c r="L222" i="6"/>
  <c r="J222" i="6"/>
  <c r="K222" i="6" s="1"/>
  <c r="M222" i="6" s="1"/>
  <c r="DQ221" i="6"/>
  <c r="DP221" i="6"/>
  <c r="DO221" i="6"/>
  <c r="DN221" i="6"/>
  <c r="DM221" i="6"/>
  <c r="DL221" i="6"/>
  <c r="DK221" i="6"/>
  <c r="DJ221" i="6"/>
  <c r="X221" i="6"/>
  <c r="V221" i="6"/>
  <c r="W221" i="6" s="1"/>
  <c r="Y221" i="6" s="1"/>
  <c r="R221" i="6"/>
  <c r="P221" i="6"/>
  <c r="Q221" i="6" s="1"/>
  <c r="S221" i="6" s="1"/>
  <c r="L221" i="6"/>
  <c r="J221" i="6"/>
  <c r="K221" i="6" s="1"/>
  <c r="M221" i="6" s="1"/>
  <c r="DQ220" i="6"/>
  <c r="DP220" i="6"/>
  <c r="DO220" i="6"/>
  <c r="DN220" i="6"/>
  <c r="DM220" i="6"/>
  <c r="DL220" i="6"/>
  <c r="DK220" i="6"/>
  <c r="DJ220" i="6"/>
  <c r="X220" i="6"/>
  <c r="V220" i="6"/>
  <c r="W220" i="6" s="1"/>
  <c r="Y220" i="6" s="1"/>
  <c r="R220" i="6"/>
  <c r="P220" i="6"/>
  <c r="Q220" i="6" s="1"/>
  <c r="S220" i="6" s="1"/>
  <c r="L220" i="6"/>
  <c r="J220" i="6"/>
  <c r="K220" i="6" s="1"/>
  <c r="M220" i="6" s="1"/>
  <c r="DQ219" i="6"/>
  <c r="DP219" i="6"/>
  <c r="DO219" i="6"/>
  <c r="DN219" i="6"/>
  <c r="DM219" i="6"/>
  <c r="DL219" i="6"/>
  <c r="DK219" i="6"/>
  <c r="DJ219" i="6"/>
  <c r="X219" i="6"/>
  <c r="V219" i="6"/>
  <c r="W219" i="6" s="1"/>
  <c r="Y219" i="6" s="1"/>
  <c r="R219" i="6"/>
  <c r="P219" i="6"/>
  <c r="Q219" i="6" s="1"/>
  <c r="S219" i="6" s="1"/>
  <c r="L219" i="6"/>
  <c r="J219" i="6"/>
  <c r="K219" i="6" s="1"/>
  <c r="M219" i="6" s="1"/>
  <c r="DQ218" i="6"/>
  <c r="DP218" i="6"/>
  <c r="DO218" i="6"/>
  <c r="DN218" i="6"/>
  <c r="DM218" i="6"/>
  <c r="DL218" i="6"/>
  <c r="DK218" i="6"/>
  <c r="DJ218" i="6"/>
  <c r="X218" i="6"/>
  <c r="W218" i="6"/>
  <c r="Y218" i="6" s="1"/>
  <c r="R218" i="6"/>
  <c r="Q218" i="6"/>
  <c r="S218" i="6" s="1"/>
  <c r="L218" i="6"/>
  <c r="K218" i="6"/>
  <c r="M218" i="6" s="1"/>
  <c r="DQ217" i="6"/>
  <c r="DP217" i="6"/>
  <c r="DO217" i="6"/>
  <c r="DN217" i="6"/>
  <c r="DM217" i="6"/>
  <c r="DL217" i="6"/>
  <c r="DK217" i="6"/>
  <c r="DJ217" i="6"/>
  <c r="X217" i="6"/>
  <c r="V217" i="6"/>
  <c r="W217" i="6" s="1"/>
  <c r="Y217" i="6" s="1"/>
  <c r="R217" i="6"/>
  <c r="P217" i="6"/>
  <c r="Q217" i="6" s="1"/>
  <c r="S217" i="6" s="1"/>
  <c r="L217" i="6"/>
  <c r="J217" i="6"/>
  <c r="K217" i="6" s="1"/>
  <c r="M217" i="6" s="1"/>
  <c r="DQ216" i="6"/>
  <c r="DP216" i="6"/>
  <c r="DO216" i="6"/>
  <c r="DN216" i="6"/>
  <c r="DM216" i="6"/>
  <c r="DL216" i="6"/>
  <c r="DK216" i="6"/>
  <c r="DJ216" i="6"/>
  <c r="X216" i="6"/>
  <c r="V216" i="6"/>
  <c r="W216" i="6" s="1"/>
  <c r="Y216" i="6" s="1"/>
  <c r="R216" i="6"/>
  <c r="P216" i="6"/>
  <c r="Q216" i="6" s="1"/>
  <c r="S216" i="6" s="1"/>
  <c r="L216" i="6"/>
  <c r="J216" i="6"/>
  <c r="K216" i="6" s="1"/>
  <c r="M216" i="6" s="1"/>
  <c r="DQ215" i="6"/>
  <c r="DP215" i="6"/>
  <c r="DO215" i="6"/>
  <c r="DN215" i="6"/>
  <c r="DM215" i="6"/>
  <c r="DL215" i="6"/>
  <c r="DK215" i="6"/>
  <c r="DJ215" i="6"/>
  <c r="X215" i="6"/>
  <c r="V215" i="6"/>
  <c r="W215" i="6" s="1"/>
  <c r="Y215" i="6" s="1"/>
  <c r="R215" i="6"/>
  <c r="P215" i="6"/>
  <c r="Q215" i="6" s="1"/>
  <c r="S215" i="6" s="1"/>
  <c r="L215" i="6"/>
  <c r="J215" i="6"/>
  <c r="K215" i="6" s="1"/>
  <c r="M215" i="6" s="1"/>
  <c r="DQ214" i="6"/>
  <c r="DP214" i="6"/>
  <c r="DO214" i="6"/>
  <c r="DN214" i="6"/>
  <c r="DM214" i="6"/>
  <c r="DL214" i="6"/>
  <c r="DK214" i="6"/>
  <c r="DJ214" i="6"/>
  <c r="X214" i="6"/>
  <c r="W214" i="6"/>
  <c r="Y214" i="6" s="1"/>
  <c r="R214" i="6"/>
  <c r="Q214" i="6"/>
  <c r="S214" i="6" s="1"/>
  <c r="L214" i="6"/>
  <c r="K214" i="6"/>
  <c r="M214" i="6" s="1"/>
  <c r="DQ213" i="6"/>
  <c r="DP213" i="6"/>
  <c r="DO213" i="6"/>
  <c r="DN213" i="6"/>
  <c r="DM213" i="6"/>
  <c r="DL213" i="6"/>
  <c r="DK213" i="6"/>
  <c r="DJ213" i="6"/>
  <c r="X213" i="6"/>
  <c r="Y213" i="6"/>
  <c r="R213" i="6"/>
  <c r="Q213" i="6"/>
  <c r="S213" i="6" s="1"/>
  <c r="L213" i="6"/>
  <c r="K213" i="6"/>
  <c r="M213" i="6" s="1"/>
  <c r="DQ212" i="6"/>
  <c r="DP212" i="6"/>
  <c r="DO212" i="6"/>
  <c r="DN212" i="6"/>
  <c r="DM212" i="6"/>
  <c r="DL212" i="6"/>
  <c r="DK212" i="6"/>
  <c r="DJ212" i="6"/>
  <c r="X212" i="6"/>
  <c r="W212" i="6"/>
  <c r="Y212" i="6" s="1"/>
  <c r="R212" i="6"/>
  <c r="Q212" i="6"/>
  <c r="S212" i="6" s="1"/>
  <c r="L212" i="6"/>
  <c r="K212" i="6"/>
  <c r="M212" i="6" s="1"/>
  <c r="DQ211" i="6"/>
  <c r="DP211" i="6"/>
  <c r="DO211" i="6"/>
  <c r="DN211" i="6"/>
  <c r="DM211" i="6"/>
  <c r="DL211" i="6"/>
  <c r="DK211" i="6"/>
  <c r="DJ211" i="6"/>
  <c r="X211" i="6"/>
  <c r="V211" i="6"/>
  <c r="W211" i="6" s="1"/>
  <c r="Y211" i="6" s="1"/>
  <c r="R211" i="6"/>
  <c r="P211" i="6"/>
  <c r="Q211" i="6" s="1"/>
  <c r="S211" i="6" s="1"/>
  <c r="L211" i="6"/>
  <c r="J211" i="6"/>
  <c r="K211" i="6" s="1"/>
  <c r="M211" i="6" s="1"/>
  <c r="DQ210" i="6"/>
  <c r="DP210" i="6"/>
  <c r="DO210" i="6"/>
  <c r="DN210" i="6"/>
  <c r="DM210" i="6"/>
  <c r="DL210" i="6"/>
  <c r="DK210" i="6"/>
  <c r="DJ210" i="6"/>
  <c r="X210" i="6"/>
  <c r="V210" i="6"/>
  <c r="W210" i="6" s="1"/>
  <c r="Y210" i="6" s="1"/>
  <c r="R210" i="6"/>
  <c r="P210" i="6"/>
  <c r="Q210" i="6" s="1"/>
  <c r="S210" i="6" s="1"/>
  <c r="L210" i="6"/>
  <c r="J210" i="6"/>
  <c r="K210" i="6" s="1"/>
  <c r="M210" i="6" s="1"/>
  <c r="DQ209" i="6"/>
  <c r="DP209" i="6"/>
  <c r="DO209" i="6"/>
  <c r="DN209" i="6"/>
  <c r="DM209" i="6"/>
  <c r="DL209" i="6"/>
  <c r="DK209" i="6"/>
  <c r="DJ209" i="6"/>
  <c r="X209" i="6"/>
  <c r="W209" i="6"/>
  <c r="Y209" i="6" s="1"/>
  <c r="R209" i="6"/>
  <c r="Q209" i="6"/>
  <c r="S209" i="6" s="1"/>
  <c r="L209" i="6"/>
  <c r="K209" i="6"/>
  <c r="M209" i="6" s="1"/>
  <c r="DQ208" i="6"/>
  <c r="DP208" i="6"/>
  <c r="DO208" i="6"/>
  <c r="DN208" i="6"/>
  <c r="DM208" i="6"/>
  <c r="DL208" i="6"/>
  <c r="DK208" i="6"/>
  <c r="DJ208" i="6"/>
  <c r="X208" i="6"/>
  <c r="V208" i="6"/>
  <c r="W208" i="6" s="1"/>
  <c r="Y208" i="6" s="1"/>
  <c r="R208" i="6"/>
  <c r="P208" i="6"/>
  <c r="Q208" i="6" s="1"/>
  <c r="S208" i="6" s="1"/>
  <c r="L208" i="6"/>
  <c r="J208" i="6"/>
  <c r="K208" i="6" s="1"/>
  <c r="M208" i="6" s="1"/>
  <c r="DQ207" i="6"/>
  <c r="DP207" i="6"/>
  <c r="DO207" i="6"/>
  <c r="DN207" i="6"/>
  <c r="DM207" i="6"/>
  <c r="DL207" i="6"/>
  <c r="DK207" i="6"/>
  <c r="DJ207" i="6"/>
  <c r="X207" i="6"/>
  <c r="W207" i="6"/>
  <c r="Y207" i="6" s="1"/>
  <c r="R207" i="6"/>
  <c r="Q207" i="6"/>
  <c r="S207" i="6" s="1"/>
  <c r="L207" i="6"/>
  <c r="K207" i="6"/>
  <c r="M207" i="6" s="1"/>
  <c r="DQ206" i="6"/>
  <c r="DP206" i="6"/>
  <c r="DO206" i="6"/>
  <c r="DN206" i="6"/>
  <c r="DM206" i="6"/>
  <c r="DL206" i="6"/>
  <c r="DK206" i="6"/>
  <c r="DJ206" i="6"/>
  <c r="X206" i="6"/>
  <c r="W206" i="6"/>
  <c r="Y206" i="6" s="1"/>
  <c r="R206" i="6"/>
  <c r="P206" i="6"/>
  <c r="Q206" i="6" s="1"/>
  <c r="S206" i="6" s="1"/>
  <c r="L206" i="6"/>
  <c r="J206" i="6"/>
  <c r="K206" i="6" s="1"/>
  <c r="M206" i="6" s="1"/>
  <c r="DQ205" i="6"/>
  <c r="DP205" i="6"/>
  <c r="DO205" i="6"/>
  <c r="DN205" i="6"/>
  <c r="DM205" i="6"/>
  <c r="DL205" i="6"/>
  <c r="DK205" i="6"/>
  <c r="DJ205" i="6"/>
  <c r="X205" i="6"/>
  <c r="W205" i="6"/>
  <c r="Y205" i="6" s="1"/>
  <c r="R205" i="6"/>
  <c r="Q205" i="6"/>
  <c r="S205" i="6" s="1"/>
  <c r="L205" i="6"/>
  <c r="K205" i="6"/>
  <c r="M205" i="6" s="1"/>
  <c r="DQ204" i="6"/>
  <c r="DP204" i="6"/>
  <c r="DO204" i="6"/>
  <c r="DN204" i="6"/>
  <c r="DM204" i="6"/>
  <c r="DL204" i="6"/>
  <c r="DK204" i="6"/>
  <c r="DJ204" i="6"/>
  <c r="X204" i="6"/>
  <c r="W204" i="6"/>
  <c r="Y204" i="6" s="1"/>
  <c r="R204" i="6"/>
  <c r="Q204" i="6"/>
  <c r="S204" i="6" s="1"/>
  <c r="L204" i="6"/>
  <c r="K204" i="6"/>
  <c r="M204" i="6" s="1"/>
  <c r="DQ203" i="6"/>
  <c r="DP203" i="6"/>
  <c r="DO203" i="6"/>
  <c r="DN203" i="6"/>
  <c r="DM203" i="6"/>
  <c r="DL203" i="6"/>
  <c r="DK203" i="6"/>
  <c r="DJ203" i="6"/>
  <c r="X203" i="6"/>
  <c r="W203" i="6"/>
  <c r="Y203" i="6" s="1"/>
  <c r="R203" i="6"/>
  <c r="Q203" i="6"/>
  <c r="S203" i="6" s="1"/>
  <c r="L203" i="6"/>
  <c r="K203" i="6"/>
  <c r="M203" i="6" s="1"/>
  <c r="DQ202" i="6"/>
  <c r="DP202" i="6"/>
  <c r="DO202" i="6"/>
  <c r="DN202" i="6"/>
  <c r="DM202" i="6"/>
  <c r="DL202" i="6"/>
  <c r="DK202" i="6"/>
  <c r="DJ202" i="6"/>
  <c r="X202" i="6"/>
  <c r="W202" i="6"/>
  <c r="Y202" i="6" s="1"/>
  <c r="R202" i="6"/>
  <c r="Q202" i="6"/>
  <c r="S202" i="6" s="1"/>
  <c r="L202" i="6"/>
  <c r="K202" i="6"/>
  <c r="M202" i="6" s="1"/>
  <c r="DQ201" i="6"/>
  <c r="DP201" i="6"/>
  <c r="DO201" i="6"/>
  <c r="DN201" i="6"/>
  <c r="DM201" i="6"/>
  <c r="DL201" i="6"/>
  <c r="DK201" i="6"/>
  <c r="DJ201" i="6"/>
  <c r="X201" i="6"/>
  <c r="V201" i="6"/>
  <c r="W201" i="6" s="1"/>
  <c r="Y201" i="6" s="1"/>
  <c r="R201" i="6"/>
  <c r="P201" i="6"/>
  <c r="Q201" i="6" s="1"/>
  <c r="S201" i="6" s="1"/>
  <c r="L201" i="6"/>
  <c r="J201" i="6"/>
  <c r="K201" i="6" s="1"/>
  <c r="M201" i="6" s="1"/>
  <c r="DQ200" i="6"/>
  <c r="DP200" i="6"/>
  <c r="DO200" i="6"/>
  <c r="DN200" i="6"/>
  <c r="DM200" i="6"/>
  <c r="DL200" i="6"/>
  <c r="DK200" i="6"/>
  <c r="DJ200" i="6"/>
  <c r="X200" i="6"/>
  <c r="V200" i="6"/>
  <c r="W200" i="6" s="1"/>
  <c r="Y200" i="6" s="1"/>
  <c r="R200" i="6"/>
  <c r="P200" i="6"/>
  <c r="Q200" i="6" s="1"/>
  <c r="S200" i="6" s="1"/>
  <c r="L200" i="6"/>
  <c r="J200" i="6"/>
  <c r="K200" i="6" s="1"/>
  <c r="M200" i="6" s="1"/>
  <c r="DQ199" i="6"/>
  <c r="DP199" i="6"/>
  <c r="DO199" i="6"/>
  <c r="DN199" i="6"/>
  <c r="DM199" i="6"/>
  <c r="DL199" i="6"/>
  <c r="DK199" i="6"/>
  <c r="DJ199" i="6"/>
  <c r="X199" i="6"/>
  <c r="V199" i="6"/>
  <c r="W199" i="6" s="1"/>
  <c r="Y199" i="6" s="1"/>
  <c r="R199" i="6"/>
  <c r="P199" i="6"/>
  <c r="Q199" i="6" s="1"/>
  <c r="S199" i="6" s="1"/>
  <c r="L199" i="6"/>
  <c r="J199" i="6"/>
  <c r="K199" i="6" s="1"/>
  <c r="M199" i="6" s="1"/>
  <c r="DQ198" i="6"/>
  <c r="DP198" i="6"/>
  <c r="DO198" i="6"/>
  <c r="DN198" i="6"/>
  <c r="DM198" i="6"/>
  <c r="DL198" i="6"/>
  <c r="DK198" i="6"/>
  <c r="DJ198" i="6"/>
  <c r="X198" i="6"/>
  <c r="V198" i="6"/>
  <c r="W198" i="6" s="1"/>
  <c r="Y198" i="6" s="1"/>
  <c r="R198" i="6"/>
  <c r="P198" i="6"/>
  <c r="Q198" i="6" s="1"/>
  <c r="S198" i="6" s="1"/>
  <c r="L198" i="6"/>
  <c r="J198" i="6"/>
  <c r="K198" i="6" s="1"/>
  <c r="M198" i="6" s="1"/>
  <c r="DQ197" i="6"/>
  <c r="DP197" i="6"/>
  <c r="DO197" i="6"/>
  <c r="DN197" i="6"/>
  <c r="DM197" i="6"/>
  <c r="DL197" i="6"/>
  <c r="DK197" i="6"/>
  <c r="DJ197" i="6"/>
  <c r="X197" i="6"/>
  <c r="W197" i="6"/>
  <c r="Y197" i="6" s="1"/>
  <c r="R197" i="6"/>
  <c r="Q197" i="6"/>
  <c r="S197" i="6" s="1"/>
  <c r="L197" i="6"/>
  <c r="K197" i="6"/>
  <c r="M197" i="6" s="1"/>
  <c r="DQ196" i="6"/>
  <c r="DP196" i="6"/>
  <c r="DO196" i="6"/>
  <c r="DN196" i="6"/>
  <c r="DM196" i="6"/>
  <c r="DL196" i="6"/>
  <c r="DK196" i="6"/>
  <c r="DJ196" i="6"/>
  <c r="X196" i="6"/>
  <c r="V196" i="6"/>
  <c r="W196" i="6" s="1"/>
  <c r="Y196" i="6" s="1"/>
  <c r="R196" i="6"/>
  <c r="P196" i="6"/>
  <c r="Q196" i="6" s="1"/>
  <c r="S196" i="6" s="1"/>
  <c r="L196" i="6"/>
  <c r="J196" i="6"/>
  <c r="K196" i="6" s="1"/>
  <c r="M196" i="6" s="1"/>
  <c r="DQ195" i="6"/>
  <c r="DP195" i="6"/>
  <c r="DO195" i="6"/>
  <c r="DN195" i="6"/>
  <c r="DM195" i="6"/>
  <c r="DL195" i="6"/>
  <c r="DK195" i="6"/>
  <c r="DJ195" i="6"/>
  <c r="X195" i="6"/>
  <c r="V195" i="6"/>
  <c r="W195" i="6" s="1"/>
  <c r="Y195" i="6" s="1"/>
  <c r="R195" i="6"/>
  <c r="P195" i="6"/>
  <c r="Q195" i="6" s="1"/>
  <c r="S195" i="6" s="1"/>
  <c r="L195" i="6"/>
  <c r="J195" i="6"/>
  <c r="K195" i="6" s="1"/>
  <c r="M195" i="6" s="1"/>
  <c r="DQ194" i="6"/>
  <c r="DP194" i="6"/>
  <c r="DO194" i="6"/>
  <c r="DN194" i="6"/>
  <c r="DM194" i="6"/>
  <c r="DL194" i="6"/>
  <c r="DK194" i="6"/>
  <c r="DJ194" i="6"/>
  <c r="X194" i="6"/>
  <c r="V194" i="6"/>
  <c r="W194" i="6" s="1"/>
  <c r="Y194" i="6" s="1"/>
  <c r="R194" i="6"/>
  <c r="P194" i="6"/>
  <c r="Q194" i="6" s="1"/>
  <c r="S194" i="6" s="1"/>
  <c r="L194" i="6"/>
  <c r="J194" i="6"/>
  <c r="K194" i="6" s="1"/>
  <c r="M194" i="6" s="1"/>
  <c r="DQ193" i="6"/>
  <c r="DP193" i="6"/>
  <c r="DO193" i="6"/>
  <c r="DN193" i="6"/>
  <c r="DM193" i="6"/>
  <c r="DL193" i="6"/>
  <c r="DK193" i="6"/>
  <c r="DJ193" i="6"/>
  <c r="X193" i="6"/>
  <c r="V193" i="6"/>
  <c r="W193" i="6" s="1"/>
  <c r="Y193" i="6" s="1"/>
  <c r="R193" i="6"/>
  <c r="P193" i="6"/>
  <c r="Q193" i="6" s="1"/>
  <c r="S193" i="6" s="1"/>
  <c r="L193" i="6"/>
  <c r="J193" i="6"/>
  <c r="K193" i="6" s="1"/>
  <c r="M193" i="6" s="1"/>
  <c r="DQ192" i="6"/>
  <c r="DP192" i="6"/>
  <c r="DO192" i="6"/>
  <c r="DN192" i="6"/>
  <c r="DM192" i="6"/>
  <c r="DL192" i="6"/>
  <c r="DK192" i="6"/>
  <c r="DJ192" i="6"/>
  <c r="X192" i="6"/>
  <c r="W192" i="6"/>
  <c r="Y192" i="6" s="1"/>
  <c r="R192" i="6"/>
  <c r="Q192" i="6"/>
  <c r="S192" i="6" s="1"/>
  <c r="L192" i="6"/>
  <c r="K192" i="6"/>
  <c r="M192" i="6" s="1"/>
  <c r="DQ191" i="6"/>
  <c r="DP191" i="6"/>
  <c r="DO191" i="6"/>
  <c r="DN191" i="6"/>
  <c r="DM191" i="6"/>
  <c r="DL191" i="6"/>
  <c r="DK191" i="6"/>
  <c r="DJ191" i="6"/>
  <c r="X191" i="6"/>
  <c r="W191" i="6"/>
  <c r="Y191" i="6" s="1"/>
  <c r="R191" i="6"/>
  <c r="Q191" i="6"/>
  <c r="S191" i="6" s="1"/>
  <c r="L191" i="6"/>
  <c r="K191" i="6"/>
  <c r="M191" i="6" s="1"/>
  <c r="DQ190" i="6"/>
  <c r="DP190" i="6"/>
  <c r="DO190" i="6"/>
  <c r="DN190" i="6"/>
  <c r="DM190" i="6"/>
  <c r="DL190" i="6"/>
  <c r="DK190" i="6"/>
  <c r="DJ190" i="6"/>
  <c r="X190" i="6"/>
  <c r="V190" i="6"/>
  <c r="W190" i="6" s="1"/>
  <c r="Y190" i="6" s="1"/>
  <c r="R190" i="6"/>
  <c r="P190" i="6"/>
  <c r="Q190" i="6" s="1"/>
  <c r="S190" i="6" s="1"/>
  <c r="L190" i="6"/>
  <c r="J190" i="6"/>
  <c r="K190" i="6" s="1"/>
  <c r="M190" i="6" s="1"/>
  <c r="DQ189" i="6"/>
  <c r="DP189" i="6"/>
  <c r="DO189" i="6"/>
  <c r="DN189" i="6"/>
  <c r="DM189" i="6"/>
  <c r="DL189" i="6"/>
  <c r="DK189" i="6"/>
  <c r="DJ189" i="6"/>
  <c r="X189" i="6"/>
  <c r="V189" i="6"/>
  <c r="W189" i="6" s="1"/>
  <c r="Y189" i="6" s="1"/>
  <c r="R189" i="6"/>
  <c r="P189" i="6"/>
  <c r="Q189" i="6" s="1"/>
  <c r="S189" i="6" s="1"/>
  <c r="L189" i="6"/>
  <c r="J189" i="6"/>
  <c r="K189" i="6" s="1"/>
  <c r="M189" i="6" s="1"/>
  <c r="DQ188" i="6"/>
  <c r="DP188" i="6"/>
  <c r="DO188" i="6"/>
  <c r="DN188" i="6"/>
  <c r="DK188" i="6"/>
  <c r="DJ188" i="6"/>
  <c r="X188" i="6"/>
  <c r="V188" i="6"/>
  <c r="W188" i="6" s="1"/>
  <c r="Y188" i="6" s="1"/>
  <c r="P188" i="6"/>
  <c r="DQ187" i="6"/>
  <c r="DP187" i="6"/>
  <c r="DO187" i="6"/>
  <c r="DN187" i="6"/>
  <c r="DM187" i="6"/>
  <c r="DL187" i="6"/>
  <c r="DK187" i="6"/>
  <c r="DJ187" i="6"/>
  <c r="X187" i="6"/>
  <c r="V187" i="6"/>
  <c r="W187" i="6" s="1"/>
  <c r="Y187" i="6" s="1"/>
  <c r="R187" i="6"/>
  <c r="P187" i="6"/>
  <c r="Q187" i="6" s="1"/>
  <c r="S187" i="6" s="1"/>
  <c r="L187" i="6"/>
  <c r="J187" i="6"/>
  <c r="K187" i="6" s="1"/>
  <c r="M187" i="6" s="1"/>
  <c r="DQ186" i="6"/>
  <c r="DP186" i="6"/>
  <c r="DO186" i="6"/>
  <c r="DN186" i="6"/>
  <c r="DM186" i="6"/>
  <c r="DL186" i="6"/>
  <c r="DK186" i="6"/>
  <c r="DJ186" i="6"/>
  <c r="X186" i="6"/>
  <c r="V186" i="6"/>
  <c r="W186" i="6" s="1"/>
  <c r="Y186" i="6" s="1"/>
  <c r="R186" i="6"/>
  <c r="P186" i="6"/>
  <c r="Q186" i="6" s="1"/>
  <c r="S186" i="6" s="1"/>
  <c r="L186" i="6"/>
  <c r="J186" i="6"/>
  <c r="K186" i="6" s="1"/>
  <c r="M186" i="6" s="1"/>
  <c r="DQ185" i="6"/>
  <c r="DP185" i="6"/>
  <c r="DO185" i="6"/>
  <c r="DN185" i="6"/>
  <c r="DM185" i="6"/>
  <c r="DL185" i="6"/>
  <c r="DK185" i="6"/>
  <c r="DJ185" i="6"/>
  <c r="X185" i="6"/>
  <c r="V185" i="6"/>
  <c r="W185" i="6" s="1"/>
  <c r="Y185" i="6" s="1"/>
  <c r="R185" i="6"/>
  <c r="P185" i="6"/>
  <c r="Q185" i="6" s="1"/>
  <c r="S185" i="6" s="1"/>
  <c r="L185" i="6"/>
  <c r="J185" i="6"/>
  <c r="K185" i="6" s="1"/>
  <c r="M185" i="6" s="1"/>
  <c r="DQ184" i="6"/>
  <c r="DP184" i="6"/>
  <c r="DO184" i="6"/>
  <c r="DN184" i="6"/>
  <c r="DM184" i="6"/>
  <c r="DL184" i="6"/>
  <c r="DK184" i="6"/>
  <c r="DJ184" i="6"/>
  <c r="X184" i="6"/>
  <c r="V184" i="6"/>
  <c r="W184" i="6" s="1"/>
  <c r="Y184" i="6" s="1"/>
  <c r="R184" i="6"/>
  <c r="P184" i="6"/>
  <c r="Q184" i="6" s="1"/>
  <c r="S184" i="6" s="1"/>
  <c r="L184" i="6"/>
  <c r="J184" i="6"/>
  <c r="K184" i="6" s="1"/>
  <c r="M184" i="6" s="1"/>
  <c r="DQ183" i="6"/>
  <c r="DP183" i="6"/>
  <c r="DO183" i="6"/>
  <c r="DN183" i="6"/>
  <c r="DM183" i="6"/>
  <c r="DL183" i="6"/>
  <c r="DK183" i="6"/>
  <c r="DJ183" i="6"/>
  <c r="X183" i="6"/>
  <c r="W183" i="6"/>
  <c r="Y183" i="6" s="1"/>
  <c r="R183" i="6"/>
  <c r="Q183" i="6"/>
  <c r="S183" i="6" s="1"/>
  <c r="L183" i="6"/>
  <c r="K183" i="6"/>
  <c r="M183" i="6" s="1"/>
  <c r="DQ182" i="6"/>
  <c r="DP182" i="6"/>
  <c r="DO182" i="6"/>
  <c r="DN182" i="6"/>
  <c r="DM182" i="6"/>
  <c r="DL182" i="6"/>
  <c r="DK182" i="6"/>
  <c r="DJ182" i="6"/>
  <c r="X182" i="6"/>
  <c r="V182" i="6"/>
  <c r="W182" i="6" s="1"/>
  <c r="Y182" i="6" s="1"/>
  <c r="R182" i="6"/>
  <c r="P182" i="6"/>
  <c r="Q182" i="6" s="1"/>
  <c r="S182" i="6" s="1"/>
  <c r="L182" i="6"/>
  <c r="J182" i="6"/>
  <c r="K182" i="6" s="1"/>
  <c r="M182" i="6" s="1"/>
  <c r="DQ181" i="6"/>
  <c r="DP181" i="6"/>
  <c r="DO181" i="6"/>
  <c r="DN181" i="6"/>
  <c r="DM181" i="6"/>
  <c r="DL181" i="6"/>
  <c r="DK181" i="6"/>
  <c r="DJ181" i="6"/>
  <c r="X181" i="6"/>
  <c r="V181" i="6"/>
  <c r="W181" i="6" s="1"/>
  <c r="Y181" i="6" s="1"/>
  <c r="R181" i="6"/>
  <c r="P181" i="6"/>
  <c r="Q181" i="6" s="1"/>
  <c r="S181" i="6" s="1"/>
  <c r="L181" i="6"/>
  <c r="J181" i="6"/>
  <c r="K181" i="6" s="1"/>
  <c r="M181" i="6" s="1"/>
  <c r="DQ180" i="6"/>
  <c r="DP180" i="6"/>
  <c r="DO180" i="6"/>
  <c r="DN180" i="6"/>
  <c r="DM180" i="6"/>
  <c r="DL180" i="6"/>
  <c r="DK180" i="6"/>
  <c r="DJ180" i="6"/>
  <c r="X180" i="6"/>
  <c r="V180" i="6"/>
  <c r="W180" i="6" s="1"/>
  <c r="Y180" i="6" s="1"/>
  <c r="R180" i="6"/>
  <c r="P180" i="6"/>
  <c r="Q180" i="6" s="1"/>
  <c r="S180" i="6" s="1"/>
  <c r="L180" i="6"/>
  <c r="J180" i="6"/>
  <c r="K180" i="6" s="1"/>
  <c r="M180" i="6" s="1"/>
  <c r="DQ179" i="6"/>
  <c r="DP179" i="6"/>
  <c r="DO179" i="6"/>
  <c r="DN179" i="6"/>
  <c r="DM179" i="6"/>
  <c r="DL179" i="6"/>
  <c r="DK179" i="6"/>
  <c r="DJ179" i="6"/>
  <c r="X179" i="6"/>
  <c r="V179" i="6"/>
  <c r="W179" i="6" s="1"/>
  <c r="Y179" i="6" s="1"/>
  <c r="R179" i="6"/>
  <c r="P179" i="6"/>
  <c r="Q179" i="6" s="1"/>
  <c r="S179" i="6" s="1"/>
  <c r="L179" i="6"/>
  <c r="J179" i="6"/>
  <c r="K179" i="6" s="1"/>
  <c r="M179" i="6" s="1"/>
  <c r="DQ178" i="6"/>
  <c r="DP178" i="6"/>
  <c r="DO178" i="6"/>
  <c r="DN178" i="6"/>
  <c r="DM178" i="6"/>
  <c r="DL178" i="6"/>
  <c r="DK178" i="6"/>
  <c r="DJ178" i="6"/>
  <c r="X178" i="6"/>
  <c r="V178" i="6"/>
  <c r="W178" i="6" s="1"/>
  <c r="Y178" i="6" s="1"/>
  <c r="R178" i="6"/>
  <c r="P178" i="6"/>
  <c r="Q178" i="6" s="1"/>
  <c r="S178" i="6" s="1"/>
  <c r="L178" i="6"/>
  <c r="J178" i="6"/>
  <c r="K178" i="6" s="1"/>
  <c r="M178" i="6" s="1"/>
  <c r="DQ177" i="6"/>
  <c r="DP177" i="6"/>
  <c r="DO177" i="6"/>
  <c r="DN177" i="6"/>
  <c r="DM177" i="6"/>
  <c r="DL177" i="6"/>
  <c r="DK177" i="6"/>
  <c r="DJ177" i="6"/>
  <c r="X177" i="6"/>
  <c r="V177" i="6"/>
  <c r="W177" i="6" s="1"/>
  <c r="Y177" i="6" s="1"/>
  <c r="R177" i="6"/>
  <c r="P177" i="6"/>
  <c r="Q177" i="6" s="1"/>
  <c r="S177" i="6" s="1"/>
  <c r="L177" i="6"/>
  <c r="J177" i="6"/>
  <c r="K177" i="6" s="1"/>
  <c r="M177" i="6" s="1"/>
  <c r="DQ176" i="6"/>
  <c r="DP176" i="6"/>
  <c r="DO176" i="6"/>
  <c r="DN176" i="6"/>
  <c r="DM176" i="6"/>
  <c r="DL176" i="6"/>
  <c r="DK176" i="6"/>
  <c r="DJ176" i="6"/>
  <c r="R176" i="6"/>
  <c r="P176" i="6"/>
  <c r="Q176" i="6" s="1"/>
  <c r="S176" i="6" s="1"/>
  <c r="L176" i="6"/>
  <c r="J176" i="6"/>
  <c r="K176" i="6" s="1"/>
  <c r="M176" i="6" s="1"/>
  <c r="DQ175" i="6"/>
  <c r="DP175" i="6"/>
  <c r="DO175" i="6"/>
  <c r="DN175" i="6"/>
  <c r="DM175" i="6"/>
  <c r="DL175" i="6"/>
  <c r="DK175" i="6"/>
  <c r="DJ175" i="6"/>
  <c r="X175" i="6"/>
  <c r="V175" i="6"/>
  <c r="W175" i="6" s="1"/>
  <c r="Y175" i="6" s="1"/>
  <c r="R175" i="6"/>
  <c r="P175" i="6"/>
  <c r="Q175" i="6" s="1"/>
  <c r="S175" i="6" s="1"/>
  <c r="L175" i="6"/>
  <c r="J175" i="6"/>
  <c r="K175" i="6" s="1"/>
  <c r="M175" i="6" s="1"/>
  <c r="DQ174" i="6"/>
  <c r="DP174" i="6"/>
  <c r="DO174" i="6"/>
  <c r="DN174" i="6"/>
  <c r="DM174" i="6"/>
  <c r="DL174" i="6"/>
  <c r="DK174" i="6"/>
  <c r="DJ174" i="6"/>
  <c r="X174" i="6"/>
  <c r="V174" i="6"/>
  <c r="W174" i="6" s="1"/>
  <c r="Y174" i="6" s="1"/>
  <c r="R174" i="6"/>
  <c r="P174" i="6"/>
  <c r="Q174" i="6" s="1"/>
  <c r="S174" i="6" s="1"/>
  <c r="L174" i="6"/>
  <c r="K174" i="6"/>
  <c r="M174" i="6" s="1"/>
  <c r="DQ173" i="6"/>
  <c r="DP173" i="6"/>
  <c r="DO173" i="6"/>
  <c r="DN173" i="6"/>
  <c r="DM173" i="6"/>
  <c r="DL173" i="6"/>
  <c r="DK173" i="6"/>
  <c r="DJ173" i="6"/>
  <c r="X173" i="6"/>
  <c r="V173" i="6"/>
  <c r="W173" i="6" s="1"/>
  <c r="Y173" i="6" s="1"/>
  <c r="R173" i="6"/>
  <c r="P173" i="6"/>
  <c r="Q173" i="6" s="1"/>
  <c r="S173" i="6" s="1"/>
  <c r="L173" i="6"/>
  <c r="J173" i="6"/>
  <c r="K173" i="6" s="1"/>
  <c r="M173" i="6" s="1"/>
  <c r="DQ172" i="6"/>
  <c r="DP172" i="6"/>
  <c r="DO172" i="6"/>
  <c r="DN172" i="6"/>
  <c r="DM172" i="6"/>
  <c r="DL172" i="6"/>
  <c r="DK172" i="6"/>
  <c r="DJ172" i="6"/>
  <c r="X172" i="6"/>
  <c r="W172" i="6"/>
  <c r="Y172" i="6" s="1"/>
  <c r="R172" i="6"/>
  <c r="Q172" i="6"/>
  <c r="S172" i="6" s="1"/>
  <c r="L172" i="6"/>
  <c r="K172" i="6"/>
  <c r="M172" i="6" s="1"/>
  <c r="DQ171" i="6"/>
  <c r="DP171" i="6"/>
  <c r="DO171" i="6"/>
  <c r="DN171" i="6"/>
  <c r="DM171" i="6"/>
  <c r="DL171" i="6"/>
  <c r="DK171" i="6"/>
  <c r="DJ171" i="6"/>
  <c r="X171" i="6"/>
  <c r="W171" i="6"/>
  <c r="Y171" i="6" s="1"/>
  <c r="R171" i="6"/>
  <c r="Q171" i="6"/>
  <c r="S171" i="6" s="1"/>
  <c r="L171" i="6"/>
  <c r="K171" i="6"/>
  <c r="M171" i="6" s="1"/>
  <c r="DQ170" i="6"/>
  <c r="DP170" i="6"/>
  <c r="DO170" i="6"/>
  <c r="DN170" i="6"/>
  <c r="DM170" i="6"/>
  <c r="DL170" i="6"/>
  <c r="DK170" i="6"/>
  <c r="DJ170" i="6"/>
  <c r="X170" i="6"/>
  <c r="W170" i="6"/>
  <c r="Y170" i="6" s="1"/>
  <c r="R170" i="6"/>
  <c r="Q170" i="6"/>
  <c r="S170" i="6" s="1"/>
  <c r="L170" i="6"/>
  <c r="K170" i="6"/>
  <c r="M170" i="6" s="1"/>
  <c r="DQ169" i="6"/>
  <c r="DP169" i="6"/>
  <c r="DO169" i="6"/>
  <c r="DN169" i="6"/>
  <c r="DM169" i="6"/>
  <c r="DL169" i="6"/>
  <c r="DK169" i="6"/>
  <c r="DJ169" i="6"/>
  <c r="X169" i="6"/>
  <c r="V169" i="6"/>
  <c r="W169" i="6" s="1"/>
  <c r="Y169" i="6" s="1"/>
  <c r="R169" i="6"/>
  <c r="P169" i="6"/>
  <c r="Q169" i="6" s="1"/>
  <c r="S169" i="6" s="1"/>
  <c r="L169" i="6"/>
  <c r="J169" i="6"/>
  <c r="K169" i="6" s="1"/>
  <c r="M169" i="6" s="1"/>
  <c r="DQ168" i="6"/>
  <c r="DP168" i="6"/>
  <c r="DO168" i="6"/>
  <c r="DN168" i="6"/>
  <c r="DM168" i="6"/>
  <c r="DL168" i="6"/>
  <c r="DK168" i="6"/>
  <c r="DJ168" i="6"/>
  <c r="X168" i="6"/>
  <c r="W168" i="6"/>
  <c r="Y168" i="6" s="1"/>
  <c r="R168" i="6"/>
  <c r="Q168" i="6"/>
  <c r="S168" i="6" s="1"/>
  <c r="L168" i="6"/>
  <c r="K168" i="6"/>
  <c r="M168" i="6" s="1"/>
  <c r="DQ167" i="6"/>
  <c r="DP167" i="6"/>
  <c r="DO167" i="6"/>
  <c r="DN167" i="6"/>
  <c r="DM167" i="6"/>
  <c r="DL167" i="6"/>
  <c r="DK167" i="6"/>
  <c r="DJ167" i="6"/>
  <c r="X167" i="6"/>
  <c r="W167" i="6"/>
  <c r="Y167" i="6" s="1"/>
  <c r="R167" i="6"/>
  <c r="Q167" i="6"/>
  <c r="S167" i="6" s="1"/>
  <c r="L167" i="6"/>
  <c r="K167" i="6"/>
  <c r="M167" i="6" s="1"/>
  <c r="DQ166" i="6"/>
  <c r="DP166" i="6"/>
  <c r="DO166" i="6"/>
  <c r="DN166" i="6"/>
  <c r="DM166" i="6"/>
  <c r="DL166" i="6"/>
  <c r="DK166" i="6"/>
  <c r="DJ166" i="6"/>
  <c r="X166" i="6"/>
  <c r="V166" i="6"/>
  <c r="W166" i="6" s="1"/>
  <c r="Y166" i="6" s="1"/>
  <c r="R166" i="6"/>
  <c r="P166" i="6"/>
  <c r="Q166" i="6" s="1"/>
  <c r="S166" i="6" s="1"/>
  <c r="L166" i="6"/>
  <c r="J166" i="6"/>
  <c r="K166" i="6" s="1"/>
  <c r="M166" i="6" s="1"/>
  <c r="DQ165" i="6"/>
  <c r="DP165" i="6"/>
  <c r="DN165" i="6"/>
  <c r="DM165" i="6"/>
  <c r="DL165" i="6"/>
  <c r="DK165" i="6"/>
  <c r="DJ165" i="6"/>
  <c r="V165" i="6"/>
  <c r="W165" i="6" s="1"/>
  <c r="Y165" i="6" s="1"/>
  <c r="X165" i="6"/>
  <c r="R165" i="6"/>
  <c r="P165" i="6"/>
  <c r="J165" i="6"/>
  <c r="K165" i="6" s="1"/>
  <c r="M165" i="6" s="1"/>
  <c r="L165" i="6"/>
  <c r="DQ164" i="6"/>
  <c r="DP164" i="6"/>
  <c r="DO164" i="6"/>
  <c r="DN164" i="6"/>
  <c r="DM164" i="6"/>
  <c r="DL164" i="6"/>
  <c r="DK164" i="6"/>
  <c r="DJ164" i="6"/>
  <c r="X164" i="6"/>
  <c r="V164" i="6"/>
  <c r="W164" i="6" s="1"/>
  <c r="Y164" i="6" s="1"/>
  <c r="R164" i="6"/>
  <c r="P164" i="6"/>
  <c r="Q164" i="6" s="1"/>
  <c r="S164" i="6" s="1"/>
  <c r="L164" i="6"/>
  <c r="J164" i="6"/>
  <c r="K164" i="6" s="1"/>
  <c r="M164" i="6" s="1"/>
  <c r="DQ163" i="6"/>
  <c r="DP163" i="6"/>
  <c r="DO163" i="6"/>
  <c r="DN163" i="6"/>
  <c r="DM163" i="6"/>
  <c r="DL163" i="6"/>
  <c r="DK163" i="6"/>
  <c r="DJ163" i="6"/>
  <c r="X163" i="6"/>
  <c r="V163" i="6"/>
  <c r="W163" i="6" s="1"/>
  <c r="Y163" i="6" s="1"/>
  <c r="R163" i="6"/>
  <c r="P163" i="6"/>
  <c r="Q163" i="6" s="1"/>
  <c r="S163" i="6" s="1"/>
  <c r="L163" i="6"/>
  <c r="J163" i="6"/>
  <c r="K163" i="6" s="1"/>
  <c r="M163" i="6" s="1"/>
  <c r="DQ162" i="6"/>
  <c r="DP162" i="6"/>
  <c r="DO162" i="6"/>
  <c r="DN162" i="6"/>
  <c r="DM162" i="6"/>
  <c r="DL162" i="6"/>
  <c r="DK162" i="6"/>
  <c r="DJ162" i="6"/>
  <c r="X162" i="6"/>
  <c r="V162" i="6"/>
  <c r="W162" i="6" s="1"/>
  <c r="Y162" i="6" s="1"/>
  <c r="R162" i="6"/>
  <c r="P162" i="6"/>
  <c r="Q162" i="6" s="1"/>
  <c r="S162" i="6" s="1"/>
  <c r="L162" i="6"/>
  <c r="J162" i="6"/>
  <c r="K162" i="6" s="1"/>
  <c r="M162" i="6" s="1"/>
  <c r="DQ161" i="6"/>
  <c r="DP161" i="6"/>
  <c r="DO161" i="6"/>
  <c r="DN161" i="6"/>
  <c r="DM161" i="6"/>
  <c r="DL161" i="6"/>
  <c r="DK161" i="6"/>
  <c r="DJ161" i="6"/>
  <c r="X161" i="6"/>
  <c r="V161" i="6"/>
  <c r="W161" i="6" s="1"/>
  <c r="Y161" i="6" s="1"/>
  <c r="R161" i="6"/>
  <c r="P161" i="6"/>
  <c r="Q161" i="6" s="1"/>
  <c r="S161" i="6" s="1"/>
  <c r="L161" i="6"/>
  <c r="J161" i="6"/>
  <c r="K161" i="6" s="1"/>
  <c r="M161" i="6" s="1"/>
  <c r="DQ160" i="6"/>
  <c r="DP160" i="6"/>
  <c r="DO160" i="6"/>
  <c r="DN160" i="6"/>
  <c r="DM160" i="6"/>
  <c r="DL160" i="6"/>
  <c r="DK160" i="6"/>
  <c r="DJ160" i="6"/>
  <c r="X160" i="6"/>
  <c r="V160" i="6"/>
  <c r="W160" i="6" s="1"/>
  <c r="Y160" i="6" s="1"/>
  <c r="R160" i="6"/>
  <c r="P160" i="6"/>
  <c r="Q160" i="6" s="1"/>
  <c r="S160" i="6" s="1"/>
  <c r="L160" i="6"/>
  <c r="J160" i="6"/>
  <c r="K160" i="6" s="1"/>
  <c r="M160" i="6" s="1"/>
  <c r="DQ159" i="6"/>
  <c r="DP159" i="6"/>
  <c r="DO159" i="6"/>
  <c r="DN159" i="6"/>
  <c r="DM159" i="6"/>
  <c r="DL159" i="6"/>
  <c r="DK159" i="6"/>
  <c r="DJ159" i="6"/>
  <c r="X159" i="6"/>
  <c r="V159" i="6"/>
  <c r="W159" i="6" s="1"/>
  <c r="Y159" i="6" s="1"/>
  <c r="R159" i="6"/>
  <c r="P159" i="6"/>
  <c r="Q159" i="6" s="1"/>
  <c r="S159" i="6" s="1"/>
  <c r="L159" i="6"/>
  <c r="J159" i="6"/>
  <c r="K159" i="6" s="1"/>
  <c r="M159" i="6" s="1"/>
  <c r="DQ158" i="6"/>
  <c r="DP158" i="6"/>
  <c r="DO158" i="6"/>
  <c r="DN158" i="6"/>
  <c r="DM158" i="6"/>
  <c r="DL158" i="6"/>
  <c r="DK158" i="6"/>
  <c r="DJ158" i="6"/>
  <c r="X158" i="6"/>
  <c r="V158" i="6"/>
  <c r="W158" i="6" s="1"/>
  <c r="Y158" i="6" s="1"/>
  <c r="R158" i="6"/>
  <c r="P158" i="6"/>
  <c r="Q158" i="6" s="1"/>
  <c r="S158" i="6" s="1"/>
  <c r="L158" i="6"/>
  <c r="J158" i="6"/>
  <c r="K158" i="6" s="1"/>
  <c r="M158" i="6" s="1"/>
  <c r="DQ157" i="6"/>
  <c r="DP157" i="6"/>
  <c r="DO157" i="6"/>
  <c r="DN157" i="6"/>
  <c r="DM157" i="6"/>
  <c r="DL157" i="6"/>
  <c r="DK157" i="6"/>
  <c r="DJ157" i="6"/>
  <c r="X157" i="6"/>
  <c r="W157" i="6"/>
  <c r="Y157" i="6" s="1"/>
  <c r="R157" i="6"/>
  <c r="Q157" i="6"/>
  <c r="S157" i="6" s="1"/>
  <c r="L157" i="6"/>
  <c r="K157" i="6"/>
  <c r="M157" i="6" s="1"/>
  <c r="DQ156" i="6"/>
  <c r="DP156" i="6"/>
  <c r="DO156" i="6"/>
  <c r="DN156" i="6"/>
  <c r="DM156" i="6"/>
  <c r="DL156" i="6"/>
  <c r="DK156" i="6"/>
  <c r="DJ156" i="6"/>
  <c r="X156" i="6"/>
  <c r="W156" i="6"/>
  <c r="Y156" i="6" s="1"/>
  <c r="R156" i="6"/>
  <c r="Q156" i="6"/>
  <c r="S156" i="6" s="1"/>
  <c r="L156" i="6"/>
  <c r="K156" i="6"/>
  <c r="M156" i="6" s="1"/>
  <c r="DQ155" i="6"/>
  <c r="DP155" i="6"/>
  <c r="DO155" i="6"/>
  <c r="DN155" i="6"/>
  <c r="DM155" i="6"/>
  <c r="DL155" i="6"/>
  <c r="DK155" i="6"/>
  <c r="DJ155" i="6"/>
  <c r="X155" i="6"/>
  <c r="W155" i="6"/>
  <c r="Y155" i="6" s="1"/>
  <c r="R155" i="6"/>
  <c r="Q155" i="6"/>
  <c r="S155" i="6" s="1"/>
  <c r="L155" i="6"/>
  <c r="K155" i="6"/>
  <c r="M155" i="6" s="1"/>
  <c r="DQ154" i="6"/>
  <c r="DP154" i="6"/>
  <c r="DO154" i="6"/>
  <c r="DN154" i="6"/>
  <c r="DM154" i="6"/>
  <c r="DL154" i="6"/>
  <c r="DK154" i="6"/>
  <c r="DJ154" i="6"/>
  <c r="X154" i="6"/>
  <c r="W154" i="6"/>
  <c r="Y154" i="6" s="1"/>
  <c r="R154" i="6"/>
  <c r="Q154" i="6"/>
  <c r="S154" i="6" s="1"/>
  <c r="L154" i="6"/>
  <c r="K154" i="6"/>
  <c r="M154" i="6" s="1"/>
  <c r="DQ153" i="6"/>
  <c r="DP153" i="6"/>
  <c r="DO153" i="6"/>
  <c r="DN153" i="6"/>
  <c r="DM153" i="6"/>
  <c r="DL153" i="6"/>
  <c r="DK153" i="6"/>
  <c r="DJ153" i="6"/>
  <c r="X153" i="6"/>
  <c r="W153" i="6"/>
  <c r="Y153" i="6" s="1"/>
  <c r="R153" i="6"/>
  <c r="Q153" i="6"/>
  <c r="S153" i="6" s="1"/>
  <c r="L153" i="6"/>
  <c r="K153" i="6"/>
  <c r="M153" i="6" s="1"/>
  <c r="DQ152" i="6"/>
  <c r="DP152" i="6"/>
  <c r="DO152" i="6"/>
  <c r="DN152" i="6"/>
  <c r="DM152" i="6"/>
  <c r="DL152" i="6"/>
  <c r="DK152" i="6"/>
  <c r="DJ152" i="6"/>
  <c r="X152" i="6"/>
  <c r="W152" i="6"/>
  <c r="Y152" i="6" s="1"/>
  <c r="R152" i="6"/>
  <c r="Q152" i="6"/>
  <c r="S152" i="6" s="1"/>
  <c r="L152" i="6"/>
  <c r="K152" i="6"/>
  <c r="M152" i="6" s="1"/>
  <c r="DQ151" i="6"/>
  <c r="DP151" i="6"/>
  <c r="DO151" i="6"/>
  <c r="DN151" i="6"/>
  <c r="DM151" i="6"/>
  <c r="DL151" i="6"/>
  <c r="DK151" i="6"/>
  <c r="DJ151" i="6"/>
  <c r="X151" i="6"/>
  <c r="W151" i="6"/>
  <c r="Y151" i="6" s="1"/>
  <c r="R151" i="6"/>
  <c r="Q151" i="6"/>
  <c r="S151" i="6" s="1"/>
  <c r="L151" i="6"/>
  <c r="K151" i="6"/>
  <c r="M151" i="6" s="1"/>
  <c r="DQ150" i="6"/>
  <c r="DP150" i="6"/>
  <c r="DO150" i="6"/>
  <c r="DN150" i="6"/>
  <c r="DM150" i="6"/>
  <c r="DL150" i="6"/>
  <c r="DK150" i="6"/>
  <c r="DJ150" i="6"/>
  <c r="X150" i="6"/>
  <c r="W150" i="6"/>
  <c r="Y150" i="6" s="1"/>
  <c r="R150" i="6"/>
  <c r="Q150" i="6"/>
  <c r="S150" i="6" s="1"/>
  <c r="L150" i="6"/>
  <c r="K150" i="6"/>
  <c r="M150" i="6" s="1"/>
  <c r="DQ149" i="6"/>
  <c r="DP149" i="6"/>
  <c r="DO149" i="6"/>
  <c r="DN149" i="6"/>
  <c r="DM149" i="6"/>
  <c r="DL149" i="6"/>
  <c r="DK149" i="6"/>
  <c r="DJ149" i="6"/>
  <c r="X149" i="6"/>
  <c r="W149" i="6"/>
  <c r="Y149" i="6" s="1"/>
  <c r="R149" i="6"/>
  <c r="Q149" i="6"/>
  <c r="S149" i="6" s="1"/>
  <c r="L149" i="6"/>
  <c r="K149" i="6"/>
  <c r="M149" i="6" s="1"/>
  <c r="DQ148" i="6"/>
  <c r="DP148" i="6"/>
  <c r="DO148" i="6"/>
  <c r="DN148" i="6"/>
  <c r="DM148" i="6"/>
  <c r="DL148" i="6"/>
  <c r="DK148" i="6"/>
  <c r="DJ148" i="6"/>
  <c r="X148" i="6"/>
  <c r="W148" i="6"/>
  <c r="Y148" i="6" s="1"/>
  <c r="R148" i="6"/>
  <c r="Q148" i="6"/>
  <c r="S148" i="6" s="1"/>
  <c r="L148" i="6"/>
  <c r="K148" i="6"/>
  <c r="M148" i="6" s="1"/>
  <c r="DQ147" i="6"/>
  <c r="DP147" i="6"/>
  <c r="DO147" i="6"/>
  <c r="DN147" i="6"/>
  <c r="DM147" i="6"/>
  <c r="DL147" i="6"/>
  <c r="DK147" i="6"/>
  <c r="DJ147" i="6"/>
  <c r="X147" i="6"/>
  <c r="W147" i="6"/>
  <c r="Y147" i="6" s="1"/>
  <c r="R147" i="6"/>
  <c r="Q147" i="6"/>
  <c r="S147" i="6" s="1"/>
  <c r="L147" i="6"/>
  <c r="K147" i="6"/>
  <c r="M147" i="6" s="1"/>
  <c r="DQ146" i="6"/>
  <c r="DP146" i="6"/>
  <c r="DO146" i="6"/>
  <c r="DN146" i="6"/>
  <c r="DM146" i="6"/>
  <c r="DL146" i="6"/>
  <c r="DK146" i="6"/>
  <c r="DJ146" i="6"/>
  <c r="X146" i="6"/>
  <c r="W146" i="6"/>
  <c r="Y146" i="6" s="1"/>
  <c r="R146" i="6"/>
  <c r="Q146" i="6"/>
  <c r="S146" i="6" s="1"/>
  <c r="L146" i="6"/>
  <c r="K146" i="6"/>
  <c r="M146" i="6" s="1"/>
  <c r="DQ145" i="6"/>
  <c r="DP145" i="6"/>
  <c r="DO145" i="6"/>
  <c r="DN145" i="6"/>
  <c r="DM145" i="6"/>
  <c r="DL145" i="6"/>
  <c r="DK145" i="6"/>
  <c r="DJ145" i="6"/>
  <c r="X145" i="6"/>
  <c r="W145" i="6"/>
  <c r="Y145" i="6" s="1"/>
  <c r="R145" i="6"/>
  <c r="Q145" i="6"/>
  <c r="S145" i="6" s="1"/>
  <c r="L145" i="6"/>
  <c r="K145" i="6"/>
  <c r="M145" i="6" s="1"/>
  <c r="DQ144" i="6"/>
  <c r="DP144" i="6"/>
  <c r="DO144" i="6"/>
  <c r="DN144" i="6"/>
  <c r="DM144" i="6"/>
  <c r="DL144" i="6"/>
  <c r="DK144" i="6"/>
  <c r="DJ144" i="6"/>
  <c r="X144" i="6"/>
  <c r="W144" i="6"/>
  <c r="Y144" i="6" s="1"/>
  <c r="R144" i="6"/>
  <c r="Q144" i="6"/>
  <c r="S144" i="6" s="1"/>
  <c r="L144" i="6"/>
  <c r="K144" i="6"/>
  <c r="M144" i="6" s="1"/>
  <c r="DQ143" i="6"/>
  <c r="DP143" i="6"/>
  <c r="DO143" i="6"/>
  <c r="DN143" i="6"/>
  <c r="DM143" i="6"/>
  <c r="DL143" i="6"/>
  <c r="DK143" i="6"/>
  <c r="DJ143" i="6"/>
  <c r="X143" i="6"/>
  <c r="W143" i="6"/>
  <c r="Y143" i="6" s="1"/>
  <c r="R143" i="6"/>
  <c r="Q143" i="6"/>
  <c r="S143" i="6" s="1"/>
  <c r="L143" i="6"/>
  <c r="K143" i="6"/>
  <c r="M143" i="6" s="1"/>
  <c r="DQ142" i="6"/>
  <c r="DP142" i="6"/>
  <c r="DO142" i="6"/>
  <c r="DN142" i="6"/>
  <c r="DM142" i="6"/>
  <c r="DL142" i="6"/>
  <c r="DK142" i="6"/>
  <c r="DJ142" i="6"/>
  <c r="X142" i="6"/>
  <c r="W142" i="6"/>
  <c r="Y142" i="6" s="1"/>
  <c r="R142" i="6"/>
  <c r="Q142" i="6"/>
  <c r="S142" i="6" s="1"/>
  <c r="L142" i="6"/>
  <c r="K142" i="6"/>
  <c r="M142" i="6" s="1"/>
  <c r="DQ141" i="6"/>
  <c r="DP141" i="6"/>
  <c r="DO141" i="6"/>
  <c r="DN141" i="6"/>
  <c r="DM141" i="6"/>
  <c r="DL141" i="6"/>
  <c r="DK141" i="6"/>
  <c r="DJ141" i="6"/>
  <c r="X141" i="6"/>
  <c r="V141" i="6"/>
  <c r="W141" i="6" s="1"/>
  <c r="Y141" i="6" s="1"/>
  <c r="R141" i="6"/>
  <c r="P141" i="6"/>
  <c r="Q141" i="6" s="1"/>
  <c r="S141" i="6" s="1"/>
  <c r="L141" i="6"/>
  <c r="J141" i="6"/>
  <c r="K141" i="6" s="1"/>
  <c r="M141" i="6" s="1"/>
  <c r="DQ140" i="6"/>
  <c r="DP140" i="6"/>
  <c r="DO140" i="6"/>
  <c r="DN140" i="6"/>
  <c r="DM140" i="6"/>
  <c r="DL140" i="6"/>
  <c r="DK140" i="6"/>
  <c r="DJ140" i="6"/>
  <c r="X140" i="6"/>
  <c r="W140" i="6"/>
  <c r="Y140" i="6" s="1"/>
  <c r="R140" i="6"/>
  <c r="Q140" i="6"/>
  <c r="S140" i="6" s="1"/>
  <c r="L140" i="6"/>
  <c r="K140" i="6"/>
  <c r="M140" i="6" s="1"/>
  <c r="DQ139" i="6"/>
  <c r="DP139" i="6"/>
  <c r="DO139" i="6"/>
  <c r="DN139" i="6"/>
  <c r="DM139" i="6"/>
  <c r="DL139" i="6"/>
  <c r="DK139" i="6"/>
  <c r="DJ139" i="6"/>
  <c r="X139" i="6"/>
  <c r="W139" i="6"/>
  <c r="Y139" i="6" s="1"/>
  <c r="R139" i="6"/>
  <c r="Q139" i="6"/>
  <c r="S139" i="6" s="1"/>
  <c r="L139" i="6"/>
  <c r="K139" i="6"/>
  <c r="M139" i="6" s="1"/>
  <c r="DQ138" i="6"/>
  <c r="DP138" i="6"/>
  <c r="DO138" i="6"/>
  <c r="DN138" i="6"/>
  <c r="DM138" i="6"/>
  <c r="DL138" i="6"/>
  <c r="DK138" i="6"/>
  <c r="DJ138" i="6"/>
  <c r="X138" i="6"/>
  <c r="W138" i="6"/>
  <c r="Y138" i="6" s="1"/>
  <c r="R138" i="6"/>
  <c r="Q138" i="6"/>
  <c r="S138" i="6" s="1"/>
  <c r="L138" i="6"/>
  <c r="K138" i="6"/>
  <c r="M138" i="6" s="1"/>
  <c r="DQ137" i="6"/>
  <c r="DP137" i="6"/>
  <c r="DO137" i="6"/>
  <c r="DN137" i="6"/>
  <c r="DM137" i="6"/>
  <c r="DL137" i="6"/>
  <c r="DK137" i="6"/>
  <c r="DJ137" i="6"/>
  <c r="X137" i="6"/>
  <c r="W137" i="6"/>
  <c r="Y137" i="6" s="1"/>
  <c r="R137" i="6"/>
  <c r="Q137" i="6"/>
  <c r="S137" i="6" s="1"/>
  <c r="L137" i="6"/>
  <c r="K137" i="6"/>
  <c r="M137" i="6" s="1"/>
  <c r="DQ136" i="6"/>
  <c r="DP136" i="6"/>
  <c r="DO136" i="6"/>
  <c r="DN136" i="6"/>
  <c r="DM136" i="6"/>
  <c r="DL136" i="6"/>
  <c r="DK136" i="6"/>
  <c r="DJ136" i="6"/>
  <c r="X136" i="6"/>
  <c r="W136" i="6"/>
  <c r="Y136" i="6" s="1"/>
  <c r="R136" i="6"/>
  <c r="Q136" i="6"/>
  <c r="S136" i="6" s="1"/>
  <c r="L136" i="6"/>
  <c r="K136" i="6"/>
  <c r="M136" i="6" s="1"/>
  <c r="DQ135" i="6"/>
  <c r="DP135" i="6"/>
  <c r="DO135" i="6"/>
  <c r="DN135" i="6"/>
  <c r="DM135" i="6"/>
  <c r="DL135" i="6"/>
  <c r="DK135" i="6"/>
  <c r="DJ135" i="6"/>
  <c r="X135" i="6"/>
  <c r="W135" i="6"/>
  <c r="Y135" i="6" s="1"/>
  <c r="R135" i="6"/>
  <c r="Q135" i="6"/>
  <c r="S135" i="6" s="1"/>
  <c r="L135" i="6"/>
  <c r="K135" i="6"/>
  <c r="M135" i="6" s="1"/>
  <c r="DQ134" i="6"/>
  <c r="DP134" i="6"/>
  <c r="DO134" i="6"/>
  <c r="DN134" i="6"/>
  <c r="DM134" i="6"/>
  <c r="DL134" i="6"/>
  <c r="DK134" i="6"/>
  <c r="DJ134" i="6"/>
  <c r="X134" i="6"/>
  <c r="W134" i="6"/>
  <c r="Y134" i="6" s="1"/>
  <c r="R134" i="6"/>
  <c r="Q134" i="6"/>
  <c r="S134" i="6" s="1"/>
  <c r="L134" i="6"/>
  <c r="K134" i="6"/>
  <c r="M134" i="6" s="1"/>
  <c r="DQ133" i="6"/>
  <c r="DP133" i="6"/>
  <c r="DO133" i="6"/>
  <c r="DN133" i="6"/>
  <c r="DM133" i="6"/>
  <c r="DL133" i="6"/>
  <c r="DK133" i="6"/>
  <c r="DJ133" i="6"/>
  <c r="X133" i="6"/>
  <c r="W133" i="6"/>
  <c r="Y133" i="6" s="1"/>
  <c r="R133" i="6"/>
  <c r="Q133" i="6"/>
  <c r="S133" i="6" s="1"/>
  <c r="L133" i="6"/>
  <c r="K133" i="6"/>
  <c r="M133" i="6" s="1"/>
  <c r="DQ132" i="6"/>
  <c r="DP132" i="6"/>
  <c r="DO132" i="6"/>
  <c r="DN132" i="6"/>
  <c r="DM132" i="6"/>
  <c r="DL132" i="6"/>
  <c r="DK132" i="6"/>
  <c r="DJ132" i="6"/>
  <c r="X132" i="6"/>
  <c r="W132" i="6"/>
  <c r="Y132" i="6" s="1"/>
  <c r="R132" i="6"/>
  <c r="Q132" i="6"/>
  <c r="S132" i="6" s="1"/>
  <c r="L132" i="6"/>
  <c r="K132" i="6"/>
  <c r="M132" i="6" s="1"/>
  <c r="DQ131" i="6"/>
  <c r="DP131" i="6"/>
  <c r="DO131" i="6"/>
  <c r="DN131" i="6"/>
  <c r="DM131" i="6"/>
  <c r="DL131" i="6"/>
  <c r="DK131" i="6"/>
  <c r="DJ131" i="6"/>
  <c r="X131" i="6"/>
  <c r="W131" i="6"/>
  <c r="Y131" i="6" s="1"/>
  <c r="R131" i="6"/>
  <c r="Q131" i="6"/>
  <c r="S131" i="6" s="1"/>
  <c r="L131" i="6"/>
  <c r="K131" i="6"/>
  <c r="M131" i="6" s="1"/>
  <c r="DQ130" i="6"/>
  <c r="DP130" i="6"/>
  <c r="DO130" i="6"/>
  <c r="DN130" i="6"/>
  <c r="DM130" i="6"/>
  <c r="DL130" i="6"/>
  <c r="DK130" i="6"/>
  <c r="DJ130" i="6"/>
  <c r="X130" i="6"/>
  <c r="W130" i="6"/>
  <c r="Y130" i="6" s="1"/>
  <c r="R130" i="6"/>
  <c r="Q130" i="6"/>
  <c r="S130" i="6" s="1"/>
  <c r="L130" i="6"/>
  <c r="K130" i="6"/>
  <c r="M130" i="6" s="1"/>
  <c r="DQ129" i="6"/>
  <c r="DP129" i="6"/>
  <c r="DO129" i="6"/>
  <c r="DN129" i="6"/>
  <c r="DM129" i="6"/>
  <c r="DL129" i="6"/>
  <c r="DK129" i="6"/>
  <c r="DJ129" i="6"/>
  <c r="X129" i="6"/>
  <c r="W129" i="6"/>
  <c r="Y129" i="6" s="1"/>
  <c r="R129" i="6"/>
  <c r="Q129" i="6"/>
  <c r="S129" i="6" s="1"/>
  <c r="L129" i="6"/>
  <c r="K129" i="6"/>
  <c r="M129" i="6" s="1"/>
  <c r="DQ128" i="6"/>
  <c r="DP128" i="6"/>
  <c r="DO128" i="6"/>
  <c r="DN128" i="6"/>
  <c r="DM128" i="6"/>
  <c r="DL128" i="6"/>
  <c r="DK128" i="6"/>
  <c r="DJ128" i="6"/>
  <c r="X128" i="6"/>
  <c r="W128" i="6"/>
  <c r="Y128" i="6" s="1"/>
  <c r="R128" i="6"/>
  <c r="Q128" i="6"/>
  <c r="S128" i="6" s="1"/>
  <c r="L128" i="6"/>
  <c r="K128" i="6"/>
  <c r="M128" i="6" s="1"/>
  <c r="DQ127" i="6"/>
  <c r="DP127" i="6"/>
  <c r="DO127" i="6"/>
  <c r="DN127" i="6"/>
  <c r="DM127" i="6"/>
  <c r="DL127" i="6"/>
  <c r="DK127" i="6"/>
  <c r="DJ127" i="6"/>
  <c r="X127" i="6"/>
  <c r="W127" i="6"/>
  <c r="Y127" i="6" s="1"/>
  <c r="R127" i="6"/>
  <c r="Q127" i="6"/>
  <c r="S127" i="6" s="1"/>
  <c r="L127" i="6"/>
  <c r="K127" i="6"/>
  <c r="M127" i="6" s="1"/>
  <c r="DQ126" i="6"/>
  <c r="DP126" i="6"/>
  <c r="DO126" i="6"/>
  <c r="DN126" i="6"/>
  <c r="DM126" i="6"/>
  <c r="DL126" i="6"/>
  <c r="DK126" i="6"/>
  <c r="DJ126" i="6"/>
  <c r="X126" i="6"/>
  <c r="W126" i="6"/>
  <c r="Y126" i="6" s="1"/>
  <c r="R126" i="6"/>
  <c r="Q126" i="6"/>
  <c r="S126" i="6" s="1"/>
  <c r="L126" i="6"/>
  <c r="K126" i="6"/>
  <c r="M126" i="6" s="1"/>
  <c r="DQ125" i="6"/>
  <c r="DP125" i="6"/>
  <c r="DO125" i="6"/>
  <c r="DN125" i="6"/>
  <c r="DM125" i="6"/>
  <c r="DL125" i="6"/>
  <c r="DK125" i="6"/>
  <c r="DJ125" i="6"/>
  <c r="X125" i="6"/>
  <c r="W125" i="6"/>
  <c r="Y125" i="6" s="1"/>
  <c r="R125" i="6"/>
  <c r="Q125" i="6"/>
  <c r="S125" i="6" s="1"/>
  <c r="L125" i="6"/>
  <c r="K125" i="6"/>
  <c r="M125" i="6" s="1"/>
  <c r="DQ124" i="6"/>
  <c r="DP124" i="6"/>
  <c r="DO124" i="6"/>
  <c r="DN124" i="6"/>
  <c r="DM124" i="6"/>
  <c r="DL124" i="6"/>
  <c r="DK124" i="6"/>
  <c r="DJ124" i="6"/>
  <c r="X124" i="6"/>
  <c r="W124" i="6"/>
  <c r="Y124" i="6" s="1"/>
  <c r="R124" i="6"/>
  <c r="Q124" i="6"/>
  <c r="S124" i="6" s="1"/>
  <c r="L124" i="6"/>
  <c r="K124" i="6"/>
  <c r="M124" i="6" s="1"/>
  <c r="DQ123" i="6"/>
  <c r="DP123" i="6"/>
  <c r="DO123" i="6"/>
  <c r="DN123" i="6"/>
  <c r="DL123" i="6"/>
  <c r="DK123" i="6"/>
  <c r="DJ123" i="6"/>
  <c r="X123" i="6"/>
  <c r="R123" i="6"/>
  <c r="Q123" i="6"/>
  <c r="S123" i="6" s="1"/>
  <c r="DQ122" i="6"/>
  <c r="DP122" i="6"/>
  <c r="DO122" i="6"/>
  <c r="DN122" i="6"/>
  <c r="DM122" i="6"/>
  <c r="DL122" i="6"/>
  <c r="DK122" i="6"/>
  <c r="DJ122" i="6"/>
  <c r="X122" i="6"/>
  <c r="W122" i="6"/>
  <c r="Y122" i="6" s="1"/>
  <c r="R122" i="6"/>
  <c r="Q122" i="6"/>
  <c r="S122" i="6" s="1"/>
  <c r="L122" i="6"/>
  <c r="K122" i="6"/>
  <c r="M122" i="6" s="1"/>
  <c r="DQ121" i="6"/>
  <c r="DP121" i="6"/>
  <c r="DO121" i="6"/>
  <c r="DN121" i="6"/>
  <c r="DM121" i="6"/>
  <c r="DL121" i="6"/>
  <c r="DK121" i="6"/>
  <c r="DJ121" i="6"/>
  <c r="X121" i="6"/>
  <c r="W121" i="6"/>
  <c r="Y121" i="6" s="1"/>
  <c r="R121" i="6"/>
  <c r="Q121" i="6"/>
  <c r="S121" i="6" s="1"/>
  <c r="L121" i="6"/>
  <c r="K121" i="6"/>
  <c r="M121" i="6" s="1"/>
  <c r="DQ120" i="6"/>
  <c r="DP120" i="6"/>
  <c r="DO120" i="6"/>
  <c r="DN120" i="6"/>
  <c r="DM120" i="6"/>
  <c r="DL120" i="6"/>
  <c r="DK120" i="6"/>
  <c r="DJ120" i="6"/>
  <c r="X120" i="6"/>
  <c r="W120" i="6"/>
  <c r="Y120" i="6" s="1"/>
  <c r="R120" i="6"/>
  <c r="Q120" i="6"/>
  <c r="S120" i="6" s="1"/>
  <c r="L120" i="6"/>
  <c r="K120" i="6"/>
  <c r="M120" i="6" s="1"/>
  <c r="DQ119" i="6"/>
  <c r="DP119" i="6"/>
  <c r="DO119" i="6"/>
  <c r="DN119" i="6"/>
  <c r="DM119" i="6"/>
  <c r="DL119" i="6"/>
  <c r="DK119" i="6"/>
  <c r="DJ119" i="6"/>
  <c r="X119" i="6"/>
  <c r="W119" i="6"/>
  <c r="Y119" i="6" s="1"/>
  <c r="R119" i="6"/>
  <c r="Q119" i="6"/>
  <c r="S119" i="6" s="1"/>
  <c r="L119" i="6"/>
  <c r="K119" i="6"/>
  <c r="DQ118" i="6"/>
  <c r="DP118" i="6"/>
  <c r="DO118" i="6"/>
  <c r="DN118" i="6"/>
  <c r="DM118" i="6"/>
  <c r="DL118" i="6"/>
  <c r="DK118" i="6"/>
  <c r="DJ118" i="6"/>
  <c r="X118" i="6"/>
  <c r="W118" i="6"/>
  <c r="Y118" i="6" s="1"/>
  <c r="R118" i="6"/>
  <c r="Q118" i="6"/>
  <c r="S118" i="6" s="1"/>
  <c r="L118" i="6"/>
  <c r="K118" i="6"/>
  <c r="M118" i="6" s="1"/>
  <c r="DQ117" i="6"/>
  <c r="DP117" i="6"/>
  <c r="DO117" i="6"/>
  <c r="DN117" i="6"/>
  <c r="DM117" i="6"/>
  <c r="DL117" i="6"/>
  <c r="DK117" i="6"/>
  <c r="DJ117" i="6"/>
  <c r="X117" i="6"/>
  <c r="W117" i="6"/>
  <c r="Y117" i="6" s="1"/>
  <c r="R117" i="6"/>
  <c r="Q117" i="6"/>
  <c r="S117" i="6" s="1"/>
  <c r="L117" i="6"/>
  <c r="K117" i="6"/>
  <c r="M117" i="6" s="1"/>
  <c r="DQ116" i="6"/>
  <c r="DP116" i="6"/>
  <c r="DO116" i="6"/>
  <c r="DN116" i="6"/>
  <c r="DM116" i="6"/>
  <c r="DL116" i="6"/>
  <c r="DK116" i="6"/>
  <c r="DJ116" i="6"/>
  <c r="X116" i="6"/>
  <c r="W116" i="6"/>
  <c r="Y116" i="6" s="1"/>
  <c r="R116" i="6"/>
  <c r="Q116" i="6"/>
  <c r="S116" i="6" s="1"/>
  <c r="L116" i="6"/>
  <c r="K116" i="6"/>
  <c r="M116" i="6" s="1"/>
  <c r="DQ115" i="6"/>
  <c r="DP115" i="6"/>
  <c r="DO115" i="6"/>
  <c r="DN115" i="6"/>
  <c r="DM115" i="6"/>
  <c r="DL115" i="6"/>
  <c r="DK115" i="6"/>
  <c r="DJ115" i="6"/>
  <c r="X115" i="6"/>
  <c r="W115" i="6"/>
  <c r="Y115" i="6" s="1"/>
  <c r="R115" i="6"/>
  <c r="Q115" i="6"/>
  <c r="S115" i="6" s="1"/>
  <c r="L115" i="6"/>
  <c r="K115" i="6"/>
  <c r="M115" i="6" s="1"/>
  <c r="DO114" i="6"/>
  <c r="DN114" i="6"/>
  <c r="DK114" i="6"/>
  <c r="DJ114" i="6"/>
  <c r="U114" i="6"/>
  <c r="T114" i="6"/>
  <c r="R114" i="6"/>
  <c r="P114" i="6"/>
  <c r="Q114" i="6" s="1"/>
  <c r="S114" i="6" s="1"/>
  <c r="I114" i="6"/>
  <c r="DQ110" i="6"/>
  <c r="DP110" i="6"/>
  <c r="DO110" i="6"/>
  <c r="DN110" i="6"/>
  <c r="DM110" i="6"/>
  <c r="DL110" i="6"/>
  <c r="DK110" i="6"/>
  <c r="DJ110" i="6"/>
  <c r="X110" i="6"/>
  <c r="V110" i="6"/>
  <c r="W110" i="6" s="1"/>
  <c r="Y110" i="6" s="1"/>
  <c r="R110" i="6"/>
  <c r="P110" i="6"/>
  <c r="Q110" i="6" s="1"/>
  <c r="S110" i="6" s="1"/>
  <c r="L110" i="6"/>
  <c r="J110" i="6"/>
  <c r="K110" i="6" s="1"/>
  <c r="M110" i="6" s="1"/>
  <c r="DQ109" i="6"/>
  <c r="DP109" i="6"/>
  <c r="DO109" i="6"/>
  <c r="DN109" i="6"/>
  <c r="DM109" i="6"/>
  <c r="DL109" i="6"/>
  <c r="DK109" i="6"/>
  <c r="DJ109" i="6"/>
  <c r="X109" i="6"/>
  <c r="V109" i="6"/>
  <c r="W109" i="6" s="1"/>
  <c r="Y109" i="6" s="1"/>
  <c r="R109" i="6"/>
  <c r="P109" i="6"/>
  <c r="Q109" i="6" s="1"/>
  <c r="S109" i="6" s="1"/>
  <c r="L109" i="6"/>
  <c r="J109" i="6"/>
  <c r="K109" i="6" s="1"/>
  <c r="M109" i="6" s="1"/>
  <c r="DQ108" i="6"/>
  <c r="DP108" i="6"/>
  <c r="DO108" i="6"/>
  <c r="DN108" i="6"/>
  <c r="DM108" i="6"/>
  <c r="DL108" i="6"/>
  <c r="DK108" i="6"/>
  <c r="DJ108" i="6"/>
  <c r="X108" i="6"/>
  <c r="V108" i="6"/>
  <c r="W108" i="6" s="1"/>
  <c r="Y108" i="6" s="1"/>
  <c r="R108" i="6"/>
  <c r="P108" i="6"/>
  <c r="Q108" i="6" s="1"/>
  <c r="S108" i="6" s="1"/>
  <c r="L108" i="6"/>
  <c r="J108" i="6"/>
  <c r="K108" i="6" s="1"/>
  <c r="M108" i="6" s="1"/>
  <c r="DQ107" i="6"/>
  <c r="DP107" i="6"/>
  <c r="DO107" i="6"/>
  <c r="DN107" i="6"/>
  <c r="DM107" i="6"/>
  <c r="DL107" i="6"/>
  <c r="DK107" i="6"/>
  <c r="DJ107" i="6"/>
  <c r="X107" i="6"/>
  <c r="V107" i="6"/>
  <c r="W107" i="6" s="1"/>
  <c r="Y107" i="6" s="1"/>
  <c r="R107" i="6"/>
  <c r="P107" i="6"/>
  <c r="Q107" i="6" s="1"/>
  <c r="S107" i="6" s="1"/>
  <c r="L107" i="6"/>
  <c r="J107" i="6"/>
  <c r="K107" i="6" s="1"/>
  <c r="M107" i="6" s="1"/>
  <c r="DQ106" i="6"/>
  <c r="DP106" i="6"/>
  <c r="DO106" i="6"/>
  <c r="DN106" i="6"/>
  <c r="DM106" i="6"/>
  <c r="DL106" i="6"/>
  <c r="DK106" i="6"/>
  <c r="DJ106" i="6"/>
  <c r="X106" i="6"/>
  <c r="V106" i="6"/>
  <c r="W106" i="6" s="1"/>
  <c r="Y106" i="6" s="1"/>
  <c r="R106" i="6"/>
  <c r="P106" i="6"/>
  <c r="Q106" i="6" s="1"/>
  <c r="S106" i="6" s="1"/>
  <c r="L106" i="6"/>
  <c r="J106" i="6"/>
  <c r="K106" i="6" s="1"/>
  <c r="M106" i="6" s="1"/>
  <c r="DJ105" i="6"/>
  <c r="T105" i="6"/>
  <c r="N105" i="6"/>
  <c r="H105" i="6"/>
  <c r="G105" i="6"/>
  <c r="E105" i="6"/>
  <c r="D105" i="6"/>
  <c r="DJ104" i="6"/>
  <c r="G104" i="6"/>
  <c r="E104" i="6"/>
  <c r="D104" i="6"/>
  <c r="DK254" i="6" s="1"/>
  <c r="DQ103" i="6"/>
  <c r="DP103" i="6"/>
  <c r="DO103" i="6"/>
  <c r="DN103" i="6"/>
  <c r="DM103" i="6"/>
  <c r="DL103" i="6"/>
  <c r="DK103" i="6"/>
  <c r="DJ103" i="6"/>
  <c r="X103" i="6"/>
  <c r="V103" i="6"/>
  <c r="W103" i="6" s="1"/>
  <c r="Y103" i="6" s="1"/>
  <c r="R103" i="6"/>
  <c r="Q103" i="6"/>
  <c r="S103" i="6" s="1"/>
  <c r="L103" i="6"/>
  <c r="K103" i="6"/>
  <c r="M103" i="6" s="1"/>
  <c r="DQ102" i="6"/>
  <c r="DP102" i="6"/>
  <c r="DO102" i="6"/>
  <c r="DN102" i="6"/>
  <c r="DM102" i="6"/>
  <c r="DL102" i="6"/>
  <c r="DK102" i="6"/>
  <c r="DJ102" i="6"/>
  <c r="R102" i="6"/>
  <c r="P102" i="6"/>
  <c r="Q102" i="6" s="1"/>
  <c r="S102" i="6" s="1"/>
  <c r="L102" i="6"/>
  <c r="J102" i="6"/>
  <c r="K102" i="6" s="1"/>
  <c r="M102" i="6" s="1"/>
  <c r="DK101" i="6"/>
  <c r="DJ101" i="6"/>
  <c r="V101" i="6"/>
  <c r="J101" i="6"/>
  <c r="DQ100" i="6"/>
  <c r="DP100" i="6"/>
  <c r="DO100" i="6"/>
  <c r="DN100" i="6"/>
  <c r="DM100" i="6"/>
  <c r="DL100" i="6"/>
  <c r="DK100" i="6"/>
  <c r="DJ100" i="6"/>
  <c r="X100" i="6"/>
  <c r="V100" i="6"/>
  <c r="W100" i="6" s="1"/>
  <c r="Y100" i="6" s="1"/>
  <c r="R100" i="6"/>
  <c r="P100" i="6"/>
  <c r="Q100" i="6" s="1"/>
  <c r="S100" i="6" s="1"/>
  <c r="L100" i="6"/>
  <c r="J100" i="6"/>
  <c r="K100" i="6" s="1"/>
  <c r="M100" i="6" s="1"/>
  <c r="DQ99" i="6"/>
  <c r="DP99" i="6"/>
  <c r="DO99" i="6"/>
  <c r="DN99" i="6"/>
  <c r="DM99" i="6"/>
  <c r="DL99" i="6"/>
  <c r="DK99" i="6"/>
  <c r="DJ99" i="6"/>
  <c r="X99" i="6"/>
  <c r="V99" i="6"/>
  <c r="W99" i="6" s="1"/>
  <c r="Y99" i="6" s="1"/>
  <c r="R99" i="6"/>
  <c r="P99" i="6"/>
  <c r="Q99" i="6" s="1"/>
  <c r="S99" i="6" s="1"/>
  <c r="L99" i="6"/>
  <c r="J99" i="6"/>
  <c r="K99" i="6" s="1"/>
  <c r="M99" i="6" s="1"/>
  <c r="DK98" i="6"/>
  <c r="DJ98" i="6"/>
  <c r="T98" i="6"/>
  <c r="N98" i="6"/>
  <c r="I98" i="6"/>
  <c r="H98" i="6"/>
  <c r="G98" i="6"/>
  <c r="DQ97" i="6"/>
  <c r="DP97" i="6"/>
  <c r="DL97" i="6"/>
  <c r="DK97" i="6"/>
  <c r="DJ97" i="6"/>
  <c r="X97" i="6"/>
  <c r="L97" i="6"/>
  <c r="J97" i="6"/>
  <c r="K97" i="6" s="1"/>
  <c r="M97" i="6" s="1"/>
  <c r="DK96" i="6"/>
  <c r="DJ96" i="6"/>
  <c r="T96" i="6"/>
  <c r="N96" i="6"/>
  <c r="H96" i="6"/>
  <c r="G96" i="6"/>
  <c r="DQ95" i="6"/>
  <c r="DP95" i="6"/>
  <c r="DO95" i="6"/>
  <c r="DN95" i="6"/>
  <c r="DM95" i="6"/>
  <c r="DL95" i="6"/>
  <c r="DK95" i="6"/>
  <c r="DJ95" i="6"/>
  <c r="X95" i="6"/>
  <c r="V95" i="6"/>
  <c r="W95" i="6" s="1"/>
  <c r="Y95" i="6" s="1"/>
  <c r="R95" i="6"/>
  <c r="P95" i="6"/>
  <c r="Q95" i="6" s="1"/>
  <c r="S95" i="6" s="1"/>
  <c r="L95" i="6"/>
  <c r="J95" i="6"/>
  <c r="K95" i="6" s="1"/>
  <c r="M95" i="6" s="1"/>
  <c r="DM94" i="6"/>
  <c r="DL94" i="6"/>
  <c r="DJ94" i="6"/>
  <c r="T94" i="6"/>
  <c r="O94" i="6"/>
  <c r="R94" i="6" s="1"/>
  <c r="N94" i="6"/>
  <c r="G94" i="6"/>
  <c r="DK93" i="6"/>
  <c r="DJ93" i="6"/>
  <c r="T93" i="6"/>
  <c r="N93" i="6"/>
  <c r="H93" i="6"/>
  <c r="G93" i="6"/>
  <c r="DQ92" i="6"/>
  <c r="DP92" i="6"/>
  <c r="DO92" i="6"/>
  <c r="DN92" i="6"/>
  <c r="DM92" i="6"/>
  <c r="DL92" i="6"/>
  <c r="DK92" i="6"/>
  <c r="DJ92" i="6"/>
  <c r="X92" i="6"/>
  <c r="V92" i="6"/>
  <c r="W92" i="6" s="1"/>
  <c r="Y92" i="6" s="1"/>
  <c r="R92" i="6"/>
  <c r="P92" i="6"/>
  <c r="Q92" i="6" s="1"/>
  <c r="S92" i="6" s="1"/>
  <c r="L92" i="6"/>
  <c r="J92" i="6"/>
  <c r="K92" i="6" s="1"/>
  <c r="M92" i="6" s="1"/>
  <c r="DQ91" i="6"/>
  <c r="DP91" i="6"/>
  <c r="DO91" i="6"/>
  <c r="DN91" i="6"/>
  <c r="DM91" i="6"/>
  <c r="DL91" i="6"/>
  <c r="DK91" i="6"/>
  <c r="DJ91" i="6"/>
  <c r="X91" i="6"/>
  <c r="V91" i="6"/>
  <c r="W91" i="6" s="1"/>
  <c r="Y91" i="6" s="1"/>
  <c r="R91" i="6"/>
  <c r="P91" i="6"/>
  <c r="Q91" i="6" s="1"/>
  <c r="S91" i="6" s="1"/>
  <c r="L91" i="6"/>
  <c r="J91" i="6"/>
  <c r="K91" i="6" s="1"/>
  <c r="M91" i="6" s="1"/>
  <c r="DQ90" i="6"/>
  <c r="DP90" i="6"/>
  <c r="DO90" i="6"/>
  <c r="DN90" i="6"/>
  <c r="DM90" i="6"/>
  <c r="DL90" i="6"/>
  <c r="DK90" i="6"/>
  <c r="DJ90" i="6"/>
  <c r="R90" i="6"/>
  <c r="P90" i="6"/>
  <c r="Q90" i="6" s="1"/>
  <c r="S90" i="6" s="1"/>
  <c r="L90" i="6"/>
  <c r="J90" i="6"/>
  <c r="K90" i="6" s="1"/>
  <c r="M90" i="6" s="1"/>
  <c r="DQ89" i="6"/>
  <c r="DP89" i="6"/>
  <c r="DO89" i="6"/>
  <c r="DN89" i="6"/>
  <c r="DM89" i="6"/>
  <c r="DL89" i="6"/>
  <c r="DK89" i="6"/>
  <c r="DJ89" i="6"/>
  <c r="P89" i="6"/>
  <c r="Q89" i="6" s="1"/>
  <c r="S89" i="6" s="1"/>
  <c r="J89" i="6"/>
  <c r="K89" i="6" s="1"/>
  <c r="M89" i="6" s="1"/>
  <c r="DQ88" i="6"/>
  <c r="DP88" i="6"/>
  <c r="DO88" i="6"/>
  <c r="DN88" i="6"/>
  <c r="DM88" i="6"/>
  <c r="DL88" i="6"/>
  <c r="DK88" i="6"/>
  <c r="DJ88" i="6"/>
  <c r="X88" i="6"/>
  <c r="V88" i="6"/>
  <c r="W88" i="6" s="1"/>
  <c r="Y88" i="6" s="1"/>
  <c r="R88" i="6"/>
  <c r="P88" i="6"/>
  <c r="Q88" i="6" s="1"/>
  <c r="S88" i="6" s="1"/>
  <c r="L88" i="6"/>
  <c r="J88" i="6"/>
  <c r="K88" i="6" s="1"/>
  <c r="M88" i="6" s="1"/>
  <c r="DQ87" i="6"/>
  <c r="DP87" i="6"/>
  <c r="DO87" i="6"/>
  <c r="DN87" i="6"/>
  <c r="DM87" i="6"/>
  <c r="DL87" i="6"/>
  <c r="DK87" i="6"/>
  <c r="DJ87" i="6"/>
  <c r="X87" i="6"/>
  <c r="V87" i="6"/>
  <c r="W87" i="6" s="1"/>
  <c r="Y87" i="6" s="1"/>
  <c r="R87" i="6"/>
  <c r="P87" i="6"/>
  <c r="Q87" i="6" s="1"/>
  <c r="S87" i="6" s="1"/>
  <c r="L87" i="6"/>
  <c r="J87" i="6"/>
  <c r="K87" i="6" s="1"/>
  <c r="M87" i="6" s="1"/>
  <c r="DQ86" i="6"/>
  <c r="DP86" i="6"/>
  <c r="DO86" i="6"/>
  <c r="DN86" i="6"/>
  <c r="DM86" i="6"/>
  <c r="DL86" i="6"/>
  <c r="DK86" i="6"/>
  <c r="DJ86" i="6"/>
  <c r="X86" i="6"/>
  <c r="V86" i="6"/>
  <c r="W86" i="6" s="1"/>
  <c r="Y86" i="6" s="1"/>
  <c r="R86" i="6"/>
  <c r="P86" i="6"/>
  <c r="Q86" i="6" s="1"/>
  <c r="S86" i="6" s="1"/>
  <c r="L86" i="6"/>
  <c r="J86" i="6"/>
  <c r="K86" i="6" s="1"/>
  <c r="M86" i="6" s="1"/>
  <c r="DQ85" i="6"/>
  <c r="DP85" i="6"/>
  <c r="DO85" i="6"/>
  <c r="DN85" i="6"/>
  <c r="DM85" i="6"/>
  <c r="DL85" i="6"/>
  <c r="DK85" i="6"/>
  <c r="DJ85" i="6"/>
  <c r="V85" i="6"/>
  <c r="W85" i="6" s="1"/>
  <c r="Y85" i="6" s="1"/>
  <c r="X85" i="6"/>
  <c r="R85" i="6"/>
  <c r="J85" i="6"/>
  <c r="K85" i="6" s="1"/>
  <c r="M85" i="6" s="1"/>
  <c r="L85" i="6"/>
  <c r="DQ84" i="6"/>
  <c r="DP84" i="6"/>
  <c r="DO84" i="6"/>
  <c r="DN84" i="6"/>
  <c r="DM84" i="6"/>
  <c r="DL84" i="6"/>
  <c r="DK84" i="6"/>
  <c r="DJ84" i="6"/>
  <c r="X84" i="6"/>
  <c r="V84" i="6"/>
  <c r="W84" i="6" s="1"/>
  <c r="Y84" i="6" s="1"/>
  <c r="R84" i="6"/>
  <c r="P84" i="6"/>
  <c r="Q84" i="6" s="1"/>
  <c r="S84" i="6" s="1"/>
  <c r="L84" i="6"/>
  <c r="J84" i="6"/>
  <c r="K84" i="6" s="1"/>
  <c r="M84" i="6" s="1"/>
  <c r="DQ83" i="6"/>
  <c r="DP83" i="6"/>
  <c r="DO83" i="6"/>
  <c r="DN83" i="6"/>
  <c r="DM83" i="6"/>
  <c r="DL83" i="6"/>
  <c r="DK83" i="6"/>
  <c r="DJ83" i="6"/>
  <c r="X83" i="6"/>
  <c r="V83" i="6"/>
  <c r="W83" i="6" s="1"/>
  <c r="Y83" i="6" s="1"/>
  <c r="R83" i="6"/>
  <c r="P83" i="6"/>
  <c r="Q83" i="6" s="1"/>
  <c r="S83" i="6" s="1"/>
  <c r="L83" i="6"/>
  <c r="J83" i="6"/>
  <c r="K83" i="6" s="1"/>
  <c r="M83" i="6" s="1"/>
  <c r="DQ82" i="6"/>
  <c r="DP82" i="6"/>
  <c r="DO82" i="6"/>
  <c r="DN82" i="6"/>
  <c r="DM82" i="6"/>
  <c r="DL82" i="6"/>
  <c r="DK82" i="6"/>
  <c r="DJ82" i="6"/>
  <c r="X82" i="6"/>
  <c r="V82" i="6"/>
  <c r="W82" i="6" s="1"/>
  <c r="Y82" i="6" s="1"/>
  <c r="R82" i="6"/>
  <c r="P82" i="6"/>
  <c r="Q82" i="6" s="1"/>
  <c r="S82" i="6" s="1"/>
  <c r="L82" i="6"/>
  <c r="J82" i="6"/>
  <c r="K82" i="6" s="1"/>
  <c r="M82" i="6" s="1"/>
  <c r="DQ81" i="6"/>
  <c r="DP81" i="6"/>
  <c r="DO81" i="6"/>
  <c r="DN81" i="6"/>
  <c r="DM81" i="6"/>
  <c r="DL81" i="6"/>
  <c r="DK81" i="6"/>
  <c r="DJ81" i="6"/>
  <c r="X81" i="6"/>
  <c r="V81" i="6"/>
  <c r="W81" i="6" s="1"/>
  <c r="Y81" i="6" s="1"/>
  <c r="R81" i="6"/>
  <c r="P81" i="6"/>
  <c r="Q81" i="6" s="1"/>
  <c r="S81" i="6" s="1"/>
  <c r="L81" i="6"/>
  <c r="J81" i="6"/>
  <c r="K81" i="6" s="1"/>
  <c r="M81" i="6" s="1"/>
  <c r="DQ80" i="6"/>
  <c r="DP80" i="6"/>
  <c r="DO80" i="6"/>
  <c r="DN80" i="6"/>
  <c r="DM80" i="6"/>
  <c r="DL80" i="6"/>
  <c r="DK80" i="6"/>
  <c r="DJ80" i="6"/>
  <c r="X80" i="6"/>
  <c r="V80" i="6"/>
  <c r="W80" i="6" s="1"/>
  <c r="Y80" i="6" s="1"/>
  <c r="R80" i="6"/>
  <c r="P80" i="6"/>
  <c r="Q80" i="6" s="1"/>
  <c r="S80" i="6" s="1"/>
  <c r="L80" i="6"/>
  <c r="J80" i="6"/>
  <c r="K80" i="6" s="1"/>
  <c r="M80" i="6" s="1"/>
  <c r="DQ79" i="6"/>
  <c r="DP79" i="6"/>
  <c r="DO79" i="6"/>
  <c r="DN79" i="6"/>
  <c r="DM79" i="6"/>
  <c r="DL79" i="6"/>
  <c r="DK79" i="6"/>
  <c r="DJ79" i="6"/>
  <c r="X79" i="6"/>
  <c r="V79" i="6"/>
  <c r="W79" i="6" s="1"/>
  <c r="Y79" i="6" s="1"/>
  <c r="R79" i="6"/>
  <c r="P79" i="6"/>
  <c r="Q79" i="6" s="1"/>
  <c r="S79" i="6" s="1"/>
  <c r="L79" i="6"/>
  <c r="J79" i="6"/>
  <c r="K79" i="6" s="1"/>
  <c r="M79" i="6" s="1"/>
  <c r="DQ78" i="6"/>
  <c r="DP78" i="6"/>
  <c r="DO78" i="6"/>
  <c r="DN78" i="6"/>
  <c r="DM78" i="6"/>
  <c r="DL78" i="6"/>
  <c r="DK78" i="6"/>
  <c r="DJ78" i="6"/>
  <c r="X78" i="6"/>
  <c r="V78" i="6"/>
  <c r="W78" i="6" s="1"/>
  <c r="Y78" i="6" s="1"/>
  <c r="R78" i="6"/>
  <c r="P78" i="6"/>
  <c r="Q78" i="6" s="1"/>
  <c r="S78" i="6" s="1"/>
  <c r="L78" i="6"/>
  <c r="J78" i="6"/>
  <c r="K78" i="6" s="1"/>
  <c r="M78" i="6" s="1"/>
  <c r="DQ77" i="6"/>
  <c r="DP77" i="6"/>
  <c r="DO77" i="6"/>
  <c r="DN77" i="6"/>
  <c r="DM77" i="6"/>
  <c r="DL77" i="6"/>
  <c r="DK77" i="6"/>
  <c r="DJ77" i="6"/>
  <c r="X77" i="6"/>
  <c r="V77" i="6"/>
  <c r="W77" i="6" s="1"/>
  <c r="Y77" i="6" s="1"/>
  <c r="R77" i="6"/>
  <c r="P77" i="6"/>
  <c r="Q77" i="6" s="1"/>
  <c r="S77" i="6" s="1"/>
  <c r="L77" i="6"/>
  <c r="J77" i="6"/>
  <c r="K77" i="6" s="1"/>
  <c r="M77" i="6" s="1"/>
  <c r="DQ76" i="6"/>
  <c r="DP76" i="6"/>
  <c r="DO76" i="6"/>
  <c r="DN76" i="6"/>
  <c r="DM76" i="6"/>
  <c r="DL76" i="6"/>
  <c r="DK76" i="6"/>
  <c r="DJ76" i="6"/>
  <c r="X76" i="6"/>
  <c r="V76" i="6"/>
  <c r="W76" i="6" s="1"/>
  <c r="Y76" i="6" s="1"/>
  <c r="R76" i="6"/>
  <c r="P76" i="6"/>
  <c r="Q76" i="6" s="1"/>
  <c r="S76" i="6" s="1"/>
  <c r="L76" i="6"/>
  <c r="J76" i="6"/>
  <c r="K76" i="6" s="1"/>
  <c r="M76" i="6" s="1"/>
  <c r="DQ75" i="6"/>
  <c r="DP75" i="6"/>
  <c r="DO75" i="6"/>
  <c r="DN75" i="6"/>
  <c r="DM75" i="6"/>
  <c r="DL75" i="6"/>
  <c r="DK75" i="6"/>
  <c r="DJ75" i="6"/>
  <c r="R75" i="6"/>
  <c r="P75" i="6"/>
  <c r="Q75" i="6" s="1"/>
  <c r="S75" i="6" s="1"/>
  <c r="L75" i="6"/>
  <c r="J75" i="6"/>
  <c r="K75" i="6" s="1"/>
  <c r="M75" i="6" s="1"/>
  <c r="DQ74" i="6"/>
  <c r="DP74" i="6"/>
  <c r="DO74" i="6"/>
  <c r="DN74" i="6"/>
  <c r="DM74" i="6"/>
  <c r="DL74" i="6"/>
  <c r="DK74" i="6"/>
  <c r="DJ74" i="6"/>
  <c r="V74" i="6"/>
  <c r="W74" i="6" s="1"/>
  <c r="Y74" i="6" s="1"/>
  <c r="R74" i="6"/>
  <c r="P74" i="6"/>
  <c r="Q74" i="6" s="1"/>
  <c r="S74" i="6" s="1"/>
  <c r="L74" i="6"/>
  <c r="J74" i="6"/>
  <c r="K74" i="6" s="1"/>
  <c r="M74" i="6" s="1"/>
  <c r="G74" i="6"/>
  <c r="DQ73" i="6"/>
  <c r="DP73" i="6"/>
  <c r="DO73" i="6"/>
  <c r="DN73" i="6"/>
  <c r="DM73" i="6"/>
  <c r="DL73" i="6"/>
  <c r="DK73" i="6"/>
  <c r="DJ73" i="6"/>
  <c r="V73" i="6"/>
  <c r="W73" i="6" s="1"/>
  <c r="Y73" i="6" s="1"/>
  <c r="R73" i="6"/>
  <c r="P73" i="6"/>
  <c r="Q73" i="6" s="1"/>
  <c r="S73" i="6" s="1"/>
  <c r="L73" i="6"/>
  <c r="J73" i="6"/>
  <c r="K73" i="6" s="1"/>
  <c r="M73" i="6" s="1"/>
  <c r="G73" i="6"/>
  <c r="DK72" i="6"/>
  <c r="DJ72" i="6"/>
  <c r="X72" i="6"/>
  <c r="J72" i="6"/>
  <c r="K72" i="6" s="1"/>
  <c r="M72" i="6" s="1"/>
  <c r="DQ71" i="6"/>
  <c r="DP71" i="6"/>
  <c r="DO71" i="6"/>
  <c r="DM71" i="6"/>
  <c r="DL71" i="6"/>
  <c r="DK71" i="6"/>
  <c r="DJ71" i="6"/>
  <c r="X71" i="6"/>
  <c r="W71" i="6"/>
  <c r="Y71" i="6" s="1"/>
  <c r="R71" i="6"/>
  <c r="P71" i="6"/>
  <c r="Q71" i="6" s="1"/>
  <c r="S71" i="6" s="1"/>
  <c r="M71" i="6"/>
  <c r="DQ70" i="6"/>
  <c r="DP70" i="6"/>
  <c r="DO70" i="6"/>
  <c r="DN70" i="6"/>
  <c r="DM70" i="6"/>
  <c r="DL70" i="6"/>
  <c r="DK70" i="6"/>
  <c r="DJ70" i="6"/>
  <c r="X70" i="6"/>
  <c r="V70" i="6"/>
  <c r="W70" i="6" s="1"/>
  <c r="Y70" i="6" s="1"/>
  <c r="R70" i="6"/>
  <c r="P70" i="6"/>
  <c r="Q70" i="6" s="1"/>
  <c r="S70" i="6" s="1"/>
  <c r="L70" i="6"/>
  <c r="J70" i="6"/>
  <c r="K70" i="6" s="1"/>
  <c r="M70" i="6" s="1"/>
  <c r="DQ69" i="6"/>
  <c r="DP69" i="6"/>
  <c r="DO69" i="6"/>
  <c r="DN69" i="6"/>
  <c r="DM69" i="6"/>
  <c r="DL69" i="6"/>
  <c r="DK69" i="6"/>
  <c r="DJ69" i="6"/>
  <c r="X69" i="6"/>
  <c r="V69" i="6"/>
  <c r="W69" i="6" s="1"/>
  <c r="Y69" i="6" s="1"/>
  <c r="R69" i="6"/>
  <c r="P69" i="6"/>
  <c r="Q69" i="6" s="1"/>
  <c r="S69" i="6" s="1"/>
  <c r="L69" i="6"/>
  <c r="J69" i="6"/>
  <c r="K69" i="6" s="1"/>
  <c r="M69" i="6" s="1"/>
  <c r="DQ68" i="6"/>
  <c r="DP68" i="6"/>
  <c r="DO68" i="6"/>
  <c r="DN68" i="6"/>
  <c r="DM68" i="6"/>
  <c r="DL68" i="6"/>
  <c r="DK68" i="6"/>
  <c r="DJ68" i="6"/>
  <c r="X68" i="6"/>
  <c r="V68" i="6"/>
  <c r="W68" i="6" s="1"/>
  <c r="Y68" i="6" s="1"/>
  <c r="R68" i="6"/>
  <c r="P68" i="6"/>
  <c r="Q68" i="6" s="1"/>
  <c r="S68" i="6" s="1"/>
  <c r="L68" i="6"/>
  <c r="J68" i="6"/>
  <c r="K68" i="6" s="1"/>
  <c r="M68" i="6" s="1"/>
  <c r="DQ67" i="6"/>
  <c r="DP67" i="6"/>
  <c r="DO67" i="6"/>
  <c r="DN67" i="6"/>
  <c r="DM67" i="6"/>
  <c r="DL67" i="6"/>
  <c r="DK67" i="6"/>
  <c r="DJ67" i="6"/>
  <c r="X67" i="6"/>
  <c r="V67" i="6"/>
  <c r="W67" i="6" s="1"/>
  <c r="Y67" i="6" s="1"/>
  <c r="R67" i="6"/>
  <c r="P67" i="6"/>
  <c r="Q67" i="6" s="1"/>
  <c r="S67" i="6" s="1"/>
  <c r="L67" i="6"/>
  <c r="J67" i="6"/>
  <c r="K67" i="6" s="1"/>
  <c r="M67" i="6" s="1"/>
  <c r="DQ66" i="6"/>
  <c r="DP66" i="6"/>
  <c r="DO66" i="6"/>
  <c r="DN66" i="6"/>
  <c r="DM66" i="6"/>
  <c r="DL66" i="6"/>
  <c r="DK66" i="6"/>
  <c r="DJ66" i="6"/>
  <c r="X66" i="6"/>
  <c r="V66" i="6"/>
  <c r="W66" i="6" s="1"/>
  <c r="Y66" i="6" s="1"/>
  <c r="R66" i="6"/>
  <c r="P66" i="6"/>
  <c r="Q66" i="6" s="1"/>
  <c r="S66" i="6" s="1"/>
  <c r="L66" i="6"/>
  <c r="J66" i="6"/>
  <c r="K66" i="6" s="1"/>
  <c r="M66" i="6" s="1"/>
  <c r="DQ65" i="6"/>
  <c r="DP65" i="6"/>
  <c r="DO65" i="6"/>
  <c r="DN65" i="6"/>
  <c r="DM65" i="6"/>
  <c r="DL65" i="6"/>
  <c r="DK65" i="6"/>
  <c r="DJ65" i="6"/>
  <c r="X65" i="6"/>
  <c r="V65" i="6"/>
  <c r="W65" i="6" s="1"/>
  <c r="Y65" i="6" s="1"/>
  <c r="R65" i="6"/>
  <c r="P65" i="6"/>
  <c r="Q65" i="6" s="1"/>
  <c r="S65" i="6" s="1"/>
  <c r="L65" i="6"/>
  <c r="J65" i="6"/>
  <c r="K65" i="6" s="1"/>
  <c r="M65" i="6" s="1"/>
  <c r="DQ64" i="6"/>
  <c r="DP64" i="6"/>
  <c r="DO64" i="6"/>
  <c r="DN64" i="6"/>
  <c r="DM64" i="6"/>
  <c r="DL64" i="6"/>
  <c r="DK64" i="6"/>
  <c r="DJ64" i="6"/>
  <c r="X64" i="6"/>
  <c r="R64" i="6"/>
  <c r="P64" i="6"/>
  <c r="Q64" i="6" s="1"/>
  <c r="S64" i="6" s="1"/>
  <c r="L64" i="6"/>
  <c r="DQ63" i="6"/>
  <c r="DP63" i="6"/>
  <c r="DO63" i="6"/>
  <c r="DN63" i="6"/>
  <c r="DM63" i="6"/>
  <c r="DL63" i="6"/>
  <c r="DK63" i="6"/>
  <c r="DJ63" i="6"/>
  <c r="X63" i="6"/>
  <c r="V63" i="6"/>
  <c r="W63" i="6" s="1"/>
  <c r="Y63" i="6" s="1"/>
  <c r="R63" i="6"/>
  <c r="P63" i="6"/>
  <c r="Q63" i="6" s="1"/>
  <c r="S63" i="6" s="1"/>
  <c r="L63" i="6"/>
  <c r="J63" i="6"/>
  <c r="K63" i="6" s="1"/>
  <c r="M63" i="6" s="1"/>
  <c r="DO62" i="6"/>
  <c r="DN62" i="6"/>
  <c r="DM62" i="6"/>
  <c r="DL62" i="6"/>
  <c r="DK62" i="6"/>
  <c r="DJ62" i="6"/>
  <c r="P62" i="6"/>
  <c r="L62" i="6"/>
  <c r="J62" i="6"/>
  <c r="K62" i="6" s="1"/>
  <c r="M62" i="6" s="1"/>
  <c r="DO61" i="6"/>
  <c r="DN61" i="6"/>
  <c r="DL61" i="6"/>
  <c r="DK61" i="6"/>
  <c r="DJ61" i="6"/>
  <c r="R61" i="6"/>
  <c r="P61" i="6"/>
  <c r="Q61" i="6" s="1"/>
  <c r="S61" i="6" s="1"/>
  <c r="L61" i="6"/>
  <c r="DQ60" i="6"/>
  <c r="DP60" i="6"/>
  <c r="DO60" i="6"/>
  <c r="DN60" i="6"/>
  <c r="DM60" i="6"/>
  <c r="DL60" i="6"/>
  <c r="DK60" i="6"/>
  <c r="DJ60" i="6"/>
  <c r="X60" i="6"/>
  <c r="V60" i="6"/>
  <c r="W60" i="6" s="1"/>
  <c r="Y60" i="6" s="1"/>
  <c r="R60" i="6"/>
  <c r="P60" i="6"/>
  <c r="Q60" i="6" s="1"/>
  <c r="S60" i="6" s="1"/>
  <c r="L60" i="6"/>
  <c r="J60" i="6"/>
  <c r="K60" i="6" s="1"/>
  <c r="M60" i="6" s="1"/>
  <c r="DQ59" i="6"/>
  <c r="DP59" i="6"/>
  <c r="DO59" i="6"/>
  <c r="DN59" i="6"/>
  <c r="DM59" i="6"/>
  <c r="DL59" i="6"/>
  <c r="DK59" i="6"/>
  <c r="DJ59" i="6"/>
  <c r="X59" i="6"/>
  <c r="V59" i="6"/>
  <c r="W59" i="6" s="1"/>
  <c r="Y59" i="6" s="1"/>
  <c r="R59" i="6"/>
  <c r="P59" i="6"/>
  <c r="Q59" i="6" s="1"/>
  <c r="S59" i="6" s="1"/>
  <c r="L59" i="6"/>
  <c r="J59" i="6"/>
  <c r="K59" i="6" s="1"/>
  <c r="M59" i="6" s="1"/>
  <c r="DQ58" i="6"/>
  <c r="DP58" i="6"/>
  <c r="DN58" i="6"/>
  <c r="DM58" i="6"/>
  <c r="DL58" i="6"/>
  <c r="DK58" i="6"/>
  <c r="DJ58" i="6"/>
  <c r="X58" i="6"/>
  <c r="V58" i="6"/>
  <c r="W58" i="6" s="1"/>
  <c r="Y58" i="6" s="1"/>
  <c r="R58" i="6"/>
  <c r="L58" i="6"/>
  <c r="J58" i="6"/>
  <c r="K58" i="6" s="1"/>
  <c r="M58" i="6" s="1"/>
  <c r="DQ57" i="6"/>
  <c r="DP57" i="6"/>
  <c r="DO57" i="6"/>
  <c r="DN57" i="6"/>
  <c r="DM57" i="6"/>
  <c r="DL57" i="6"/>
  <c r="DK57" i="6"/>
  <c r="DJ57" i="6"/>
  <c r="X57" i="6"/>
  <c r="V57" i="6"/>
  <c r="W57" i="6" s="1"/>
  <c r="Y57" i="6" s="1"/>
  <c r="R57" i="6"/>
  <c r="P57" i="6"/>
  <c r="Q57" i="6" s="1"/>
  <c r="S57" i="6" s="1"/>
  <c r="L57" i="6"/>
  <c r="J57" i="6"/>
  <c r="K57" i="6" s="1"/>
  <c r="M57" i="6" s="1"/>
  <c r="DQ56" i="6"/>
  <c r="DP56" i="6"/>
  <c r="DO56" i="6"/>
  <c r="DN56" i="6"/>
  <c r="DM56" i="6"/>
  <c r="DL56" i="6"/>
  <c r="DK56" i="6"/>
  <c r="DJ56" i="6"/>
  <c r="V56" i="6"/>
  <c r="W56" i="6" s="1"/>
  <c r="Y56" i="6" s="1"/>
  <c r="X56" i="6"/>
  <c r="R56" i="6"/>
  <c r="P56" i="6"/>
  <c r="Q56" i="6" s="1"/>
  <c r="S56" i="6" s="1"/>
  <c r="DQ55" i="6"/>
  <c r="DP55" i="6"/>
  <c r="DO55" i="6"/>
  <c r="DN55" i="6"/>
  <c r="DM55" i="6"/>
  <c r="DL55" i="6"/>
  <c r="DK55" i="6"/>
  <c r="DJ55" i="6"/>
  <c r="X55" i="6"/>
  <c r="V55" i="6"/>
  <c r="W55" i="6" s="1"/>
  <c r="Y55" i="6" s="1"/>
  <c r="R55" i="6"/>
  <c r="P55" i="6"/>
  <c r="Q55" i="6" s="1"/>
  <c r="S55" i="6" s="1"/>
  <c r="L55" i="6"/>
  <c r="J55" i="6"/>
  <c r="K55" i="6" s="1"/>
  <c r="M55" i="6" s="1"/>
  <c r="DQ54" i="6"/>
  <c r="DP54" i="6"/>
  <c r="DO54" i="6"/>
  <c r="DN54" i="6"/>
  <c r="DM54" i="6"/>
  <c r="DL54" i="6"/>
  <c r="DK54" i="6"/>
  <c r="DJ54" i="6"/>
  <c r="X54" i="6"/>
  <c r="V54" i="6"/>
  <c r="W54" i="6" s="1"/>
  <c r="Y54" i="6" s="1"/>
  <c r="R54" i="6"/>
  <c r="P54" i="6"/>
  <c r="Q54" i="6" s="1"/>
  <c r="S54" i="6" s="1"/>
  <c r="L54" i="6"/>
  <c r="J54" i="6"/>
  <c r="K54" i="6" s="1"/>
  <c r="M54" i="6" s="1"/>
  <c r="DQ53" i="6"/>
  <c r="DP53" i="6"/>
  <c r="DO53" i="6"/>
  <c r="DN53" i="6"/>
  <c r="DM53" i="6"/>
  <c r="DL53" i="6"/>
  <c r="DK53" i="6"/>
  <c r="DJ53" i="6"/>
  <c r="X53" i="6"/>
  <c r="V53" i="6"/>
  <c r="W53" i="6" s="1"/>
  <c r="Y53" i="6" s="1"/>
  <c r="R53" i="6"/>
  <c r="P53" i="6"/>
  <c r="Q53" i="6" s="1"/>
  <c r="S53" i="6" s="1"/>
  <c r="L53" i="6"/>
  <c r="J53" i="6"/>
  <c r="K53" i="6" s="1"/>
  <c r="M53" i="6" s="1"/>
  <c r="DQ52" i="6"/>
  <c r="DP52" i="6"/>
  <c r="DO52" i="6"/>
  <c r="DN52" i="6"/>
  <c r="DM52" i="6"/>
  <c r="DL52" i="6"/>
  <c r="DK52" i="6"/>
  <c r="DJ52" i="6"/>
  <c r="X52" i="6"/>
  <c r="V52" i="6"/>
  <c r="W52" i="6" s="1"/>
  <c r="Y52" i="6" s="1"/>
  <c r="R52" i="6"/>
  <c r="P52" i="6"/>
  <c r="Q52" i="6" s="1"/>
  <c r="S52" i="6" s="1"/>
  <c r="L52" i="6"/>
  <c r="J52" i="6"/>
  <c r="K52" i="6" s="1"/>
  <c r="M52" i="6" s="1"/>
  <c r="DQ51" i="6"/>
  <c r="DP51" i="6"/>
  <c r="DO51" i="6"/>
  <c r="DN51" i="6"/>
  <c r="DM51" i="6"/>
  <c r="DL51" i="6"/>
  <c r="DK51" i="6"/>
  <c r="DJ51" i="6"/>
  <c r="X51" i="6"/>
  <c r="V51" i="6"/>
  <c r="W51" i="6" s="1"/>
  <c r="Y51" i="6" s="1"/>
  <c r="R51" i="6"/>
  <c r="P51" i="6"/>
  <c r="Q51" i="6" s="1"/>
  <c r="S51" i="6" s="1"/>
  <c r="L51" i="6"/>
  <c r="J51" i="6"/>
  <c r="K51" i="6" s="1"/>
  <c r="M51" i="6" s="1"/>
  <c r="DQ50" i="6"/>
  <c r="DP50" i="6"/>
  <c r="DO50" i="6"/>
  <c r="DN50" i="6"/>
  <c r="DM50" i="6"/>
  <c r="DL50" i="6"/>
  <c r="DK50" i="6"/>
  <c r="DJ50" i="6"/>
  <c r="X50" i="6"/>
  <c r="V50" i="6"/>
  <c r="W50" i="6" s="1"/>
  <c r="Y50" i="6" s="1"/>
  <c r="R50" i="6"/>
  <c r="P50" i="6"/>
  <c r="Q50" i="6" s="1"/>
  <c r="S50" i="6" s="1"/>
  <c r="L50" i="6"/>
  <c r="J50" i="6"/>
  <c r="K50" i="6" s="1"/>
  <c r="M50" i="6" s="1"/>
  <c r="DJ49" i="6"/>
  <c r="T49" i="6"/>
  <c r="N49" i="6"/>
  <c r="H49" i="6"/>
  <c r="G49" i="6"/>
  <c r="E49" i="6"/>
  <c r="D49" i="6"/>
  <c r="DJ48" i="6"/>
  <c r="N48" i="6"/>
  <c r="H48" i="6"/>
  <c r="G48" i="6"/>
  <c r="E48" i="6"/>
  <c r="DQ47" i="6"/>
  <c r="DP47" i="6"/>
  <c r="DO47" i="6"/>
  <c r="DN47" i="6"/>
  <c r="DM47" i="6"/>
  <c r="DL47" i="6"/>
  <c r="DK47" i="6"/>
  <c r="DJ47" i="6"/>
  <c r="X47" i="6"/>
  <c r="V47" i="6"/>
  <c r="W47" i="6" s="1"/>
  <c r="Y47" i="6" s="1"/>
  <c r="R47" i="6"/>
  <c r="P47" i="6"/>
  <c r="Q47" i="6" s="1"/>
  <c r="S47" i="6" s="1"/>
  <c r="L47" i="6"/>
  <c r="J47" i="6"/>
  <c r="K47" i="6" s="1"/>
  <c r="M47" i="6" s="1"/>
  <c r="DJ46" i="6"/>
  <c r="U46" i="6"/>
  <c r="X46" i="6" s="1"/>
  <c r="T46" i="6"/>
  <c r="N46" i="6"/>
  <c r="G46" i="6"/>
  <c r="E46" i="6"/>
  <c r="D46" i="6"/>
  <c r="DK45" i="6"/>
  <c r="DJ45" i="6"/>
  <c r="T45" i="6"/>
  <c r="N45" i="6"/>
  <c r="H45" i="6"/>
  <c r="G45" i="6"/>
  <c r="E45" i="6"/>
  <c r="DJ44" i="6"/>
  <c r="T44" i="6"/>
  <c r="N44" i="6"/>
  <c r="H44" i="6"/>
  <c r="G44" i="6"/>
  <c r="E44" i="6"/>
  <c r="D44" i="6"/>
  <c r="DJ43" i="6"/>
  <c r="N43" i="6"/>
  <c r="H43" i="6"/>
  <c r="G43" i="6"/>
  <c r="E43" i="6"/>
  <c r="D43" i="6"/>
  <c r="DJ42" i="6"/>
  <c r="G42" i="6"/>
  <c r="E42" i="6"/>
  <c r="D42" i="6"/>
  <c r="DQ41" i="6"/>
  <c r="DP41" i="6"/>
  <c r="DO41" i="6"/>
  <c r="DN41" i="6"/>
  <c r="DM41" i="6"/>
  <c r="DL41" i="6"/>
  <c r="DK41" i="6"/>
  <c r="DJ41" i="6"/>
  <c r="X41" i="6"/>
  <c r="V41" i="6"/>
  <c r="W41" i="6" s="1"/>
  <c r="Y41" i="6" s="1"/>
  <c r="R41" i="6"/>
  <c r="P41" i="6"/>
  <c r="Q41" i="6" s="1"/>
  <c r="S41" i="6" s="1"/>
  <c r="L41" i="6"/>
  <c r="J41" i="6"/>
  <c r="K41" i="6" s="1"/>
  <c r="M41" i="6" s="1"/>
  <c r="DQ40" i="6"/>
  <c r="DP40" i="6"/>
  <c r="DO40" i="6"/>
  <c r="DN40" i="6"/>
  <c r="DM40" i="6"/>
  <c r="DL40" i="6"/>
  <c r="DK40" i="6"/>
  <c r="DJ40" i="6"/>
  <c r="X40" i="6"/>
  <c r="V40" i="6"/>
  <c r="W40" i="6" s="1"/>
  <c r="Y40" i="6" s="1"/>
  <c r="R40" i="6"/>
  <c r="P40" i="6"/>
  <c r="Q40" i="6" s="1"/>
  <c r="S40" i="6" s="1"/>
  <c r="L40" i="6"/>
  <c r="J40" i="6"/>
  <c r="K40" i="6" s="1"/>
  <c r="M40" i="6" s="1"/>
  <c r="DQ39" i="6"/>
  <c r="DP39" i="6"/>
  <c r="DO39" i="6"/>
  <c r="DN39" i="6"/>
  <c r="DM39" i="6"/>
  <c r="DL39" i="6"/>
  <c r="DK39" i="6"/>
  <c r="DJ39" i="6"/>
  <c r="X39" i="6"/>
  <c r="V39" i="6"/>
  <c r="W39" i="6" s="1"/>
  <c r="Y39" i="6" s="1"/>
  <c r="R39" i="6"/>
  <c r="P39" i="6"/>
  <c r="Q39" i="6" s="1"/>
  <c r="S39" i="6" s="1"/>
  <c r="L39" i="6"/>
  <c r="J39" i="6"/>
  <c r="K39" i="6" s="1"/>
  <c r="M39" i="6" s="1"/>
  <c r="DJ38" i="6"/>
  <c r="T38" i="6"/>
  <c r="N38" i="6"/>
  <c r="H38" i="6"/>
  <c r="G38" i="6"/>
  <c r="E38" i="6"/>
  <c r="D38" i="6"/>
  <c r="DL37" i="6"/>
  <c r="DK37" i="6"/>
  <c r="DJ37" i="6"/>
  <c r="J37" i="6"/>
  <c r="DQ36" i="6"/>
  <c r="DP36" i="6"/>
  <c r="DO36" i="6"/>
  <c r="DN36" i="6"/>
  <c r="DM36" i="6"/>
  <c r="DL36" i="6"/>
  <c r="DK36" i="6"/>
  <c r="DJ36" i="6"/>
  <c r="X36" i="6"/>
  <c r="V36" i="6"/>
  <c r="W36" i="6" s="1"/>
  <c r="Y36" i="6" s="1"/>
  <c r="R36" i="6"/>
  <c r="P36" i="6"/>
  <c r="Q36" i="6" s="1"/>
  <c r="S36" i="6" s="1"/>
  <c r="L36" i="6"/>
  <c r="J36" i="6"/>
  <c r="K36" i="6" s="1"/>
  <c r="M36" i="6" s="1"/>
  <c r="DQ35" i="6"/>
  <c r="DP35" i="6"/>
  <c r="DO35" i="6"/>
  <c r="DN35" i="6"/>
  <c r="DM35" i="6"/>
  <c r="DL35" i="6"/>
  <c r="DK35" i="6"/>
  <c r="DJ35" i="6"/>
  <c r="X35" i="6"/>
  <c r="V35" i="6"/>
  <c r="W35" i="6" s="1"/>
  <c r="Y35" i="6" s="1"/>
  <c r="R35" i="6"/>
  <c r="P35" i="6"/>
  <c r="Q35" i="6" s="1"/>
  <c r="S35" i="6" s="1"/>
  <c r="L35" i="6"/>
  <c r="J35" i="6"/>
  <c r="K35" i="6" s="1"/>
  <c r="M35" i="6" s="1"/>
  <c r="DQ34" i="6"/>
  <c r="DP34" i="6"/>
  <c r="DO34" i="6"/>
  <c r="DN34" i="6"/>
  <c r="DM34" i="6"/>
  <c r="DL34" i="6"/>
  <c r="DK34" i="6"/>
  <c r="DJ34" i="6"/>
  <c r="X34" i="6"/>
  <c r="V34" i="6"/>
  <c r="W34" i="6" s="1"/>
  <c r="Y34" i="6" s="1"/>
  <c r="R34" i="6"/>
  <c r="P34" i="6"/>
  <c r="Q34" i="6" s="1"/>
  <c r="S34" i="6" s="1"/>
  <c r="L34" i="6"/>
  <c r="J34" i="6"/>
  <c r="K34" i="6" s="1"/>
  <c r="M34" i="6" s="1"/>
  <c r="DQ33" i="6"/>
  <c r="DP33" i="6"/>
  <c r="DO33" i="6"/>
  <c r="DN33" i="6"/>
  <c r="DM33" i="6"/>
  <c r="DL33" i="6"/>
  <c r="DK33" i="6"/>
  <c r="DJ33" i="6"/>
  <c r="X33" i="6"/>
  <c r="V33" i="6"/>
  <c r="W33" i="6" s="1"/>
  <c r="Y33" i="6" s="1"/>
  <c r="R33" i="6"/>
  <c r="P33" i="6"/>
  <c r="Q33" i="6" s="1"/>
  <c r="S33" i="6" s="1"/>
  <c r="L33" i="6"/>
  <c r="J33" i="6"/>
  <c r="K33" i="6" s="1"/>
  <c r="M33" i="6" s="1"/>
  <c r="DQ32" i="6"/>
  <c r="DP32" i="6"/>
  <c r="DO32" i="6"/>
  <c r="DN32" i="6"/>
  <c r="DM32" i="6"/>
  <c r="DL32" i="6"/>
  <c r="DK32" i="6"/>
  <c r="DJ32" i="6"/>
  <c r="X32" i="6"/>
  <c r="V32" i="6"/>
  <c r="W32" i="6" s="1"/>
  <c r="Y32" i="6" s="1"/>
  <c r="R32" i="6"/>
  <c r="P32" i="6"/>
  <c r="Q32" i="6" s="1"/>
  <c r="S32" i="6" s="1"/>
  <c r="L32" i="6"/>
  <c r="J32" i="6"/>
  <c r="K32" i="6" s="1"/>
  <c r="M32" i="6" s="1"/>
  <c r="DQ31" i="6"/>
  <c r="DP31" i="6"/>
  <c r="DO31" i="6"/>
  <c r="DN31" i="6"/>
  <c r="DM31" i="6"/>
  <c r="DL31" i="6"/>
  <c r="DK31" i="6"/>
  <c r="DJ31" i="6"/>
  <c r="X31" i="6"/>
  <c r="V31" i="6"/>
  <c r="W31" i="6" s="1"/>
  <c r="Y31" i="6" s="1"/>
  <c r="R31" i="6"/>
  <c r="P31" i="6"/>
  <c r="Q31" i="6" s="1"/>
  <c r="S31" i="6" s="1"/>
  <c r="L31" i="6"/>
  <c r="J31" i="6"/>
  <c r="K31" i="6" s="1"/>
  <c r="M31" i="6" s="1"/>
  <c r="DQ30" i="6"/>
  <c r="DP30" i="6"/>
  <c r="DO30" i="6"/>
  <c r="DN30" i="6"/>
  <c r="DM30" i="6"/>
  <c r="DL30" i="6"/>
  <c r="DK30" i="6"/>
  <c r="DJ30" i="6"/>
  <c r="X30" i="6"/>
  <c r="V30" i="6"/>
  <c r="W30" i="6" s="1"/>
  <c r="Y30" i="6" s="1"/>
  <c r="R30" i="6"/>
  <c r="P30" i="6"/>
  <c r="Q30" i="6" s="1"/>
  <c r="S30" i="6" s="1"/>
  <c r="L30" i="6"/>
  <c r="J30" i="6"/>
  <c r="K30" i="6" s="1"/>
  <c r="M30" i="6" s="1"/>
  <c r="DQ29" i="6"/>
  <c r="DP29" i="6"/>
  <c r="DO29" i="6"/>
  <c r="DN29" i="6"/>
  <c r="DM29" i="6"/>
  <c r="DL29" i="6"/>
  <c r="DK29" i="6"/>
  <c r="DJ29" i="6"/>
  <c r="X29" i="6"/>
  <c r="V29" i="6"/>
  <c r="W29" i="6" s="1"/>
  <c r="Y29" i="6" s="1"/>
  <c r="R29" i="6"/>
  <c r="P29" i="6"/>
  <c r="Q29" i="6" s="1"/>
  <c r="S29" i="6" s="1"/>
  <c r="L29" i="6"/>
  <c r="J29" i="6"/>
  <c r="K29" i="6" s="1"/>
  <c r="M29" i="6" s="1"/>
  <c r="DQ28" i="6"/>
  <c r="DP28" i="6"/>
  <c r="DO28" i="6"/>
  <c r="DN28" i="6"/>
  <c r="DM28" i="6"/>
  <c r="DL28" i="6"/>
  <c r="DK28" i="6"/>
  <c r="DJ28" i="6"/>
  <c r="X28" i="6"/>
  <c r="V28" i="6"/>
  <c r="W28" i="6" s="1"/>
  <c r="Y28" i="6" s="1"/>
  <c r="R28" i="6"/>
  <c r="Q28" i="6"/>
  <c r="S28" i="6" s="1"/>
  <c r="L28" i="6"/>
  <c r="J28" i="6"/>
  <c r="K28" i="6" s="1"/>
  <c r="M28" i="6" s="1"/>
  <c r="DQ27" i="6"/>
  <c r="DP27" i="6"/>
  <c r="DO27" i="6"/>
  <c r="DN27" i="6"/>
  <c r="DM27" i="6"/>
  <c r="DL27" i="6"/>
  <c r="DK27" i="6"/>
  <c r="DJ27" i="6"/>
  <c r="X27" i="6"/>
  <c r="V27" i="6"/>
  <c r="W27" i="6" s="1"/>
  <c r="Y27" i="6" s="1"/>
  <c r="R27" i="6"/>
  <c r="P27" i="6"/>
  <c r="Q27" i="6" s="1"/>
  <c r="S27" i="6" s="1"/>
  <c r="L27" i="6"/>
  <c r="J27" i="6"/>
  <c r="K27" i="6" s="1"/>
  <c r="M27" i="6" s="1"/>
  <c r="DQ26" i="6"/>
  <c r="DP26" i="6"/>
  <c r="DO26" i="6"/>
  <c r="DN26" i="6"/>
  <c r="DM26" i="6"/>
  <c r="DL26" i="6"/>
  <c r="DK26" i="6"/>
  <c r="DJ26" i="6"/>
  <c r="X26" i="6"/>
  <c r="V26" i="6"/>
  <c r="W26" i="6" s="1"/>
  <c r="Y26" i="6" s="1"/>
  <c r="R26" i="6"/>
  <c r="P26" i="6"/>
  <c r="Q26" i="6" s="1"/>
  <c r="S26" i="6" s="1"/>
  <c r="L26" i="6"/>
  <c r="J26" i="6"/>
  <c r="K26" i="6" s="1"/>
  <c r="M26" i="6" s="1"/>
  <c r="DQ25" i="6"/>
  <c r="DP25" i="6"/>
  <c r="DO25" i="6"/>
  <c r="DN25" i="6"/>
  <c r="DM25" i="6"/>
  <c r="DL25" i="6"/>
  <c r="DK25" i="6"/>
  <c r="DJ25" i="6"/>
  <c r="X25" i="6"/>
  <c r="V25" i="6"/>
  <c r="W25" i="6" s="1"/>
  <c r="Y25" i="6" s="1"/>
  <c r="R25" i="6"/>
  <c r="P25" i="6"/>
  <c r="Q25" i="6" s="1"/>
  <c r="S25" i="6" s="1"/>
  <c r="L25" i="6"/>
  <c r="J25" i="6"/>
  <c r="K25" i="6" s="1"/>
  <c r="M25" i="6" s="1"/>
  <c r="DJ24" i="6"/>
  <c r="T24" i="6"/>
  <c r="N24" i="6"/>
  <c r="H24" i="6"/>
  <c r="G24" i="6"/>
  <c r="E24" i="6"/>
  <c r="D24" i="6"/>
  <c r="DK232" i="6" s="1"/>
  <c r="DQ23" i="6"/>
  <c r="DP23" i="6"/>
  <c r="DO23" i="6"/>
  <c r="DN23" i="6"/>
  <c r="DM23" i="6"/>
  <c r="DL23" i="6"/>
  <c r="DK23" i="6"/>
  <c r="DJ23" i="6"/>
  <c r="X23" i="6"/>
  <c r="V23" i="6"/>
  <c r="W23" i="6" s="1"/>
  <c r="Y23" i="6" s="1"/>
  <c r="R23" i="6"/>
  <c r="P23" i="6"/>
  <c r="Q23" i="6" s="1"/>
  <c r="S23" i="6" s="1"/>
  <c r="L23" i="6"/>
  <c r="J23" i="6"/>
  <c r="K23" i="6" s="1"/>
  <c r="M23" i="6" s="1"/>
  <c r="DQ22" i="6"/>
  <c r="DP22" i="6"/>
  <c r="DO22" i="6"/>
  <c r="DN22" i="6"/>
  <c r="DM22" i="6"/>
  <c r="DL22" i="6"/>
  <c r="DK22" i="6"/>
  <c r="DJ22" i="6"/>
  <c r="X22" i="6"/>
  <c r="V22" i="6"/>
  <c r="W22" i="6" s="1"/>
  <c r="Y22" i="6" s="1"/>
  <c r="R22" i="6"/>
  <c r="P22" i="6"/>
  <c r="Q22" i="6" s="1"/>
  <c r="S22" i="6" s="1"/>
  <c r="L22" i="6"/>
  <c r="J22" i="6"/>
  <c r="K22" i="6" s="1"/>
  <c r="M22" i="6" s="1"/>
  <c r="DQ21" i="6"/>
  <c r="DP21" i="6"/>
  <c r="DO21" i="6"/>
  <c r="DN21" i="6"/>
  <c r="DM21" i="6"/>
  <c r="DL21" i="6"/>
  <c r="DK21" i="6"/>
  <c r="DJ21" i="6"/>
  <c r="X21" i="6"/>
  <c r="V21" i="6"/>
  <c r="W21" i="6" s="1"/>
  <c r="Y21" i="6" s="1"/>
  <c r="R21" i="6"/>
  <c r="P21" i="6"/>
  <c r="Q21" i="6" s="1"/>
  <c r="S21" i="6" s="1"/>
  <c r="L21" i="6"/>
  <c r="J21" i="6"/>
  <c r="K21" i="6" s="1"/>
  <c r="M21" i="6" s="1"/>
  <c r="DJ20" i="6"/>
  <c r="T20" i="6"/>
  <c r="N20" i="6"/>
  <c r="H20" i="6"/>
  <c r="G20" i="6"/>
  <c r="E20" i="6"/>
  <c r="D20" i="6"/>
  <c r="DJ19" i="6"/>
  <c r="T19" i="6"/>
  <c r="N19" i="6"/>
  <c r="H19" i="6"/>
  <c r="G19" i="6"/>
  <c r="E19" i="6"/>
  <c r="D19" i="6"/>
  <c r="DQ18" i="6"/>
  <c r="DP18" i="6"/>
  <c r="DO18" i="6"/>
  <c r="DN18" i="6"/>
  <c r="DM18" i="6"/>
  <c r="DL18" i="6"/>
  <c r="DK18" i="6"/>
  <c r="DJ18" i="6"/>
  <c r="X18" i="6"/>
  <c r="V18" i="6"/>
  <c r="W18" i="6" s="1"/>
  <c r="Y18" i="6" s="1"/>
  <c r="R18" i="6"/>
  <c r="P18" i="6"/>
  <c r="Q18" i="6" s="1"/>
  <c r="S18" i="6" s="1"/>
  <c r="L18" i="6"/>
  <c r="J18" i="6"/>
  <c r="K18" i="6" s="1"/>
  <c r="M18" i="6" s="1"/>
  <c r="DJ17" i="6"/>
  <c r="T17" i="6"/>
  <c r="N17" i="6"/>
  <c r="H17" i="6"/>
  <c r="G17" i="6"/>
  <c r="E17" i="6"/>
  <c r="D17" i="6"/>
  <c r="DJ16" i="6"/>
  <c r="AC16" i="6"/>
  <c r="U16" i="6"/>
  <c r="X16" i="6" s="1"/>
  <c r="T16" i="6"/>
  <c r="N16" i="6"/>
  <c r="H16" i="6"/>
  <c r="G16" i="6"/>
  <c r="E16" i="6"/>
  <c r="D16" i="6"/>
  <c r="DQ15" i="6"/>
  <c r="DP15" i="6"/>
  <c r="DO15" i="6"/>
  <c r="DN15" i="6"/>
  <c r="DM15" i="6"/>
  <c r="DL15" i="6"/>
  <c r="DK15" i="6"/>
  <c r="DJ15" i="6"/>
  <c r="X15" i="6"/>
  <c r="V15" i="6"/>
  <c r="W15" i="6" s="1"/>
  <c r="Y15" i="6" s="1"/>
  <c r="R15" i="6"/>
  <c r="P15" i="6"/>
  <c r="Q15" i="6" s="1"/>
  <c r="S15" i="6" s="1"/>
  <c r="L15" i="6"/>
  <c r="J15" i="6"/>
  <c r="K15" i="6" s="1"/>
  <c r="M15" i="6" s="1"/>
  <c r="DQ14" i="6"/>
  <c r="DP14" i="6"/>
  <c r="DO14" i="6"/>
  <c r="DN14" i="6"/>
  <c r="DM14" i="6"/>
  <c r="DL14" i="6"/>
  <c r="DK14" i="6"/>
  <c r="DJ14" i="6"/>
  <c r="X14" i="6"/>
  <c r="V14" i="6"/>
  <c r="W14" i="6" s="1"/>
  <c r="Y14" i="6" s="1"/>
  <c r="R14" i="6"/>
  <c r="P14" i="6"/>
  <c r="Q14" i="6" s="1"/>
  <c r="S14" i="6" s="1"/>
  <c r="L14" i="6"/>
  <c r="J14" i="6"/>
  <c r="K14" i="6" s="1"/>
  <c r="M14" i="6" s="1"/>
  <c r="DQ13" i="6"/>
  <c r="DP13" i="6"/>
  <c r="DO13" i="6"/>
  <c r="DN13" i="6"/>
  <c r="DM13" i="6"/>
  <c r="DL13" i="6"/>
  <c r="DK13" i="6"/>
  <c r="DJ13" i="6"/>
  <c r="X13" i="6"/>
  <c r="V13" i="6"/>
  <c r="W13" i="6" s="1"/>
  <c r="Y13" i="6" s="1"/>
  <c r="R13" i="6"/>
  <c r="P13" i="6"/>
  <c r="Q13" i="6" s="1"/>
  <c r="S13" i="6" s="1"/>
  <c r="L13" i="6"/>
  <c r="J13" i="6"/>
  <c r="K13" i="6" s="1"/>
  <c r="M13" i="6" s="1"/>
  <c r="DL12" i="6"/>
  <c r="DJ12" i="6"/>
  <c r="T12" i="6"/>
  <c r="N12" i="6"/>
  <c r="G12" i="6"/>
  <c r="E12" i="6"/>
  <c r="D12" i="6"/>
  <c r="AV97" i="3"/>
  <c r="AU97" i="3"/>
  <c r="AR97" i="3"/>
  <c r="AQ97" i="3"/>
  <c r="AP97" i="3"/>
  <c r="AL97" i="3"/>
  <c r="AK97" i="3"/>
  <c r="AJ97" i="3"/>
  <c r="AI97" i="3"/>
  <c r="AH97" i="3"/>
  <c r="AG97" i="3"/>
  <c r="AF97" i="3"/>
  <c r="AD97" i="3"/>
  <c r="AC97" i="3"/>
  <c r="AA97" i="3"/>
  <c r="AB97" i="3" s="1"/>
  <c r="X97" i="3"/>
  <c r="W97" i="3"/>
  <c r="U97" i="3"/>
  <c r="V97" i="3" s="1"/>
  <c r="R97" i="3"/>
  <c r="Q97" i="3"/>
  <c r="O97" i="3"/>
  <c r="P97" i="3" s="1"/>
  <c r="L97" i="3"/>
  <c r="AT97" i="3" s="1"/>
  <c r="K97" i="3"/>
  <c r="I97" i="3"/>
  <c r="J97" i="3" s="1"/>
  <c r="A97" i="3"/>
  <c r="AV96" i="3"/>
  <c r="AU96" i="3"/>
  <c r="AR96" i="3"/>
  <c r="AQ96" i="3"/>
  <c r="AP96" i="3"/>
  <c r="AL96" i="3"/>
  <c r="AK96" i="3"/>
  <c r="AJ96" i="3"/>
  <c r="AI96" i="3"/>
  <c r="AH96" i="3"/>
  <c r="AG96" i="3"/>
  <c r="AF96" i="3"/>
  <c r="AD96" i="3"/>
  <c r="AC96" i="3"/>
  <c r="AA96" i="3"/>
  <c r="AB96" i="3" s="1"/>
  <c r="X96" i="3"/>
  <c r="W96" i="3"/>
  <c r="U96" i="3"/>
  <c r="V96" i="3" s="1"/>
  <c r="R96" i="3"/>
  <c r="Q96" i="3"/>
  <c r="O96" i="3"/>
  <c r="P96" i="3" s="1"/>
  <c r="L96" i="3"/>
  <c r="AS96" i="3" s="1"/>
  <c r="K96" i="3"/>
  <c r="I96" i="3"/>
  <c r="J96" i="3" s="1"/>
  <c r="A96" i="3"/>
  <c r="AV95" i="3"/>
  <c r="AU95" i="3"/>
  <c r="AR95" i="3"/>
  <c r="AQ95" i="3"/>
  <c r="AP95" i="3"/>
  <c r="AL95" i="3"/>
  <c r="AK95" i="3"/>
  <c r="AJ95" i="3"/>
  <c r="AI95" i="3"/>
  <c r="AH95" i="3"/>
  <c r="AG95" i="3"/>
  <c r="AF95" i="3"/>
  <c r="AD95" i="3"/>
  <c r="AC95" i="3"/>
  <c r="AA95" i="3"/>
  <c r="AB95" i="3" s="1"/>
  <c r="X95" i="3"/>
  <c r="W95" i="3"/>
  <c r="U95" i="3"/>
  <c r="V95" i="3" s="1"/>
  <c r="R95" i="3"/>
  <c r="Q95" i="3"/>
  <c r="O95" i="3"/>
  <c r="P95" i="3" s="1"/>
  <c r="L95" i="3"/>
  <c r="K95" i="3"/>
  <c r="I95" i="3"/>
  <c r="J95" i="3" s="1"/>
  <c r="A95" i="3"/>
  <c r="AV94" i="3"/>
  <c r="AU94" i="3"/>
  <c r="AR94" i="3"/>
  <c r="AQ94" i="3"/>
  <c r="AP94" i="3"/>
  <c r="AL94" i="3"/>
  <c r="AK94" i="3"/>
  <c r="AJ94" i="3"/>
  <c r="AI94" i="3"/>
  <c r="AH94" i="3"/>
  <c r="AG94" i="3"/>
  <c r="AF94" i="3"/>
  <c r="AD94" i="3"/>
  <c r="AC94" i="3"/>
  <c r="AA94" i="3"/>
  <c r="AB94" i="3" s="1"/>
  <c r="X94" i="3"/>
  <c r="W94" i="3"/>
  <c r="U94" i="3"/>
  <c r="V94" i="3" s="1"/>
  <c r="R94" i="3"/>
  <c r="Q94" i="3"/>
  <c r="O94" i="3"/>
  <c r="P94" i="3" s="1"/>
  <c r="L94" i="3"/>
  <c r="K94" i="3"/>
  <c r="I94" i="3"/>
  <c r="J94" i="3" s="1"/>
  <c r="A94" i="3"/>
  <c r="AV93" i="3"/>
  <c r="AU93" i="3"/>
  <c r="AR93" i="3"/>
  <c r="AQ93" i="3"/>
  <c r="AP93" i="3"/>
  <c r="AL93" i="3"/>
  <c r="AK93" i="3"/>
  <c r="AJ93" i="3"/>
  <c r="AI93" i="3"/>
  <c r="AH93" i="3"/>
  <c r="AG93" i="3"/>
  <c r="AF93" i="3"/>
  <c r="AD93" i="3"/>
  <c r="AC93" i="3"/>
  <c r="AA93" i="3"/>
  <c r="AB93" i="3" s="1"/>
  <c r="X93" i="3"/>
  <c r="W93" i="3"/>
  <c r="U93" i="3"/>
  <c r="V93" i="3" s="1"/>
  <c r="R93" i="3"/>
  <c r="Q93" i="3"/>
  <c r="O93" i="3"/>
  <c r="P93" i="3" s="1"/>
  <c r="L93" i="3"/>
  <c r="K93" i="3"/>
  <c r="I93" i="3"/>
  <c r="J93" i="3" s="1"/>
  <c r="A93" i="3"/>
  <c r="AV92" i="3"/>
  <c r="AU92" i="3"/>
  <c r="AR92" i="3"/>
  <c r="AQ92" i="3"/>
  <c r="AP92" i="3"/>
  <c r="AL92" i="3"/>
  <c r="AK92" i="3"/>
  <c r="AJ92" i="3"/>
  <c r="AI92" i="3"/>
  <c r="AH92" i="3"/>
  <c r="AG92" i="3"/>
  <c r="AF92" i="3"/>
  <c r="AD92" i="3"/>
  <c r="AC92" i="3"/>
  <c r="AA92" i="3"/>
  <c r="AB92" i="3" s="1"/>
  <c r="X92" i="3"/>
  <c r="W92" i="3"/>
  <c r="U92" i="3"/>
  <c r="V92" i="3" s="1"/>
  <c r="R92" i="3"/>
  <c r="Q92" i="3"/>
  <c r="O92" i="3"/>
  <c r="P92" i="3" s="1"/>
  <c r="L92" i="3"/>
  <c r="AS92" i="3" s="1"/>
  <c r="K92" i="3"/>
  <c r="I92" i="3"/>
  <c r="J92" i="3" s="1"/>
  <c r="A92" i="3"/>
  <c r="AV91" i="3"/>
  <c r="AU91" i="3"/>
  <c r="AR91" i="3"/>
  <c r="AQ91" i="3"/>
  <c r="AP91" i="3"/>
  <c r="AL91" i="3"/>
  <c r="AK91" i="3"/>
  <c r="AJ91" i="3"/>
  <c r="AI91" i="3"/>
  <c r="AH91" i="3"/>
  <c r="AG91" i="3"/>
  <c r="AF91" i="3"/>
  <c r="AD91" i="3"/>
  <c r="AC91" i="3"/>
  <c r="AA91" i="3"/>
  <c r="AB91" i="3" s="1"/>
  <c r="X91" i="3"/>
  <c r="W91" i="3"/>
  <c r="U91" i="3"/>
  <c r="V91" i="3" s="1"/>
  <c r="R91" i="3"/>
  <c r="Q91" i="3"/>
  <c r="O91" i="3"/>
  <c r="P91" i="3" s="1"/>
  <c r="L91" i="3"/>
  <c r="K91" i="3"/>
  <c r="I91" i="3"/>
  <c r="J91" i="3" s="1"/>
  <c r="A91" i="3"/>
  <c r="AV90" i="3"/>
  <c r="AU90" i="3"/>
  <c r="AR90" i="3"/>
  <c r="AQ90" i="3"/>
  <c r="AP90" i="3"/>
  <c r="AL90" i="3"/>
  <c r="AK90" i="3"/>
  <c r="AJ90" i="3"/>
  <c r="AI90" i="3"/>
  <c r="AH90" i="3"/>
  <c r="AG90" i="3"/>
  <c r="AF90" i="3"/>
  <c r="AD90" i="3"/>
  <c r="AC90" i="3"/>
  <c r="AA90" i="3"/>
  <c r="AB90" i="3" s="1"/>
  <c r="X90" i="3"/>
  <c r="W90" i="3"/>
  <c r="U90" i="3"/>
  <c r="V90" i="3" s="1"/>
  <c r="R90" i="3"/>
  <c r="Q90" i="3"/>
  <c r="O90" i="3"/>
  <c r="P90" i="3" s="1"/>
  <c r="L90" i="3"/>
  <c r="AM90" i="3" s="1"/>
  <c r="AN90" i="3" s="1"/>
  <c r="K90" i="3"/>
  <c r="I90" i="3"/>
  <c r="J90" i="3" s="1"/>
  <c r="A90" i="3"/>
  <c r="AV89" i="3"/>
  <c r="AU89" i="3"/>
  <c r="AR89" i="3"/>
  <c r="AQ89" i="3"/>
  <c r="AP89" i="3"/>
  <c r="AL89" i="3"/>
  <c r="AK89" i="3"/>
  <c r="AJ89" i="3"/>
  <c r="AI89" i="3"/>
  <c r="AH89" i="3"/>
  <c r="AG89" i="3"/>
  <c r="AF89" i="3"/>
  <c r="AD89" i="3"/>
  <c r="AC89" i="3"/>
  <c r="AA89" i="3"/>
  <c r="AB89" i="3" s="1"/>
  <c r="X89" i="3"/>
  <c r="W89" i="3"/>
  <c r="U89" i="3"/>
  <c r="V89" i="3" s="1"/>
  <c r="R89" i="3"/>
  <c r="Q89" i="3"/>
  <c r="O89" i="3"/>
  <c r="P89" i="3" s="1"/>
  <c r="L89" i="3"/>
  <c r="K89" i="3"/>
  <c r="I89" i="3"/>
  <c r="J89" i="3" s="1"/>
  <c r="A89" i="3"/>
  <c r="AV88" i="3"/>
  <c r="AU88" i="3"/>
  <c r="AR88" i="3"/>
  <c r="AQ88" i="3"/>
  <c r="AP88" i="3"/>
  <c r="AL88" i="3"/>
  <c r="AK88" i="3"/>
  <c r="AJ88" i="3"/>
  <c r="AI88" i="3"/>
  <c r="AH88" i="3"/>
  <c r="AG88" i="3"/>
  <c r="AF88" i="3"/>
  <c r="AD88" i="3"/>
  <c r="AC88" i="3"/>
  <c r="AA88" i="3"/>
  <c r="AB88" i="3" s="1"/>
  <c r="X88" i="3"/>
  <c r="W88" i="3"/>
  <c r="U88" i="3"/>
  <c r="V88" i="3" s="1"/>
  <c r="R88" i="3"/>
  <c r="Q88" i="3"/>
  <c r="O88" i="3"/>
  <c r="P88" i="3" s="1"/>
  <c r="L88" i="3"/>
  <c r="AT88" i="3" s="1"/>
  <c r="K88" i="3"/>
  <c r="I88" i="3"/>
  <c r="J88" i="3" s="1"/>
  <c r="A88" i="3"/>
  <c r="AV87" i="3"/>
  <c r="AU87" i="3"/>
  <c r="AR87" i="3"/>
  <c r="AQ87" i="3"/>
  <c r="AP87" i="3"/>
  <c r="AL87" i="3"/>
  <c r="AK87" i="3"/>
  <c r="AJ87" i="3"/>
  <c r="AI87" i="3"/>
  <c r="AH87" i="3"/>
  <c r="AG87" i="3"/>
  <c r="AF87" i="3"/>
  <c r="AD87" i="3"/>
  <c r="AC87" i="3"/>
  <c r="AA87" i="3"/>
  <c r="AB87" i="3" s="1"/>
  <c r="X87" i="3"/>
  <c r="W87" i="3"/>
  <c r="U87" i="3"/>
  <c r="V87" i="3" s="1"/>
  <c r="R87" i="3"/>
  <c r="Q87" i="3"/>
  <c r="O87" i="3"/>
  <c r="P87" i="3" s="1"/>
  <c r="L87" i="3"/>
  <c r="AM87" i="3" s="1"/>
  <c r="AN87" i="3" s="1"/>
  <c r="K87" i="3"/>
  <c r="I87" i="3"/>
  <c r="J87" i="3" s="1"/>
  <c r="A87" i="3"/>
  <c r="AV86" i="3"/>
  <c r="AU86" i="3"/>
  <c r="AR86" i="3"/>
  <c r="AQ86" i="3"/>
  <c r="AP86" i="3"/>
  <c r="AL86" i="3"/>
  <c r="AK86" i="3"/>
  <c r="AJ86" i="3"/>
  <c r="AI86" i="3"/>
  <c r="AH86" i="3"/>
  <c r="AG86" i="3"/>
  <c r="AF86" i="3"/>
  <c r="AD86" i="3"/>
  <c r="AC86" i="3"/>
  <c r="AA86" i="3"/>
  <c r="AB86" i="3" s="1"/>
  <c r="X86" i="3"/>
  <c r="W86" i="3"/>
  <c r="U86" i="3"/>
  <c r="V86" i="3" s="1"/>
  <c r="R86" i="3"/>
  <c r="Q86" i="3"/>
  <c r="O86" i="3"/>
  <c r="P86" i="3" s="1"/>
  <c r="L86" i="3"/>
  <c r="K86" i="3"/>
  <c r="I86" i="3"/>
  <c r="J86" i="3" s="1"/>
  <c r="A86" i="3"/>
  <c r="AV85" i="3"/>
  <c r="AU85" i="3"/>
  <c r="AR85" i="3"/>
  <c r="AQ85" i="3"/>
  <c r="AP85" i="3"/>
  <c r="AL85" i="3"/>
  <c r="AK85" i="3"/>
  <c r="AJ85" i="3"/>
  <c r="AI85" i="3"/>
  <c r="AH85" i="3"/>
  <c r="AG85" i="3"/>
  <c r="AF85" i="3"/>
  <c r="AD85" i="3"/>
  <c r="AC85" i="3"/>
  <c r="AA85" i="3"/>
  <c r="AB85" i="3" s="1"/>
  <c r="X85" i="3"/>
  <c r="W85" i="3"/>
  <c r="U85" i="3"/>
  <c r="V85" i="3" s="1"/>
  <c r="R85" i="3"/>
  <c r="Q85" i="3"/>
  <c r="O85" i="3"/>
  <c r="P85" i="3" s="1"/>
  <c r="L85" i="3"/>
  <c r="AS85" i="3" s="1"/>
  <c r="K85" i="3"/>
  <c r="I85" i="3"/>
  <c r="J85" i="3" s="1"/>
  <c r="A85" i="3"/>
  <c r="AV84" i="3"/>
  <c r="AU84" i="3"/>
  <c r="AR84" i="3"/>
  <c r="AQ84" i="3"/>
  <c r="AP84" i="3"/>
  <c r="AL84" i="3"/>
  <c r="AK84" i="3"/>
  <c r="AJ84" i="3"/>
  <c r="AI84" i="3"/>
  <c r="AH84" i="3"/>
  <c r="AG84" i="3"/>
  <c r="AF84" i="3"/>
  <c r="AD84" i="3"/>
  <c r="AC84" i="3"/>
  <c r="AA84" i="3"/>
  <c r="AB84" i="3" s="1"/>
  <c r="X84" i="3"/>
  <c r="W84" i="3"/>
  <c r="U84" i="3"/>
  <c r="V84" i="3" s="1"/>
  <c r="R84" i="3"/>
  <c r="Q84" i="3"/>
  <c r="O84" i="3"/>
  <c r="P84" i="3" s="1"/>
  <c r="L84" i="3"/>
  <c r="K84" i="3"/>
  <c r="I84" i="3"/>
  <c r="J84" i="3" s="1"/>
  <c r="A84" i="3"/>
  <c r="AV83" i="3"/>
  <c r="AU83" i="3"/>
  <c r="AR83" i="3"/>
  <c r="AQ83" i="3"/>
  <c r="AP83" i="3"/>
  <c r="AL83" i="3"/>
  <c r="AK83" i="3"/>
  <c r="AJ83" i="3"/>
  <c r="AI83" i="3"/>
  <c r="AH83" i="3"/>
  <c r="AG83" i="3"/>
  <c r="AF83" i="3"/>
  <c r="AD83" i="3"/>
  <c r="AC83" i="3"/>
  <c r="AA83" i="3"/>
  <c r="AB83" i="3" s="1"/>
  <c r="X83" i="3"/>
  <c r="W83" i="3"/>
  <c r="U83" i="3"/>
  <c r="V83" i="3" s="1"/>
  <c r="R83" i="3"/>
  <c r="Q83" i="3"/>
  <c r="O83" i="3"/>
  <c r="P83" i="3" s="1"/>
  <c r="L83" i="3"/>
  <c r="K83" i="3"/>
  <c r="I83" i="3"/>
  <c r="J83" i="3" s="1"/>
  <c r="A83" i="3"/>
  <c r="AV82" i="3"/>
  <c r="AU82" i="3"/>
  <c r="AR82" i="3"/>
  <c r="AQ82" i="3"/>
  <c r="AP82" i="3"/>
  <c r="AL82" i="3"/>
  <c r="AK82" i="3"/>
  <c r="AJ82" i="3"/>
  <c r="AI82" i="3"/>
  <c r="AH82" i="3"/>
  <c r="AG82" i="3"/>
  <c r="AF82" i="3"/>
  <c r="AD82" i="3"/>
  <c r="AC82" i="3"/>
  <c r="AA82" i="3"/>
  <c r="AB82" i="3" s="1"/>
  <c r="X82" i="3"/>
  <c r="W82" i="3"/>
  <c r="U82" i="3"/>
  <c r="V82" i="3" s="1"/>
  <c r="R82" i="3"/>
  <c r="Q82" i="3"/>
  <c r="O82" i="3"/>
  <c r="P82" i="3" s="1"/>
  <c r="L82" i="3"/>
  <c r="K82" i="3"/>
  <c r="I82" i="3"/>
  <c r="J82" i="3" s="1"/>
  <c r="A82" i="3"/>
  <c r="AV81" i="3"/>
  <c r="AU81" i="3"/>
  <c r="AR81" i="3"/>
  <c r="AQ81" i="3"/>
  <c r="AP81" i="3"/>
  <c r="AL81" i="3"/>
  <c r="AK81" i="3"/>
  <c r="AJ81" i="3"/>
  <c r="AI81" i="3"/>
  <c r="AH81" i="3"/>
  <c r="AG81" i="3"/>
  <c r="AF81" i="3"/>
  <c r="AD81" i="3"/>
  <c r="AC81" i="3"/>
  <c r="AA81" i="3"/>
  <c r="AB81" i="3" s="1"/>
  <c r="X81" i="3"/>
  <c r="W81" i="3"/>
  <c r="U81" i="3"/>
  <c r="V81" i="3" s="1"/>
  <c r="R81" i="3"/>
  <c r="Q81" i="3"/>
  <c r="O81" i="3"/>
  <c r="P81" i="3" s="1"/>
  <c r="L81" i="3"/>
  <c r="K81" i="3"/>
  <c r="I81" i="3"/>
  <c r="J81" i="3" s="1"/>
  <c r="A81" i="3"/>
  <c r="AV80" i="3"/>
  <c r="AU80" i="3"/>
  <c r="AR80" i="3"/>
  <c r="AQ80" i="3"/>
  <c r="AP80" i="3"/>
  <c r="AL80" i="3"/>
  <c r="AK80" i="3"/>
  <c r="AJ80" i="3"/>
  <c r="AI80" i="3"/>
  <c r="AH80" i="3"/>
  <c r="AG80" i="3"/>
  <c r="AF80" i="3"/>
  <c r="AD80" i="3"/>
  <c r="AC80" i="3"/>
  <c r="AA80" i="3"/>
  <c r="AB80" i="3" s="1"/>
  <c r="X80" i="3"/>
  <c r="W80" i="3"/>
  <c r="U80" i="3"/>
  <c r="V80" i="3" s="1"/>
  <c r="R80" i="3"/>
  <c r="Q80" i="3"/>
  <c r="O80" i="3"/>
  <c r="P80" i="3" s="1"/>
  <c r="L80" i="3"/>
  <c r="K80" i="3"/>
  <c r="I80" i="3"/>
  <c r="J80" i="3" s="1"/>
  <c r="A80" i="3"/>
  <c r="AV79" i="3"/>
  <c r="AU79" i="3"/>
  <c r="AR79" i="3"/>
  <c r="AQ79" i="3"/>
  <c r="AP79" i="3"/>
  <c r="AL79" i="3"/>
  <c r="AK79" i="3"/>
  <c r="AJ79" i="3"/>
  <c r="AI79" i="3"/>
  <c r="AH79" i="3"/>
  <c r="AG79" i="3"/>
  <c r="AF79" i="3"/>
  <c r="AD79" i="3"/>
  <c r="AC79" i="3"/>
  <c r="AA79" i="3"/>
  <c r="AB79" i="3" s="1"/>
  <c r="X79" i="3"/>
  <c r="W79" i="3"/>
  <c r="U79" i="3"/>
  <c r="V79" i="3" s="1"/>
  <c r="R79" i="3"/>
  <c r="Q79" i="3"/>
  <c r="O79" i="3"/>
  <c r="P79" i="3" s="1"/>
  <c r="L79" i="3"/>
  <c r="K79" i="3"/>
  <c r="I79" i="3"/>
  <c r="J79" i="3" s="1"/>
  <c r="A79" i="3"/>
  <c r="AV78" i="3"/>
  <c r="AU78" i="3"/>
  <c r="AR78" i="3"/>
  <c r="AQ78" i="3"/>
  <c r="AP78" i="3"/>
  <c r="AL78" i="3"/>
  <c r="AK78" i="3"/>
  <c r="AJ78" i="3"/>
  <c r="AI78" i="3"/>
  <c r="AH78" i="3"/>
  <c r="AG78" i="3"/>
  <c r="AF78" i="3"/>
  <c r="AD78" i="3"/>
  <c r="AC78" i="3"/>
  <c r="AA78" i="3"/>
  <c r="AB78" i="3" s="1"/>
  <c r="X78" i="3"/>
  <c r="W78" i="3"/>
  <c r="U78" i="3"/>
  <c r="V78" i="3" s="1"/>
  <c r="R78" i="3"/>
  <c r="Q78" i="3"/>
  <c r="O78" i="3"/>
  <c r="P78" i="3" s="1"/>
  <c r="L78" i="3"/>
  <c r="K78" i="3"/>
  <c r="I78" i="3"/>
  <c r="J78" i="3" s="1"/>
  <c r="A78" i="3"/>
  <c r="AV77" i="3"/>
  <c r="AU77" i="3"/>
  <c r="AR77" i="3"/>
  <c r="AQ77" i="3"/>
  <c r="AP77" i="3"/>
  <c r="AL77" i="3"/>
  <c r="AK77" i="3"/>
  <c r="AJ77" i="3"/>
  <c r="AI77" i="3"/>
  <c r="AH77" i="3"/>
  <c r="AG77" i="3"/>
  <c r="AF77" i="3"/>
  <c r="AD77" i="3"/>
  <c r="AC77" i="3"/>
  <c r="AA77" i="3"/>
  <c r="AB77" i="3" s="1"/>
  <c r="X77" i="3"/>
  <c r="W77" i="3"/>
  <c r="U77" i="3"/>
  <c r="V77" i="3" s="1"/>
  <c r="R77" i="3"/>
  <c r="Q77" i="3"/>
  <c r="O77" i="3"/>
  <c r="P77" i="3" s="1"/>
  <c r="L77" i="3"/>
  <c r="K77" i="3"/>
  <c r="I77" i="3"/>
  <c r="J77" i="3" s="1"/>
  <c r="A77" i="3"/>
  <c r="AE77" i="3" s="1"/>
  <c r="AV76" i="3"/>
  <c r="AU76" i="3"/>
  <c r="AR76" i="3"/>
  <c r="AQ76" i="3"/>
  <c r="AP76" i="3"/>
  <c r="AL76" i="3"/>
  <c r="AK76" i="3"/>
  <c r="AJ76" i="3"/>
  <c r="AI76" i="3"/>
  <c r="AH76" i="3"/>
  <c r="AG76" i="3"/>
  <c r="AF76" i="3"/>
  <c r="AD76" i="3"/>
  <c r="AC76" i="3"/>
  <c r="AA76" i="3"/>
  <c r="AB76" i="3" s="1"/>
  <c r="X76" i="3"/>
  <c r="W76" i="3"/>
  <c r="U76" i="3"/>
  <c r="V76" i="3" s="1"/>
  <c r="R76" i="3"/>
  <c r="Q76" i="3"/>
  <c r="O76" i="3"/>
  <c r="P76" i="3" s="1"/>
  <c r="L76" i="3"/>
  <c r="AM76" i="3" s="1"/>
  <c r="AN76" i="3" s="1"/>
  <c r="K76" i="3"/>
  <c r="I76" i="3"/>
  <c r="J76" i="3" s="1"/>
  <c r="A76" i="3"/>
  <c r="AV75" i="3"/>
  <c r="AU75" i="3"/>
  <c r="AR75" i="3"/>
  <c r="AQ75" i="3"/>
  <c r="AP75" i="3"/>
  <c r="AL75" i="3"/>
  <c r="AK75" i="3"/>
  <c r="AJ75" i="3"/>
  <c r="AI75" i="3"/>
  <c r="AH75" i="3"/>
  <c r="AG75" i="3"/>
  <c r="AF75" i="3"/>
  <c r="AD75" i="3"/>
  <c r="AC75" i="3"/>
  <c r="AA75" i="3"/>
  <c r="AB75" i="3" s="1"/>
  <c r="X75" i="3"/>
  <c r="W75" i="3"/>
  <c r="U75" i="3"/>
  <c r="V75" i="3" s="1"/>
  <c r="R75" i="3"/>
  <c r="Q75" i="3"/>
  <c r="O75" i="3"/>
  <c r="P75" i="3" s="1"/>
  <c r="L75" i="3"/>
  <c r="K75" i="3"/>
  <c r="I75" i="3"/>
  <c r="J75" i="3" s="1"/>
  <c r="A75" i="3"/>
  <c r="AV74" i="3"/>
  <c r="AU74" i="3"/>
  <c r="AR74" i="3"/>
  <c r="AQ74" i="3"/>
  <c r="AP74" i="3"/>
  <c r="AL74" i="3"/>
  <c r="AK74" i="3"/>
  <c r="AJ74" i="3"/>
  <c r="AI74" i="3"/>
  <c r="AH74" i="3"/>
  <c r="AG74" i="3"/>
  <c r="AF74" i="3"/>
  <c r="AD74" i="3"/>
  <c r="AC74" i="3"/>
  <c r="AA74" i="3"/>
  <c r="AB74" i="3" s="1"/>
  <c r="X74" i="3"/>
  <c r="W74" i="3"/>
  <c r="U74" i="3"/>
  <c r="V74" i="3" s="1"/>
  <c r="R74" i="3"/>
  <c r="Q74" i="3"/>
  <c r="O74" i="3"/>
  <c r="P74" i="3" s="1"/>
  <c r="L74" i="3"/>
  <c r="AT74" i="3" s="1"/>
  <c r="K74" i="3"/>
  <c r="I74" i="3"/>
  <c r="J74" i="3" s="1"/>
  <c r="A74" i="3"/>
  <c r="AV73" i="3"/>
  <c r="AU73" i="3"/>
  <c r="AR73" i="3"/>
  <c r="AQ73" i="3"/>
  <c r="AP73" i="3"/>
  <c r="AL73" i="3"/>
  <c r="AK73" i="3"/>
  <c r="AJ73" i="3"/>
  <c r="AI73" i="3"/>
  <c r="AH73" i="3"/>
  <c r="AG73" i="3"/>
  <c r="AF73" i="3"/>
  <c r="AD73" i="3"/>
  <c r="AC73" i="3"/>
  <c r="AA73" i="3"/>
  <c r="AB73" i="3" s="1"/>
  <c r="X73" i="3"/>
  <c r="W73" i="3"/>
  <c r="U73" i="3"/>
  <c r="V73" i="3" s="1"/>
  <c r="R73" i="3"/>
  <c r="Q73" i="3"/>
  <c r="O73" i="3"/>
  <c r="P73" i="3" s="1"/>
  <c r="L73" i="3"/>
  <c r="K73" i="3"/>
  <c r="I73" i="3"/>
  <c r="J73" i="3" s="1"/>
  <c r="A73" i="3"/>
  <c r="AV72" i="3"/>
  <c r="AU72" i="3"/>
  <c r="AR72" i="3"/>
  <c r="AQ72" i="3"/>
  <c r="AP72" i="3"/>
  <c r="AL72" i="3"/>
  <c r="AK72" i="3"/>
  <c r="AJ72" i="3"/>
  <c r="AI72" i="3"/>
  <c r="AH72" i="3"/>
  <c r="AG72" i="3"/>
  <c r="AF72" i="3"/>
  <c r="AD72" i="3"/>
  <c r="AC72" i="3"/>
  <c r="AA72" i="3"/>
  <c r="AB72" i="3" s="1"/>
  <c r="X72" i="3"/>
  <c r="W72" i="3"/>
  <c r="U72" i="3"/>
  <c r="V72" i="3" s="1"/>
  <c r="R72" i="3"/>
  <c r="Q72" i="3"/>
  <c r="O72" i="3"/>
  <c r="P72" i="3" s="1"/>
  <c r="L72" i="3"/>
  <c r="AT72" i="3" s="1"/>
  <c r="K72" i="3"/>
  <c r="I72" i="3"/>
  <c r="J72" i="3" s="1"/>
  <c r="A72" i="3"/>
  <c r="AV71" i="3"/>
  <c r="AU71" i="3"/>
  <c r="AR71" i="3"/>
  <c r="AQ71" i="3"/>
  <c r="AP71" i="3"/>
  <c r="AL71" i="3"/>
  <c r="AK71" i="3"/>
  <c r="AJ71" i="3"/>
  <c r="AI71" i="3"/>
  <c r="AH71" i="3"/>
  <c r="AG71" i="3"/>
  <c r="AF71" i="3"/>
  <c r="AD71" i="3"/>
  <c r="AC71" i="3"/>
  <c r="AA71" i="3"/>
  <c r="AB71" i="3" s="1"/>
  <c r="X71" i="3"/>
  <c r="W71" i="3"/>
  <c r="U71" i="3"/>
  <c r="V71" i="3" s="1"/>
  <c r="R71" i="3"/>
  <c r="Q71" i="3"/>
  <c r="O71" i="3"/>
  <c r="P71" i="3" s="1"/>
  <c r="L71" i="3"/>
  <c r="K71" i="3"/>
  <c r="I71" i="3"/>
  <c r="J71" i="3" s="1"/>
  <c r="A71" i="3"/>
  <c r="AV70" i="3"/>
  <c r="AU70" i="3"/>
  <c r="AR70" i="3"/>
  <c r="AQ70" i="3"/>
  <c r="AP70" i="3"/>
  <c r="AL70" i="3"/>
  <c r="AK70" i="3"/>
  <c r="AJ70" i="3"/>
  <c r="AI70" i="3"/>
  <c r="AH70" i="3"/>
  <c r="AG70" i="3"/>
  <c r="AF70" i="3"/>
  <c r="AD70" i="3"/>
  <c r="AC70" i="3"/>
  <c r="AA70" i="3"/>
  <c r="AB70" i="3" s="1"/>
  <c r="X70" i="3"/>
  <c r="W70" i="3"/>
  <c r="U70" i="3"/>
  <c r="V70" i="3" s="1"/>
  <c r="R70" i="3"/>
  <c r="Q70" i="3"/>
  <c r="O70" i="3"/>
  <c r="P70" i="3" s="1"/>
  <c r="L70" i="3"/>
  <c r="K70" i="3"/>
  <c r="I70" i="3"/>
  <c r="J70" i="3" s="1"/>
  <c r="A70" i="3"/>
  <c r="CH69" i="3"/>
  <c r="AV69" i="3"/>
  <c r="AU69" i="3"/>
  <c r="AR69" i="3"/>
  <c r="AQ69" i="3"/>
  <c r="AP69" i="3"/>
  <c r="AL69" i="3"/>
  <c r="AK69" i="3"/>
  <c r="AJ69" i="3"/>
  <c r="AI69" i="3"/>
  <c r="AH69" i="3"/>
  <c r="AG69" i="3"/>
  <c r="AF69" i="3"/>
  <c r="AD69" i="3"/>
  <c r="AC69" i="3"/>
  <c r="AA69" i="3"/>
  <c r="AB69" i="3" s="1"/>
  <c r="X69" i="3"/>
  <c r="W69" i="3"/>
  <c r="U69" i="3"/>
  <c r="V69" i="3" s="1"/>
  <c r="R69" i="3"/>
  <c r="Q69" i="3"/>
  <c r="O69" i="3"/>
  <c r="P69" i="3" s="1"/>
  <c r="L69" i="3"/>
  <c r="K69" i="3"/>
  <c r="I69" i="3"/>
  <c r="J69" i="3" s="1"/>
  <c r="A69" i="3"/>
  <c r="AV68" i="3"/>
  <c r="AU68" i="3"/>
  <c r="AR68" i="3"/>
  <c r="AQ68" i="3"/>
  <c r="AP68" i="3"/>
  <c r="AL68" i="3"/>
  <c r="AK68" i="3"/>
  <c r="AJ68" i="3"/>
  <c r="AI68" i="3"/>
  <c r="AH68" i="3"/>
  <c r="AG68" i="3"/>
  <c r="AF68" i="3"/>
  <c r="AD68" i="3"/>
  <c r="AC68" i="3"/>
  <c r="AA68" i="3"/>
  <c r="AB68" i="3" s="1"/>
  <c r="X68" i="3"/>
  <c r="W68" i="3"/>
  <c r="U68" i="3"/>
  <c r="V68" i="3" s="1"/>
  <c r="R68" i="3"/>
  <c r="Q68" i="3"/>
  <c r="O68" i="3"/>
  <c r="P68" i="3" s="1"/>
  <c r="L68" i="3"/>
  <c r="K68" i="3"/>
  <c r="I68" i="3"/>
  <c r="J68" i="3" s="1"/>
  <c r="A68" i="3"/>
  <c r="AV67" i="3"/>
  <c r="AU67" i="3"/>
  <c r="AR67" i="3"/>
  <c r="AQ67" i="3"/>
  <c r="AP67" i="3"/>
  <c r="AL67" i="3"/>
  <c r="AK67" i="3"/>
  <c r="AJ67" i="3"/>
  <c r="AI67" i="3"/>
  <c r="AH67" i="3"/>
  <c r="AG67" i="3"/>
  <c r="AF67" i="3"/>
  <c r="AD67" i="3"/>
  <c r="AC67" i="3"/>
  <c r="AA67" i="3"/>
  <c r="AB67" i="3" s="1"/>
  <c r="X67" i="3"/>
  <c r="W67" i="3"/>
  <c r="U67" i="3"/>
  <c r="V67" i="3" s="1"/>
  <c r="R67" i="3"/>
  <c r="Q67" i="3"/>
  <c r="O67" i="3"/>
  <c r="P67" i="3" s="1"/>
  <c r="L67" i="3"/>
  <c r="K67" i="3"/>
  <c r="I67" i="3"/>
  <c r="J67" i="3" s="1"/>
  <c r="A67" i="3"/>
  <c r="AV66" i="3"/>
  <c r="AU66" i="3"/>
  <c r="AR66" i="3"/>
  <c r="AQ66" i="3"/>
  <c r="AP66" i="3"/>
  <c r="AL66" i="3"/>
  <c r="AK66" i="3"/>
  <c r="AJ66" i="3"/>
  <c r="AI66" i="3"/>
  <c r="AH66" i="3"/>
  <c r="AG66" i="3"/>
  <c r="AF66" i="3"/>
  <c r="AD66" i="3"/>
  <c r="AC66" i="3"/>
  <c r="AA66" i="3"/>
  <c r="AB66" i="3" s="1"/>
  <c r="X66" i="3"/>
  <c r="W66" i="3"/>
  <c r="U66" i="3"/>
  <c r="V66" i="3" s="1"/>
  <c r="R66" i="3"/>
  <c r="Q66" i="3"/>
  <c r="O66" i="3"/>
  <c r="P66" i="3" s="1"/>
  <c r="L66" i="3"/>
  <c r="K66" i="3"/>
  <c r="I66" i="3"/>
  <c r="J66" i="3" s="1"/>
  <c r="A66" i="3"/>
  <c r="AV65" i="3"/>
  <c r="AU65" i="3"/>
  <c r="AR65" i="3"/>
  <c r="AQ65" i="3"/>
  <c r="AP65" i="3"/>
  <c r="AL65" i="3"/>
  <c r="AK65" i="3"/>
  <c r="AJ65" i="3"/>
  <c r="AI65" i="3"/>
  <c r="AH65" i="3"/>
  <c r="AG65" i="3"/>
  <c r="AF65" i="3"/>
  <c r="AD65" i="3"/>
  <c r="AC65" i="3"/>
  <c r="AA65" i="3"/>
  <c r="AB65" i="3" s="1"/>
  <c r="X65" i="3"/>
  <c r="W65" i="3"/>
  <c r="U65" i="3"/>
  <c r="V65" i="3" s="1"/>
  <c r="R65" i="3"/>
  <c r="Q65" i="3"/>
  <c r="O65" i="3"/>
  <c r="P65" i="3" s="1"/>
  <c r="L65" i="3"/>
  <c r="AT65" i="3" s="1"/>
  <c r="K65" i="3"/>
  <c r="I65" i="3"/>
  <c r="J65" i="3" s="1"/>
  <c r="A65" i="3"/>
  <c r="AV64" i="3"/>
  <c r="AU64" i="3"/>
  <c r="AR64" i="3"/>
  <c r="AQ64" i="3"/>
  <c r="AP64" i="3"/>
  <c r="AL64" i="3"/>
  <c r="AK64" i="3"/>
  <c r="AJ64" i="3"/>
  <c r="AI64" i="3"/>
  <c r="AH64" i="3"/>
  <c r="AG64" i="3"/>
  <c r="AF64" i="3"/>
  <c r="AD64" i="3"/>
  <c r="AC64" i="3"/>
  <c r="AA64" i="3"/>
  <c r="AB64" i="3" s="1"/>
  <c r="X64" i="3"/>
  <c r="W64" i="3"/>
  <c r="U64" i="3"/>
  <c r="V64" i="3" s="1"/>
  <c r="R64" i="3"/>
  <c r="Q64" i="3"/>
  <c r="O64" i="3"/>
  <c r="P64" i="3" s="1"/>
  <c r="L64" i="3"/>
  <c r="K64" i="3"/>
  <c r="I64" i="3"/>
  <c r="J64" i="3" s="1"/>
  <c r="A64" i="3"/>
  <c r="AV63" i="3"/>
  <c r="AU63" i="3"/>
  <c r="AR63" i="3"/>
  <c r="AQ63" i="3"/>
  <c r="AP63" i="3"/>
  <c r="AL63" i="3"/>
  <c r="AK63" i="3"/>
  <c r="AJ63" i="3"/>
  <c r="AI63" i="3"/>
  <c r="AH63" i="3"/>
  <c r="AG63" i="3"/>
  <c r="AF63" i="3"/>
  <c r="AD63" i="3"/>
  <c r="AC63" i="3"/>
  <c r="AA63" i="3"/>
  <c r="AB63" i="3" s="1"/>
  <c r="X63" i="3"/>
  <c r="W63" i="3"/>
  <c r="U63" i="3"/>
  <c r="V63" i="3" s="1"/>
  <c r="R63" i="3"/>
  <c r="Q63" i="3"/>
  <c r="O63" i="3"/>
  <c r="P63" i="3" s="1"/>
  <c r="L63" i="3"/>
  <c r="K63" i="3"/>
  <c r="I63" i="3"/>
  <c r="J63" i="3" s="1"/>
  <c r="A63" i="3"/>
  <c r="AV62" i="3"/>
  <c r="AU62" i="3"/>
  <c r="AR62" i="3"/>
  <c r="AQ62" i="3"/>
  <c r="AP62" i="3"/>
  <c r="AL62" i="3"/>
  <c r="AK62" i="3"/>
  <c r="AJ62" i="3"/>
  <c r="AI62" i="3"/>
  <c r="AH62" i="3"/>
  <c r="AG62" i="3"/>
  <c r="AF62" i="3"/>
  <c r="AD62" i="3"/>
  <c r="AC62" i="3"/>
  <c r="AA62" i="3"/>
  <c r="AB62" i="3" s="1"/>
  <c r="X62" i="3"/>
  <c r="W62" i="3"/>
  <c r="U62" i="3"/>
  <c r="V62" i="3" s="1"/>
  <c r="R62" i="3"/>
  <c r="Q62" i="3"/>
  <c r="O62" i="3"/>
  <c r="P62" i="3" s="1"/>
  <c r="L62" i="3"/>
  <c r="AT62" i="3" s="1"/>
  <c r="K62" i="3"/>
  <c r="I62" i="3"/>
  <c r="J62" i="3" s="1"/>
  <c r="A62" i="3"/>
  <c r="AV61" i="3"/>
  <c r="AU61" i="3"/>
  <c r="AR61" i="3"/>
  <c r="AQ61" i="3"/>
  <c r="AP61" i="3"/>
  <c r="AL61" i="3"/>
  <c r="AK61" i="3"/>
  <c r="AJ61" i="3"/>
  <c r="AI61" i="3"/>
  <c r="AH61" i="3"/>
  <c r="AG61" i="3"/>
  <c r="AF61" i="3"/>
  <c r="AD61" i="3"/>
  <c r="AC61" i="3"/>
  <c r="AA61" i="3"/>
  <c r="AB61" i="3" s="1"/>
  <c r="X61" i="3"/>
  <c r="W61" i="3"/>
  <c r="U61" i="3"/>
  <c r="V61" i="3" s="1"/>
  <c r="R61" i="3"/>
  <c r="Q61" i="3"/>
  <c r="O61" i="3"/>
  <c r="P61" i="3" s="1"/>
  <c r="L61" i="3"/>
  <c r="AS61" i="3" s="1"/>
  <c r="K61" i="3"/>
  <c r="I61" i="3"/>
  <c r="J61" i="3" s="1"/>
  <c r="A61" i="3"/>
  <c r="AV60" i="3"/>
  <c r="AU60" i="3"/>
  <c r="AR60" i="3"/>
  <c r="AQ60" i="3"/>
  <c r="AP60" i="3"/>
  <c r="AL60" i="3"/>
  <c r="AK60" i="3"/>
  <c r="AJ60" i="3"/>
  <c r="AI60" i="3"/>
  <c r="AH60" i="3"/>
  <c r="AG60" i="3"/>
  <c r="AF60" i="3"/>
  <c r="AD60" i="3"/>
  <c r="AC60" i="3"/>
  <c r="AA60" i="3"/>
  <c r="AB60" i="3" s="1"/>
  <c r="X60" i="3"/>
  <c r="W60" i="3"/>
  <c r="U60" i="3"/>
  <c r="V60" i="3" s="1"/>
  <c r="R60" i="3"/>
  <c r="Q60" i="3"/>
  <c r="O60" i="3"/>
  <c r="P60" i="3" s="1"/>
  <c r="L60" i="3"/>
  <c r="K60" i="3"/>
  <c r="I60" i="3"/>
  <c r="J60" i="3" s="1"/>
  <c r="A60" i="3"/>
  <c r="AV59" i="3"/>
  <c r="AU59" i="3"/>
  <c r="AR59" i="3"/>
  <c r="AQ59" i="3"/>
  <c r="AP59" i="3"/>
  <c r="AL59" i="3"/>
  <c r="AK59" i="3"/>
  <c r="AJ59" i="3"/>
  <c r="AI59" i="3"/>
  <c r="AH59" i="3"/>
  <c r="AG59" i="3"/>
  <c r="AF59" i="3"/>
  <c r="AD59" i="3"/>
  <c r="AC59" i="3"/>
  <c r="AA59" i="3"/>
  <c r="AB59" i="3" s="1"/>
  <c r="X59" i="3"/>
  <c r="W59" i="3"/>
  <c r="U59" i="3"/>
  <c r="V59" i="3" s="1"/>
  <c r="R59" i="3"/>
  <c r="Q59" i="3"/>
  <c r="O59" i="3"/>
  <c r="P59" i="3" s="1"/>
  <c r="L59" i="3"/>
  <c r="K59" i="3"/>
  <c r="I59" i="3"/>
  <c r="J59" i="3" s="1"/>
  <c r="A59" i="3"/>
  <c r="AV58" i="3"/>
  <c r="AU58" i="3"/>
  <c r="AR58" i="3"/>
  <c r="AQ58" i="3"/>
  <c r="AP58" i="3"/>
  <c r="AL58" i="3"/>
  <c r="AK58" i="3"/>
  <c r="AJ58" i="3"/>
  <c r="AI58" i="3"/>
  <c r="AH58" i="3"/>
  <c r="AG58" i="3"/>
  <c r="AF58" i="3"/>
  <c r="AD58" i="3"/>
  <c r="AC58" i="3"/>
  <c r="AA58" i="3"/>
  <c r="AB58" i="3" s="1"/>
  <c r="X58" i="3"/>
  <c r="W58" i="3"/>
  <c r="U58" i="3"/>
  <c r="V58" i="3" s="1"/>
  <c r="R58" i="3"/>
  <c r="Q58" i="3"/>
  <c r="O58" i="3"/>
  <c r="P58" i="3" s="1"/>
  <c r="L58" i="3"/>
  <c r="K58" i="3"/>
  <c r="I58" i="3"/>
  <c r="J58" i="3" s="1"/>
  <c r="A58" i="3"/>
  <c r="AE58" i="3" s="1"/>
  <c r="AV57" i="3"/>
  <c r="AU57" i="3"/>
  <c r="AR57" i="3"/>
  <c r="AQ57" i="3"/>
  <c r="AP57" i="3"/>
  <c r="AL57" i="3"/>
  <c r="AK57" i="3"/>
  <c r="AJ57" i="3"/>
  <c r="AI57" i="3"/>
  <c r="AH57" i="3"/>
  <c r="AG57" i="3"/>
  <c r="AF57" i="3"/>
  <c r="AD57" i="3"/>
  <c r="AC57" i="3"/>
  <c r="AA57" i="3"/>
  <c r="AB57" i="3" s="1"/>
  <c r="X57" i="3"/>
  <c r="W57" i="3"/>
  <c r="U57" i="3"/>
  <c r="V57" i="3" s="1"/>
  <c r="R57" i="3"/>
  <c r="Q57" i="3"/>
  <c r="O57" i="3"/>
  <c r="P57" i="3" s="1"/>
  <c r="L57" i="3"/>
  <c r="K57" i="3"/>
  <c r="I57" i="3"/>
  <c r="J57" i="3" s="1"/>
  <c r="A57" i="3"/>
  <c r="AV56" i="3"/>
  <c r="AU56" i="3"/>
  <c r="AR56" i="3"/>
  <c r="AQ56" i="3"/>
  <c r="AP56" i="3"/>
  <c r="AL56" i="3"/>
  <c r="AK56" i="3"/>
  <c r="AJ56" i="3"/>
  <c r="AI56" i="3"/>
  <c r="AH56" i="3"/>
  <c r="AG56" i="3"/>
  <c r="AF56" i="3"/>
  <c r="AD56" i="3"/>
  <c r="AC56" i="3"/>
  <c r="AA56" i="3"/>
  <c r="AB56" i="3" s="1"/>
  <c r="X56" i="3"/>
  <c r="W56" i="3"/>
  <c r="U56" i="3"/>
  <c r="V56" i="3" s="1"/>
  <c r="R56" i="3"/>
  <c r="Q56" i="3"/>
  <c r="O56" i="3"/>
  <c r="P56" i="3" s="1"/>
  <c r="L56" i="3"/>
  <c r="K56" i="3"/>
  <c r="I56" i="3"/>
  <c r="J56" i="3" s="1"/>
  <c r="A56" i="3"/>
  <c r="AV55" i="3"/>
  <c r="AU55" i="3"/>
  <c r="AR55" i="3"/>
  <c r="AQ55" i="3"/>
  <c r="AP55" i="3"/>
  <c r="AL55" i="3"/>
  <c r="AK55" i="3"/>
  <c r="AJ55" i="3"/>
  <c r="AI55" i="3"/>
  <c r="AH55" i="3"/>
  <c r="AG55" i="3"/>
  <c r="AF55" i="3"/>
  <c r="AD55" i="3"/>
  <c r="AC55" i="3"/>
  <c r="AA55" i="3"/>
  <c r="AB55" i="3" s="1"/>
  <c r="X55" i="3"/>
  <c r="W55" i="3"/>
  <c r="U55" i="3"/>
  <c r="V55" i="3" s="1"/>
  <c r="R55" i="3"/>
  <c r="Q55" i="3"/>
  <c r="O55" i="3"/>
  <c r="P55" i="3" s="1"/>
  <c r="L55" i="3"/>
  <c r="K55" i="3"/>
  <c r="I55" i="3"/>
  <c r="J55" i="3" s="1"/>
  <c r="A55" i="3"/>
  <c r="AV54" i="3"/>
  <c r="AU54" i="3"/>
  <c r="AR54" i="3"/>
  <c r="AQ54" i="3"/>
  <c r="AP54" i="3"/>
  <c r="AL54" i="3"/>
  <c r="AK54" i="3"/>
  <c r="AJ54" i="3"/>
  <c r="AI54" i="3"/>
  <c r="AH54" i="3"/>
  <c r="AG54" i="3"/>
  <c r="AF54" i="3"/>
  <c r="AD54" i="3"/>
  <c r="AC54" i="3"/>
  <c r="AA54" i="3"/>
  <c r="AB54" i="3" s="1"/>
  <c r="X54" i="3"/>
  <c r="W54" i="3"/>
  <c r="U54" i="3"/>
  <c r="V54" i="3" s="1"/>
  <c r="R54" i="3"/>
  <c r="Q54" i="3"/>
  <c r="O54" i="3"/>
  <c r="P54" i="3" s="1"/>
  <c r="L54" i="3"/>
  <c r="K54" i="3"/>
  <c r="I54" i="3"/>
  <c r="J54" i="3" s="1"/>
  <c r="A54" i="3"/>
  <c r="AO54" i="3" s="1"/>
  <c r="AV53" i="3"/>
  <c r="AU53" i="3"/>
  <c r="AR53" i="3"/>
  <c r="AQ53" i="3"/>
  <c r="AP53" i="3"/>
  <c r="AL53" i="3"/>
  <c r="AK53" i="3"/>
  <c r="AJ53" i="3"/>
  <c r="AI53" i="3"/>
  <c r="AH53" i="3"/>
  <c r="AG53" i="3"/>
  <c r="AF53" i="3"/>
  <c r="AD53" i="3"/>
  <c r="AC53" i="3"/>
  <c r="AA53" i="3"/>
  <c r="AB53" i="3" s="1"/>
  <c r="X53" i="3"/>
  <c r="W53" i="3"/>
  <c r="U53" i="3"/>
  <c r="V53" i="3" s="1"/>
  <c r="R53" i="3"/>
  <c r="Q53" i="3"/>
  <c r="O53" i="3"/>
  <c r="P53" i="3" s="1"/>
  <c r="L53" i="3"/>
  <c r="AT53" i="3" s="1"/>
  <c r="K53" i="3"/>
  <c r="I53" i="3"/>
  <c r="J53" i="3" s="1"/>
  <c r="A53" i="3"/>
  <c r="AE53" i="3" s="1"/>
  <c r="AV52" i="3"/>
  <c r="AU52" i="3"/>
  <c r="AR52" i="3"/>
  <c r="AQ52" i="3"/>
  <c r="AP52" i="3"/>
  <c r="AL52" i="3"/>
  <c r="AK52" i="3"/>
  <c r="AJ52" i="3"/>
  <c r="AI52" i="3"/>
  <c r="AH52" i="3"/>
  <c r="AG52" i="3"/>
  <c r="AF52" i="3"/>
  <c r="AD52" i="3"/>
  <c r="AC52" i="3"/>
  <c r="AA52" i="3"/>
  <c r="AB52" i="3" s="1"/>
  <c r="X52" i="3"/>
  <c r="W52" i="3"/>
  <c r="U52" i="3"/>
  <c r="V52" i="3" s="1"/>
  <c r="R52" i="3"/>
  <c r="Q52" i="3"/>
  <c r="O52" i="3"/>
  <c r="P52" i="3" s="1"/>
  <c r="L52" i="3"/>
  <c r="K52" i="3"/>
  <c r="I52" i="3"/>
  <c r="J52" i="3" s="1"/>
  <c r="A52" i="3"/>
  <c r="AV51" i="3"/>
  <c r="AU51" i="3"/>
  <c r="AR51" i="3"/>
  <c r="AQ51" i="3"/>
  <c r="AP51" i="3"/>
  <c r="AL51" i="3"/>
  <c r="AK51" i="3"/>
  <c r="AJ51" i="3"/>
  <c r="AI51" i="3"/>
  <c r="AH51" i="3"/>
  <c r="AG51" i="3"/>
  <c r="AF51" i="3"/>
  <c r="AD51" i="3"/>
  <c r="AC51" i="3"/>
  <c r="AA51" i="3"/>
  <c r="AB51" i="3" s="1"/>
  <c r="X51" i="3"/>
  <c r="W51" i="3"/>
  <c r="U51" i="3"/>
  <c r="V51" i="3" s="1"/>
  <c r="R51" i="3"/>
  <c r="Q51" i="3"/>
  <c r="O51" i="3"/>
  <c r="P51" i="3" s="1"/>
  <c r="L51" i="3"/>
  <c r="K51" i="3"/>
  <c r="I51" i="3"/>
  <c r="J51" i="3" s="1"/>
  <c r="A51" i="3"/>
  <c r="AV50" i="3"/>
  <c r="AU50" i="3"/>
  <c r="AR50" i="3"/>
  <c r="AQ50" i="3"/>
  <c r="AP50" i="3"/>
  <c r="AL50" i="3"/>
  <c r="AK50" i="3"/>
  <c r="AJ50" i="3"/>
  <c r="AI50" i="3"/>
  <c r="AH50" i="3"/>
  <c r="AG50" i="3"/>
  <c r="AF50" i="3"/>
  <c r="AD50" i="3"/>
  <c r="AC50" i="3"/>
  <c r="AA50" i="3"/>
  <c r="AB50" i="3" s="1"/>
  <c r="X50" i="3"/>
  <c r="W50" i="3"/>
  <c r="U50" i="3"/>
  <c r="V50" i="3" s="1"/>
  <c r="R50" i="3"/>
  <c r="Q50" i="3"/>
  <c r="O50" i="3"/>
  <c r="P50" i="3" s="1"/>
  <c r="L50" i="3"/>
  <c r="K50" i="3"/>
  <c r="I50" i="3"/>
  <c r="J50" i="3" s="1"/>
  <c r="A50" i="3"/>
  <c r="AV49" i="3"/>
  <c r="AU49" i="3"/>
  <c r="AR49" i="3"/>
  <c r="AQ49" i="3"/>
  <c r="AP49" i="3"/>
  <c r="AL49" i="3"/>
  <c r="AK49" i="3"/>
  <c r="AJ49" i="3"/>
  <c r="AI49" i="3"/>
  <c r="AH49" i="3"/>
  <c r="AG49" i="3"/>
  <c r="AF49" i="3"/>
  <c r="AD49" i="3"/>
  <c r="AC49" i="3"/>
  <c r="AA49" i="3"/>
  <c r="AB49" i="3" s="1"/>
  <c r="X49" i="3"/>
  <c r="W49" i="3"/>
  <c r="U49" i="3"/>
  <c r="V49" i="3" s="1"/>
  <c r="R49" i="3"/>
  <c r="Q49" i="3"/>
  <c r="O49" i="3"/>
  <c r="P49" i="3" s="1"/>
  <c r="L49" i="3"/>
  <c r="AS49" i="3" s="1"/>
  <c r="K49" i="3"/>
  <c r="I49" i="3"/>
  <c r="J49" i="3" s="1"/>
  <c r="A49" i="3"/>
  <c r="AV48" i="3"/>
  <c r="AU48" i="3"/>
  <c r="AR48" i="3"/>
  <c r="AQ48" i="3"/>
  <c r="AP48" i="3"/>
  <c r="AL48" i="3"/>
  <c r="AK48" i="3"/>
  <c r="AJ48" i="3"/>
  <c r="AI48" i="3"/>
  <c r="AH48" i="3"/>
  <c r="AG48" i="3"/>
  <c r="AF48" i="3"/>
  <c r="AD48" i="3"/>
  <c r="AC48" i="3"/>
  <c r="AA48" i="3"/>
  <c r="AB48" i="3" s="1"/>
  <c r="X48" i="3"/>
  <c r="W48" i="3"/>
  <c r="U48" i="3"/>
  <c r="V48" i="3" s="1"/>
  <c r="R48" i="3"/>
  <c r="Q48" i="3"/>
  <c r="O48" i="3"/>
  <c r="P48" i="3" s="1"/>
  <c r="L48" i="3"/>
  <c r="K48" i="3"/>
  <c r="I48" i="3"/>
  <c r="J48" i="3" s="1"/>
  <c r="A48" i="3"/>
  <c r="AV47" i="3"/>
  <c r="AU47" i="3"/>
  <c r="AR47" i="3"/>
  <c r="AQ47" i="3"/>
  <c r="AP47" i="3"/>
  <c r="AL47" i="3"/>
  <c r="AK47" i="3"/>
  <c r="AJ47" i="3"/>
  <c r="AI47" i="3"/>
  <c r="AH47" i="3"/>
  <c r="AG47" i="3"/>
  <c r="AF47" i="3"/>
  <c r="AD47" i="3"/>
  <c r="AC47" i="3"/>
  <c r="AA47" i="3"/>
  <c r="AB47" i="3" s="1"/>
  <c r="X47" i="3"/>
  <c r="W47" i="3"/>
  <c r="U47" i="3"/>
  <c r="V47" i="3" s="1"/>
  <c r="R47" i="3"/>
  <c r="Q47" i="3"/>
  <c r="O47" i="3"/>
  <c r="P47" i="3" s="1"/>
  <c r="L47" i="3"/>
  <c r="K47" i="3"/>
  <c r="I47" i="3"/>
  <c r="J47" i="3" s="1"/>
  <c r="A47" i="3"/>
  <c r="AV46" i="3"/>
  <c r="AU46" i="3"/>
  <c r="AR46" i="3"/>
  <c r="AQ46" i="3"/>
  <c r="AP46" i="3"/>
  <c r="AL46" i="3"/>
  <c r="AK46" i="3"/>
  <c r="AJ46" i="3"/>
  <c r="AI46" i="3"/>
  <c r="AH46" i="3"/>
  <c r="AG46" i="3"/>
  <c r="AF46" i="3"/>
  <c r="AD46" i="3"/>
  <c r="AC46" i="3"/>
  <c r="AA46" i="3"/>
  <c r="AB46" i="3" s="1"/>
  <c r="X46" i="3"/>
  <c r="W46" i="3"/>
  <c r="U46" i="3"/>
  <c r="V46" i="3" s="1"/>
  <c r="R46" i="3"/>
  <c r="Q46" i="3"/>
  <c r="O46" i="3"/>
  <c r="P46" i="3" s="1"/>
  <c r="L46" i="3"/>
  <c r="AT46" i="3" s="1"/>
  <c r="K46" i="3"/>
  <c r="I46" i="3"/>
  <c r="J46" i="3" s="1"/>
  <c r="A46" i="3"/>
  <c r="AV45" i="3"/>
  <c r="AU45" i="3"/>
  <c r="AR45" i="3"/>
  <c r="AQ45" i="3"/>
  <c r="AP45" i="3"/>
  <c r="AL45" i="3"/>
  <c r="AK45" i="3"/>
  <c r="AJ45" i="3"/>
  <c r="AI45" i="3"/>
  <c r="AH45" i="3"/>
  <c r="AG45" i="3"/>
  <c r="AF45" i="3"/>
  <c r="AD45" i="3"/>
  <c r="AC45" i="3"/>
  <c r="AA45" i="3"/>
  <c r="AB45" i="3" s="1"/>
  <c r="X45" i="3"/>
  <c r="W45" i="3"/>
  <c r="U45" i="3"/>
  <c r="V45" i="3" s="1"/>
  <c r="R45" i="3"/>
  <c r="Q45" i="3"/>
  <c r="O45" i="3"/>
  <c r="P45" i="3" s="1"/>
  <c r="L45" i="3"/>
  <c r="K45" i="3"/>
  <c r="I45" i="3"/>
  <c r="J45" i="3" s="1"/>
  <c r="A45" i="3"/>
  <c r="AE45" i="3" s="1"/>
  <c r="AV44" i="3"/>
  <c r="AU44" i="3"/>
  <c r="AR44" i="3"/>
  <c r="AQ44" i="3"/>
  <c r="AP44" i="3"/>
  <c r="AL44" i="3"/>
  <c r="AK44" i="3"/>
  <c r="AJ44" i="3"/>
  <c r="AI44" i="3"/>
  <c r="AH44" i="3"/>
  <c r="AG44" i="3"/>
  <c r="AF44" i="3"/>
  <c r="AD44" i="3"/>
  <c r="AC44" i="3"/>
  <c r="AA44" i="3"/>
  <c r="AB44" i="3" s="1"/>
  <c r="X44" i="3"/>
  <c r="W44" i="3"/>
  <c r="U44" i="3"/>
  <c r="V44" i="3" s="1"/>
  <c r="R44" i="3"/>
  <c r="Q44" i="3"/>
  <c r="O44" i="3"/>
  <c r="P44" i="3" s="1"/>
  <c r="L44" i="3"/>
  <c r="K44" i="3"/>
  <c r="I44" i="3"/>
  <c r="J44" i="3" s="1"/>
  <c r="A44" i="3"/>
  <c r="AV43" i="3"/>
  <c r="AU43" i="3"/>
  <c r="AR43" i="3"/>
  <c r="AQ43" i="3"/>
  <c r="AP43" i="3"/>
  <c r="AL43" i="3"/>
  <c r="AK43" i="3"/>
  <c r="AJ43" i="3"/>
  <c r="AI43" i="3"/>
  <c r="AH43" i="3"/>
  <c r="AG43" i="3"/>
  <c r="AF43" i="3"/>
  <c r="AD43" i="3"/>
  <c r="AC43" i="3"/>
  <c r="AA43" i="3"/>
  <c r="AB43" i="3" s="1"/>
  <c r="X43" i="3"/>
  <c r="W43" i="3"/>
  <c r="U43" i="3"/>
  <c r="V43" i="3" s="1"/>
  <c r="R43" i="3"/>
  <c r="Q43" i="3"/>
  <c r="O43" i="3"/>
  <c r="P43" i="3" s="1"/>
  <c r="L43" i="3"/>
  <c r="K43" i="3"/>
  <c r="I43" i="3"/>
  <c r="J43" i="3" s="1"/>
  <c r="A43" i="3"/>
  <c r="AV42" i="3"/>
  <c r="AU42" i="3"/>
  <c r="AR42" i="3"/>
  <c r="AQ42" i="3"/>
  <c r="AP42" i="3"/>
  <c r="AL42" i="3"/>
  <c r="AK42" i="3"/>
  <c r="AJ42" i="3"/>
  <c r="AI42" i="3"/>
  <c r="AH42" i="3"/>
  <c r="AG42" i="3"/>
  <c r="AF42" i="3"/>
  <c r="AD42" i="3"/>
  <c r="AC42" i="3"/>
  <c r="AA42" i="3"/>
  <c r="AB42" i="3" s="1"/>
  <c r="X42" i="3"/>
  <c r="W42" i="3"/>
  <c r="U42" i="3"/>
  <c r="V42" i="3" s="1"/>
  <c r="R42" i="3"/>
  <c r="Q42" i="3"/>
  <c r="O42" i="3"/>
  <c r="P42" i="3" s="1"/>
  <c r="L42" i="3"/>
  <c r="K42" i="3"/>
  <c r="I42" i="3"/>
  <c r="J42" i="3" s="1"/>
  <c r="A42" i="3"/>
  <c r="AO42" i="3" s="1"/>
  <c r="AV41" i="3"/>
  <c r="AU41" i="3"/>
  <c r="AR41" i="3"/>
  <c r="AQ41" i="3"/>
  <c r="AP41" i="3"/>
  <c r="AL41" i="3"/>
  <c r="AK41" i="3"/>
  <c r="AJ41" i="3"/>
  <c r="AI41" i="3"/>
  <c r="AH41" i="3"/>
  <c r="AG41" i="3"/>
  <c r="AF41" i="3"/>
  <c r="AD41" i="3"/>
  <c r="AC41" i="3"/>
  <c r="AA41" i="3"/>
  <c r="AB41" i="3" s="1"/>
  <c r="X41" i="3"/>
  <c r="W41" i="3"/>
  <c r="U41" i="3"/>
  <c r="V41" i="3" s="1"/>
  <c r="R41" i="3"/>
  <c r="Q41" i="3"/>
  <c r="O41" i="3"/>
  <c r="P41" i="3" s="1"/>
  <c r="L41" i="3"/>
  <c r="K41" i="3"/>
  <c r="I41" i="3"/>
  <c r="J41" i="3" s="1"/>
  <c r="A41" i="3"/>
  <c r="AV40" i="3"/>
  <c r="AU40" i="3"/>
  <c r="AR40" i="3"/>
  <c r="AQ40" i="3"/>
  <c r="AP40" i="3"/>
  <c r="AL40" i="3"/>
  <c r="AK40" i="3"/>
  <c r="AJ40" i="3"/>
  <c r="AI40" i="3"/>
  <c r="AH40" i="3"/>
  <c r="AG40" i="3"/>
  <c r="AF40" i="3"/>
  <c r="AD40" i="3"/>
  <c r="AC40" i="3"/>
  <c r="AA40" i="3"/>
  <c r="AB40" i="3" s="1"/>
  <c r="X40" i="3"/>
  <c r="W40" i="3"/>
  <c r="U40" i="3"/>
  <c r="V40" i="3" s="1"/>
  <c r="R40" i="3"/>
  <c r="Q40" i="3"/>
  <c r="O40" i="3"/>
  <c r="P40" i="3" s="1"/>
  <c r="L40" i="3"/>
  <c r="K40" i="3"/>
  <c r="I40" i="3"/>
  <c r="J40" i="3" s="1"/>
  <c r="A40" i="3"/>
  <c r="AV39" i="3"/>
  <c r="AU39" i="3"/>
  <c r="AR39" i="3"/>
  <c r="AQ39" i="3"/>
  <c r="AP39" i="3"/>
  <c r="AL39" i="3"/>
  <c r="AK39" i="3"/>
  <c r="AJ39" i="3"/>
  <c r="AI39" i="3"/>
  <c r="AH39" i="3"/>
  <c r="AG39" i="3"/>
  <c r="AF39" i="3"/>
  <c r="AD39" i="3"/>
  <c r="AC39" i="3"/>
  <c r="AA39" i="3"/>
  <c r="AB39" i="3" s="1"/>
  <c r="X39" i="3"/>
  <c r="W39" i="3"/>
  <c r="U39" i="3"/>
  <c r="V39" i="3" s="1"/>
  <c r="R39" i="3"/>
  <c r="Q39" i="3"/>
  <c r="O39" i="3"/>
  <c r="P39" i="3" s="1"/>
  <c r="L39" i="3"/>
  <c r="K39" i="3"/>
  <c r="I39" i="3"/>
  <c r="J39" i="3" s="1"/>
  <c r="A39" i="3"/>
  <c r="AV38" i="3"/>
  <c r="AU38" i="3"/>
  <c r="AR38" i="3"/>
  <c r="AQ38" i="3"/>
  <c r="AP38" i="3"/>
  <c r="AL38" i="3"/>
  <c r="AK38" i="3"/>
  <c r="AJ38" i="3"/>
  <c r="AI38" i="3"/>
  <c r="AH38" i="3"/>
  <c r="AG38" i="3"/>
  <c r="AF38" i="3"/>
  <c r="AD38" i="3"/>
  <c r="AC38" i="3"/>
  <c r="AA38" i="3"/>
  <c r="AB38" i="3" s="1"/>
  <c r="X38" i="3"/>
  <c r="W38" i="3"/>
  <c r="U38" i="3"/>
  <c r="V38" i="3" s="1"/>
  <c r="R38" i="3"/>
  <c r="Q38" i="3"/>
  <c r="O38" i="3"/>
  <c r="P38" i="3" s="1"/>
  <c r="L38" i="3"/>
  <c r="K38" i="3"/>
  <c r="I38" i="3"/>
  <c r="J38" i="3" s="1"/>
  <c r="A38" i="3"/>
  <c r="AV37" i="3"/>
  <c r="AU37" i="3"/>
  <c r="AR37" i="3"/>
  <c r="AQ37" i="3"/>
  <c r="AP37" i="3"/>
  <c r="AL37" i="3"/>
  <c r="AK37" i="3"/>
  <c r="AJ37" i="3"/>
  <c r="AI37" i="3"/>
  <c r="AH37" i="3"/>
  <c r="AG37" i="3"/>
  <c r="AF37" i="3"/>
  <c r="AD37" i="3"/>
  <c r="AC37" i="3"/>
  <c r="AA37" i="3"/>
  <c r="AB37" i="3" s="1"/>
  <c r="X37" i="3"/>
  <c r="W37" i="3"/>
  <c r="U37" i="3"/>
  <c r="V37" i="3" s="1"/>
  <c r="R37" i="3"/>
  <c r="Q37" i="3"/>
  <c r="O37" i="3"/>
  <c r="P37" i="3" s="1"/>
  <c r="L37" i="3"/>
  <c r="K37" i="3"/>
  <c r="I37" i="3"/>
  <c r="J37" i="3" s="1"/>
  <c r="A37" i="3"/>
  <c r="BN36" i="3"/>
  <c r="BK36" i="3"/>
  <c r="AV36" i="3"/>
  <c r="AU36" i="3"/>
  <c r="AR36" i="3"/>
  <c r="AQ36" i="3"/>
  <c r="AP36" i="3"/>
  <c r="AL36" i="3"/>
  <c r="AK36" i="3"/>
  <c r="AJ36" i="3"/>
  <c r="AI36" i="3"/>
  <c r="AH36" i="3"/>
  <c r="AG36" i="3"/>
  <c r="AF36" i="3"/>
  <c r="AD36" i="3"/>
  <c r="AC36" i="3"/>
  <c r="AA36" i="3"/>
  <c r="AB36" i="3" s="1"/>
  <c r="X36" i="3"/>
  <c r="W36" i="3"/>
  <c r="U36" i="3"/>
  <c r="V36" i="3" s="1"/>
  <c r="R36" i="3"/>
  <c r="Q36" i="3"/>
  <c r="O36" i="3"/>
  <c r="P36" i="3" s="1"/>
  <c r="L36" i="3"/>
  <c r="K36" i="3"/>
  <c r="I36" i="3"/>
  <c r="J36" i="3" s="1"/>
  <c r="A36" i="3"/>
  <c r="BN35" i="3"/>
  <c r="BK35" i="3"/>
  <c r="AV35" i="3"/>
  <c r="AU35" i="3"/>
  <c r="AR35" i="3"/>
  <c r="AQ35" i="3"/>
  <c r="AP35" i="3"/>
  <c r="AL35" i="3"/>
  <c r="AK35" i="3"/>
  <c r="AJ35" i="3"/>
  <c r="AI35" i="3"/>
  <c r="AH35" i="3"/>
  <c r="AG35" i="3"/>
  <c r="AF35" i="3"/>
  <c r="AD35" i="3"/>
  <c r="AC35" i="3"/>
  <c r="AA35" i="3"/>
  <c r="AB35" i="3" s="1"/>
  <c r="X35" i="3"/>
  <c r="W35" i="3"/>
  <c r="U35" i="3"/>
  <c r="V35" i="3" s="1"/>
  <c r="R35" i="3"/>
  <c r="Q35" i="3"/>
  <c r="O35" i="3"/>
  <c r="P35" i="3" s="1"/>
  <c r="L35" i="3"/>
  <c r="AT35" i="3" s="1"/>
  <c r="K35" i="3"/>
  <c r="I35" i="3"/>
  <c r="J35" i="3" s="1"/>
  <c r="A35" i="3"/>
  <c r="BN34" i="3"/>
  <c r="BK34" i="3"/>
  <c r="AV34" i="3"/>
  <c r="AU34" i="3"/>
  <c r="AR34" i="3"/>
  <c r="AQ34" i="3"/>
  <c r="AP34" i="3"/>
  <c r="AL34" i="3"/>
  <c r="AK34" i="3"/>
  <c r="AJ34" i="3"/>
  <c r="AI34" i="3"/>
  <c r="AH34" i="3"/>
  <c r="AG34" i="3"/>
  <c r="AF34" i="3"/>
  <c r="AD34" i="3"/>
  <c r="AC34" i="3"/>
  <c r="AA34" i="3"/>
  <c r="AB34" i="3" s="1"/>
  <c r="X34" i="3"/>
  <c r="W34" i="3"/>
  <c r="U34" i="3"/>
  <c r="V34" i="3" s="1"/>
  <c r="R34" i="3"/>
  <c r="Q34" i="3"/>
  <c r="O34" i="3"/>
  <c r="P34" i="3" s="1"/>
  <c r="L34" i="3"/>
  <c r="K34" i="3"/>
  <c r="I34" i="3"/>
  <c r="J34" i="3" s="1"/>
  <c r="A34" i="3"/>
  <c r="BN33" i="3"/>
  <c r="BK33" i="3"/>
  <c r="AV33" i="3"/>
  <c r="AU33" i="3"/>
  <c r="AR33" i="3"/>
  <c r="AQ33" i="3"/>
  <c r="AP33" i="3"/>
  <c r="AL33" i="3"/>
  <c r="AK33" i="3"/>
  <c r="AJ33" i="3"/>
  <c r="AI33" i="3"/>
  <c r="AH33" i="3"/>
  <c r="AG33" i="3"/>
  <c r="AF33" i="3"/>
  <c r="AD33" i="3"/>
  <c r="AC33" i="3"/>
  <c r="AA33" i="3"/>
  <c r="AB33" i="3" s="1"/>
  <c r="X33" i="3"/>
  <c r="W33" i="3"/>
  <c r="U33" i="3"/>
  <c r="V33" i="3" s="1"/>
  <c r="R33" i="3"/>
  <c r="Q33" i="3"/>
  <c r="O33" i="3"/>
  <c r="P33" i="3" s="1"/>
  <c r="L33" i="3"/>
  <c r="K33" i="3"/>
  <c r="I33" i="3"/>
  <c r="J33" i="3" s="1"/>
  <c r="A33" i="3"/>
  <c r="BN32" i="3"/>
  <c r="BK32" i="3"/>
  <c r="AV32" i="3"/>
  <c r="AU32" i="3"/>
  <c r="AR32" i="3"/>
  <c r="AQ32" i="3"/>
  <c r="AP32" i="3"/>
  <c r="AL32" i="3"/>
  <c r="AK32" i="3"/>
  <c r="AJ32" i="3"/>
  <c r="AI32" i="3"/>
  <c r="AH32" i="3"/>
  <c r="AG32" i="3"/>
  <c r="AF32" i="3"/>
  <c r="AD32" i="3"/>
  <c r="AC32" i="3"/>
  <c r="AA32" i="3"/>
  <c r="AB32" i="3" s="1"/>
  <c r="X32" i="3"/>
  <c r="W32" i="3"/>
  <c r="U32" i="3"/>
  <c r="V32" i="3" s="1"/>
  <c r="R32" i="3"/>
  <c r="Q32" i="3"/>
  <c r="O32" i="3"/>
  <c r="P32" i="3" s="1"/>
  <c r="L32" i="3"/>
  <c r="K32" i="3"/>
  <c r="I32" i="3"/>
  <c r="J32" i="3" s="1"/>
  <c r="A32" i="3"/>
  <c r="BN31" i="3"/>
  <c r="BK31" i="3"/>
  <c r="AV31" i="3"/>
  <c r="AU31" i="3"/>
  <c r="AR31" i="3"/>
  <c r="AQ31" i="3"/>
  <c r="AP31" i="3"/>
  <c r="AL31" i="3"/>
  <c r="AK31" i="3"/>
  <c r="AJ31" i="3"/>
  <c r="AI31" i="3"/>
  <c r="AH31" i="3"/>
  <c r="AG31" i="3"/>
  <c r="AF31" i="3"/>
  <c r="AD31" i="3"/>
  <c r="AC31" i="3"/>
  <c r="AA31" i="3"/>
  <c r="AB31" i="3" s="1"/>
  <c r="X31" i="3"/>
  <c r="W31" i="3"/>
  <c r="U31" i="3"/>
  <c r="V31" i="3" s="1"/>
  <c r="R31" i="3"/>
  <c r="Q31" i="3"/>
  <c r="O31" i="3"/>
  <c r="P31" i="3" s="1"/>
  <c r="L31" i="3"/>
  <c r="AT31" i="3" s="1"/>
  <c r="K31" i="3"/>
  <c r="I31" i="3"/>
  <c r="J31" i="3" s="1"/>
  <c r="A31" i="3"/>
  <c r="BN30" i="3"/>
  <c r="BK30" i="3"/>
  <c r="AV30" i="3"/>
  <c r="AU30" i="3"/>
  <c r="AR30" i="3"/>
  <c r="AQ30" i="3"/>
  <c r="AP30" i="3"/>
  <c r="AL30" i="3"/>
  <c r="AK30" i="3"/>
  <c r="AJ30" i="3"/>
  <c r="AI30" i="3"/>
  <c r="AH30" i="3"/>
  <c r="AG30" i="3"/>
  <c r="AF30" i="3"/>
  <c r="AD30" i="3"/>
  <c r="AC30" i="3"/>
  <c r="AA30" i="3"/>
  <c r="AB30" i="3" s="1"/>
  <c r="X30" i="3"/>
  <c r="W30" i="3"/>
  <c r="U30" i="3"/>
  <c r="V30" i="3" s="1"/>
  <c r="R30" i="3"/>
  <c r="Q30" i="3"/>
  <c r="O30" i="3"/>
  <c r="P30" i="3" s="1"/>
  <c r="L30" i="3"/>
  <c r="AT30" i="3" s="1"/>
  <c r="K30" i="3"/>
  <c r="I30" i="3"/>
  <c r="J30" i="3" s="1"/>
  <c r="A30" i="3"/>
  <c r="BN29" i="3"/>
  <c r="BK29" i="3"/>
  <c r="AV29" i="3"/>
  <c r="AU29" i="3"/>
  <c r="AR29" i="3"/>
  <c r="AQ29" i="3"/>
  <c r="AP29" i="3"/>
  <c r="AL29" i="3"/>
  <c r="AK29" i="3"/>
  <c r="AJ29" i="3"/>
  <c r="AI29" i="3"/>
  <c r="AH29" i="3"/>
  <c r="AG29" i="3"/>
  <c r="AF29" i="3"/>
  <c r="AD29" i="3"/>
  <c r="AC29" i="3"/>
  <c r="AA29" i="3"/>
  <c r="AB29" i="3" s="1"/>
  <c r="X29" i="3"/>
  <c r="W29" i="3"/>
  <c r="U29" i="3"/>
  <c r="V29" i="3" s="1"/>
  <c r="R29" i="3"/>
  <c r="Q29" i="3"/>
  <c r="O29" i="3"/>
  <c r="P29" i="3" s="1"/>
  <c r="L29" i="3"/>
  <c r="K29" i="3"/>
  <c r="I29" i="3"/>
  <c r="J29" i="3" s="1"/>
  <c r="A29" i="3"/>
  <c r="BN28" i="3"/>
  <c r="BK28" i="3"/>
  <c r="AV28" i="3"/>
  <c r="AU28" i="3"/>
  <c r="AR28" i="3"/>
  <c r="AQ28" i="3"/>
  <c r="AP28" i="3"/>
  <c r="AL28" i="3"/>
  <c r="AK28" i="3"/>
  <c r="AJ28" i="3"/>
  <c r="AI28" i="3"/>
  <c r="AH28" i="3"/>
  <c r="AG28" i="3"/>
  <c r="AF28" i="3"/>
  <c r="AD28" i="3"/>
  <c r="AC28" i="3"/>
  <c r="AA28" i="3"/>
  <c r="AB28" i="3" s="1"/>
  <c r="X28" i="3"/>
  <c r="W28" i="3"/>
  <c r="U28" i="3"/>
  <c r="V28" i="3" s="1"/>
  <c r="R28" i="3"/>
  <c r="Q28" i="3"/>
  <c r="O28" i="3"/>
  <c r="P28" i="3" s="1"/>
  <c r="L28" i="3"/>
  <c r="K28" i="3"/>
  <c r="I28" i="3"/>
  <c r="J28" i="3" s="1"/>
  <c r="A28" i="3"/>
  <c r="BN27" i="3"/>
  <c r="BK27" i="3"/>
  <c r="AV27" i="3"/>
  <c r="AU27" i="3"/>
  <c r="AR27" i="3"/>
  <c r="AQ27" i="3"/>
  <c r="AP27" i="3"/>
  <c r="AL27" i="3"/>
  <c r="AK27" i="3"/>
  <c r="AJ27" i="3"/>
  <c r="AI27" i="3"/>
  <c r="AH27" i="3"/>
  <c r="AG27" i="3"/>
  <c r="AF27" i="3"/>
  <c r="AD27" i="3"/>
  <c r="AC27" i="3"/>
  <c r="AA27" i="3"/>
  <c r="AB27" i="3" s="1"/>
  <c r="X27" i="3"/>
  <c r="W27" i="3"/>
  <c r="U27" i="3"/>
  <c r="V27" i="3" s="1"/>
  <c r="R27" i="3"/>
  <c r="Q27" i="3"/>
  <c r="O27" i="3"/>
  <c r="P27" i="3" s="1"/>
  <c r="L27" i="3"/>
  <c r="K27" i="3"/>
  <c r="I27" i="3"/>
  <c r="J27" i="3" s="1"/>
  <c r="A27" i="3"/>
  <c r="BN26" i="3"/>
  <c r="BK26" i="3"/>
  <c r="AV26" i="3"/>
  <c r="AU26" i="3"/>
  <c r="AR26" i="3"/>
  <c r="AQ26" i="3"/>
  <c r="AP26" i="3"/>
  <c r="AL26" i="3"/>
  <c r="AK26" i="3"/>
  <c r="AJ26" i="3"/>
  <c r="AI26" i="3"/>
  <c r="AH26" i="3"/>
  <c r="AG26" i="3"/>
  <c r="AF26" i="3"/>
  <c r="AD26" i="3"/>
  <c r="AC26" i="3"/>
  <c r="AA26" i="3"/>
  <c r="AB26" i="3" s="1"/>
  <c r="X26" i="3"/>
  <c r="W26" i="3"/>
  <c r="U26" i="3"/>
  <c r="V26" i="3" s="1"/>
  <c r="R26" i="3"/>
  <c r="Q26" i="3"/>
  <c r="O26" i="3"/>
  <c r="P26" i="3" s="1"/>
  <c r="L26" i="3"/>
  <c r="AS26" i="3" s="1"/>
  <c r="K26" i="3"/>
  <c r="I26" i="3"/>
  <c r="J26" i="3" s="1"/>
  <c r="A26" i="3"/>
  <c r="BN25" i="3"/>
  <c r="BK25" i="3"/>
  <c r="AV25" i="3"/>
  <c r="AU25" i="3"/>
  <c r="AR25" i="3"/>
  <c r="AQ25" i="3"/>
  <c r="AP25" i="3"/>
  <c r="AL25" i="3"/>
  <c r="AK25" i="3"/>
  <c r="AJ25" i="3"/>
  <c r="AI25" i="3"/>
  <c r="AH25" i="3"/>
  <c r="AG25" i="3"/>
  <c r="AF25" i="3"/>
  <c r="AD25" i="3"/>
  <c r="AC25" i="3"/>
  <c r="AA25" i="3"/>
  <c r="AB25" i="3" s="1"/>
  <c r="X25" i="3"/>
  <c r="W25" i="3"/>
  <c r="U25" i="3"/>
  <c r="V25" i="3" s="1"/>
  <c r="R25" i="3"/>
  <c r="Q25" i="3"/>
  <c r="O25" i="3"/>
  <c r="P25" i="3" s="1"/>
  <c r="L25" i="3"/>
  <c r="K25" i="3"/>
  <c r="I25" i="3"/>
  <c r="J25" i="3" s="1"/>
  <c r="A25" i="3"/>
  <c r="BN24" i="3"/>
  <c r="BK24" i="3"/>
  <c r="AV24" i="3"/>
  <c r="AU24" i="3"/>
  <c r="AR24" i="3"/>
  <c r="AQ24" i="3"/>
  <c r="AP24" i="3"/>
  <c r="AL24" i="3"/>
  <c r="AK24" i="3"/>
  <c r="AJ24" i="3"/>
  <c r="AI24" i="3"/>
  <c r="AH24" i="3"/>
  <c r="AG24" i="3"/>
  <c r="AF24" i="3"/>
  <c r="AD24" i="3"/>
  <c r="AC24" i="3"/>
  <c r="AA24" i="3"/>
  <c r="AB24" i="3" s="1"/>
  <c r="X24" i="3"/>
  <c r="W24" i="3"/>
  <c r="U24" i="3"/>
  <c r="V24" i="3" s="1"/>
  <c r="R24" i="3"/>
  <c r="Q24" i="3"/>
  <c r="O24" i="3"/>
  <c r="P24" i="3" s="1"/>
  <c r="L24" i="3"/>
  <c r="K24" i="3"/>
  <c r="I24" i="3"/>
  <c r="J24" i="3" s="1"/>
  <c r="A24" i="3"/>
  <c r="BN23" i="3"/>
  <c r="BK23" i="3"/>
  <c r="AV23" i="3"/>
  <c r="AU23" i="3"/>
  <c r="AR23" i="3"/>
  <c r="AQ23" i="3"/>
  <c r="AP23" i="3"/>
  <c r="AL23" i="3"/>
  <c r="AK23" i="3"/>
  <c r="AJ23" i="3"/>
  <c r="AI23" i="3"/>
  <c r="AH23" i="3"/>
  <c r="AG23" i="3"/>
  <c r="AF23" i="3"/>
  <c r="AD23" i="3"/>
  <c r="AC23" i="3"/>
  <c r="AA23" i="3"/>
  <c r="AB23" i="3" s="1"/>
  <c r="X23" i="3"/>
  <c r="W23" i="3"/>
  <c r="U23" i="3"/>
  <c r="V23" i="3" s="1"/>
  <c r="R23" i="3"/>
  <c r="Q23" i="3"/>
  <c r="O23" i="3"/>
  <c r="P23" i="3" s="1"/>
  <c r="L23" i="3"/>
  <c r="K23" i="3"/>
  <c r="I23" i="3"/>
  <c r="J23" i="3" s="1"/>
  <c r="A23" i="3"/>
  <c r="BN22" i="3"/>
  <c r="BK22" i="3"/>
  <c r="AV22" i="3"/>
  <c r="AU22" i="3"/>
  <c r="AR22" i="3"/>
  <c r="AQ22" i="3"/>
  <c r="AP22" i="3"/>
  <c r="AL22" i="3"/>
  <c r="AK22" i="3"/>
  <c r="AJ22" i="3"/>
  <c r="AI22" i="3"/>
  <c r="AH22" i="3"/>
  <c r="AG22" i="3"/>
  <c r="AF22" i="3"/>
  <c r="AD22" i="3"/>
  <c r="AC22" i="3"/>
  <c r="AA22" i="3"/>
  <c r="AB22" i="3" s="1"/>
  <c r="X22" i="3"/>
  <c r="W22" i="3"/>
  <c r="U22" i="3"/>
  <c r="V22" i="3" s="1"/>
  <c r="R22" i="3"/>
  <c r="Q22" i="3"/>
  <c r="O22" i="3"/>
  <c r="P22" i="3" s="1"/>
  <c r="L22" i="3"/>
  <c r="AS22" i="3" s="1"/>
  <c r="K22" i="3"/>
  <c r="I22" i="3"/>
  <c r="J22" i="3" s="1"/>
  <c r="A22" i="3"/>
  <c r="BN21" i="3"/>
  <c r="BK21" i="3"/>
  <c r="AV21" i="3"/>
  <c r="AU21" i="3"/>
  <c r="AR21" i="3"/>
  <c r="AQ21" i="3"/>
  <c r="AP21" i="3"/>
  <c r="AL21" i="3"/>
  <c r="AK21" i="3"/>
  <c r="AJ21" i="3"/>
  <c r="AI21" i="3"/>
  <c r="AH21" i="3"/>
  <c r="AG21" i="3"/>
  <c r="AF21" i="3"/>
  <c r="AD21" i="3"/>
  <c r="AC21" i="3"/>
  <c r="AA21" i="3"/>
  <c r="AB21" i="3" s="1"/>
  <c r="X21" i="3"/>
  <c r="W21" i="3"/>
  <c r="U21" i="3"/>
  <c r="V21" i="3" s="1"/>
  <c r="R21" i="3"/>
  <c r="Q21" i="3"/>
  <c r="O21" i="3"/>
  <c r="P21" i="3" s="1"/>
  <c r="L21" i="3"/>
  <c r="K21" i="3"/>
  <c r="I21" i="3"/>
  <c r="J21" i="3" s="1"/>
  <c r="A21" i="3"/>
  <c r="BN20" i="3"/>
  <c r="BK20" i="3"/>
  <c r="AV20" i="3"/>
  <c r="AU20" i="3"/>
  <c r="AR20" i="3"/>
  <c r="AQ20" i="3"/>
  <c r="AP20" i="3"/>
  <c r="AL20" i="3"/>
  <c r="AK20" i="3"/>
  <c r="AJ20" i="3"/>
  <c r="AI20" i="3"/>
  <c r="AH20" i="3"/>
  <c r="AG20" i="3"/>
  <c r="AF20" i="3"/>
  <c r="AD20" i="3"/>
  <c r="AC20" i="3"/>
  <c r="AA20" i="3"/>
  <c r="AB20" i="3" s="1"/>
  <c r="X20" i="3"/>
  <c r="W20" i="3"/>
  <c r="U20" i="3"/>
  <c r="V20" i="3" s="1"/>
  <c r="R20" i="3"/>
  <c r="Q20" i="3"/>
  <c r="O20" i="3"/>
  <c r="P20" i="3" s="1"/>
  <c r="L20" i="3"/>
  <c r="K20" i="3"/>
  <c r="I20" i="3"/>
  <c r="J20" i="3" s="1"/>
  <c r="A20" i="3"/>
  <c r="BN19" i="3"/>
  <c r="BK19" i="3"/>
  <c r="AV19" i="3"/>
  <c r="AU19" i="3"/>
  <c r="AR19" i="3"/>
  <c r="AQ19" i="3"/>
  <c r="AP19" i="3"/>
  <c r="AL19" i="3"/>
  <c r="AK19" i="3"/>
  <c r="AJ19" i="3"/>
  <c r="AI19" i="3"/>
  <c r="AH19" i="3"/>
  <c r="AG19" i="3"/>
  <c r="AF19" i="3"/>
  <c r="AD19" i="3"/>
  <c r="AC19" i="3"/>
  <c r="AA19" i="3"/>
  <c r="AB19" i="3" s="1"/>
  <c r="X19" i="3"/>
  <c r="W19" i="3"/>
  <c r="U19" i="3"/>
  <c r="V19" i="3" s="1"/>
  <c r="R19" i="3"/>
  <c r="Q19" i="3"/>
  <c r="O19" i="3"/>
  <c r="P19" i="3" s="1"/>
  <c r="L19" i="3"/>
  <c r="AT19" i="3" s="1"/>
  <c r="K19" i="3"/>
  <c r="I19" i="3"/>
  <c r="J19" i="3" s="1"/>
  <c r="A19" i="3"/>
  <c r="BN18" i="3"/>
  <c r="BK18" i="3"/>
  <c r="AV18" i="3"/>
  <c r="AU18" i="3"/>
  <c r="AR18" i="3"/>
  <c r="AQ18" i="3"/>
  <c r="AP18" i="3"/>
  <c r="AL18" i="3"/>
  <c r="AK18" i="3"/>
  <c r="AJ18" i="3"/>
  <c r="AI18" i="3"/>
  <c r="AH18" i="3"/>
  <c r="AG18" i="3"/>
  <c r="AF18" i="3"/>
  <c r="AD18" i="3"/>
  <c r="AC18" i="3"/>
  <c r="AA18" i="3"/>
  <c r="AB18" i="3" s="1"/>
  <c r="X18" i="3"/>
  <c r="W18" i="3"/>
  <c r="U18" i="3"/>
  <c r="V18" i="3" s="1"/>
  <c r="R18" i="3"/>
  <c r="Q18" i="3"/>
  <c r="O18" i="3"/>
  <c r="P18" i="3" s="1"/>
  <c r="L18" i="3"/>
  <c r="AT18" i="3" s="1"/>
  <c r="K18" i="3"/>
  <c r="I18" i="3"/>
  <c r="J18" i="3" s="1"/>
  <c r="A18" i="3"/>
  <c r="BN17" i="3"/>
  <c r="BK17" i="3"/>
  <c r="AV17" i="3"/>
  <c r="AU17" i="3"/>
  <c r="AR17" i="3"/>
  <c r="AQ17" i="3"/>
  <c r="AP17" i="3"/>
  <c r="AL17" i="3"/>
  <c r="AK17" i="3"/>
  <c r="AJ17" i="3"/>
  <c r="AI17" i="3"/>
  <c r="AH17" i="3"/>
  <c r="AG17" i="3"/>
  <c r="AF17" i="3"/>
  <c r="AD17" i="3"/>
  <c r="AC17" i="3"/>
  <c r="AA17" i="3"/>
  <c r="AB17" i="3" s="1"/>
  <c r="X17" i="3"/>
  <c r="W17" i="3"/>
  <c r="U17" i="3"/>
  <c r="V17" i="3" s="1"/>
  <c r="R17" i="3"/>
  <c r="Q17" i="3"/>
  <c r="O17" i="3"/>
  <c r="P17" i="3" s="1"/>
  <c r="L17" i="3"/>
  <c r="K17" i="3"/>
  <c r="I17" i="3"/>
  <c r="J17" i="3" s="1"/>
  <c r="A17" i="3"/>
  <c r="BN16" i="3"/>
  <c r="BK16" i="3"/>
  <c r="AV16" i="3"/>
  <c r="AU16" i="3"/>
  <c r="AR16" i="3"/>
  <c r="AQ16" i="3"/>
  <c r="AP16" i="3"/>
  <c r="AL16" i="3"/>
  <c r="AK16" i="3"/>
  <c r="AJ16" i="3"/>
  <c r="AI16" i="3"/>
  <c r="AH16" i="3"/>
  <c r="AG16" i="3"/>
  <c r="AF16" i="3"/>
  <c r="AD16" i="3"/>
  <c r="AC16" i="3"/>
  <c r="AA16" i="3"/>
  <c r="AB16" i="3" s="1"/>
  <c r="X16" i="3"/>
  <c r="W16" i="3"/>
  <c r="U16" i="3"/>
  <c r="V16" i="3" s="1"/>
  <c r="R16" i="3"/>
  <c r="Q16" i="3"/>
  <c r="O16" i="3"/>
  <c r="P16" i="3" s="1"/>
  <c r="L16" i="3"/>
  <c r="K16" i="3"/>
  <c r="I16" i="3"/>
  <c r="J16" i="3" s="1"/>
  <c r="A16" i="3"/>
  <c r="BN15" i="3"/>
  <c r="BK15" i="3"/>
  <c r="AV15" i="3"/>
  <c r="AU15" i="3"/>
  <c r="AR15" i="3"/>
  <c r="AQ15" i="3"/>
  <c r="AP15" i="3"/>
  <c r="AL15" i="3"/>
  <c r="AK15" i="3"/>
  <c r="AJ15" i="3"/>
  <c r="AI15" i="3"/>
  <c r="AH15" i="3"/>
  <c r="AG15" i="3"/>
  <c r="AF15" i="3"/>
  <c r="AD15" i="3"/>
  <c r="AC15" i="3"/>
  <c r="AA15" i="3"/>
  <c r="AB15" i="3" s="1"/>
  <c r="X15" i="3"/>
  <c r="W15" i="3"/>
  <c r="U15" i="3"/>
  <c r="V15" i="3" s="1"/>
  <c r="R15" i="3"/>
  <c r="Q15" i="3"/>
  <c r="O15" i="3"/>
  <c r="P15" i="3" s="1"/>
  <c r="L15" i="3"/>
  <c r="AT15" i="3" s="1"/>
  <c r="K15" i="3"/>
  <c r="I15" i="3"/>
  <c r="J15" i="3" s="1"/>
  <c r="A15" i="3"/>
  <c r="BN14" i="3"/>
  <c r="BK14" i="3"/>
  <c r="AV14" i="3"/>
  <c r="AU14" i="3"/>
  <c r="AR14" i="3"/>
  <c r="AQ14" i="3"/>
  <c r="AP14" i="3"/>
  <c r="AL14" i="3"/>
  <c r="AK14" i="3"/>
  <c r="AJ14" i="3"/>
  <c r="AI14" i="3"/>
  <c r="AH14" i="3"/>
  <c r="AG14" i="3"/>
  <c r="AF14" i="3"/>
  <c r="AD14" i="3"/>
  <c r="AC14" i="3"/>
  <c r="AA14" i="3"/>
  <c r="AB14" i="3" s="1"/>
  <c r="X14" i="3"/>
  <c r="W14" i="3"/>
  <c r="U14" i="3"/>
  <c r="V14" i="3" s="1"/>
  <c r="R14" i="3"/>
  <c r="Q14" i="3"/>
  <c r="O14" i="3"/>
  <c r="P14" i="3" s="1"/>
  <c r="L14" i="3"/>
  <c r="AT14" i="3" s="1"/>
  <c r="K14" i="3"/>
  <c r="I14" i="3"/>
  <c r="J14" i="3" s="1"/>
  <c r="A14" i="3"/>
  <c r="BN13" i="3"/>
  <c r="BK13" i="3"/>
  <c r="AV13" i="3"/>
  <c r="AU13" i="3"/>
  <c r="AR13" i="3"/>
  <c r="AQ13" i="3"/>
  <c r="AP13" i="3"/>
  <c r="AL13" i="3"/>
  <c r="AK13" i="3"/>
  <c r="AJ13" i="3"/>
  <c r="AI13" i="3"/>
  <c r="AH13" i="3"/>
  <c r="AG13" i="3"/>
  <c r="AF13" i="3"/>
  <c r="AD13" i="3"/>
  <c r="AC13" i="3"/>
  <c r="AA13" i="3"/>
  <c r="AB13" i="3" s="1"/>
  <c r="X13" i="3"/>
  <c r="W13" i="3"/>
  <c r="U13" i="3"/>
  <c r="V13" i="3" s="1"/>
  <c r="R13" i="3"/>
  <c r="Q13" i="3"/>
  <c r="O13" i="3"/>
  <c r="P13" i="3" s="1"/>
  <c r="L13" i="3"/>
  <c r="K13" i="3"/>
  <c r="I13" i="3"/>
  <c r="J13" i="3" s="1"/>
  <c r="A13" i="3"/>
  <c r="BN12" i="3"/>
  <c r="BK12" i="3"/>
  <c r="AV12" i="3"/>
  <c r="AU12" i="3"/>
  <c r="AR12" i="3"/>
  <c r="AQ12" i="3"/>
  <c r="AP12" i="3"/>
  <c r="AL12" i="3"/>
  <c r="AK12" i="3"/>
  <c r="AJ12" i="3"/>
  <c r="AI12" i="3"/>
  <c r="AH12" i="3"/>
  <c r="AG12" i="3"/>
  <c r="AF12" i="3"/>
  <c r="AD12" i="3"/>
  <c r="AC12" i="3"/>
  <c r="AA12" i="3"/>
  <c r="AB12" i="3" s="1"/>
  <c r="X12" i="3"/>
  <c r="W12" i="3"/>
  <c r="U12" i="3"/>
  <c r="V12" i="3" s="1"/>
  <c r="R12" i="3"/>
  <c r="Q12" i="3"/>
  <c r="O12" i="3"/>
  <c r="P12" i="3" s="1"/>
  <c r="L12" i="3"/>
  <c r="K12" i="3"/>
  <c r="I12" i="3"/>
  <c r="J12" i="3" s="1"/>
  <c r="A12" i="3"/>
  <c r="BN11" i="3"/>
  <c r="BN37" i="3" s="1"/>
  <c r="BK11" i="3"/>
  <c r="AV11" i="3"/>
  <c r="AU11" i="3"/>
  <c r="AR11" i="3"/>
  <c r="AQ11" i="3"/>
  <c r="AP11" i="3"/>
  <c r="AL11" i="3"/>
  <c r="AK11" i="3"/>
  <c r="AJ11" i="3"/>
  <c r="AI11" i="3"/>
  <c r="AH11" i="3"/>
  <c r="AG11" i="3"/>
  <c r="AF11" i="3"/>
  <c r="AD11" i="3"/>
  <c r="AC11" i="3"/>
  <c r="AA11" i="3"/>
  <c r="AB11" i="3" s="1"/>
  <c r="X11" i="3"/>
  <c r="W11" i="3"/>
  <c r="U11" i="3"/>
  <c r="V11" i="3" s="1"/>
  <c r="R11" i="3"/>
  <c r="Q11" i="3"/>
  <c r="O11" i="3"/>
  <c r="P11" i="3" s="1"/>
  <c r="L11" i="3"/>
  <c r="K11" i="3"/>
  <c r="I11" i="3"/>
  <c r="J11" i="3" s="1"/>
  <c r="A11" i="3"/>
  <c r="AB261" i="10" l="1"/>
  <c r="AB264" i="10" s="1"/>
  <c r="AC4" i="10"/>
  <c r="AC6" i="10" s="1"/>
  <c r="AH6" i="10" s="1"/>
  <c r="DK252" i="6"/>
  <c r="AB87" i="6"/>
  <c r="AS228" i="8"/>
  <c r="AU228" i="8" s="1"/>
  <c r="AB89" i="6"/>
  <c r="I38" i="6"/>
  <c r="L38" i="6" s="1"/>
  <c r="DD12" i="6"/>
  <c r="DD105" i="6"/>
  <c r="DD38" i="6"/>
  <c r="DD17" i="6"/>
  <c r="DD44" i="6"/>
  <c r="I19" i="6"/>
  <c r="J19" i="6" s="1"/>
  <c r="K19" i="6" s="1"/>
  <c r="M19" i="6" s="1"/>
  <c r="DD42" i="6"/>
  <c r="DD104" i="6"/>
  <c r="DD20" i="6"/>
  <c r="DH44" i="6"/>
  <c r="DH17" i="6"/>
  <c r="DH105" i="6"/>
  <c r="DH38" i="6"/>
  <c r="DH12" i="6"/>
  <c r="DD254" i="6"/>
  <c r="DM254" i="6" s="1"/>
  <c r="DD49" i="6"/>
  <c r="DD45" i="6"/>
  <c r="DH20" i="6"/>
  <c r="DH104" i="6"/>
  <c r="DH42" i="6"/>
  <c r="DD43" i="6"/>
  <c r="DD16" i="6"/>
  <c r="I256" i="6"/>
  <c r="J256" i="6" s="1"/>
  <c r="K256" i="6" s="1"/>
  <c r="M256" i="6" s="1"/>
  <c r="DD256" i="6"/>
  <c r="U98" i="6"/>
  <c r="X98" i="6" s="1"/>
  <c r="DH98" i="6"/>
  <c r="DH45" i="6"/>
  <c r="DH254" i="6"/>
  <c r="DH49" i="6"/>
  <c r="U94" i="6"/>
  <c r="X94" i="6" s="1"/>
  <c r="I24" i="6"/>
  <c r="DM24" i="6" s="1"/>
  <c r="O93" i="6"/>
  <c r="R93" i="6" s="1"/>
  <c r="S221" i="8"/>
  <c r="U221" i="8" s="1"/>
  <c r="S228" i="8"/>
  <c r="U228" i="8" s="1"/>
  <c r="AF139" i="8"/>
  <c r="I105" i="6"/>
  <c r="L105" i="6" s="1"/>
  <c r="S224" i="8"/>
  <c r="U224" i="8" s="1"/>
  <c r="AW224" i="8" s="1"/>
  <c r="AS11" i="8"/>
  <c r="AU11" i="8" s="1"/>
  <c r="AF226" i="8"/>
  <c r="AH226" i="8" s="1"/>
  <c r="AS246" i="8"/>
  <c r="AU246" i="8" s="1"/>
  <c r="I104" i="6"/>
  <c r="I42" i="6"/>
  <c r="O104" i="6"/>
  <c r="O42" i="6"/>
  <c r="U104" i="6"/>
  <c r="U42" i="6"/>
  <c r="AF221" i="8"/>
  <c r="AH221" i="8" s="1"/>
  <c r="AF104" i="8"/>
  <c r="AH104" i="8" s="1"/>
  <c r="S220" i="8"/>
  <c r="U220" i="8" s="1"/>
  <c r="AF227" i="8"/>
  <c r="AH227" i="8" s="1"/>
  <c r="AF229" i="8"/>
  <c r="AH229" i="8" s="1"/>
  <c r="AW229" i="8" s="1"/>
  <c r="U261" i="9"/>
  <c r="DH261" i="9"/>
  <c r="AE89" i="8"/>
  <c r="AF89" i="8" s="1"/>
  <c r="DF24" i="6" s="1"/>
  <c r="O24" i="9"/>
  <c r="S219" i="8"/>
  <c r="U219" i="8" s="1"/>
  <c r="DD44" i="9"/>
  <c r="I17" i="9"/>
  <c r="DD17" i="9"/>
  <c r="I44" i="9"/>
  <c r="AF10" i="8"/>
  <c r="DF19" i="6" s="1"/>
  <c r="O19" i="9"/>
  <c r="AE12" i="8"/>
  <c r="AF12" i="8" s="1"/>
  <c r="O96" i="9"/>
  <c r="AR89" i="8"/>
  <c r="AS89" i="8" s="1"/>
  <c r="AU89" i="8" s="1"/>
  <c r="DH24" i="9"/>
  <c r="U24" i="9"/>
  <c r="U96" i="9"/>
  <c r="DH96" i="9"/>
  <c r="R201" i="8"/>
  <c r="T201" i="8" s="1"/>
  <c r="I38" i="9"/>
  <c r="DD12" i="9"/>
  <c r="DD106" i="9"/>
  <c r="I12" i="9"/>
  <c r="I106" i="9"/>
  <c r="DD38" i="9"/>
  <c r="O12" i="6"/>
  <c r="R12" i="6" s="1"/>
  <c r="O38" i="9"/>
  <c r="O106" i="9"/>
  <c r="O12" i="9"/>
  <c r="AS219" i="8"/>
  <c r="AU219" i="8" s="1"/>
  <c r="DH17" i="9"/>
  <c r="DH44" i="9"/>
  <c r="U44" i="9"/>
  <c r="U17" i="9"/>
  <c r="U12" i="6"/>
  <c r="V12" i="6" s="1"/>
  <c r="W12" i="6" s="1"/>
  <c r="Y12" i="6" s="1"/>
  <c r="DH38" i="9"/>
  <c r="U12" i="9"/>
  <c r="U106" i="9"/>
  <c r="U38" i="9"/>
  <c r="DH12" i="9"/>
  <c r="DH106" i="9"/>
  <c r="U24" i="6"/>
  <c r="X24" i="6" s="1"/>
  <c r="O96" i="6"/>
  <c r="R96" i="6" s="1"/>
  <c r="O48" i="6"/>
  <c r="R48" i="6" s="1"/>
  <c r="O48" i="9"/>
  <c r="O49" i="6"/>
  <c r="R49" i="6" s="1"/>
  <c r="O45" i="9"/>
  <c r="O49" i="9"/>
  <c r="I44" i="6"/>
  <c r="L44" i="6" s="1"/>
  <c r="U96" i="6"/>
  <c r="AF7" i="8"/>
  <c r="AH7" i="8" s="1"/>
  <c r="I262" i="9"/>
  <c r="DD262" i="9"/>
  <c r="AS20" i="8"/>
  <c r="AU20" i="8" s="1"/>
  <c r="DH98" i="9"/>
  <c r="U98" i="9"/>
  <c r="I96" i="9"/>
  <c r="DD96" i="9"/>
  <c r="AS143" i="8"/>
  <c r="AU143" i="8" s="1"/>
  <c r="U93" i="9"/>
  <c r="DH93" i="9"/>
  <c r="I42" i="9"/>
  <c r="DD105" i="9"/>
  <c r="DD20" i="9"/>
  <c r="I105" i="9"/>
  <c r="I20" i="9"/>
  <c r="DD42" i="9"/>
  <c r="U255" i="6"/>
  <c r="X255" i="6" s="1"/>
  <c r="AF20" i="8"/>
  <c r="DF98" i="6" s="1"/>
  <c r="O98" i="9"/>
  <c r="DD260" i="9"/>
  <c r="DM260" i="9" s="1"/>
  <c r="DD45" i="9"/>
  <c r="I45" i="9"/>
  <c r="I49" i="9"/>
  <c r="DD49" i="9"/>
  <c r="U20" i="9"/>
  <c r="U105" i="9"/>
  <c r="DH42" i="9"/>
  <c r="U42" i="9"/>
  <c r="DH105" i="9"/>
  <c r="DH20" i="9"/>
  <c r="I43" i="9"/>
  <c r="I16" i="9"/>
  <c r="DD16" i="9"/>
  <c r="DD43" i="9"/>
  <c r="I20" i="6"/>
  <c r="K20" i="6" s="1"/>
  <c r="M20" i="6" s="1"/>
  <c r="O19" i="6"/>
  <c r="Q19" i="6" s="1"/>
  <c r="S19" i="6" s="1"/>
  <c r="AS9" i="8"/>
  <c r="AU9" i="8" s="1"/>
  <c r="R262" i="9"/>
  <c r="P262" i="9"/>
  <c r="Q262" i="9" s="1"/>
  <c r="S262" i="9" s="1"/>
  <c r="AR88" i="8"/>
  <c r="AS88" i="8" s="1"/>
  <c r="AU88" i="8" s="1"/>
  <c r="DH260" i="9"/>
  <c r="DH49" i="9"/>
  <c r="U45" i="9"/>
  <c r="U49" i="9"/>
  <c r="U260" i="9"/>
  <c r="DH45" i="9"/>
  <c r="DO94" i="6"/>
  <c r="DF94" i="9"/>
  <c r="DO94" i="9" s="1"/>
  <c r="AF222" i="8"/>
  <c r="O16" i="9"/>
  <c r="O43" i="9"/>
  <c r="O17" i="6"/>
  <c r="P17" i="6" s="1"/>
  <c r="Q17" i="6" s="1"/>
  <c r="S17" i="6" s="1"/>
  <c r="O44" i="9"/>
  <c r="O17" i="9"/>
  <c r="U19" i="6"/>
  <c r="X19" i="6" s="1"/>
  <c r="U19" i="9"/>
  <c r="DH19" i="9"/>
  <c r="AF109" i="8"/>
  <c r="O105" i="9"/>
  <c r="O42" i="9"/>
  <c r="O20" i="9"/>
  <c r="DM48" i="6"/>
  <c r="DD48" i="9"/>
  <c r="I48" i="9"/>
  <c r="O24" i="6"/>
  <c r="R24" i="6" s="1"/>
  <c r="I96" i="6"/>
  <c r="L96" i="6" s="1"/>
  <c r="AR18" i="8"/>
  <c r="AU18" i="8" s="1"/>
  <c r="DH262" i="9"/>
  <c r="U262" i="9"/>
  <c r="I93" i="9"/>
  <c r="DD93" i="9"/>
  <c r="I17" i="6"/>
  <c r="J17" i="6" s="1"/>
  <c r="K17" i="6" s="1"/>
  <c r="M17" i="6" s="1"/>
  <c r="U256" i="6"/>
  <c r="V256" i="6" s="1"/>
  <c r="W256" i="6" s="1"/>
  <c r="Y256" i="6" s="1"/>
  <c r="U94" i="9"/>
  <c r="DH94" i="9"/>
  <c r="I93" i="6"/>
  <c r="L93" i="6" s="1"/>
  <c r="DD261" i="9"/>
  <c r="I261" i="9"/>
  <c r="R89" i="8"/>
  <c r="S89" i="8" s="1"/>
  <c r="I24" i="9"/>
  <c r="DD24" i="9"/>
  <c r="R93" i="9"/>
  <c r="P93" i="9"/>
  <c r="Q93" i="9" s="1"/>
  <c r="S93" i="9" s="1"/>
  <c r="DD19" i="9"/>
  <c r="I19" i="9"/>
  <c r="AE15" i="8"/>
  <c r="AG15" i="8" s="1"/>
  <c r="O261" i="9"/>
  <c r="DK46" i="6"/>
  <c r="AB79" i="6"/>
  <c r="A18" i="9"/>
  <c r="I49" i="6"/>
  <c r="L49" i="6" s="1"/>
  <c r="I43" i="6"/>
  <c r="U105" i="6"/>
  <c r="X105" i="6" s="1"/>
  <c r="DP93" i="6"/>
  <c r="O16" i="6"/>
  <c r="P16" i="6" s="1"/>
  <c r="Q16" i="6" s="1"/>
  <c r="S16" i="6" s="1"/>
  <c r="U38" i="6"/>
  <c r="V38" i="6" s="1"/>
  <c r="W38" i="6" s="1"/>
  <c r="Y38" i="6" s="1"/>
  <c r="AB75" i="6"/>
  <c r="U93" i="6"/>
  <c r="DQ93" i="6" s="1"/>
  <c r="S223" i="8"/>
  <c r="AS224" i="8"/>
  <c r="AU224" i="8" s="1"/>
  <c r="I45" i="6"/>
  <c r="J45" i="6" s="1"/>
  <c r="K45" i="6" s="1"/>
  <c r="M45" i="6" s="1"/>
  <c r="O105" i="6"/>
  <c r="R105" i="6" s="1"/>
  <c r="O45" i="6"/>
  <c r="R45" i="6" s="1"/>
  <c r="O44" i="6"/>
  <c r="R44" i="6" s="1"/>
  <c r="U49" i="6"/>
  <c r="O38" i="6"/>
  <c r="R38" i="6" s="1"/>
  <c r="U44" i="6"/>
  <c r="V44" i="6" s="1"/>
  <c r="W44" i="6" s="1"/>
  <c r="Y44" i="6" s="1"/>
  <c r="I12" i="6"/>
  <c r="L12" i="6" s="1"/>
  <c r="O20" i="6"/>
  <c r="DN98" i="6"/>
  <c r="DN12" i="6"/>
  <c r="AB74" i="6"/>
  <c r="AB88" i="6"/>
  <c r="O98" i="6"/>
  <c r="P98" i="6" s="1"/>
  <c r="Q98" i="6" s="1"/>
  <c r="S98" i="6" s="1"/>
  <c r="U45" i="6"/>
  <c r="V45" i="6" s="1"/>
  <c r="W45" i="6" s="1"/>
  <c r="Y45" i="6" s="1"/>
  <c r="I16" i="6"/>
  <c r="J16" i="6" s="1"/>
  <c r="K16" i="6" s="1"/>
  <c r="M16" i="6" s="1"/>
  <c r="U17" i="6"/>
  <c r="X17" i="6" s="1"/>
  <c r="U20" i="6"/>
  <c r="V20" i="6" s="1"/>
  <c r="W20" i="6" s="1"/>
  <c r="Y20" i="6" s="1"/>
  <c r="U254" i="6"/>
  <c r="V254" i="6" s="1"/>
  <c r="AF223" i="8"/>
  <c r="AH223" i="8" s="1"/>
  <c r="AB102" i="6"/>
  <c r="AM42" i="3"/>
  <c r="AN42" i="3" s="1"/>
  <c r="AS105" i="8"/>
  <c r="AU105" i="8" s="1"/>
  <c r="S162" i="8"/>
  <c r="AS223" i="8"/>
  <c r="AU223" i="8" s="1"/>
  <c r="AS108" i="8"/>
  <c r="AU108" i="8" s="1"/>
  <c r="AS185" i="8"/>
  <c r="AU185" i="8" s="1"/>
  <c r="AF220" i="8"/>
  <c r="AH220" i="8" s="1"/>
  <c r="S226" i="8"/>
  <c r="U226" i="8" s="1"/>
  <c r="AS227" i="8"/>
  <c r="AU227" i="8" s="1"/>
  <c r="AB202" i="6"/>
  <c r="AB158" i="6"/>
  <c r="AB186" i="6"/>
  <c r="DL256" i="6"/>
  <c r="AO11" i="3"/>
  <c r="AE11" i="3"/>
  <c r="AM11" i="3"/>
  <c r="AN11" i="3" s="1"/>
  <c r="AT11" i="3"/>
  <c r="AO12" i="3"/>
  <c r="AE12" i="3"/>
  <c r="AS12" i="3"/>
  <c r="AT12" i="3"/>
  <c r="AM12" i="3"/>
  <c r="AN12" i="3" s="1"/>
  <c r="AW12" i="3"/>
  <c r="AX12" i="3" s="1"/>
  <c r="AW13" i="3"/>
  <c r="AX13" i="3" s="1"/>
  <c r="AT13" i="3"/>
  <c r="AS13" i="3"/>
  <c r="AM13" i="3"/>
  <c r="AN13" i="3" s="1"/>
  <c r="AO14" i="3"/>
  <c r="AE14" i="3"/>
  <c r="AW14" i="3"/>
  <c r="AX14" i="3" s="1"/>
  <c r="AO15" i="3"/>
  <c r="AE15" i="3"/>
  <c r="AO16" i="3"/>
  <c r="AE16" i="3"/>
  <c r="AS16" i="3"/>
  <c r="AW16" i="3"/>
  <c r="AX16" i="3" s="1"/>
  <c r="AT16" i="3"/>
  <c r="AM16" i="3"/>
  <c r="AN16" i="3" s="1"/>
  <c r="AW17" i="3"/>
  <c r="AX17" i="3" s="1"/>
  <c r="AT17" i="3"/>
  <c r="AS17" i="3"/>
  <c r="AM17" i="3"/>
  <c r="AN17" i="3" s="1"/>
  <c r="AO18" i="3"/>
  <c r="AE18" i="3"/>
  <c r="AW18" i="3"/>
  <c r="AX18" i="3" s="1"/>
  <c r="AO19" i="3"/>
  <c r="AE19" i="3"/>
  <c r="AO20" i="3"/>
  <c r="AE20" i="3"/>
  <c r="AS20" i="3"/>
  <c r="AW20" i="3"/>
  <c r="AX20" i="3" s="1"/>
  <c r="AT20" i="3"/>
  <c r="AM20" i="3"/>
  <c r="AN20" i="3" s="1"/>
  <c r="AW21" i="3"/>
  <c r="AX21" i="3" s="1"/>
  <c r="AT21" i="3"/>
  <c r="AS21" i="3"/>
  <c r="AO22" i="3"/>
  <c r="AE22" i="3"/>
  <c r="AW22" i="3"/>
  <c r="AX22" i="3" s="1"/>
  <c r="AO23" i="3"/>
  <c r="AE23" i="3"/>
  <c r="AM23" i="3"/>
  <c r="AN23" i="3" s="1"/>
  <c r="AT23" i="3"/>
  <c r="AO24" i="3"/>
  <c r="AE24" i="3"/>
  <c r="AS24" i="3"/>
  <c r="AT24" i="3"/>
  <c r="AM24" i="3"/>
  <c r="AN24" i="3" s="1"/>
  <c r="AW24" i="3"/>
  <c r="AX24" i="3" s="1"/>
  <c r="AT25" i="3"/>
  <c r="AS25" i="3"/>
  <c r="AW25" i="3"/>
  <c r="AX25" i="3" s="1"/>
  <c r="AO26" i="3"/>
  <c r="AE26" i="3"/>
  <c r="AO27" i="3"/>
  <c r="AE27" i="3"/>
  <c r="AM27" i="3"/>
  <c r="AN27" i="3" s="1"/>
  <c r="AT27" i="3"/>
  <c r="AO28" i="3"/>
  <c r="AE28" i="3"/>
  <c r="AS28" i="3"/>
  <c r="AT28" i="3"/>
  <c r="AM28" i="3"/>
  <c r="AN28" i="3" s="1"/>
  <c r="AW28" i="3"/>
  <c r="AX28" i="3" s="1"/>
  <c r="AW29" i="3"/>
  <c r="AX29" i="3" s="1"/>
  <c r="AT29" i="3"/>
  <c r="AS29" i="3"/>
  <c r="AM29" i="3"/>
  <c r="AN29" i="3" s="1"/>
  <c r="AO30" i="3"/>
  <c r="AE30" i="3"/>
  <c r="AW30" i="3"/>
  <c r="AX30" i="3" s="1"/>
  <c r="AO31" i="3"/>
  <c r="AE31" i="3"/>
  <c r="AO32" i="3"/>
  <c r="AE32" i="3"/>
  <c r="AS32" i="3"/>
  <c r="AW32" i="3"/>
  <c r="AX32" i="3" s="1"/>
  <c r="AT32" i="3"/>
  <c r="AM32" i="3"/>
  <c r="AN32" i="3" s="1"/>
  <c r="AT33" i="3"/>
  <c r="AS33" i="3"/>
  <c r="AM33" i="3"/>
  <c r="AN33" i="3" s="1"/>
  <c r="AO34" i="3"/>
  <c r="AE34" i="3"/>
  <c r="AW34" i="3"/>
  <c r="AX34" i="3" s="1"/>
  <c r="AT34" i="3"/>
  <c r="AO35" i="3"/>
  <c r="AE35" i="3"/>
  <c r="AO36" i="3"/>
  <c r="AE36" i="3"/>
  <c r="AS36" i="3"/>
  <c r="AW36" i="3"/>
  <c r="AX36" i="3" s="1"/>
  <c r="AT36" i="3"/>
  <c r="AM36" i="3"/>
  <c r="AN36" i="3" s="1"/>
  <c r="AW37" i="3"/>
  <c r="AX37" i="3" s="1"/>
  <c r="AT37" i="3"/>
  <c r="AS37" i="3"/>
  <c r="AO38" i="3"/>
  <c r="AE38" i="3"/>
  <c r="AT38" i="3"/>
  <c r="AS38" i="3"/>
  <c r="AO39" i="3"/>
  <c r="AE39" i="3"/>
  <c r="AO40" i="3"/>
  <c r="AE40" i="3"/>
  <c r="AT40" i="3"/>
  <c r="AS40" i="3"/>
  <c r="AO41" i="3"/>
  <c r="AE41" i="3"/>
  <c r="AT43" i="3"/>
  <c r="AS43" i="3"/>
  <c r="AM43" i="3"/>
  <c r="AN43" i="3" s="1"/>
  <c r="AW43" i="3"/>
  <c r="AX43" i="3" s="1"/>
  <c r="AE44" i="3"/>
  <c r="AO44" i="3"/>
  <c r="AS45" i="3"/>
  <c r="AT45" i="3"/>
  <c r="AM45" i="3"/>
  <c r="AN45" i="3" s="1"/>
  <c r="AW45" i="3"/>
  <c r="AX45" i="3" s="1"/>
  <c r="AW47" i="3"/>
  <c r="AX47" i="3" s="1"/>
  <c r="AT47" i="3"/>
  <c r="AS47" i="3"/>
  <c r="AM47" i="3"/>
  <c r="AN47" i="3" s="1"/>
  <c r="AO48" i="3"/>
  <c r="AE48" i="3"/>
  <c r="AW48" i="3"/>
  <c r="AX48" i="3" s="1"/>
  <c r="AT48" i="3"/>
  <c r="AS48" i="3"/>
  <c r="AM48" i="3"/>
  <c r="AN48" i="3" s="1"/>
  <c r="AO50" i="3"/>
  <c r="AE50" i="3"/>
  <c r="AO51" i="3"/>
  <c r="AE51" i="3"/>
  <c r="AT51" i="3"/>
  <c r="AS51" i="3"/>
  <c r="AO52" i="3"/>
  <c r="AE52" i="3"/>
  <c r="AM53" i="3"/>
  <c r="AN53" i="3" s="1"/>
  <c r="AE55" i="3"/>
  <c r="AO55" i="3"/>
  <c r="AS56" i="3"/>
  <c r="AT56" i="3"/>
  <c r="AT58" i="3"/>
  <c r="AS58" i="3"/>
  <c r="AW58" i="3"/>
  <c r="AX58" i="3" s="1"/>
  <c r="AM58" i="3"/>
  <c r="AN58" i="3" s="1"/>
  <c r="AT59" i="3"/>
  <c r="AS59" i="3"/>
  <c r="AO60" i="3"/>
  <c r="AE60" i="3"/>
  <c r="AT60" i="3"/>
  <c r="AS60" i="3"/>
  <c r="AM60" i="3"/>
  <c r="AN60" i="3" s="1"/>
  <c r="AW60" i="3"/>
  <c r="AX60" i="3" s="1"/>
  <c r="AO62" i="3"/>
  <c r="AE62" i="3"/>
  <c r="AW62" i="3"/>
  <c r="AX62" i="3" s="1"/>
  <c r="AO63" i="3"/>
  <c r="AE63" i="3"/>
  <c r="AO64" i="3"/>
  <c r="AE64" i="3"/>
  <c r="AO65" i="3"/>
  <c r="AE65" i="3"/>
  <c r="AO66" i="3"/>
  <c r="AE66" i="3"/>
  <c r="AM66" i="3"/>
  <c r="AN66" i="3" s="1"/>
  <c r="AW67" i="3"/>
  <c r="AX67" i="3" s="1"/>
  <c r="AM67" i="3"/>
  <c r="AN67" i="3" s="1"/>
  <c r="AE68" i="3"/>
  <c r="AO68" i="3"/>
  <c r="AS68" i="3"/>
  <c r="AT68" i="3"/>
  <c r="AT70" i="3"/>
  <c r="AS70" i="3"/>
  <c r="AO71" i="3"/>
  <c r="AE71" i="3"/>
  <c r="AT71" i="3"/>
  <c r="AS71" i="3"/>
  <c r="AM71" i="3"/>
  <c r="AN71" i="3" s="1"/>
  <c r="AW71" i="3"/>
  <c r="AX71" i="3" s="1"/>
  <c r="AO72" i="3"/>
  <c r="AE72" i="3"/>
  <c r="AO73" i="3"/>
  <c r="AE73" i="3"/>
  <c r="AM73" i="3"/>
  <c r="AN73" i="3" s="1"/>
  <c r="AS73" i="3"/>
  <c r="AO74" i="3"/>
  <c r="AE74" i="3"/>
  <c r="AO75" i="3"/>
  <c r="AE75" i="3"/>
  <c r="AM75" i="3"/>
  <c r="AN75" i="3" s="1"/>
  <c r="AS75" i="3"/>
  <c r="AT77" i="3"/>
  <c r="AS77" i="3"/>
  <c r="AE78" i="3"/>
  <c r="AO78" i="3"/>
  <c r="AM78" i="3"/>
  <c r="AN78" i="3" s="1"/>
  <c r="AW78" i="3"/>
  <c r="AX78" i="3" s="1"/>
  <c r="AO79" i="3"/>
  <c r="AE79" i="3"/>
  <c r="AS79" i="3"/>
  <c r="AT79" i="3"/>
  <c r="AM79" i="3"/>
  <c r="AN79" i="3" s="1"/>
  <c r="AW79" i="3"/>
  <c r="AX79" i="3" s="1"/>
  <c r="AS80" i="3"/>
  <c r="AT80" i="3"/>
  <c r="AE81" i="3"/>
  <c r="AO81" i="3"/>
  <c r="AT81" i="3"/>
  <c r="AS81" i="3"/>
  <c r="AM81" i="3"/>
  <c r="AN81" i="3" s="1"/>
  <c r="AW81" i="3"/>
  <c r="AX81" i="3" s="1"/>
  <c r="AW82" i="3"/>
  <c r="AX82" i="3" s="1"/>
  <c r="AT82" i="3"/>
  <c r="AS82" i="3"/>
  <c r="AM82" i="3"/>
  <c r="AN82" i="3" s="1"/>
  <c r="AO83" i="3"/>
  <c r="AE83" i="3"/>
  <c r="AT83" i="3"/>
  <c r="AS83" i="3"/>
  <c r="AM83" i="3"/>
  <c r="AN83" i="3" s="1"/>
  <c r="AO84" i="3"/>
  <c r="AE84" i="3"/>
  <c r="AT84" i="3"/>
  <c r="AS84" i="3"/>
  <c r="AO85" i="3"/>
  <c r="AE85" i="3"/>
  <c r="AO86" i="3"/>
  <c r="AE86" i="3"/>
  <c r="AT86" i="3"/>
  <c r="AS86" i="3"/>
  <c r="AO87" i="3"/>
  <c r="AE87" i="3"/>
  <c r="AO88" i="3"/>
  <c r="AE88" i="3"/>
  <c r="AM88" i="3"/>
  <c r="AN88" i="3" s="1"/>
  <c r="AO89" i="3"/>
  <c r="AE89" i="3"/>
  <c r="AT89" i="3"/>
  <c r="AW89" i="3"/>
  <c r="AX89" i="3" s="1"/>
  <c r="AS89" i="3"/>
  <c r="AE90" i="3"/>
  <c r="AO90" i="3"/>
  <c r="AW90" i="3"/>
  <c r="AX90" i="3" s="1"/>
  <c r="AO91" i="3"/>
  <c r="AE91" i="3"/>
  <c r="AS91" i="3"/>
  <c r="AT91" i="3"/>
  <c r="AM91" i="3"/>
  <c r="AN91" i="3" s="1"/>
  <c r="AW91" i="3"/>
  <c r="AX91" i="3" s="1"/>
  <c r="AW92" i="3"/>
  <c r="AX92" i="3" s="1"/>
  <c r="AM92" i="3"/>
  <c r="AN92" i="3" s="1"/>
  <c r="AT93" i="3"/>
  <c r="AS93" i="3"/>
  <c r="AM93" i="3"/>
  <c r="AN93" i="3" s="1"/>
  <c r="AW94" i="3"/>
  <c r="AX94" i="3" s="1"/>
  <c r="AT94" i="3"/>
  <c r="AS94" i="3"/>
  <c r="AM94" i="3"/>
  <c r="AN94" i="3" s="1"/>
  <c r="AO95" i="3"/>
  <c r="AE95" i="3"/>
  <c r="AW95" i="3"/>
  <c r="AX95" i="3" s="1"/>
  <c r="AT95" i="3"/>
  <c r="AS95" i="3"/>
  <c r="AM95" i="3"/>
  <c r="AN95" i="3" s="1"/>
  <c r="AO97" i="3"/>
  <c r="AE97" i="3"/>
  <c r="DP19" i="6"/>
  <c r="DK20" i="6"/>
  <c r="DP38" i="6"/>
  <c r="DK42" i="6"/>
  <c r="DN42" i="6"/>
  <c r="DP44" i="6"/>
  <c r="DQ48" i="6"/>
  <c r="DK49" i="6"/>
  <c r="DP62" i="6"/>
  <c r="DL72" i="6"/>
  <c r="DP94" i="6"/>
  <c r="DL96" i="6"/>
  <c r="DP105" i="6"/>
  <c r="DP114" i="6"/>
  <c r="DQ114" i="6"/>
  <c r="AB121" i="6"/>
  <c r="AB253" i="6"/>
  <c r="AR6" i="8"/>
  <c r="AS6" i="8" s="1"/>
  <c r="AU6" i="8" s="1"/>
  <c r="R8" i="8"/>
  <c r="S8" i="8" s="1"/>
  <c r="R10" i="8"/>
  <c r="S10" i="8" s="1"/>
  <c r="AS10" i="8"/>
  <c r="AU10" i="8" s="1"/>
  <c r="R11" i="8"/>
  <c r="S11" i="8" s="1"/>
  <c r="U11" i="8" s="1"/>
  <c r="R12" i="8"/>
  <c r="S12" i="8" s="1"/>
  <c r="U12" i="8" s="1"/>
  <c r="AR15" i="8"/>
  <c r="AU15" i="8"/>
  <c r="AE16" i="8"/>
  <c r="AH16" i="8" s="1"/>
  <c r="R17" i="8"/>
  <c r="AE17" i="8"/>
  <c r="AF17" i="8" s="1"/>
  <c r="AH17" i="8" s="1"/>
  <c r="R18" i="8"/>
  <c r="T18" i="8" s="1"/>
  <c r="O256" i="6"/>
  <c r="R256" i="6" s="1"/>
  <c r="AE18" i="8"/>
  <c r="AF18" i="8" s="1"/>
  <c r="DF256" i="6" s="1"/>
  <c r="AE27" i="8"/>
  <c r="AF27" i="8" s="1"/>
  <c r="AH27" i="8" s="1"/>
  <c r="R46" i="8"/>
  <c r="S46" i="8" s="1"/>
  <c r="U46" i="8" s="1"/>
  <c r="AE46" i="8"/>
  <c r="AF46" i="8" s="1"/>
  <c r="AH46" i="8" s="1"/>
  <c r="AE54" i="8"/>
  <c r="AF54" i="8" s="1"/>
  <c r="AH54" i="8" s="1"/>
  <c r="AE55" i="8"/>
  <c r="AF55" i="8" s="1"/>
  <c r="AH55" i="8" s="1"/>
  <c r="R58" i="8"/>
  <c r="S58" i="8"/>
  <c r="U58" i="8" s="1"/>
  <c r="AR58" i="8"/>
  <c r="AS58" i="8" s="1"/>
  <c r="AU58" i="8" s="1"/>
  <c r="AE59" i="8"/>
  <c r="AF59" i="8"/>
  <c r="AH59" i="8" s="1"/>
  <c r="AR59" i="8"/>
  <c r="AS59" i="8" s="1"/>
  <c r="AU59" i="8" s="1"/>
  <c r="AE69" i="8"/>
  <c r="AF69" i="8" s="1"/>
  <c r="R75" i="8"/>
  <c r="S75" i="8" s="1"/>
  <c r="U75" i="8" s="1"/>
  <c r="AE83" i="8"/>
  <c r="AF83" i="8" s="1"/>
  <c r="AR83" i="8"/>
  <c r="AS83" i="8" s="1"/>
  <c r="AU83" i="8" s="1"/>
  <c r="AR92" i="8"/>
  <c r="AS92" i="8" s="1"/>
  <c r="AU92" i="8" s="1"/>
  <c r="AE93" i="8"/>
  <c r="AF93" i="8" s="1"/>
  <c r="AH93" i="8" s="1"/>
  <c r="AR93" i="8"/>
  <c r="AS93" i="8" s="1"/>
  <c r="AU93" i="8" s="1"/>
  <c r="AE95" i="8"/>
  <c r="AF95" i="8" s="1"/>
  <c r="AH95" i="8" s="1"/>
  <c r="AR96" i="8"/>
  <c r="AS96" i="8" s="1"/>
  <c r="AU96" i="8" s="1"/>
  <c r="AR97" i="8"/>
  <c r="AS97" i="8" s="1"/>
  <c r="AU97" i="8" s="1"/>
  <c r="R98" i="8"/>
  <c r="S98" i="8" s="1"/>
  <c r="U98" i="8" s="1"/>
  <c r="AR98" i="8"/>
  <c r="AS98" i="8" s="1"/>
  <c r="AU98" i="8" s="1"/>
  <c r="AR100" i="8"/>
  <c r="AS100" i="8" s="1"/>
  <c r="AU100" i="8" s="1"/>
  <c r="AR101" i="8"/>
  <c r="AS101" i="8"/>
  <c r="AU101" i="8" s="1"/>
  <c r="AR102" i="8"/>
  <c r="AS102" i="8"/>
  <c r="AU102" i="8" s="1"/>
  <c r="AR103" i="8"/>
  <c r="AS103" i="8" s="1"/>
  <c r="AU103" i="8" s="1"/>
  <c r="U105" i="8"/>
  <c r="AE105" i="8"/>
  <c r="AF105" i="8" s="1"/>
  <c r="R108" i="8"/>
  <c r="S108" i="8" s="1"/>
  <c r="U108" i="8" s="1"/>
  <c r="R113" i="8"/>
  <c r="S113" i="8" s="1"/>
  <c r="U113" i="8" s="1"/>
  <c r="R118" i="8"/>
  <c r="S118" i="8" s="1"/>
  <c r="U118" i="8" s="1"/>
  <c r="AE118" i="8"/>
  <c r="AF118" i="8" s="1"/>
  <c r="AH118" i="8" s="1"/>
  <c r="AR119" i="8"/>
  <c r="AS119" i="8" s="1"/>
  <c r="AU119" i="8" s="1"/>
  <c r="R123" i="8"/>
  <c r="S123" i="8" s="1"/>
  <c r="U123" i="8" s="1"/>
  <c r="R126" i="8"/>
  <c r="S126" i="8"/>
  <c r="U126" i="8" s="1"/>
  <c r="AR126" i="8"/>
  <c r="AS126" i="8" s="1"/>
  <c r="AU126" i="8" s="1"/>
  <c r="R127" i="8"/>
  <c r="S127" i="8" s="1"/>
  <c r="U127" i="8" s="1"/>
  <c r="R135" i="8"/>
  <c r="S135" i="8" s="1"/>
  <c r="U135" i="8" s="1"/>
  <c r="AR135" i="8"/>
  <c r="AS135" i="8" s="1"/>
  <c r="AU135" i="8" s="1"/>
  <c r="R140" i="8"/>
  <c r="AE141" i="8"/>
  <c r="AF141" i="8" s="1"/>
  <c r="AH141" i="8" s="1"/>
  <c r="R142" i="8"/>
  <c r="S142" i="8" s="1"/>
  <c r="U142" i="8" s="1"/>
  <c r="AF142" i="8"/>
  <c r="AH142" i="8" s="1"/>
  <c r="AS142" i="8"/>
  <c r="AU142" i="8" s="1"/>
  <c r="R145" i="8"/>
  <c r="S145" i="8" s="1"/>
  <c r="U145" i="8" s="1"/>
  <c r="R147" i="8"/>
  <c r="S147" i="8" s="1"/>
  <c r="U147" i="8" s="1"/>
  <c r="R150" i="8"/>
  <c r="S150" i="8" s="1"/>
  <c r="U150" i="8" s="1"/>
  <c r="R152" i="8"/>
  <c r="S152" i="8" s="1"/>
  <c r="U152" i="8" s="1"/>
  <c r="R153" i="8"/>
  <c r="S153" i="8" s="1"/>
  <c r="U153" i="8" s="1"/>
  <c r="AR156" i="8"/>
  <c r="AS156" i="8" s="1"/>
  <c r="AU156" i="8" s="1"/>
  <c r="R157" i="8"/>
  <c r="S157" i="8" s="1"/>
  <c r="U157" i="8" s="1"/>
  <c r="AE158" i="8"/>
  <c r="AF158" i="8" s="1"/>
  <c r="AH158" i="8" s="1"/>
  <c r="R161" i="8"/>
  <c r="S161" i="8" s="1"/>
  <c r="U161" i="8" s="1"/>
  <c r="AE161" i="8"/>
  <c r="AF161" i="8" s="1"/>
  <c r="AH161" i="8" s="1"/>
  <c r="AG162" i="8"/>
  <c r="AE162" i="8"/>
  <c r="AF162" i="8" s="1"/>
  <c r="DF48" i="6" s="1"/>
  <c r="AE170" i="8"/>
  <c r="AF170" i="8" s="1"/>
  <c r="AH170" i="8" s="1"/>
  <c r="AE171" i="8"/>
  <c r="AF171" i="8" s="1"/>
  <c r="AH171" i="8" s="1"/>
  <c r="AE173" i="8"/>
  <c r="AF173" i="8" s="1"/>
  <c r="AH173" i="8" s="1"/>
  <c r="R174" i="8"/>
  <c r="T174" i="8" s="1"/>
  <c r="AT174" i="8"/>
  <c r="AR174" i="8"/>
  <c r="AS174" i="8" s="1"/>
  <c r="AU174" i="8" s="1"/>
  <c r="R176" i="8"/>
  <c r="S176" i="8" s="1"/>
  <c r="U176" i="8" s="1"/>
  <c r="AE176" i="8"/>
  <c r="AF176" i="8" s="1"/>
  <c r="AH176" i="8" s="1"/>
  <c r="AE178" i="8"/>
  <c r="AF178" i="8" s="1"/>
  <c r="AH178" i="8" s="1"/>
  <c r="AE179" i="8"/>
  <c r="AF179" i="8" s="1"/>
  <c r="AH179" i="8" s="1"/>
  <c r="AR179" i="8"/>
  <c r="AS179" i="8" s="1"/>
  <c r="AU179" i="8" s="1"/>
  <c r="AE180" i="8"/>
  <c r="AF180" i="8" s="1"/>
  <c r="AH180" i="8" s="1"/>
  <c r="AE182" i="8"/>
  <c r="AF182" i="8" s="1"/>
  <c r="AH182" i="8" s="1"/>
  <c r="AE185" i="8"/>
  <c r="AF185" i="8" s="1"/>
  <c r="AH185" i="8" s="1"/>
  <c r="R187" i="8"/>
  <c r="S187" i="8" s="1"/>
  <c r="U187" i="8" s="1"/>
  <c r="AR189" i="8"/>
  <c r="AS189" i="8" s="1"/>
  <c r="AU189" i="8" s="1"/>
  <c r="AE191" i="8"/>
  <c r="AF191" i="8" s="1"/>
  <c r="AH191" i="8" s="1"/>
  <c r="AE192" i="8"/>
  <c r="AF192" i="8" s="1"/>
  <c r="AH192" i="8" s="1"/>
  <c r="R195" i="8"/>
  <c r="S195" i="8" s="1"/>
  <c r="U195" i="8" s="1"/>
  <c r="R199" i="8"/>
  <c r="S199" i="8" s="1"/>
  <c r="R200" i="8"/>
  <c r="AE200" i="8"/>
  <c r="AE201" i="8"/>
  <c r="R202" i="8"/>
  <c r="S202" i="8" s="1"/>
  <c r="U202" i="8" s="1"/>
  <c r="AR202" i="8"/>
  <c r="AS202" i="8" s="1"/>
  <c r="AU202" i="8" s="1"/>
  <c r="R203" i="8"/>
  <c r="S203" i="8" s="1"/>
  <c r="U203" i="8" s="1"/>
  <c r="AE206" i="8"/>
  <c r="AF206" i="8" s="1"/>
  <c r="AH206" i="8" s="1"/>
  <c r="AE207" i="8"/>
  <c r="AF207" i="8" s="1"/>
  <c r="AH207" i="8" s="1"/>
  <c r="R208" i="8"/>
  <c r="S208" i="8" s="1"/>
  <c r="U208" i="8" s="1"/>
  <c r="R209" i="8"/>
  <c r="S209" i="8" s="1"/>
  <c r="U209" i="8" s="1"/>
  <c r="R210" i="8"/>
  <c r="S210" i="8" s="1"/>
  <c r="U210" i="8" s="1"/>
  <c r="AE210" i="8"/>
  <c r="AF210" i="8" s="1"/>
  <c r="AH210" i="8" s="1"/>
  <c r="AE212" i="8"/>
  <c r="AF212" i="8" s="1"/>
  <c r="AH212" i="8" s="1"/>
  <c r="S218" i="8"/>
  <c r="U218" i="8" s="1"/>
  <c r="AF219" i="8"/>
  <c r="S222" i="8"/>
  <c r="U222" i="8" s="1"/>
  <c r="AS225" i="8"/>
  <c r="AU225" i="8" s="1"/>
  <c r="S227" i="8"/>
  <c r="U227" i="8" s="1"/>
  <c r="AF228" i="8"/>
  <c r="AV228" i="8" s="1"/>
  <c r="S229" i="8"/>
  <c r="U229" i="8" s="1"/>
  <c r="AE231" i="8"/>
  <c r="AF231" i="8" s="1"/>
  <c r="AH231" i="8" s="1"/>
  <c r="AE237" i="8"/>
  <c r="AF237" i="8" s="1"/>
  <c r="AH237" i="8" s="1"/>
  <c r="AE240" i="8"/>
  <c r="AF240" i="8" s="1"/>
  <c r="AH240" i="8" s="1"/>
  <c r="AE243" i="8"/>
  <c r="AF243" i="8" s="1"/>
  <c r="AH243" i="8" s="1"/>
  <c r="AR243" i="8"/>
  <c r="AS243" i="8" s="1"/>
  <c r="AU243" i="8" s="1"/>
  <c r="AS247" i="8"/>
  <c r="AU247" i="8" s="1"/>
  <c r="AS248" i="8"/>
  <c r="AU248" i="8" s="1"/>
  <c r="AB185" i="6"/>
  <c r="DL20" i="6"/>
  <c r="DP48" i="6"/>
  <c r="DM98" i="6"/>
  <c r="DK16" i="6"/>
  <c r="AB86" i="6"/>
  <c r="AB178" i="6"/>
  <c r="DN24" i="6"/>
  <c r="DQ62" i="6"/>
  <c r="DM72" i="6"/>
  <c r="DL104" i="6"/>
  <c r="AB163" i="6"/>
  <c r="AB235" i="6"/>
  <c r="DN94" i="6"/>
  <c r="DP24" i="6"/>
  <c r="DN48" i="6"/>
  <c r="DN101" i="6"/>
  <c r="DP254" i="6"/>
  <c r="DN256" i="6"/>
  <c r="AB207" i="6"/>
  <c r="DP17" i="6"/>
  <c r="DM37" i="6"/>
  <c r="AB92" i="6"/>
  <c r="DN96" i="6"/>
  <c r="AB147" i="6"/>
  <c r="DL38" i="6"/>
  <c r="DN37" i="6"/>
  <c r="DP42" i="6"/>
  <c r="DO72" i="6"/>
  <c r="AB166" i="6"/>
  <c r="DK38" i="6"/>
  <c r="DL46" i="6"/>
  <c r="DO37" i="6"/>
  <c r="DL43" i="6"/>
  <c r="DP45" i="6"/>
  <c r="DN17" i="6"/>
  <c r="DP16" i="6"/>
  <c r="DK48" i="6"/>
  <c r="DP61" i="6"/>
  <c r="DQ72" i="6"/>
  <c r="AB156" i="6"/>
  <c r="AB244" i="6"/>
  <c r="AB95" i="6"/>
  <c r="AB139" i="6"/>
  <c r="AB174" i="6"/>
  <c r="L72" i="6"/>
  <c r="AB35" i="6"/>
  <c r="AB52" i="6"/>
  <c r="AB143" i="6"/>
  <c r="AB177" i="6"/>
  <c r="AB199" i="6"/>
  <c r="DN46" i="6"/>
  <c r="DP72" i="6"/>
  <c r="AB135" i="6"/>
  <c r="AB197" i="6"/>
  <c r="AB136" i="6"/>
  <c r="DN104" i="6"/>
  <c r="AB170" i="6"/>
  <c r="DK17" i="6"/>
  <c r="DK44" i="6"/>
  <c r="DM46" i="6"/>
  <c r="DK105" i="6"/>
  <c r="AB210" i="6"/>
  <c r="AB14" i="6"/>
  <c r="AB81" i="6"/>
  <c r="AB227" i="6"/>
  <c r="AB13" i="6"/>
  <c r="DP37" i="6"/>
  <c r="DQ43" i="6"/>
  <c r="DL44" i="6"/>
  <c r="DP49" i="6"/>
  <c r="DL98" i="6"/>
  <c r="DN105" i="6"/>
  <c r="AB109" i="6"/>
  <c r="AB128" i="6"/>
  <c r="AB164" i="6"/>
  <c r="DL255" i="6"/>
  <c r="P255" i="6"/>
  <c r="Q255" i="6" s="1"/>
  <c r="S255" i="6" s="1"/>
  <c r="DN19" i="6"/>
  <c r="DP98" i="6"/>
  <c r="AB15" i="6"/>
  <c r="DP12" i="6"/>
  <c r="DP96" i="6"/>
  <c r="AB181" i="6"/>
  <c r="AB204" i="6"/>
  <c r="AB245" i="6"/>
  <c r="DL17" i="6"/>
  <c r="DN44" i="6"/>
  <c r="AB66" i="6"/>
  <c r="AB141" i="6"/>
  <c r="DP255" i="6"/>
  <c r="AB22" i="6"/>
  <c r="N274" i="7"/>
  <c r="M274" i="7"/>
  <c r="AB149" i="6"/>
  <c r="AB27" i="6"/>
  <c r="DK43" i="6"/>
  <c r="AB21" i="6"/>
  <c r="AB76" i="6"/>
  <c r="AB36" i="6"/>
  <c r="Q94" i="6"/>
  <c r="S94" i="6" s="1"/>
  <c r="AB60" i="6"/>
  <c r="AB211" i="6"/>
  <c r="AB206" i="6"/>
  <c r="DL24" i="6"/>
  <c r="AB106" i="6"/>
  <c r="P72" i="6"/>
  <c r="Q72" i="6" s="1"/>
  <c r="S72" i="6" s="1"/>
  <c r="AB167" i="6"/>
  <c r="R72" i="6"/>
  <c r="AB34" i="6"/>
  <c r="K37" i="6"/>
  <c r="M37" i="6" s="1"/>
  <c r="AB54" i="6"/>
  <c r="DL93" i="6"/>
  <c r="W101" i="6"/>
  <c r="Y101" i="6" s="1"/>
  <c r="AB117" i="6"/>
  <c r="DK19" i="6"/>
  <c r="AB179" i="6"/>
  <c r="AB189" i="6"/>
  <c r="DN38" i="6"/>
  <c r="AB41" i="6"/>
  <c r="DK12" i="6"/>
  <c r="L37" i="6"/>
  <c r="DN43" i="6"/>
  <c r="X101" i="6"/>
  <c r="AB182" i="6"/>
  <c r="DL16" i="6"/>
  <c r="AB246" i="6"/>
  <c r="AB103" i="6"/>
  <c r="DL48" i="6"/>
  <c r="DN49" i="6"/>
  <c r="AB63" i="6"/>
  <c r="DN72" i="6"/>
  <c r="AB144" i="6"/>
  <c r="AB215" i="6"/>
  <c r="AB218" i="6"/>
  <c r="AB132" i="6"/>
  <c r="AB39" i="6"/>
  <c r="DP46" i="6"/>
  <c r="AB83" i="6"/>
  <c r="AB33" i="6"/>
  <c r="V46" i="6"/>
  <c r="W46" i="6" s="1"/>
  <c r="Y46" i="6" s="1"/>
  <c r="DQ46" i="6"/>
  <c r="AB78" i="6"/>
  <c r="AB110" i="6"/>
  <c r="AB161" i="6"/>
  <c r="AB175" i="6"/>
  <c r="AB219" i="6"/>
  <c r="DP20" i="6"/>
  <c r="AB50" i="6"/>
  <c r="AB70" i="6"/>
  <c r="AB130" i="6"/>
  <c r="AB221" i="6"/>
  <c r="AB71" i="6"/>
  <c r="AB23" i="6"/>
  <c r="AB30" i="6"/>
  <c r="AB159" i="6"/>
  <c r="AB251" i="6"/>
  <c r="AB134" i="6"/>
  <c r="AB155" i="6"/>
  <c r="AB193" i="6"/>
  <c r="AB195" i="6"/>
  <c r="AB208" i="6"/>
  <c r="DO101" i="6"/>
  <c r="AB142" i="6"/>
  <c r="DL114" i="6"/>
  <c r="AB133" i="6"/>
  <c r="AB148" i="6"/>
  <c r="AB150" i="6"/>
  <c r="AB257" i="6"/>
  <c r="AB77" i="6"/>
  <c r="DK104" i="6"/>
  <c r="DL105" i="6"/>
  <c r="DM114" i="6"/>
  <c r="AB192" i="6"/>
  <c r="AB198" i="6"/>
  <c r="AB203" i="6"/>
  <c r="AB205" i="6"/>
  <c r="AB243" i="6"/>
  <c r="AB138" i="6"/>
  <c r="AB201" i="6"/>
  <c r="AB242" i="6"/>
  <c r="AB230" i="6"/>
  <c r="DP256" i="6"/>
  <c r="AB140" i="6"/>
  <c r="AB116" i="6"/>
  <c r="AB115" i="6"/>
  <c r="AB73" i="6"/>
  <c r="R248" i="8"/>
  <c r="S248" i="8" s="1"/>
  <c r="AB80" i="6"/>
  <c r="AE21" i="3"/>
  <c r="AO21" i="3"/>
  <c r="AO58" i="3"/>
  <c r="AE93" i="3"/>
  <c r="AO93" i="3"/>
  <c r="V16" i="6"/>
  <c r="W16" i="6" s="1"/>
  <c r="Y16" i="6" s="1"/>
  <c r="AB28" i="6"/>
  <c r="R43" i="6"/>
  <c r="S43" i="6"/>
  <c r="AW52" i="3"/>
  <c r="AX52" i="3" s="1"/>
  <c r="AT52" i="3"/>
  <c r="AS52" i="3"/>
  <c r="AM52" i="3"/>
  <c r="AN52" i="3" s="1"/>
  <c r="AE82" i="3"/>
  <c r="AO82" i="3"/>
  <c r="AB25" i="6"/>
  <c r="R37" i="6"/>
  <c r="P37" i="6"/>
  <c r="Q37" i="6" s="1"/>
  <c r="S37" i="6" s="1"/>
  <c r="AB67" i="6"/>
  <c r="AT54" i="3"/>
  <c r="AS54" i="3"/>
  <c r="AW54" i="3"/>
  <c r="AX54" i="3" s="1"/>
  <c r="AO76" i="3"/>
  <c r="AE76" i="3"/>
  <c r="AW64" i="3"/>
  <c r="AX64" i="3" s="1"/>
  <c r="AT64" i="3"/>
  <c r="AM64" i="3"/>
  <c r="AN64" i="3" s="1"/>
  <c r="AS64" i="3"/>
  <c r="AS69" i="3"/>
  <c r="AM69" i="3"/>
  <c r="AN69" i="3" s="1"/>
  <c r="AT69" i="3"/>
  <c r="AE43" i="3"/>
  <c r="AO43" i="3"/>
  <c r="U166" i="8"/>
  <c r="AO61" i="3"/>
  <c r="AE61" i="3"/>
  <c r="AO56" i="3"/>
  <c r="AE56" i="3"/>
  <c r="AM26" i="3"/>
  <c r="AN26" i="3" s="1"/>
  <c r="AW26" i="3"/>
  <c r="AX26" i="3" s="1"/>
  <c r="AT26" i="3"/>
  <c r="AM54" i="3"/>
  <c r="AN54" i="3" s="1"/>
  <c r="AW41" i="3"/>
  <c r="AX41" i="3" s="1"/>
  <c r="AT41" i="3"/>
  <c r="AM41" i="3"/>
  <c r="AN41" i="3" s="1"/>
  <c r="AB31" i="6"/>
  <c r="AB32" i="6"/>
  <c r="DO46" i="6"/>
  <c r="R46" i="6"/>
  <c r="P46" i="6"/>
  <c r="Q46" i="6" s="1"/>
  <c r="S46" i="6" s="1"/>
  <c r="AO53" i="3"/>
  <c r="AM74" i="3"/>
  <c r="AN74" i="3" s="1"/>
  <c r="AW74" i="3"/>
  <c r="AX74" i="3" s="1"/>
  <c r="AS74" i="3"/>
  <c r="AF98" i="3"/>
  <c r="R182" i="8"/>
  <c r="S182" i="8" s="1"/>
  <c r="AM38" i="3"/>
  <c r="AN38" i="3" s="1"/>
  <c r="AW38" i="3"/>
  <c r="AX38" i="3" s="1"/>
  <c r="AE37" i="3"/>
  <c r="AO37" i="3"/>
  <c r="AW88" i="3"/>
  <c r="AX88" i="3" s="1"/>
  <c r="AS88" i="3"/>
  <c r="AM39" i="3"/>
  <c r="AN39" i="3" s="1"/>
  <c r="AT39" i="3"/>
  <c r="AS39" i="3"/>
  <c r="AW39" i="3"/>
  <c r="AX39" i="3" s="1"/>
  <c r="AW33" i="3"/>
  <c r="AX33" i="3" s="1"/>
  <c r="AS41" i="3"/>
  <c r="AE54" i="3"/>
  <c r="AS57" i="3"/>
  <c r="AM57" i="3"/>
  <c r="AN57" i="3" s="1"/>
  <c r="AT57" i="3"/>
  <c r="AW57" i="3"/>
  <c r="AX57" i="3" s="1"/>
  <c r="AT66" i="3"/>
  <c r="AS66" i="3"/>
  <c r="AW66" i="3"/>
  <c r="AX66" i="3" s="1"/>
  <c r="AW69" i="3"/>
  <c r="AX69" i="3" s="1"/>
  <c r="AM15" i="3"/>
  <c r="AN15" i="3" s="1"/>
  <c r="AM21" i="3"/>
  <c r="AN21" i="3" s="1"/>
  <c r="AM31" i="3"/>
  <c r="AN31" i="3" s="1"/>
  <c r="AM37" i="3"/>
  <c r="AN37" i="3" s="1"/>
  <c r="AO49" i="3"/>
  <c r="AE49" i="3"/>
  <c r="AT55" i="3"/>
  <c r="AS55" i="3"/>
  <c r="AM55" i="3"/>
  <c r="AN55" i="3" s="1"/>
  <c r="AW55" i="3"/>
  <c r="AX55" i="3" s="1"/>
  <c r="AE59" i="3"/>
  <c r="AO59" i="3"/>
  <c r="AW68" i="3"/>
  <c r="AX68" i="3" s="1"/>
  <c r="AM68" i="3"/>
  <c r="AN68" i="3" s="1"/>
  <c r="AB18" i="6"/>
  <c r="DP43" i="6"/>
  <c r="DK94" i="6"/>
  <c r="AB125" i="6"/>
  <c r="AB129" i="6"/>
  <c r="AB194" i="6"/>
  <c r="AP98" i="3"/>
  <c r="BL46" i="3" s="1"/>
  <c r="AM14" i="3"/>
  <c r="AN14" i="3" s="1"/>
  <c r="AS14" i="3"/>
  <c r="AE25" i="3"/>
  <c r="AO25" i="3"/>
  <c r="AM30" i="3"/>
  <c r="AN30" i="3" s="1"/>
  <c r="AS30" i="3"/>
  <c r="AW56" i="3"/>
  <c r="AX56" i="3" s="1"/>
  <c r="AM56" i="3"/>
  <c r="AN56" i="3" s="1"/>
  <c r="AM72" i="3"/>
  <c r="AN72" i="3" s="1"/>
  <c r="AW72" i="3"/>
  <c r="AX72" i="3" s="1"/>
  <c r="AS72" i="3"/>
  <c r="AO96" i="3"/>
  <c r="AE96" i="3"/>
  <c r="DN20" i="6"/>
  <c r="L254" i="6"/>
  <c r="J254" i="6"/>
  <c r="K254" i="6" s="1"/>
  <c r="M254" i="6" s="1"/>
  <c r="AM85" i="3"/>
  <c r="AN85" i="3" s="1"/>
  <c r="AT85" i="3"/>
  <c r="DL19" i="6"/>
  <c r="X37" i="6"/>
  <c r="AB40" i="6"/>
  <c r="DL45" i="6"/>
  <c r="DN93" i="6"/>
  <c r="L98" i="6"/>
  <c r="J98" i="6"/>
  <c r="K98" i="6" s="1"/>
  <c r="M98" i="6" s="1"/>
  <c r="AE209" i="8"/>
  <c r="AF209" i="8" s="1"/>
  <c r="AI98" i="3"/>
  <c r="AM40" i="3"/>
  <c r="AN40" i="3" s="1"/>
  <c r="AW40" i="3"/>
  <c r="AX40" i="3" s="1"/>
  <c r="AT73" i="3"/>
  <c r="AW76" i="3"/>
  <c r="AX76" i="3" s="1"/>
  <c r="AS76" i="3"/>
  <c r="AT76" i="3"/>
  <c r="AW83" i="3"/>
  <c r="AX83" i="3" s="1"/>
  <c r="V37" i="6"/>
  <c r="W37" i="6" s="1"/>
  <c r="Y37" i="6" s="1"/>
  <c r="AB47" i="6"/>
  <c r="U69" i="8"/>
  <c r="AW80" i="3"/>
  <c r="AX80" i="3" s="1"/>
  <c r="AE17" i="3"/>
  <c r="AO17" i="3"/>
  <c r="AS46" i="3"/>
  <c r="AM46" i="3"/>
  <c r="AN46" i="3" s="1"/>
  <c r="AW46" i="3"/>
  <c r="AX46" i="3" s="1"/>
  <c r="AE67" i="3"/>
  <c r="AO67" i="3"/>
  <c r="AW85" i="3"/>
  <c r="AX85" i="3" s="1"/>
  <c r="L48" i="6"/>
  <c r="K48" i="6"/>
  <c r="M48" i="6" s="1"/>
  <c r="AM65" i="3"/>
  <c r="AN65" i="3" s="1"/>
  <c r="AW77" i="3"/>
  <c r="AX77" i="3" s="1"/>
  <c r="AB29" i="6"/>
  <c r="L101" i="6"/>
  <c r="K101" i="6"/>
  <c r="M101" i="6" s="1"/>
  <c r="AM22" i="3"/>
  <c r="AN22" i="3" s="1"/>
  <c r="AE33" i="3"/>
  <c r="AO33" i="3"/>
  <c r="AO45" i="3"/>
  <c r="AM63" i="3"/>
  <c r="AN63" i="3" s="1"/>
  <c r="AW63" i="3"/>
  <c r="AX63" i="3" s="1"/>
  <c r="AT63" i="3"/>
  <c r="AS63" i="3"/>
  <c r="L56" i="6"/>
  <c r="J56" i="6"/>
  <c r="K56" i="6" s="1"/>
  <c r="M56" i="6" s="1"/>
  <c r="AB56" i="6" s="1"/>
  <c r="R97" i="6"/>
  <c r="P97" i="6"/>
  <c r="Q97" i="6" s="1"/>
  <c r="S97" i="6" s="1"/>
  <c r="X114" i="6"/>
  <c r="V114" i="6"/>
  <c r="W114" i="6" s="1"/>
  <c r="AT22" i="3"/>
  <c r="AE42" i="3"/>
  <c r="AE57" i="3"/>
  <c r="AO57" i="3"/>
  <c r="AM77" i="3"/>
  <c r="AN77" i="3" s="1"/>
  <c r="AB57" i="6"/>
  <c r="AB100" i="6"/>
  <c r="AM25" i="3"/>
  <c r="AN25" i="3" s="1"/>
  <c r="DQ37" i="6"/>
  <c r="AB53" i="6"/>
  <c r="DQ61" i="6"/>
  <c r="AB82" i="6"/>
  <c r="AB84" i="6"/>
  <c r="AM19" i="3"/>
  <c r="AN19" i="3" s="1"/>
  <c r="AM35" i="3"/>
  <c r="AN35" i="3" s="1"/>
  <c r="AW44" i="3"/>
  <c r="AX44" i="3" s="1"/>
  <c r="AM44" i="3"/>
  <c r="AN44" i="3" s="1"/>
  <c r="AE47" i="3"/>
  <c r="AO47" i="3"/>
  <c r="AM50" i="3"/>
  <c r="AN50" i="3" s="1"/>
  <c r="AW50" i="3"/>
  <c r="AX50" i="3" s="1"/>
  <c r="AS50" i="3"/>
  <c r="AW73" i="3"/>
  <c r="AX73" i="3" s="1"/>
  <c r="AE92" i="3"/>
  <c r="AO92" i="3"/>
  <c r="AE13" i="3"/>
  <c r="AO13" i="3"/>
  <c r="AM18" i="3"/>
  <c r="AN18" i="3" s="1"/>
  <c r="AS18" i="3"/>
  <c r="AE29" i="3"/>
  <c r="AO29" i="3"/>
  <c r="AM34" i="3"/>
  <c r="AN34" i="3" s="1"/>
  <c r="AS34" i="3"/>
  <c r="AW42" i="3"/>
  <c r="AX42" i="3" s="1"/>
  <c r="AS42" i="3"/>
  <c r="AT42" i="3"/>
  <c r="AT50" i="3"/>
  <c r="AT67" i="3"/>
  <c r="AS67" i="3"/>
  <c r="AE69" i="3"/>
  <c r="AO69" i="3"/>
  <c r="AO77" i="3"/>
  <c r="AT78" i="3"/>
  <c r="AS78" i="3"/>
  <c r="AM80" i="3"/>
  <c r="AN80" i="3" s="1"/>
  <c r="AM84" i="3"/>
  <c r="AN84" i="3" s="1"/>
  <c r="AW84" i="3"/>
  <c r="AX84" i="3" s="1"/>
  <c r="AW87" i="3"/>
  <c r="AX87" i="3" s="1"/>
  <c r="AT87" i="3"/>
  <c r="AS87" i="3"/>
  <c r="AW93" i="3"/>
  <c r="AX93" i="3" s="1"/>
  <c r="AE94" i="3"/>
  <c r="AO94" i="3"/>
  <c r="AM97" i="3"/>
  <c r="AN97" i="3" s="1"/>
  <c r="AW97" i="3"/>
  <c r="AX97" i="3" s="1"/>
  <c r="AS97" i="3"/>
  <c r="DQ16" i="6"/>
  <c r="DL49" i="6"/>
  <c r="DN45" i="6"/>
  <c r="DP101" i="6"/>
  <c r="AB137" i="6"/>
  <c r="AT44" i="3"/>
  <c r="AS44" i="3"/>
  <c r="AM86" i="3"/>
  <c r="AN86" i="3" s="1"/>
  <c r="AW86" i="3"/>
  <c r="AX86" i="3" s="1"/>
  <c r="AM96" i="3"/>
  <c r="AN96" i="3" s="1"/>
  <c r="AW96" i="3"/>
  <c r="AX96" i="3" s="1"/>
  <c r="AT96" i="3"/>
  <c r="DK24" i="6"/>
  <c r="DL42" i="6"/>
  <c r="AB65" i="6"/>
  <c r="DQ101" i="6"/>
  <c r="DM123" i="6"/>
  <c r="L123" i="6"/>
  <c r="AB51" i="6"/>
  <c r="AB55" i="6"/>
  <c r="AB91" i="6"/>
  <c r="AR245" i="8"/>
  <c r="AS245" i="8" s="1"/>
  <c r="AU245" i="8" s="1"/>
  <c r="AM49" i="3"/>
  <c r="AN49" i="3" s="1"/>
  <c r="AW49" i="3"/>
  <c r="AX49" i="3" s="1"/>
  <c r="AT49" i="3"/>
  <c r="AW53" i="3"/>
  <c r="AX53" i="3" s="1"/>
  <c r="AS53" i="3"/>
  <c r="AM62" i="3"/>
  <c r="AN62" i="3" s="1"/>
  <c r="AS62" i="3"/>
  <c r="AM70" i="3"/>
  <c r="AN70" i="3" s="1"/>
  <c r="AW70" i="3"/>
  <c r="AX70" i="3" s="1"/>
  <c r="AM89" i="3"/>
  <c r="AN89" i="3" s="1"/>
  <c r="AT92" i="3"/>
  <c r="P58" i="6"/>
  <c r="Q58" i="6" s="1"/>
  <c r="S58" i="6" s="1"/>
  <c r="AB58" i="6" s="1"/>
  <c r="J61" i="6"/>
  <c r="K61" i="6" s="1"/>
  <c r="M61" i="6" s="1"/>
  <c r="AB61" i="6" s="1"/>
  <c r="DM61" i="6"/>
  <c r="R62" i="6"/>
  <c r="Q62" i="6"/>
  <c r="S62" i="6" s="1"/>
  <c r="AB62" i="6" s="1"/>
  <c r="AB69" i="6"/>
  <c r="AB99" i="6"/>
  <c r="AB108" i="6"/>
  <c r="K123" i="6"/>
  <c r="AB176" i="6"/>
  <c r="AB180" i="6"/>
  <c r="R66" i="8"/>
  <c r="S66" i="8" s="1"/>
  <c r="AM59" i="3"/>
  <c r="AN59" i="3" s="1"/>
  <c r="AW59" i="3"/>
  <c r="AX59" i="3" s="1"/>
  <c r="AT90" i="3"/>
  <c r="AS90" i="3"/>
  <c r="AR7" i="8"/>
  <c r="AS7" i="8" s="1"/>
  <c r="AU7" i="8" s="1"/>
  <c r="AE80" i="3"/>
  <c r="AO80" i="3"/>
  <c r="DN16" i="6"/>
  <c r="AW11" i="3"/>
  <c r="AX11" i="3" s="1"/>
  <c r="AS11" i="3"/>
  <c r="AW15" i="3"/>
  <c r="AX15" i="3" s="1"/>
  <c r="AS15" i="3"/>
  <c r="AW19" i="3"/>
  <c r="AX19" i="3" s="1"/>
  <c r="AS19" i="3"/>
  <c r="AW23" i="3"/>
  <c r="AX23" i="3" s="1"/>
  <c r="AS23" i="3"/>
  <c r="AW27" i="3"/>
  <c r="AX27" i="3" s="1"/>
  <c r="AS27" i="3"/>
  <c r="AW31" i="3"/>
  <c r="AX31" i="3" s="1"/>
  <c r="AS31" i="3"/>
  <c r="AW35" i="3"/>
  <c r="AX35" i="3" s="1"/>
  <c r="AS35" i="3"/>
  <c r="AE46" i="3"/>
  <c r="AO46" i="3"/>
  <c r="AM51" i="3"/>
  <c r="AN51" i="3" s="1"/>
  <c r="AW51" i="3"/>
  <c r="AX51" i="3" s="1"/>
  <c r="AM61" i="3"/>
  <c r="AN61" i="3" s="1"/>
  <c r="AW61" i="3"/>
  <c r="AX61" i="3" s="1"/>
  <c r="AT61" i="3"/>
  <c r="AW65" i="3"/>
  <c r="AX65" i="3" s="1"/>
  <c r="AS65" i="3"/>
  <c r="AE70" i="3"/>
  <c r="AO70" i="3"/>
  <c r="AW75" i="3"/>
  <c r="AX75" i="3" s="1"/>
  <c r="AT75" i="3"/>
  <c r="AB26" i="6"/>
  <c r="AB59" i="6"/>
  <c r="AB68" i="6"/>
  <c r="AB153" i="6"/>
  <c r="U14" i="8"/>
  <c r="AE58" i="8"/>
  <c r="AF58" i="8" s="1"/>
  <c r="AH58" i="8" s="1"/>
  <c r="AB107" i="6"/>
  <c r="DP104" i="6"/>
  <c r="AB157" i="6"/>
  <c r="AB162" i="6"/>
  <c r="AB183" i="6"/>
  <c r="U3" i="8"/>
  <c r="U65" i="8"/>
  <c r="U83" i="8"/>
  <c r="AR120" i="8"/>
  <c r="AS120" i="8" s="1"/>
  <c r="AU120" i="8" s="1"/>
  <c r="AE125" i="8"/>
  <c r="AF125" i="8" s="1"/>
  <c r="AH125" i="8" s="1"/>
  <c r="V64" i="6"/>
  <c r="W64" i="6" s="1"/>
  <c r="Y64" i="6" s="1"/>
  <c r="DN71" i="6"/>
  <c r="DN97" i="6"/>
  <c r="AB120" i="6"/>
  <c r="AB146" i="6"/>
  <c r="AR12" i="8"/>
  <c r="AS12" i="8" s="1"/>
  <c r="I255" i="6"/>
  <c r="R15" i="8"/>
  <c r="T15" i="8" s="1"/>
  <c r="U56" i="8"/>
  <c r="U117" i="8"/>
  <c r="AR152" i="8"/>
  <c r="AS152" i="8" s="1"/>
  <c r="AU152" i="8" s="1"/>
  <c r="DO58" i="6"/>
  <c r="AB171" i="6"/>
  <c r="J64" i="6"/>
  <c r="K64" i="6" s="1"/>
  <c r="M64" i="6" s="1"/>
  <c r="V72" i="6"/>
  <c r="W72" i="6" s="1"/>
  <c r="Y72" i="6" s="1"/>
  <c r="P85" i="6"/>
  <c r="Q85" i="6" s="1"/>
  <c r="S85" i="6" s="1"/>
  <c r="AB85" i="6" s="1"/>
  <c r="V97" i="6"/>
  <c r="W97" i="6" s="1"/>
  <c r="Y97" i="6" s="1"/>
  <c r="DO97" i="6"/>
  <c r="DL101" i="6"/>
  <c r="AB154" i="6"/>
  <c r="AB160" i="6"/>
  <c r="AR91" i="8"/>
  <c r="AS91" i="8" s="1"/>
  <c r="AU91" i="8" s="1"/>
  <c r="DM97" i="6"/>
  <c r="AB127" i="6"/>
  <c r="R101" i="6"/>
  <c r="P101" i="6"/>
  <c r="Q101" i="6" s="1"/>
  <c r="S101" i="6" s="1"/>
  <c r="DM101" i="6"/>
  <c r="M119" i="6"/>
  <c r="AB119" i="6" s="1"/>
  <c r="AB145" i="6"/>
  <c r="AB196" i="6"/>
  <c r="AB222" i="6"/>
  <c r="AB240" i="6"/>
  <c r="U5" i="8"/>
  <c r="U55" i="8"/>
  <c r="AB169" i="6"/>
  <c r="AB209" i="6"/>
  <c r="AB220" i="6"/>
  <c r="AH112" i="8"/>
  <c r="AR113" i="8"/>
  <c r="AS113" i="8" s="1"/>
  <c r="AF135" i="8"/>
  <c r="AH135" i="8" s="1"/>
  <c r="AR188" i="8"/>
  <c r="AS188" i="8" s="1"/>
  <c r="AU188" i="8" s="1"/>
  <c r="AB122" i="6"/>
  <c r="AB187" i="6"/>
  <c r="L188" i="6"/>
  <c r="J188" i="6"/>
  <c r="K188" i="6" s="1"/>
  <c r="M188" i="6" s="1"/>
  <c r="AB191" i="6"/>
  <c r="AB241" i="6"/>
  <c r="AE128" i="8"/>
  <c r="AF128" i="8" s="1"/>
  <c r="AH128" i="8" s="1"/>
  <c r="L114" i="6"/>
  <c r="J114" i="6"/>
  <c r="K114" i="6" s="1"/>
  <c r="AB190" i="6"/>
  <c r="AB216" i="6"/>
  <c r="AB124" i="6"/>
  <c r="AB151" i="6"/>
  <c r="AB168" i="6"/>
  <c r="AR123" i="8"/>
  <c r="AS123" i="8" s="1"/>
  <c r="AE184" i="8"/>
  <c r="AF184" i="8" s="1"/>
  <c r="AH184" i="8" s="1"/>
  <c r="AB118" i="6"/>
  <c r="AB126" i="6"/>
  <c r="AB152" i="6"/>
  <c r="AB184" i="6"/>
  <c r="AB223" i="6"/>
  <c r="N276" i="7"/>
  <c r="M276" i="7"/>
  <c r="AR60" i="8"/>
  <c r="AS60" i="8" s="1"/>
  <c r="AU60" i="8" s="1"/>
  <c r="AR111" i="8"/>
  <c r="AS111" i="8" s="1"/>
  <c r="AU111" i="8" s="1"/>
  <c r="AX111" i="8" s="1"/>
  <c r="AE153" i="8"/>
  <c r="AF153" i="8" s="1"/>
  <c r="AB131" i="6"/>
  <c r="AB172" i="6"/>
  <c r="AB234" i="6"/>
  <c r="N273" i="7"/>
  <c r="AE3" i="8"/>
  <c r="AF3" i="8" s="1"/>
  <c r="W123" i="6"/>
  <c r="Y123" i="6" s="1"/>
  <c r="Q165" i="6"/>
  <c r="S165" i="6" s="1"/>
  <c r="AB165" i="6" s="1"/>
  <c r="AB173" i="6"/>
  <c r="AB200" i="6"/>
  <c r="X236" i="6"/>
  <c r="DQ236" i="6"/>
  <c r="V236" i="6"/>
  <c r="W236" i="6" s="1"/>
  <c r="Y236" i="6" s="1"/>
  <c r="T16" i="8"/>
  <c r="U16" i="8"/>
  <c r="AR27" i="8"/>
  <c r="AS27" i="8" s="1"/>
  <c r="AU27" i="8" s="1"/>
  <c r="R100" i="8"/>
  <c r="S100" i="8" s="1"/>
  <c r="AE101" i="8"/>
  <c r="AF101" i="8" s="1"/>
  <c r="AH101" i="8" s="1"/>
  <c r="U154" i="8"/>
  <c r="AV154" i="8"/>
  <c r="U204" i="8"/>
  <c r="AV204" i="8"/>
  <c r="AE208" i="8"/>
  <c r="AF208" i="8" s="1"/>
  <c r="AH208" i="8" s="1"/>
  <c r="AB224" i="6"/>
  <c r="AH75" i="8"/>
  <c r="AE86" i="8"/>
  <c r="AF86" i="8" s="1"/>
  <c r="AH86" i="8" s="1"/>
  <c r="AR146" i="8"/>
  <c r="AS146" i="8" s="1"/>
  <c r="AU146" i="8" s="1"/>
  <c r="AB233" i="6"/>
  <c r="AB248" i="6"/>
  <c r="S19" i="8"/>
  <c r="AE99" i="8"/>
  <c r="AF99" i="8" s="1"/>
  <c r="AF116" i="8"/>
  <c r="AH116" i="8" s="1"/>
  <c r="AR200" i="8"/>
  <c r="AT200" i="8" s="1"/>
  <c r="AB212" i="6"/>
  <c r="AB247" i="6"/>
  <c r="DL254" i="6"/>
  <c r="AE14" i="8"/>
  <c r="AF14" i="8" s="1"/>
  <c r="R143" i="8"/>
  <c r="S143" i="8" s="1"/>
  <c r="R188" i="6"/>
  <c r="Q188" i="6"/>
  <c r="S188" i="6" s="1"/>
  <c r="DL188" i="6"/>
  <c r="P228" i="6"/>
  <c r="Q228" i="6" s="1"/>
  <c r="S228" i="6" s="1"/>
  <c r="DO228" i="6"/>
  <c r="AF114" i="8"/>
  <c r="AH114" i="8" s="1"/>
  <c r="R136" i="8"/>
  <c r="S136" i="8" s="1"/>
  <c r="DO165" i="6"/>
  <c r="DM188" i="6"/>
  <c r="AB229" i="6"/>
  <c r="L236" i="6"/>
  <c r="J236" i="6"/>
  <c r="K236" i="6" s="1"/>
  <c r="M236" i="6" s="1"/>
  <c r="AR4" i="8"/>
  <c r="AS4" i="8" s="1"/>
  <c r="AU4" i="8" s="1"/>
  <c r="R6" i="8"/>
  <c r="S6" i="8" s="1"/>
  <c r="AE102" i="8"/>
  <c r="AF102" i="8" s="1"/>
  <c r="AH102" i="8" s="1"/>
  <c r="AE108" i="8"/>
  <c r="AF108" i="8" s="1"/>
  <c r="S120" i="8"/>
  <c r="U241" i="8"/>
  <c r="AB226" i="6"/>
  <c r="DL236" i="6"/>
  <c r="AB237" i="6"/>
  <c r="AB239" i="6"/>
  <c r="AR73" i="8"/>
  <c r="AS73" i="8" s="1"/>
  <c r="R95" i="8"/>
  <c r="S95" i="8" s="1"/>
  <c r="AB213" i="6"/>
  <c r="L228" i="6"/>
  <c r="J228" i="6"/>
  <c r="K228" i="6" s="1"/>
  <c r="M228" i="6" s="1"/>
  <c r="DM236" i="6"/>
  <c r="AB238" i="6"/>
  <c r="AB252" i="6"/>
  <c r="AF91" i="8"/>
  <c r="AH91" i="8" s="1"/>
  <c r="U99" i="8"/>
  <c r="S129" i="8"/>
  <c r="S237" i="8"/>
  <c r="AB232" i="6"/>
  <c r="R94" i="8"/>
  <c r="S94" i="8" s="1"/>
  <c r="R211" i="8"/>
  <c r="S211" i="8" s="1"/>
  <c r="AB217" i="6"/>
  <c r="AB231" i="6"/>
  <c r="N271" i="7"/>
  <c r="M271" i="7"/>
  <c r="J272" i="6"/>
  <c r="AS51" i="8"/>
  <c r="AU51" i="8" s="1"/>
  <c r="R60" i="8"/>
  <c r="S60" i="8" s="1"/>
  <c r="AF74" i="8"/>
  <c r="AH74" i="8" s="1"/>
  <c r="R86" i="8"/>
  <c r="S86" i="8" s="1"/>
  <c r="AE88" i="8"/>
  <c r="AF88" i="8" s="1"/>
  <c r="S102" i="8"/>
  <c r="AR124" i="8"/>
  <c r="AS124" i="8" s="1"/>
  <c r="AU124" i="8" s="1"/>
  <c r="R128" i="8"/>
  <c r="S128" i="8" s="1"/>
  <c r="AR139" i="8"/>
  <c r="AS139" i="8" s="1"/>
  <c r="AE147" i="8"/>
  <c r="AF147" i="8" s="1"/>
  <c r="U189" i="8"/>
  <c r="AR191" i="8"/>
  <c r="AS191" i="8" s="1"/>
  <c r="AU191" i="8" s="1"/>
  <c r="X228" i="6"/>
  <c r="DQ228" i="6"/>
  <c r="V228" i="6"/>
  <c r="W228" i="6" s="1"/>
  <c r="Y228" i="6" s="1"/>
  <c r="AS3" i="8"/>
  <c r="AU3" i="8" s="1"/>
  <c r="U97" i="8"/>
  <c r="R101" i="8"/>
  <c r="S101" i="8" s="1"/>
  <c r="AH139" i="8"/>
  <c r="U242" i="8"/>
  <c r="AV242" i="8"/>
  <c r="AB249" i="6"/>
  <c r="Q254" i="6"/>
  <c r="S254" i="6" s="1"/>
  <c r="DN255" i="6"/>
  <c r="AF19" i="8"/>
  <c r="AH19" i="8" s="1"/>
  <c r="AS54" i="8"/>
  <c r="AU54" i="8" s="1"/>
  <c r="AF96" i="8"/>
  <c r="AH96" i="8" s="1"/>
  <c r="AF134" i="8"/>
  <c r="AH134" i="8" s="1"/>
  <c r="AX134" i="8" s="1"/>
  <c r="S170" i="8"/>
  <c r="AR172" i="8"/>
  <c r="AS172" i="8" s="1"/>
  <c r="AU172" i="8" s="1"/>
  <c r="U179" i="8"/>
  <c r="S180" i="8"/>
  <c r="AB214" i="6"/>
  <c r="AB225" i="6"/>
  <c r="AB250" i="6"/>
  <c r="N275" i="7"/>
  <c r="M275" i="7"/>
  <c r="AR17" i="8"/>
  <c r="R116" i="8"/>
  <c r="S116" i="8" s="1"/>
  <c r="R119" i="8"/>
  <c r="S119" i="8" s="1"/>
  <c r="R185" i="8"/>
  <c r="S185" i="8" s="1"/>
  <c r="R4" i="8"/>
  <c r="S4" i="8" s="1"/>
  <c r="R88" i="8"/>
  <c r="S88" i="8" s="1"/>
  <c r="R90" i="8"/>
  <c r="S90" i="8" s="1"/>
  <c r="AE94" i="8"/>
  <c r="AF94" i="8" s="1"/>
  <c r="AH94" i="8" s="1"/>
  <c r="AE100" i="8"/>
  <c r="AF100" i="8" s="1"/>
  <c r="AH100" i="8" s="1"/>
  <c r="R149" i="8"/>
  <c r="S149" i="8" s="1"/>
  <c r="AE174" i="8"/>
  <c r="AF174" i="8" s="1"/>
  <c r="AH174" i="8" s="1"/>
  <c r="U225" i="8"/>
  <c r="AV225" i="8"/>
  <c r="AE5" i="8"/>
  <c r="AF5" i="8" s="1"/>
  <c r="S9" i="8"/>
  <c r="AF11" i="8"/>
  <c r="AH11" i="8" s="1"/>
  <c r="S16" i="8"/>
  <c r="R59" i="8"/>
  <c r="S59" i="8" s="1"/>
  <c r="AE65" i="8"/>
  <c r="AF65" i="8" s="1"/>
  <c r="AS115" i="8"/>
  <c r="AU115" i="8" s="1"/>
  <c r="AS116" i="8"/>
  <c r="AU116" i="8" s="1"/>
  <c r="AF203" i="8"/>
  <c r="AH203" i="8" s="1"/>
  <c r="N272" i="7"/>
  <c r="M272" i="7"/>
  <c r="R91" i="8"/>
  <c r="S91" i="8" s="1"/>
  <c r="AR137" i="8"/>
  <c r="AS137" i="8" s="1"/>
  <c r="AU137" i="8" s="1"/>
  <c r="R231" i="8"/>
  <c r="S231" i="8" s="1"/>
  <c r="AE233" i="8"/>
  <c r="AF233" i="8" s="1"/>
  <c r="AH233" i="8" s="1"/>
  <c r="AE6" i="8"/>
  <c r="AF6" i="8" s="1"/>
  <c r="AH6" i="8" s="1"/>
  <c r="AR19" i="8"/>
  <c r="AS19" i="8" s="1"/>
  <c r="AU19" i="8" s="1"/>
  <c r="R27" i="8"/>
  <c r="S27" i="8" s="1"/>
  <c r="AR46" i="8"/>
  <c r="AS46" i="8" s="1"/>
  <c r="AE51" i="8"/>
  <c r="AF51" i="8" s="1"/>
  <c r="R54" i="8"/>
  <c r="S54" i="8" s="1"/>
  <c r="AR55" i="8"/>
  <c r="AS55" i="8" s="1"/>
  <c r="AU55" i="8" s="1"/>
  <c r="AE56" i="8"/>
  <c r="AF56" i="8" s="1"/>
  <c r="AH56" i="8" s="1"/>
  <c r="AE66" i="8"/>
  <c r="AF66" i="8" s="1"/>
  <c r="AH66" i="8" s="1"/>
  <c r="AE67" i="8"/>
  <c r="AF67" i="8" s="1"/>
  <c r="AH67" i="8" s="1"/>
  <c r="AW67" i="8" s="1"/>
  <c r="R74" i="8"/>
  <c r="S74" i="8" s="1"/>
  <c r="R92" i="8"/>
  <c r="S92" i="8" s="1"/>
  <c r="S109" i="8"/>
  <c r="R111" i="8"/>
  <c r="S111" i="8" s="1"/>
  <c r="R114" i="8"/>
  <c r="S114" i="8" s="1"/>
  <c r="AE120" i="8"/>
  <c r="AF120" i="8" s="1"/>
  <c r="AH120" i="8" s="1"/>
  <c r="AE123" i="8"/>
  <c r="AF123" i="8" s="1"/>
  <c r="AH123" i="8" s="1"/>
  <c r="AF124" i="8"/>
  <c r="AH124" i="8" s="1"/>
  <c r="AE127" i="8"/>
  <c r="AF127" i="8" s="1"/>
  <c r="AR141" i="8"/>
  <c r="AS141" i="8" s="1"/>
  <c r="AU141" i="8" s="1"/>
  <c r="AR151" i="8"/>
  <c r="AS151" i="8" s="1"/>
  <c r="AU151" i="8" s="1"/>
  <c r="R158" i="8"/>
  <c r="S158" i="8" s="1"/>
  <c r="U188" i="8"/>
  <c r="S7" i="8"/>
  <c r="S76" i="8"/>
  <c r="AE98" i="8"/>
  <c r="AF98" i="8" s="1"/>
  <c r="AS118" i="8"/>
  <c r="AS149" i="8"/>
  <c r="AU149" i="8" s="1"/>
  <c r="AH150" i="8"/>
  <c r="R177" i="8"/>
  <c r="S177" i="8" s="1"/>
  <c r="R230" i="8"/>
  <c r="S230" i="8" s="1"/>
  <c r="AF97" i="8"/>
  <c r="AH97" i="8" s="1"/>
  <c r="S103" i="8"/>
  <c r="AS104" i="8"/>
  <c r="AU104" i="8" s="1"/>
  <c r="AS226" i="8"/>
  <c r="AU226" i="8" s="1"/>
  <c r="AR109" i="8"/>
  <c r="AS109" i="8" s="1"/>
  <c r="AU109" i="8" s="1"/>
  <c r="AS160" i="8"/>
  <c r="AU160" i="8" s="1"/>
  <c r="R167" i="8"/>
  <c r="S167" i="8" s="1"/>
  <c r="AG168" i="8"/>
  <c r="AE168" i="8"/>
  <c r="AF168" i="8" s="1"/>
  <c r="AH168" i="8" s="1"/>
  <c r="AE183" i="8"/>
  <c r="AF183" i="8" s="1"/>
  <c r="AH183" i="8" s="1"/>
  <c r="U192" i="8"/>
  <c r="AH194" i="8"/>
  <c r="R243" i="8"/>
  <c r="S243" i="8" s="1"/>
  <c r="U124" i="8"/>
  <c r="AR127" i="8"/>
  <c r="AS127" i="8" s="1"/>
  <c r="AU127" i="8" s="1"/>
  <c r="R141" i="8"/>
  <c r="S141" i="8" s="1"/>
  <c r="AE144" i="8"/>
  <c r="AF144" i="8" s="1"/>
  <c r="AH144" i="8" s="1"/>
  <c r="R148" i="8"/>
  <c r="S148" i="8" s="1"/>
  <c r="AR194" i="8"/>
  <c r="AS194" i="8" s="1"/>
  <c r="R244" i="8"/>
  <c r="S244" i="8" s="1"/>
  <c r="R93" i="8"/>
  <c r="S93" i="8" s="1"/>
  <c r="S96" i="8"/>
  <c r="AF103" i="8"/>
  <c r="AH103" i="8" s="1"/>
  <c r="S104" i="8"/>
  <c r="AF115" i="8"/>
  <c r="AH115" i="8" s="1"/>
  <c r="AR117" i="8"/>
  <c r="AS117" i="8" s="1"/>
  <c r="S125" i="8"/>
  <c r="AE137" i="8"/>
  <c r="AF137" i="8" s="1"/>
  <c r="AH137" i="8" s="1"/>
  <c r="AF145" i="8"/>
  <c r="AF146" i="8"/>
  <c r="AH146" i="8" s="1"/>
  <c r="U196" i="8"/>
  <c r="AR201" i="8"/>
  <c r="U212" i="8"/>
  <c r="AE172" i="8"/>
  <c r="AF172" i="8" s="1"/>
  <c r="AH172" i="8" s="1"/>
  <c r="AR112" i="8"/>
  <c r="AS112" i="8" s="1"/>
  <c r="AU112" i="8" s="1"/>
  <c r="AF126" i="8"/>
  <c r="AH126" i="8" s="1"/>
  <c r="AS128" i="8"/>
  <c r="AU128" i="8" s="1"/>
  <c r="AF136" i="8"/>
  <c r="AH136" i="8" s="1"/>
  <c r="AE140" i="8"/>
  <c r="AE143" i="8"/>
  <c r="AF143" i="8" s="1"/>
  <c r="AE149" i="8"/>
  <c r="AF149" i="8" s="1"/>
  <c r="AH149" i="8" s="1"/>
  <c r="R151" i="8"/>
  <c r="S151" i="8" s="1"/>
  <c r="R160" i="8"/>
  <c r="S160" i="8" s="1"/>
  <c r="AG167" i="8"/>
  <c r="AE167" i="8"/>
  <c r="AF167" i="8" s="1"/>
  <c r="AH167" i="8" s="1"/>
  <c r="R206" i="8"/>
  <c r="S206" i="8" s="1"/>
  <c r="AF241" i="8"/>
  <c r="AE244" i="8"/>
  <c r="AF244" i="8" s="1"/>
  <c r="AH244" i="8" s="1"/>
  <c r="AF247" i="8"/>
  <c r="AH247" i="8" s="1"/>
  <c r="AE152" i="8"/>
  <c r="AF152" i="8" s="1"/>
  <c r="AH152" i="8" s="1"/>
  <c r="R146" i="8"/>
  <c r="S146" i="8" s="1"/>
  <c r="AF163" i="8"/>
  <c r="AH163" i="8" s="1"/>
  <c r="AR176" i="8"/>
  <c r="AS176" i="8" s="1"/>
  <c r="AR178" i="8"/>
  <c r="AS178" i="8" s="1"/>
  <c r="AU178" i="8" s="1"/>
  <c r="S205" i="8"/>
  <c r="AF218" i="8"/>
  <c r="AH218" i="8" s="1"/>
  <c r="AR233" i="8"/>
  <c r="AS233" i="8" s="1"/>
  <c r="AU233" i="8" s="1"/>
  <c r="AF129" i="8"/>
  <c r="AH129" i="8" s="1"/>
  <c r="S156" i="8"/>
  <c r="AR157" i="8"/>
  <c r="AS157" i="8" s="1"/>
  <c r="AR161" i="8"/>
  <c r="AS161" i="8" s="1"/>
  <c r="AR195" i="8"/>
  <c r="AS195" i="8" s="1"/>
  <c r="AU195" i="8" s="1"/>
  <c r="AH199" i="8"/>
  <c r="AF199" i="8"/>
  <c r="AR203" i="8"/>
  <c r="AS203" i="8" s="1"/>
  <c r="AU203" i="8" s="1"/>
  <c r="R238" i="8"/>
  <c r="S238" i="8" s="1"/>
  <c r="AR147" i="8"/>
  <c r="AS147" i="8" s="1"/>
  <c r="AU147" i="8" s="1"/>
  <c r="AR150" i="8"/>
  <c r="AS150" i="8" s="1"/>
  <c r="AR153" i="8"/>
  <c r="AS153" i="8" s="1"/>
  <c r="AU153" i="8" s="1"/>
  <c r="AR166" i="8"/>
  <c r="AS166" i="8" s="1"/>
  <c r="R191" i="8"/>
  <c r="S191" i="8" s="1"/>
  <c r="AF156" i="8"/>
  <c r="AH156" i="8" s="1"/>
  <c r="AE160" i="8"/>
  <c r="AF160" i="8" s="1"/>
  <c r="AH160" i="8" s="1"/>
  <c r="U171" i="8"/>
  <c r="AR175" i="8"/>
  <c r="AS175" i="8" s="1"/>
  <c r="AU175" i="8" s="1"/>
  <c r="AE177" i="8"/>
  <c r="AF177" i="8" s="1"/>
  <c r="AH177" i="8" s="1"/>
  <c r="AR196" i="8"/>
  <c r="AS196" i="8" s="1"/>
  <c r="AE202" i="8"/>
  <c r="AF202" i="8" s="1"/>
  <c r="AH202" i="8" s="1"/>
  <c r="S240" i="8"/>
  <c r="R247" i="8"/>
  <c r="S247" i="8" s="1"/>
  <c r="AT163" i="8"/>
  <c r="R173" i="8"/>
  <c r="S173" i="8" s="1"/>
  <c r="AR181" i="8"/>
  <c r="AS181" i="8" s="1"/>
  <c r="AU181" i="8" s="1"/>
  <c r="R183" i="8"/>
  <c r="S183" i="8" s="1"/>
  <c r="AE195" i="8"/>
  <c r="AF195" i="8" s="1"/>
  <c r="AH195" i="8" s="1"/>
  <c r="AR199" i="8"/>
  <c r="AS199" i="8" s="1"/>
  <c r="R207" i="8"/>
  <c r="S207" i="8" s="1"/>
  <c r="AR244" i="8"/>
  <c r="AS244" i="8" s="1"/>
  <c r="AU244" i="8" s="1"/>
  <c r="R246" i="8"/>
  <c r="S246" i="8" s="1"/>
  <c r="AR163" i="8"/>
  <c r="AS163" i="8" s="1"/>
  <c r="AU163" i="8" s="1"/>
  <c r="AR168" i="8"/>
  <c r="AS168" i="8" s="1"/>
  <c r="AU168" i="8" s="1"/>
  <c r="AR190" i="8"/>
  <c r="AS190" i="8" s="1"/>
  <c r="AU190" i="8" s="1"/>
  <c r="AS184" i="8"/>
  <c r="AU184" i="8" s="1"/>
  <c r="AF205" i="8"/>
  <c r="AH205" i="8" s="1"/>
  <c r="AR239" i="8"/>
  <c r="AS239" i="8" s="1"/>
  <c r="AU239" i="8" s="1"/>
  <c r="R163" i="8"/>
  <c r="S163" i="8" s="1"/>
  <c r="R168" i="8"/>
  <c r="S168" i="8" s="1"/>
  <c r="R172" i="8"/>
  <c r="S172" i="8" s="1"/>
  <c r="R175" i="8"/>
  <c r="S175" i="8" s="1"/>
  <c r="R178" i="8"/>
  <c r="S178" i="8" s="1"/>
  <c r="R181" i="8"/>
  <c r="S181" i="8" s="1"/>
  <c r="R184" i="8"/>
  <c r="S184" i="8" s="1"/>
  <c r="R190" i="8"/>
  <c r="S190" i="8" s="1"/>
  <c r="R233" i="8"/>
  <c r="S233" i="8" s="1"/>
  <c r="R239" i="8"/>
  <c r="S239" i="8" s="1"/>
  <c r="AE245" i="8"/>
  <c r="AF245" i="8" s="1"/>
  <c r="DM256" i="6" l="1"/>
  <c r="DQ98" i="6"/>
  <c r="DM38" i="6"/>
  <c r="DQ94" i="6"/>
  <c r="J38" i="6"/>
  <c r="K38" i="6" s="1"/>
  <c r="M38" i="6" s="1"/>
  <c r="DM19" i="6"/>
  <c r="AX224" i="8"/>
  <c r="L19" i="6"/>
  <c r="DF96" i="9"/>
  <c r="DO96" i="9" s="1"/>
  <c r="DF96" i="6"/>
  <c r="DO96" i="6" s="1"/>
  <c r="AH222" i="8"/>
  <c r="AW222" i="8" s="1"/>
  <c r="DF43" i="6"/>
  <c r="DO43" i="6" s="1"/>
  <c r="DF16" i="6"/>
  <c r="DO16" i="6" s="1"/>
  <c r="DF93" i="9"/>
  <c r="DO93" i="9" s="1"/>
  <c r="DF93" i="6"/>
  <c r="DO93" i="6" s="1"/>
  <c r="DF254" i="6"/>
  <c r="DO254" i="6" s="1"/>
  <c r="DF49" i="6"/>
  <c r="DO49" i="6" s="1"/>
  <c r="DF45" i="6"/>
  <c r="DO45" i="6" s="1"/>
  <c r="V98" i="6"/>
  <c r="W98" i="6" s="1"/>
  <c r="Y98" i="6" s="1"/>
  <c r="AB98" i="6" s="1"/>
  <c r="DF104" i="6"/>
  <c r="DO104" i="6" s="1"/>
  <c r="DF42" i="6"/>
  <c r="DO42" i="6" s="1"/>
  <c r="DF20" i="6"/>
  <c r="DO20" i="6" s="1"/>
  <c r="DQ49" i="6"/>
  <c r="DF44" i="6"/>
  <c r="DO44" i="6" s="1"/>
  <c r="DF17" i="6"/>
  <c r="DO17" i="6" s="1"/>
  <c r="L256" i="6"/>
  <c r="J24" i="6"/>
  <c r="K24" i="6" s="1"/>
  <c r="M24" i="6" s="1"/>
  <c r="V94" i="6"/>
  <c r="W94" i="6" s="1"/>
  <c r="Y94" i="6" s="1"/>
  <c r="AB94" i="6" s="1"/>
  <c r="P93" i="6"/>
  <c r="Q93" i="6" s="1"/>
  <c r="S93" i="6" s="1"/>
  <c r="L24" i="6"/>
  <c r="DM24" i="9"/>
  <c r="DM49" i="9"/>
  <c r="J105" i="6"/>
  <c r="K105" i="6" s="1"/>
  <c r="M105" i="6" s="1"/>
  <c r="AV224" i="8"/>
  <c r="DM105" i="6"/>
  <c r="DQ261" i="9"/>
  <c r="DQ42" i="6"/>
  <c r="U162" i="8"/>
  <c r="AV162" i="8"/>
  <c r="DM96" i="9"/>
  <c r="DQ255" i="6"/>
  <c r="DQ19" i="9"/>
  <c r="AH18" i="8"/>
  <c r="DM262" i="9"/>
  <c r="DM17" i="9"/>
  <c r="DQ96" i="6"/>
  <c r="DQ96" i="9"/>
  <c r="AV221" i="8"/>
  <c r="AX221" i="8"/>
  <c r="DM104" i="6"/>
  <c r="AT18" i="8"/>
  <c r="DQ45" i="9"/>
  <c r="DQ106" i="9"/>
  <c r="DM38" i="9"/>
  <c r="DQ94" i="9"/>
  <c r="DQ12" i="9"/>
  <c r="AS18" i="8"/>
  <c r="P96" i="6"/>
  <c r="Q96" i="6" s="1"/>
  <c r="S96" i="6" s="1"/>
  <c r="R17" i="6"/>
  <c r="K43" i="6"/>
  <c r="M43" i="6" s="1"/>
  <c r="AB43" i="6" s="1"/>
  <c r="L43" i="6"/>
  <c r="U201" i="8"/>
  <c r="AX208" i="8"/>
  <c r="U15" i="8"/>
  <c r="DM96" i="6"/>
  <c r="DM16" i="9"/>
  <c r="X42" i="6"/>
  <c r="V42" i="6"/>
  <c r="W42" i="6" s="1"/>
  <c r="Y42" i="6" s="1"/>
  <c r="AG18" i="8"/>
  <c r="V104" i="6"/>
  <c r="W104" i="6" s="1"/>
  <c r="Y104" i="6" s="1"/>
  <c r="X104" i="6"/>
  <c r="DM43" i="6"/>
  <c r="AV20" i="8"/>
  <c r="R104" i="6"/>
  <c r="Q104" i="6"/>
  <c r="S104" i="6" s="1"/>
  <c r="L42" i="6"/>
  <c r="K42" i="6"/>
  <c r="M42" i="6" s="1"/>
  <c r="DQ17" i="9"/>
  <c r="R42" i="6"/>
  <c r="Q42" i="6"/>
  <c r="S42" i="6" s="1"/>
  <c r="AV229" i="8"/>
  <c r="DQ20" i="9"/>
  <c r="DM42" i="9"/>
  <c r="L104" i="6"/>
  <c r="K104" i="6"/>
  <c r="M104" i="6" s="1"/>
  <c r="DQ256" i="6"/>
  <c r="J96" i="6"/>
  <c r="K96" i="6" s="1"/>
  <c r="M96" i="6" s="1"/>
  <c r="DM49" i="6"/>
  <c r="DM93" i="6"/>
  <c r="AV187" i="8"/>
  <c r="AF15" i="8"/>
  <c r="L17" i="6"/>
  <c r="X12" i="6"/>
  <c r="DM20" i="9"/>
  <c r="AH15" i="8"/>
  <c r="DQ19" i="6"/>
  <c r="DM44" i="6"/>
  <c r="V24" i="6"/>
  <c r="W24" i="6" s="1"/>
  <c r="Y24" i="6" s="1"/>
  <c r="V255" i="6"/>
  <c r="W255" i="6" s="1"/>
  <c r="Y255" i="6" s="1"/>
  <c r="J44" i="6"/>
  <c r="K44" i="6" s="1"/>
  <c r="M44" i="6" s="1"/>
  <c r="S201" i="8"/>
  <c r="DM17" i="6"/>
  <c r="AV219" i="8"/>
  <c r="DM42" i="6"/>
  <c r="AW142" i="8"/>
  <c r="DQ12" i="6"/>
  <c r="W19" i="6"/>
  <c r="Y19" i="6" s="1"/>
  <c r="AB19" i="6" s="1"/>
  <c r="DM43" i="9"/>
  <c r="P45" i="9"/>
  <c r="Q45" i="9" s="1"/>
  <c r="S45" i="9" s="1"/>
  <c r="R45" i="9"/>
  <c r="J48" i="9"/>
  <c r="K48" i="9" s="1"/>
  <c r="M48" i="9" s="1"/>
  <c r="L48" i="9"/>
  <c r="DQ93" i="9"/>
  <c r="V93" i="9"/>
  <c r="W93" i="9" s="1"/>
  <c r="Y93" i="9" s="1"/>
  <c r="X93" i="9"/>
  <c r="DQ24" i="9"/>
  <c r="DM261" i="9"/>
  <c r="R48" i="9"/>
  <c r="P48" i="9"/>
  <c r="Q48" i="9" s="1"/>
  <c r="S48" i="9" s="1"/>
  <c r="P20" i="9"/>
  <c r="Q20" i="9" s="1"/>
  <c r="S20" i="9" s="1"/>
  <c r="R20" i="9"/>
  <c r="X98" i="9"/>
  <c r="V98" i="9"/>
  <c r="W98" i="9" s="1"/>
  <c r="Y98" i="9" s="1"/>
  <c r="R19" i="9"/>
  <c r="P19" i="9"/>
  <c r="Q19" i="9" s="1"/>
  <c r="S19" i="9" s="1"/>
  <c r="P48" i="6"/>
  <c r="Q48" i="6" s="1"/>
  <c r="R19" i="6"/>
  <c r="AV223" i="8"/>
  <c r="R261" i="9"/>
  <c r="P261" i="9"/>
  <c r="Q261" i="9" s="1"/>
  <c r="S261" i="9" s="1"/>
  <c r="P105" i="9"/>
  <c r="Q105" i="9" s="1"/>
  <c r="S105" i="9" s="1"/>
  <c r="R105" i="9"/>
  <c r="X260" i="9"/>
  <c r="V260" i="9"/>
  <c r="W260" i="9" s="1"/>
  <c r="Y260" i="9" s="1"/>
  <c r="L44" i="9"/>
  <c r="J44" i="9"/>
  <c r="K44" i="9" s="1"/>
  <c r="M44" i="9" s="1"/>
  <c r="AH109" i="8"/>
  <c r="DF42" i="9"/>
  <c r="DO42" i="9" s="1"/>
  <c r="DF105" i="9"/>
  <c r="DO105" i="9" s="1"/>
  <c r="DF20" i="9"/>
  <c r="DO20" i="9" s="1"/>
  <c r="X49" i="9"/>
  <c r="V49" i="9"/>
  <c r="W49" i="9"/>
  <c r="Y49" i="9" s="1"/>
  <c r="X38" i="9"/>
  <c r="V38" i="9"/>
  <c r="W38" i="9" s="1"/>
  <c r="Y38" i="9" s="1"/>
  <c r="AV222" i="8"/>
  <c r="AV75" i="8"/>
  <c r="AV58" i="8"/>
  <c r="V96" i="6"/>
  <c r="W96" i="6" s="1"/>
  <c r="Y96" i="6" s="1"/>
  <c r="DM20" i="6"/>
  <c r="L19" i="9"/>
  <c r="J19" i="9"/>
  <c r="K19" i="9" s="1"/>
  <c r="M19" i="9" s="1"/>
  <c r="X45" i="9"/>
  <c r="V45" i="9"/>
  <c r="W45" i="9" s="1"/>
  <c r="Y45" i="9" s="1"/>
  <c r="L262" i="9"/>
  <c r="J262" i="9"/>
  <c r="K262" i="9" s="1"/>
  <c r="M262" i="9" s="1"/>
  <c r="DM106" i="9"/>
  <c r="AV226" i="8"/>
  <c r="DQ24" i="6"/>
  <c r="X96" i="6"/>
  <c r="P24" i="6"/>
  <c r="Q24" i="6" s="1"/>
  <c r="S24" i="6" s="1"/>
  <c r="AV10" i="8"/>
  <c r="DM45" i="6"/>
  <c r="DM19" i="9"/>
  <c r="X19" i="9"/>
  <c r="V19" i="9"/>
  <c r="W19" i="9" s="1"/>
  <c r="Y19" i="9" s="1"/>
  <c r="DQ49" i="9"/>
  <c r="V12" i="9"/>
  <c r="W12" i="9" s="1"/>
  <c r="Y12" i="9" s="1"/>
  <c r="X12" i="9"/>
  <c r="DM12" i="9"/>
  <c r="DM44" i="9"/>
  <c r="V24" i="9"/>
  <c r="W24" i="9" s="1"/>
  <c r="Y24" i="9" s="1"/>
  <c r="X24" i="9"/>
  <c r="J261" i="9"/>
  <c r="K261" i="9" s="1"/>
  <c r="M261" i="9" s="1"/>
  <c r="L261" i="9"/>
  <c r="P43" i="9"/>
  <c r="Q43" i="9" s="1"/>
  <c r="S43" i="9" s="1"/>
  <c r="R43" i="9"/>
  <c r="R106" i="9"/>
  <c r="P106" i="9"/>
  <c r="Q106" i="9" s="1"/>
  <c r="S106" i="9" s="1"/>
  <c r="R38" i="9"/>
  <c r="P38" i="9"/>
  <c r="Q38" i="9" s="1"/>
  <c r="S38" i="9" s="1"/>
  <c r="J93" i="6"/>
  <c r="K93" i="6" s="1"/>
  <c r="M93" i="6" s="1"/>
  <c r="X94" i="9"/>
  <c r="V94" i="9"/>
  <c r="W94" i="9" s="1"/>
  <c r="Y94" i="9" s="1"/>
  <c r="AB94" i="9" s="1"/>
  <c r="J43" i="9"/>
  <c r="K43" i="9" s="1"/>
  <c r="M43" i="9" s="1"/>
  <c r="L43" i="9"/>
  <c r="R98" i="9"/>
  <c r="P98" i="9"/>
  <c r="Q98" i="9" s="1"/>
  <c r="S98" i="9" s="1"/>
  <c r="L106" i="9"/>
  <c r="J106" i="9"/>
  <c r="K106" i="9" s="1"/>
  <c r="M106" i="9" s="1"/>
  <c r="AV179" i="8"/>
  <c r="AW75" i="8"/>
  <c r="AH20" i="8"/>
  <c r="AW20" i="8" s="1"/>
  <c r="DF98" i="9"/>
  <c r="DO98" i="9" s="1"/>
  <c r="L12" i="9"/>
  <c r="J12" i="9"/>
  <c r="K12" i="9" s="1"/>
  <c r="DF44" i="9"/>
  <c r="DO44" i="9" s="1"/>
  <c r="DF17" i="9"/>
  <c r="DO17" i="9" s="1"/>
  <c r="AW227" i="8"/>
  <c r="X106" i="9"/>
  <c r="V106" i="9"/>
  <c r="W106" i="9" s="1"/>
  <c r="Y106" i="9" s="1"/>
  <c r="L17" i="9"/>
  <c r="J17" i="9"/>
  <c r="K17" i="9" s="1"/>
  <c r="P49" i="6"/>
  <c r="Q49" i="6" s="1"/>
  <c r="S49" i="6" s="1"/>
  <c r="L20" i="6"/>
  <c r="DM93" i="9"/>
  <c r="L93" i="9"/>
  <c r="J93" i="9"/>
  <c r="K93" i="9" s="1"/>
  <c r="M93" i="9" s="1"/>
  <c r="DQ260" i="9"/>
  <c r="DQ105" i="9"/>
  <c r="L20" i="9"/>
  <c r="J20" i="9"/>
  <c r="K20" i="9" s="1"/>
  <c r="M20" i="9" s="1"/>
  <c r="DQ38" i="9"/>
  <c r="L38" i="9"/>
  <c r="J38" i="9"/>
  <c r="K38" i="9" s="1"/>
  <c r="M38" i="9" s="1"/>
  <c r="DM48" i="9"/>
  <c r="P16" i="9"/>
  <c r="Q16" i="9" s="1"/>
  <c r="S16" i="9" s="1"/>
  <c r="R16" i="9"/>
  <c r="L49" i="9"/>
  <c r="J49" i="9"/>
  <c r="K49" i="9" s="1"/>
  <c r="M49" i="9" s="1"/>
  <c r="P12" i="9"/>
  <c r="Q12" i="9" s="1"/>
  <c r="S12" i="9" s="1"/>
  <c r="R12" i="9"/>
  <c r="DF43" i="9"/>
  <c r="DO43" i="9" s="1"/>
  <c r="DF16" i="9"/>
  <c r="DO16" i="9" s="1"/>
  <c r="J45" i="9"/>
  <c r="K45" i="9" s="1"/>
  <c r="M45" i="9" s="1"/>
  <c r="L45" i="9"/>
  <c r="R96" i="9"/>
  <c r="P96" i="9"/>
  <c r="Q96" i="9" s="1"/>
  <c r="S96" i="9" s="1"/>
  <c r="DM45" i="9"/>
  <c r="L96" i="9"/>
  <c r="J96" i="9"/>
  <c r="K96" i="9" s="1"/>
  <c r="M96" i="9" s="1"/>
  <c r="R42" i="9"/>
  <c r="P42" i="9"/>
  <c r="Q42" i="9" s="1"/>
  <c r="S42" i="9" s="1"/>
  <c r="L16" i="9"/>
  <c r="J16" i="9"/>
  <c r="K16" i="9" s="1"/>
  <c r="M16" i="9" s="1"/>
  <c r="DQ98" i="9"/>
  <c r="AH10" i="8"/>
  <c r="DF19" i="9"/>
  <c r="DO19" i="9" s="1"/>
  <c r="DO19" i="6"/>
  <c r="DF45" i="9"/>
  <c r="DO45" i="9" s="1"/>
  <c r="DF260" i="9"/>
  <c r="DO260" i="9" s="1"/>
  <c r="DF49" i="9"/>
  <c r="DO49" i="9" s="1"/>
  <c r="V262" i="9"/>
  <c r="W262" i="9" s="1"/>
  <c r="Y262" i="9" s="1"/>
  <c r="X262" i="9"/>
  <c r="R17" i="9"/>
  <c r="P17" i="9"/>
  <c r="Q17" i="9" s="1"/>
  <c r="S17" i="9" s="1"/>
  <c r="X42" i="9"/>
  <c r="V42" i="9"/>
  <c r="W42" i="9" s="1"/>
  <c r="Y42" i="9" s="1"/>
  <c r="J105" i="9"/>
  <c r="K105" i="9" s="1"/>
  <c r="M105" i="9" s="1"/>
  <c r="L105" i="9"/>
  <c r="P24" i="9"/>
  <c r="Q24" i="9" s="1"/>
  <c r="S24" i="9" s="1"/>
  <c r="R24" i="9"/>
  <c r="AV227" i="8"/>
  <c r="P12" i="6"/>
  <c r="Q12" i="6" s="1"/>
  <c r="S12" i="6" s="1"/>
  <c r="X256" i="6"/>
  <c r="DQ262" i="9"/>
  <c r="R44" i="9"/>
  <c r="P44" i="9"/>
  <c r="Q44" i="9" s="1"/>
  <c r="S44" i="9" s="1"/>
  <c r="DQ42" i="9"/>
  <c r="V17" i="9"/>
  <c r="W17" i="9" s="1"/>
  <c r="Y17" i="9" s="1"/>
  <c r="X17" i="9"/>
  <c r="AH89" i="8"/>
  <c r="DF24" i="9"/>
  <c r="DO24" i="9" s="1"/>
  <c r="DO24" i="6"/>
  <c r="AW221" i="8"/>
  <c r="AV111" i="8"/>
  <c r="AH228" i="8"/>
  <c r="AW228" i="8" s="1"/>
  <c r="DF48" i="9"/>
  <c r="DO48" i="9" s="1"/>
  <c r="V105" i="9"/>
  <c r="W105" i="9" s="1"/>
  <c r="Y105" i="9" s="1"/>
  <c r="X105" i="9"/>
  <c r="DM105" i="9"/>
  <c r="X44" i="9"/>
  <c r="V44" i="9"/>
  <c r="W44" i="9" s="1"/>
  <c r="Y44" i="9" s="1"/>
  <c r="X96" i="9"/>
  <c r="V96" i="9"/>
  <c r="W96" i="9" s="1"/>
  <c r="Y96" i="9" s="1"/>
  <c r="AU200" i="8"/>
  <c r="DO256" i="6"/>
  <c r="DF262" i="9"/>
  <c r="DO262" i="9" s="1"/>
  <c r="DO98" i="6"/>
  <c r="L24" i="9"/>
  <c r="J24" i="9"/>
  <c r="K24" i="9" s="1"/>
  <c r="M24" i="9" s="1"/>
  <c r="V20" i="9"/>
  <c r="W20" i="9" s="1"/>
  <c r="Y20" i="9" s="1"/>
  <c r="X20" i="9"/>
  <c r="L42" i="9"/>
  <c r="J42" i="9"/>
  <c r="K42" i="9" s="1"/>
  <c r="M42" i="9" s="1"/>
  <c r="P49" i="9"/>
  <c r="Q49" i="9" s="1"/>
  <c r="S49" i="9" s="1"/>
  <c r="R49" i="9"/>
  <c r="DQ44" i="9"/>
  <c r="V261" i="9"/>
  <c r="W261" i="9" s="1"/>
  <c r="Y261" i="9" s="1"/>
  <c r="X261" i="9"/>
  <c r="X49" i="6"/>
  <c r="V49" i="6"/>
  <c r="W49" i="6" s="1"/>
  <c r="Y49" i="6" s="1"/>
  <c r="DQ105" i="6"/>
  <c r="DQ104" i="6"/>
  <c r="DM16" i="6"/>
  <c r="DQ45" i="6"/>
  <c r="J49" i="6"/>
  <c r="K49" i="6" s="1"/>
  <c r="M49" i="6" s="1"/>
  <c r="P45" i="6"/>
  <c r="Q45" i="6" s="1"/>
  <c r="S45" i="6" s="1"/>
  <c r="AB45" i="6" s="1"/>
  <c r="P256" i="6"/>
  <c r="Q256" i="6" s="1"/>
  <c r="S256" i="6" s="1"/>
  <c r="AB256" i="6" s="1"/>
  <c r="P44" i="6"/>
  <c r="Q44" i="6" s="1"/>
  <c r="S44" i="6" s="1"/>
  <c r="J12" i="6"/>
  <c r="K12" i="6" s="1"/>
  <c r="M12" i="6" s="1"/>
  <c r="DQ38" i="6"/>
  <c r="X45" i="6"/>
  <c r="DM12" i="6"/>
  <c r="R20" i="6"/>
  <c r="V105" i="6"/>
  <c r="W105" i="6" s="1"/>
  <c r="Y105" i="6" s="1"/>
  <c r="X20" i="6"/>
  <c r="Q20" i="6"/>
  <c r="S20" i="6" s="1"/>
  <c r="AB20" i="6" s="1"/>
  <c r="R16" i="6"/>
  <c r="DQ44" i="6"/>
  <c r="DQ20" i="6"/>
  <c r="X44" i="6"/>
  <c r="DQ17" i="6"/>
  <c r="L16" i="6"/>
  <c r="DQ254" i="6"/>
  <c r="Z18" i="9"/>
  <c r="AA18" i="9" s="1"/>
  <c r="AC18" i="9" s="1"/>
  <c r="DR18" i="9" s="1"/>
  <c r="A19" i="9"/>
  <c r="AH69" i="8"/>
  <c r="AW69" i="8" s="1"/>
  <c r="AV69" i="8"/>
  <c r="AH83" i="8"/>
  <c r="AX83" i="8" s="1"/>
  <c r="AV83" i="8"/>
  <c r="R98" i="6"/>
  <c r="AX227" i="8"/>
  <c r="AV134" i="8"/>
  <c r="P105" i="6"/>
  <c r="Q105" i="6" s="1"/>
  <c r="S105" i="6" s="1"/>
  <c r="AV220" i="8"/>
  <c r="AV142" i="8"/>
  <c r="W254" i="6"/>
  <c r="Y254" i="6" s="1"/>
  <c r="AB254" i="6" s="1"/>
  <c r="X93" i="6"/>
  <c r="AY224" i="8"/>
  <c r="AX142" i="8"/>
  <c r="AV171" i="8"/>
  <c r="AX137" i="8"/>
  <c r="AW195" i="8"/>
  <c r="W93" i="6"/>
  <c r="Y93" i="6" s="1"/>
  <c r="AV189" i="8"/>
  <c r="U10" i="8"/>
  <c r="V17" i="6"/>
  <c r="W17" i="6" s="1"/>
  <c r="Y17" i="6" s="1"/>
  <c r="AB17" i="6" s="1"/>
  <c r="X38" i="6"/>
  <c r="L45" i="6"/>
  <c r="AW134" i="8"/>
  <c r="AY134" i="8" s="1"/>
  <c r="AV188" i="8"/>
  <c r="AV212" i="8"/>
  <c r="AX75" i="8"/>
  <c r="X254" i="6"/>
  <c r="AV210" i="8"/>
  <c r="AX222" i="8"/>
  <c r="AX112" i="8"/>
  <c r="U223" i="8"/>
  <c r="AX223" i="8" s="1"/>
  <c r="AV192" i="8"/>
  <c r="P38" i="6"/>
  <c r="Q38" i="6" s="1"/>
  <c r="S38" i="6" s="1"/>
  <c r="AB101" i="6"/>
  <c r="AB72" i="6"/>
  <c r="AH241" i="8"/>
  <c r="AW241" i="8" s="1"/>
  <c r="AV241" i="8"/>
  <c r="AT201" i="8"/>
  <c r="AU201" i="8"/>
  <c r="AS201" i="8"/>
  <c r="AU117" i="8"/>
  <c r="AX117" i="8" s="1"/>
  <c r="AV117" i="8"/>
  <c r="AW115" i="8"/>
  <c r="AX115" i="8"/>
  <c r="AX144" i="8"/>
  <c r="AW144" i="8"/>
  <c r="AW203" i="8"/>
  <c r="AW112" i="8"/>
  <c r="AB37" i="6"/>
  <c r="AH219" i="8"/>
  <c r="AG201" i="8"/>
  <c r="AH201" i="8"/>
  <c r="AF201" i="8"/>
  <c r="AF200" i="8"/>
  <c r="AG200" i="8"/>
  <c r="AH200" i="8"/>
  <c r="T200" i="8"/>
  <c r="U200" i="8"/>
  <c r="S200" i="8"/>
  <c r="T199" i="8"/>
  <c r="U199" i="8"/>
  <c r="AG174" i="8"/>
  <c r="S174" i="8"/>
  <c r="U174" i="8" s="1"/>
  <c r="AW174" i="8" s="1"/>
  <c r="AH162" i="8"/>
  <c r="AX162" i="8" s="1"/>
  <c r="DO48" i="6"/>
  <c r="T140" i="8"/>
  <c r="U140" i="8"/>
  <c r="S140" i="8"/>
  <c r="AH105" i="8"/>
  <c r="AX105" i="8" s="1"/>
  <c r="AV105" i="8"/>
  <c r="U18" i="8"/>
  <c r="S18" i="8"/>
  <c r="T17" i="8"/>
  <c r="U17" i="8"/>
  <c r="S17" i="8"/>
  <c r="AF16" i="8"/>
  <c r="AV16" i="8" s="1"/>
  <c r="AG16" i="8"/>
  <c r="AS15" i="8"/>
  <c r="AT15" i="8"/>
  <c r="U8" i="8"/>
  <c r="AV8" i="8"/>
  <c r="AB97" i="6"/>
  <c r="Y114" i="6"/>
  <c r="AB114" i="6" s="1"/>
  <c r="AB236" i="6"/>
  <c r="AB188" i="6"/>
  <c r="AB228" i="6"/>
  <c r="AB64" i="6"/>
  <c r="AV92" i="8"/>
  <c r="U92" i="8"/>
  <c r="U86" i="8"/>
  <c r="AV86" i="8"/>
  <c r="U95" i="8"/>
  <c r="AV95" i="8"/>
  <c r="AV143" i="8"/>
  <c r="U143" i="8"/>
  <c r="AU123" i="8"/>
  <c r="AX123" i="8" s="1"/>
  <c r="AV123" i="8"/>
  <c r="AU113" i="8"/>
  <c r="AX113" i="8" s="1"/>
  <c r="AV113" i="8"/>
  <c r="AV136" i="8"/>
  <c r="U136" i="8"/>
  <c r="U185" i="8"/>
  <c r="AV185" i="8"/>
  <c r="AV101" i="8"/>
  <c r="U101" i="8"/>
  <c r="AH127" i="8"/>
  <c r="AW127" i="8" s="1"/>
  <c r="AV127" i="8"/>
  <c r="AH153" i="8"/>
  <c r="AV153" i="8"/>
  <c r="AU150" i="8"/>
  <c r="AW150" i="8" s="1"/>
  <c r="AV150" i="8"/>
  <c r="AU176" i="8"/>
  <c r="AV176" i="8"/>
  <c r="AH143" i="8"/>
  <c r="AV149" i="8"/>
  <c r="U149" i="8"/>
  <c r="AU12" i="8"/>
  <c r="AV12" i="8"/>
  <c r="U175" i="8"/>
  <c r="AV175" i="8"/>
  <c r="AV172" i="8"/>
  <c r="U172" i="8"/>
  <c r="AU73" i="8"/>
  <c r="AV73" i="8"/>
  <c r="AH65" i="8"/>
  <c r="AW65" i="8" s="1"/>
  <c r="AV65" i="8"/>
  <c r="AH98" i="8"/>
  <c r="AW98" i="8" s="1"/>
  <c r="AV98" i="8"/>
  <c r="AU161" i="8"/>
  <c r="AX161" i="8" s="1"/>
  <c r="AV161" i="8"/>
  <c r="AU139" i="8"/>
  <c r="AW139" i="8" s="1"/>
  <c r="AV139" i="8"/>
  <c r="U167" i="8"/>
  <c r="AV167" i="8"/>
  <c r="U4" i="8"/>
  <c r="AV4" i="8"/>
  <c r="U158" i="8"/>
  <c r="AV158" i="8"/>
  <c r="AV211" i="8"/>
  <c r="U211" i="8"/>
  <c r="AV60" i="8"/>
  <c r="U60" i="8"/>
  <c r="AH108" i="8"/>
  <c r="AX108" i="8" s="1"/>
  <c r="AV108" i="8"/>
  <c r="AH14" i="8"/>
  <c r="AW14" i="8" s="1"/>
  <c r="AV14" i="8"/>
  <c r="AV163" i="8"/>
  <c r="U163" i="8"/>
  <c r="U151" i="8"/>
  <c r="AV151" i="8"/>
  <c r="AV94" i="8"/>
  <c r="U94" i="8"/>
  <c r="AU196" i="8"/>
  <c r="AX196" i="8" s="1"/>
  <c r="AV196" i="8"/>
  <c r="AV184" i="8"/>
  <c r="U184" i="8"/>
  <c r="U230" i="8"/>
  <c r="AV230" i="8"/>
  <c r="AV114" i="8"/>
  <c r="U114" i="8"/>
  <c r="AU46" i="8"/>
  <c r="AX46" i="8" s="1"/>
  <c r="AV46" i="8"/>
  <c r="U90" i="8"/>
  <c r="AV90" i="8"/>
  <c r="AH99" i="8"/>
  <c r="AW99" i="8" s="1"/>
  <c r="AV99" i="8"/>
  <c r="AH3" i="8"/>
  <c r="AW3" i="8" s="1"/>
  <c r="AV3" i="8"/>
  <c r="M114" i="6"/>
  <c r="U206" i="8"/>
  <c r="AV206" i="8"/>
  <c r="AV244" i="8"/>
  <c r="U244" i="8"/>
  <c r="AH88" i="8"/>
  <c r="AV246" i="8"/>
  <c r="U246" i="8"/>
  <c r="AU194" i="8"/>
  <c r="AX194" i="8" s="1"/>
  <c r="AV194" i="8"/>
  <c r="U148" i="8"/>
  <c r="AV148" i="8"/>
  <c r="AV168" i="8"/>
  <c r="U168" i="8"/>
  <c r="AU166" i="8"/>
  <c r="AX166" i="8" s="1"/>
  <c r="AV166" i="8"/>
  <c r="M123" i="6"/>
  <c r="AB123" i="6" s="1"/>
  <c r="AH209" i="8"/>
  <c r="AV209" i="8"/>
  <c r="U207" i="8"/>
  <c r="AV207" i="8"/>
  <c r="AV183" i="8"/>
  <c r="U183" i="8"/>
  <c r="AU157" i="8"/>
  <c r="AW157" i="8" s="1"/>
  <c r="AV157" i="8"/>
  <c r="U128" i="8"/>
  <c r="AV128" i="8"/>
  <c r="U190" i="8"/>
  <c r="AV190" i="8"/>
  <c r="AH51" i="8"/>
  <c r="AV51" i="8"/>
  <c r="U173" i="8"/>
  <c r="AV173" i="8"/>
  <c r="U27" i="8"/>
  <c r="AV27" i="8"/>
  <c r="AH5" i="8"/>
  <c r="AX5" i="8" s="1"/>
  <c r="AV5" i="8"/>
  <c r="AV66" i="8"/>
  <c r="U66" i="8"/>
  <c r="U248" i="8"/>
  <c r="AV248" i="8"/>
  <c r="AG140" i="8"/>
  <c r="AH140" i="8"/>
  <c r="AV100" i="8"/>
  <c r="U100" i="8"/>
  <c r="AX226" i="8"/>
  <c r="AW226" i="8"/>
  <c r="AT17" i="8"/>
  <c r="AU17" i="8"/>
  <c r="AX154" i="8"/>
  <c r="AW154" i="8"/>
  <c r="AS17" i="8"/>
  <c r="AV233" i="8"/>
  <c r="U233" i="8"/>
  <c r="AV125" i="8"/>
  <c r="U125" i="8"/>
  <c r="AV124" i="8"/>
  <c r="U177" i="8"/>
  <c r="AV177" i="8"/>
  <c r="AV135" i="8"/>
  <c r="AX56" i="8"/>
  <c r="AW56" i="8"/>
  <c r="AW124" i="8"/>
  <c r="AX124" i="8"/>
  <c r="AW192" i="8"/>
  <c r="AX192" i="8"/>
  <c r="AV76" i="8"/>
  <c r="U76" i="8"/>
  <c r="AW225" i="8"/>
  <c r="AX225" i="8"/>
  <c r="U89" i="8"/>
  <c r="AV89" i="8"/>
  <c r="U170" i="8"/>
  <c r="AV170" i="8"/>
  <c r="AW135" i="8"/>
  <c r="AX135" i="8"/>
  <c r="AV67" i="8"/>
  <c r="AV218" i="8"/>
  <c r="AV152" i="8"/>
  <c r="AV112" i="8"/>
  <c r="AV56" i="8"/>
  <c r="U178" i="8"/>
  <c r="AV178" i="8"/>
  <c r="AV103" i="8"/>
  <c r="U103" i="8"/>
  <c r="AU118" i="8"/>
  <c r="AV118" i="8"/>
  <c r="AV9" i="8"/>
  <c r="U9" i="8"/>
  <c r="U191" i="8"/>
  <c r="AV191" i="8"/>
  <c r="AX203" i="8"/>
  <c r="AX58" i="8"/>
  <c r="AW58" i="8"/>
  <c r="U19" i="8"/>
  <c r="AV19" i="8"/>
  <c r="AH245" i="8"/>
  <c r="AV245" i="8"/>
  <c r="AW220" i="8"/>
  <c r="AX220" i="8"/>
  <c r="U109" i="8"/>
  <c r="AV109" i="8"/>
  <c r="AX212" i="8"/>
  <c r="AW212" i="8"/>
  <c r="U237" i="8"/>
  <c r="AV237" i="8"/>
  <c r="U74" i="8"/>
  <c r="AV74" i="8"/>
  <c r="AS98" i="3"/>
  <c r="U182" i="8"/>
  <c r="AV182" i="8"/>
  <c r="AW171" i="8"/>
  <c r="AX171" i="8"/>
  <c r="U156" i="8"/>
  <c r="AV156" i="8"/>
  <c r="U243" i="8"/>
  <c r="AV243" i="8"/>
  <c r="AV208" i="8"/>
  <c r="AT199" i="8"/>
  <c r="AU199" i="8"/>
  <c r="AV7" i="8"/>
  <c r="U7" i="8"/>
  <c r="U59" i="8"/>
  <c r="AV59" i="8"/>
  <c r="AW111" i="8"/>
  <c r="AY111" i="8" s="1"/>
  <c r="U129" i="8"/>
  <c r="AV129" i="8"/>
  <c r="AX195" i="8"/>
  <c r="AV202" i="8"/>
  <c r="AX218" i="8"/>
  <c r="AW218" i="8"/>
  <c r="AX152" i="8"/>
  <c r="AW152" i="8"/>
  <c r="AF140" i="8"/>
  <c r="U88" i="8"/>
  <c r="AV88" i="8"/>
  <c r="AV181" i="8"/>
  <c r="U181" i="8"/>
  <c r="AV6" i="8"/>
  <c r="U6" i="8"/>
  <c r="U180" i="8"/>
  <c r="AV180" i="8"/>
  <c r="AX210" i="8"/>
  <c r="AW210" i="8"/>
  <c r="AV145" i="8"/>
  <c r="AH145" i="8"/>
  <c r="AV195" i="8"/>
  <c r="AX242" i="8"/>
  <c r="AW242" i="8"/>
  <c r="AX179" i="8"/>
  <c r="AW179" i="8"/>
  <c r="AV247" i="8"/>
  <c r="U247" i="8"/>
  <c r="U146" i="8"/>
  <c r="AV146" i="8"/>
  <c r="AV104" i="8"/>
  <c r="U104" i="8"/>
  <c r="AW188" i="8"/>
  <c r="AX188" i="8"/>
  <c r="AW202" i="8"/>
  <c r="AX202" i="8"/>
  <c r="U239" i="8"/>
  <c r="AV239" i="8"/>
  <c r="AV199" i="8"/>
  <c r="AW208" i="8"/>
  <c r="AV137" i="8"/>
  <c r="Z13" i="6"/>
  <c r="U205" i="8"/>
  <c r="AV205" i="8"/>
  <c r="AV144" i="8"/>
  <c r="AV96" i="8"/>
  <c r="U96" i="8"/>
  <c r="AV115" i="8"/>
  <c r="AW97" i="8"/>
  <c r="AX97" i="8"/>
  <c r="AH12" i="8"/>
  <c r="AS200" i="8"/>
  <c r="AX126" i="8"/>
  <c r="AW126" i="8"/>
  <c r="AV11" i="8"/>
  <c r="AX55" i="8"/>
  <c r="AW55" i="8"/>
  <c r="DM255" i="6"/>
  <c r="AV141" i="8"/>
  <c r="U141" i="8"/>
  <c r="U91" i="8"/>
  <c r="AV91" i="8"/>
  <c r="AH147" i="8"/>
  <c r="AV147" i="8"/>
  <c r="AW137" i="8"/>
  <c r="AX187" i="8"/>
  <c r="AW187" i="8"/>
  <c r="U160" i="8"/>
  <c r="AV160" i="8"/>
  <c r="AV93" i="8"/>
  <c r="U93" i="8"/>
  <c r="U119" i="8"/>
  <c r="AV119" i="8"/>
  <c r="AX16" i="8"/>
  <c r="AW16" i="8"/>
  <c r="AX67" i="8"/>
  <c r="AY67" i="8" s="1"/>
  <c r="U240" i="8"/>
  <c r="AV240" i="8"/>
  <c r="AV102" i="8"/>
  <c r="U102" i="8"/>
  <c r="AV126" i="8"/>
  <c r="S15" i="8"/>
  <c r="U238" i="8"/>
  <c r="AV238" i="8"/>
  <c r="AV203" i="8"/>
  <c r="U54" i="8"/>
  <c r="AV54" i="8"/>
  <c r="U231" i="8"/>
  <c r="AV231" i="8"/>
  <c r="U116" i="8"/>
  <c r="AV116" i="8"/>
  <c r="AV97" i="8"/>
  <c r="AX189" i="8"/>
  <c r="AW189" i="8"/>
  <c r="U120" i="8"/>
  <c r="AV120" i="8"/>
  <c r="AX204" i="8"/>
  <c r="AW204" i="8"/>
  <c r="AX229" i="8"/>
  <c r="AY229" i="8" s="1"/>
  <c r="AX11" i="8"/>
  <c r="AW11" i="8"/>
  <c r="AV55" i="8"/>
  <c r="J255" i="6"/>
  <c r="K255" i="6" s="1"/>
  <c r="M255" i="6" s="1"/>
  <c r="L255" i="6"/>
  <c r="AB38" i="6" l="1"/>
  <c r="DF261" i="9"/>
  <c r="DO261" i="9" s="1"/>
  <c r="DF255" i="6"/>
  <c r="DO255" i="6" s="1"/>
  <c r="DF105" i="6"/>
  <c r="DO105" i="6" s="1"/>
  <c r="DF38" i="6"/>
  <c r="DO38" i="6" s="1"/>
  <c r="DF12" i="6"/>
  <c r="DO12" i="6" s="1"/>
  <c r="AY222" i="8"/>
  <c r="DI16" i="9" s="1"/>
  <c r="DR16" i="9" s="1"/>
  <c r="AY221" i="8"/>
  <c r="S48" i="6"/>
  <c r="AB48" i="6" s="1"/>
  <c r="AY171" i="8"/>
  <c r="AY192" i="8"/>
  <c r="AX20" i="8"/>
  <c r="AY20" i="8" s="1"/>
  <c r="DI98" i="6" s="1"/>
  <c r="AV18" i="8"/>
  <c r="AX15" i="8"/>
  <c r="AY75" i="8"/>
  <c r="AX228" i="8"/>
  <c r="AY228" i="8" s="1"/>
  <c r="AB98" i="9"/>
  <c r="AY208" i="8"/>
  <c r="AY135" i="8"/>
  <c r="AW15" i="8"/>
  <c r="AB104" i="6"/>
  <c r="AY220" i="8"/>
  <c r="AB96" i="9"/>
  <c r="AW117" i="8"/>
  <c r="AY117" i="8" s="1"/>
  <c r="AY195" i="8"/>
  <c r="AB42" i="6"/>
  <c r="AW83" i="8"/>
  <c r="AY83" i="8" s="1"/>
  <c r="AY188" i="8"/>
  <c r="AB45" i="9"/>
  <c r="AW10" i="8"/>
  <c r="AY124" i="8"/>
  <c r="AB96" i="6"/>
  <c r="AB44" i="6"/>
  <c r="AB255" i="6"/>
  <c r="AB24" i="6"/>
  <c r="AY142" i="8"/>
  <c r="AX69" i="8"/>
  <c r="AY69" i="8" s="1"/>
  <c r="AB24" i="9"/>
  <c r="AV200" i="8"/>
  <c r="AB44" i="9"/>
  <c r="AX98" i="8"/>
  <c r="AY98" i="8" s="1"/>
  <c r="AW113" i="8"/>
  <c r="AY113" i="8" s="1"/>
  <c r="AB42" i="9"/>
  <c r="AB49" i="6"/>
  <c r="AY137" i="8"/>
  <c r="AY112" i="8"/>
  <c r="AY227" i="8"/>
  <c r="AX17" i="8"/>
  <c r="AW200" i="8"/>
  <c r="AY115" i="8"/>
  <c r="AB106" i="9"/>
  <c r="DI43" i="9"/>
  <c r="Z12" i="9"/>
  <c r="AA12" i="9" s="1"/>
  <c r="M12" i="9"/>
  <c r="AB12" i="9" s="1"/>
  <c r="AB261" i="9"/>
  <c r="AB38" i="9"/>
  <c r="AB20" i="9"/>
  <c r="AB93" i="9"/>
  <c r="AB43" i="9"/>
  <c r="AB262" i="9"/>
  <c r="AX3" i="8"/>
  <c r="AY3" i="8" s="1"/>
  <c r="AY202" i="8"/>
  <c r="AX139" i="8"/>
  <c r="AY139" i="8" s="1"/>
  <c r="AB19" i="9"/>
  <c r="AB48" i="9"/>
  <c r="M17" i="9"/>
  <c r="AB17" i="9" s="1"/>
  <c r="Z17" i="9"/>
  <c r="AA17" i="9" s="1"/>
  <c r="AB105" i="9"/>
  <c r="AB93" i="6"/>
  <c r="AY203" i="8"/>
  <c r="AV17" i="8"/>
  <c r="AX174" i="8"/>
  <c r="AY174" i="8" s="1"/>
  <c r="AW194" i="8"/>
  <c r="AY194" i="8" s="1"/>
  <c r="DI94" i="6" s="1"/>
  <c r="AV174" i="8"/>
  <c r="AW17" i="8"/>
  <c r="DF106" i="9"/>
  <c r="DO106" i="9" s="1"/>
  <c r="DF38" i="9"/>
  <c r="DO38" i="9" s="1"/>
  <c r="DF12" i="9"/>
  <c r="DO12" i="9" s="1"/>
  <c r="AX10" i="8"/>
  <c r="AX201" i="8"/>
  <c r="AW162" i="8"/>
  <c r="AY162" i="8" s="1"/>
  <c r="DI48" i="6" s="1"/>
  <c r="AB12" i="6"/>
  <c r="AB49" i="9"/>
  <c r="AB105" i="6"/>
  <c r="Z12" i="6"/>
  <c r="A20" i="9"/>
  <c r="Z19" i="9"/>
  <c r="AA19" i="9" s="1"/>
  <c r="AW46" i="8"/>
  <c r="AY46" i="8" s="1"/>
  <c r="AX157" i="8"/>
  <c r="AY157" i="8" s="1"/>
  <c r="AW201" i="8"/>
  <c r="AW161" i="8"/>
  <c r="AY161" i="8" s="1"/>
  <c r="AX241" i="8"/>
  <c r="AY241" i="8" s="1"/>
  <c r="AX14" i="8"/>
  <c r="AY14" i="8" s="1"/>
  <c r="AV140" i="8"/>
  <c r="AV15" i="8"/>
  <c r="AW199" i="8"/>
  <c r="AW105" i="8"/>
  <c r="AY105" i="8" s="1"/>
  <c r="AX200" i="8"/>
  <c r="AW223" i="8"/>
  <c r="AY223" i="8" s="1"/>
  <c r="AY11" i="8"/>
  <c r="AY55" i="8"/>
  <c r="AY179" i="8"/>
  <c r="AY242" i="8"/>
  <c r="AY212" i="8"/>
  <c r="AY58" i="8"/>
  <c r="AX8" i="8"/>
  <c r="AW8" i="8"/>
  <c r="AX18" i="8"/>
  <c r="AW18" i="8"/>
  <c r="AV201" i="8"/>
  <c r="AX219" i="8"/>
  <c r="AW219" i="8"/>
  <c r="AY144" i="8"/>
  <c r="AY16" i="8"/>
  <c r="AY218" i="8"/>
  <c r="AX168" i="8"/>
  <c r="AW168" i="8"/>
  <c r="AX245" i="8"/>
  <c r="AW245" i="8"/>
  <c r="AW9" i="8"/>
  <c r="AX9" i="8"/>
  <c r="AX27" i="8"/>
  <c r="AW27" i="8"/>
  <c r="AW183" i="8"/>
  <c r="AX183" i="8"/>
  <c r="AW244" i="8"/>
  <c r="AX244" i="8"/>
  <c r="AX94" i="8"/>
  <c r="AW94" i="8"/>
  <c r="AX101" i="8"/>
  <c r="AW101" i="8"/>
  <c r="AX231" i="8"/>
  <c r="AW231" i="8"/>
  <c r="AW177" i="8"/>
  <c r="AX177" i="8"/>
  <c r="AX90" i="8"/>
  <c r="AW90" i="8"/>
  <c r="AX211" i="8"/>
  <c r="AW211" i="8"/>
  <c r="AW143" i="8"/>
  <c r="AX143" i="8"/>
  <c r="AY204" i="8"/>
  <c r="AX205" i="8"/>
  <c r="AW205" i="8"/>
  <c r="AY210" i="8"/>
  <c r="AX150" i="8"/>
  <c r="AY150" i="8" s="1"/>
  <c r="AX54" i="8"/>
  <c r="AW54" i="8"/>
  <c r="AX240" i="8"/>
  <c r="AW240" i="8"/>
  <c r="AW119" i="8"/>
  <c r="AX119" i="8"/>
  <c r="AX99" i="8"/>
  <c r="AY99" i="8" s="1"/>
  <c r="AA13" i="6"/>
  <c r="AC13" i="6" s="1"/>
  <c r="DR13" i="6" s="1"/>
  <c r="AX127" i="8"/>
  <c r="AY127" i="8" s="1"/>
  <c r="AX199" i="8"/>
  <c r="AX237" i="8"/>
  <c r="AW237" i="8"/>
  <c r="AX65" i="8"/>
  <c r="AY65" i="8" s="1"/>
  <c r="AX125" i="8"/>
  <c r="AW125" i="8"/>
  <c r="AY154" i="8"/>
  <c r="AX207" i="8"/>
  <c r="AW207" i="8"/>
  <c r="AX148" i="8"/>
  <c r="AW148" i="8"/>
  <c r="AX206" i="8"/>
  <c r="AW206" i="8"/>
  <c r="AX151" i="8"/>
  <c r="AW151" i="8"/>
  <c r="AX172" i="8"/>
  <c r="AW172" i="8"/>
  <c r="AW176" i="8"/>
  <c r="AX176" i="8"/>
  <c r="AX185" i="8"/>
  <c r="AW185" i="8"/>
  <c r="AX178" i="8"/>
  <c r="AW178" i="8"/>
  <c r="AX156" i="8"/>
  <c r="AW156" i="8"/>
  <c r="AW166" i="8"/>
  <c r="AY166" i="8" s="1"/>
  <c r="AX145" i="8"/>
  <c r="AW145" i="8"/>
  <c r="AX7" i="8"/>
  <c r="AW7" i="8"/>
  <c r="AX100" i="8"/>
  <c r="AW100" i="8"/>
  <c r="AW104" i="8"/>
  <c r="AX104" i="8"/>
  <c r="AW181" i="8"/>
  <c r="AX181" i="8"/>
  <c r="AX182" i="8"/>
  <c r="AW182" i="8"/>
  <c r="AX140" i="8"/>
  <c r="AW140" i="8"/>
  <c r="AX173" i="8"/>
  <c r="AW173" i="8"/>
  <c r="AW73" i="8"/>
  <c r="AX73" i="8"/>
  <c r="AW120" i="8"/>
  <c r="AX120" i="8"/>
  <c r="AW93" i="8"/>
  <c r="AX93" i="8"/>
  <c r="AW147" i="8"/>
  <c r="AX147" i="8"/>
  <c r="AY97" i="8"/>
  <c r="AW239" i="8"/>
  <c r="AX239" i="8"/>
  <c r="AW123" i="8"/>
  <c r="AY123" i="8" s="1"/>
  <c r="AX19" i="8"/>
  <c r="AW19" i="8"/>
  <c r="AX170" i="8"/>
  <c r="AW170" i="8"/>
  <c r="AW51" i="8"/>
  <c r="AX51" i="8"/>
  <c r="AX114" i="8"/>
  <c r="AW114" i="8"/>
  <c r="AW163" i="8"/>
  <c r="AX163" i="8"/>
  <c r="AX158" i="8"/>
  <c r="AW158" i="8"/>
  <c r="AX95" i="8"/>
  <c r="AW95" i="8"/>
  <c r="AX167" i="8"/>
  <c r="AW167" i="8"/>
  <c r="AW153" i="8"/>
  <c r="AX153" i="8"/>
  <c r="AX238" i="8"/>
  <c r="AW238" i="8"/>
  <c r="AY187" i="8"/>
  <c r="AW96" i="8"/>
  <c r="AX96" i="8"/>
  <c r="AY96" i="8" s="1"/>
  <c r="AX59" i="8"/>
  <c r="AW59" i="8"/>
  <c r="AX76" i="8"/>
  <c r="AW76" i="8"/>
  <c r="AW116" i="8"/>
  <c r="AX116" i="8"/>
  <c r="AW12" i="8"/>
  <c r="AX12" i="8"/>
  <c r="AW6" i="8"/>
  <c r="AX6" i="8"/>
  <c r="AW88" i="8"/>
  <c r="AX88" i="8"/>
  <c r="AX243" i="8"/>
  <c r="AW243" i="8"/>
  <c r="AW108" i="8"/>
  <c r="AY108" i="8" s="1"/>
  <c r="AW118" i="8"/>
  <c r="AX118" i="8"/>
  <c r="AW233" i="8"/>
  <c r="AX233" i="8"/>
  <c r="AW5" i="8"/>
  <c r="AY5" i="8" s="1"/>
  <c r="AY189" i="8"/>
  <c r="AW196" i="8"/>
  <c r="AY196" i="8" s="1"/>
  <c r="AX91" i="8"/>
  <c r="AW91" i="8"/>
  <c r="AX247" i="8"/>
  <c r="AW247" i="8"/>
  <c r="AW129" i="8"/>
  <c r="AX129" i="8"/>
  <c r="AX190" i="8"/>
  <c r="AW190" i="8"/>
  <c r="AX160" i="8"/>
  <c r="AW160" i="8"/>
  <c r="AX141" i="8"/>
  <c r="AW141" i="8"/>
  <c r="AY126" i="8"/>
  <c r="AX180" i="8"/>
  <c r="AW180" i="8"/>
  <c r="AY152" i="8"/>
  <c r="AX89" i="8"/>
  <c r="AW89" i="8"/>
  <c r="AY56" i="8"/>
  <c r="AY226" i="8"/>
  <c r="AW246" i="8"/>
  <c r="AX246" i="8"/>
  <c r="AX230" i="8"/>
  <c r="AW230" i="8"/>
  <c r="AX4" i="8"/>
  <c r="AW4" i="8"/>
  <c r="AX92" i="8"/>
  <c r="AW92" i="8"/>
  <c r="AW128" i="8"/>
  <c r="AX128" i="8"/>
  <c r="AW102" i="8"/>
  <c r="AX102" i="8"/>
  <c r="AX74" i="8"/>
  <c r="AW74" i="8"/>
  <c r="AX60" i="8"/>
  <c r="AW60" i="8"/>
  <c r="AX149" i="8"/>
  <c r="AW149" i="8"/>
  <c r="AX146" i="8"/>
  <c r="AW146" i="8"/>
  <c r="AX248" i="8"/>
  <c r="AW248" i="8"/>
  <c r="AX209" i="8"/>
  <c r="AW209" i="8"/>
  <c r="AW136" i="8"/>
  <c r="AX136" i="8"/>
  <c r="AX103" i="8"/>
  <c r="AW103" i="8"/>
  <c r="AW66" i="8"/>
  <c r="AX66" i="8"/>
  <c r="AW175" i="8"/>
  <c r="AX175" i="8"/>
  <c r="AW86" i="8"/>
  <c r="AX86" i="8"/>
  <c r="AX109" i="8"/>
  <c r="AW109" i="8"/>
  <c r="AX191" i="8"/>
  <c r="AW191" i="8"/>
  <c r="AY225" i="8"/>
  <c r="AX184" i="8"/>
  <c r="AW184" i="8"/>
  <c r="AY153" i="8" l="1"/>
  <c r="AY116" i="8"/>
  <c r="DI43" i="6"/>
  <c r="DI16" i="6"/>
  <c r="DR16" i="6" s="1"/>
  <c r="AY66" i="8"/>
  <c r="AY177" i="8"/>
  <c r="AC12" i="9"/>
  <c r="AY119" i="8"/>
  <c r="AY15" i="8"/>
  <c r="AY136" i="8"/>
  <c r="AY239" i="8"/>
  <c r="AY12" i="8"/>
  <c r="AY88" i="8"/>
  <c r="AY9" i="8"/>
  <c r="AY10" i="8"/>
  <c r="DI19" i="6" s="1"/>
  <c r="AY233" i="8"/>
  <c r="AY17" i="8"/>
  <c r="AY200" i="8"/>
  <c r="AC17" i="9"/>
  <c r="DI48" i="9"/>
  <c r="DI98" i="9"/>
  <c r="DI94" i="9"/>
  <c r="AY201" i="8"/>
  <c r="AY147" i="8"/>
  <c r="AY104" i="8"/>
  <c r="AY176" i="8"/>
  <c r="AY175" i="8"/>
  <c r="AY120" i="8"/>
  <c r="AA12" i="6"/>
  <c r="AC19" i="9"/>
  <c r="A21" i="9"/>
  <c r="Z20" i="9"/>
  <c r="AA20" i="9" s="1"/>
  <c r="AC20" i="9" s="1"/>
  <c r="AY128" i="8"/>
  <c r="AY6" i="8"/>
  <c r="AY86" i="8"/>
  <c r="AY181" i="8"/>
  <c r="AY244" i="8"/>
  <c r="AY199" i="8"/>
  <c r="AY51" i="8"/>
  <c r="AY143" i="8"/>
  <c r="DI93" i="6" s="1"/>
  <c r="AY183" i="8"/>
  <c r="AY184" i="8"/>
  <c r="AY149" i="8"/>
  <c r="AY180" i="8"/>
  <c r="AY91" i="8"/>
  <c r="AY76" i="8"/>
  <c r="AY95" i="8"/>
  <c r="AY170" i="8"/>
  <c r="AY182" i="8"/>
  <c r="AY185" i="8"/>
  <c r="AY172" i="8"/>
  <c r="AY207" i="8"/>
  <c r="AY240" i="8"/>
  <c r="AY205" i="8"/>
  <c r="AY211" i="8"/>
  <c r="AY231" i="8"/>
  <c r="AY94" i="8"/>
  <c r="AY219" i="8"/>
  <c r="AY18" i="8"/>
  <c r="DI256" i="6" s="1"/>
  <c r="AY8" i="8"/>
  <c r="AY160" i="8"/>
  <c r="AY74" i="8"/>
  <c r="AY140" i="8"/>
  <c r="AY206" i="8"/>
  <c r="AY102" i="8"/>
  <c r="AY230" i="8"/>
  <c r="AY190" i="8"/>
  <c r="AY118" i="8"/>
  <c r="AY167" i="8"/>
  <c r="AY148" i="8"/>
  <c r="AY27" i="8"/>
  <c r="AY114" i="8"/>
  <c r="AY173" i="8"/>
  <c r="AY151" i="8"/>
  <c r="AY237" i="8"/>
  <c r="AY54" i="8"/>
  <c r="AY90" i="8"/>
  <c r="AY146" i="8"/>
  <c r="AY89" i="8"/>
  <c r="DI24" i="6" s="1"/>
  <c r="AY156" i="8"/>
  <c r="AY103" i="8"/>
  <c r="AY4" i="8"/>
  <c r="AY178" i="8"/>
  <c r="AY246" i="8"/>
  <c r="AY129" i="8"/>
  <c r="AY93" i="8"/>
  <c r="AY100" i="8"/>
  <c r="AY248" i="8"/>
  <c r="AY168" i="8"/>
  <c r="AY59" i="8"/>
  <c r="AY19" i="8"/>
  <c r="AY7" i="8"/>
  <c r="AY60" i="8"/>
  <c r="AY247" i="8"/>
  <c r="AY158" i="8"/>
  <c r="AY101" i="8"/>
  <c r="AY109" i="8"/>
  <c r="AY92" i="8"/>
  <c r="AY238" i="8"/>
  <c r="AY191" i="8"/>
  <c r="AY209" i="8"/>
  <c r="AY141" i="8"/>
  <c r="AY243" i="8"/>
  <c r="AY163" i="8"/>
  <c r="AY73" i="8"/>
  <c r="AY145" i="8"/>
  <c r="AY125" i="8"/>
  <c r="AY245" i="8"/>
  <c r="AC12" i="6" l="1"/>
  <c r="DI254" i="6"/>
  <c r="DI49" i="6"/>
  <c r="DI45" i="6"/>
  <c r="DI96" i="9"/>
  <c r="DI96" i="6"/>
  <c r="DI20" i="6"/>
  <c r="DI104" i="6"/>
  <c r="DI42" i="6"/>
  <c r="DI12" i="6"/>
  <c r="DR12" i="6" s="1"/>
  <c r="DI105" i="6"/>
  <c r="DI38" i="6"/>
  <c r="DI261" i="9"/>
  <c r="DI255" i="6"/>
  <c r="DI44" i="6"/>
  <c r="DI17" i="6"/>
  <c r="DI45" i="9"/>
  <c r="DI49" i="9"/>
  <c r="DI260" i="9"/>
  <c r="DI19" i="9"/>
  <c r="DR19" i="9" s="1"/>
  <c r="DI262" i="9"/>
  <c r="DI42" i="9"/>
  <c r="DI105" i="9"/>
  <c r="DI20" i="9"/>
  <c r="DR20" i="9" s="1"/>
  <c r="DI93" i="9"/>
  <c r="DI24" i="9"/>
  <c r="DI38" i="9"/>
  <c r="DI106" i="9"/>
  <c r="DI12" i="9"/>
  <c r="DR12" i="9" s="1"/>
  <c r="DI44" i="9"/>
  <c r="DI17" i="9"/>
  <c r="DR17" i="9" s="1"/>
  <c r="Z21" i="9"/>
  <c r="AA21" i="9" s="1"/>
  <c r="A22" i="9"/>
  <c r="Z22" i="9" l="1"/>
  <c r="AA22" i="9" s="1"/>
  <c r="AC22" i="9" s="1"/>
  <c r="DR22" i="9" s="1"/>
  <c r="A23" i="9"/>
  <c r="AC21" i="9"/>
  <c r="DR21" i="9" s="1"/>
  <c r="A24" i="9" l="1"/>
  <c r="Z23" i="9"/>
  <c r="AA23" i="9" s="1"/>
  <c r="AC23" i="9" s="1"/>
  <c r="DR23" i="9" s="1"/>
  <c r="Z24" i="9" l="1"/>
  <c r="AA24" i="9" s="1"/>
  <c r="AC24" i="9" s="1"/>
  <c r="DR24" i="9" s="1"/>
  <c r="A25" i="9"/>
  <c r="Z25" i="9" l="1"/>
  <c r="AA25" i="9" s="1"/>
  <c r="AC25" i="9" s="1"/>
  <c r="DR25" i="9" s="1"/>
  <c r="A26" i="9"/>
  <c r="Z26" i="9" l="1"/>
  <c r="AA26" i="9" s="1"/>
  <c r="AC26" i="9" s="1"/>
  <c r="DR26" i="9" s="1"/>
  <c r="A27" i="9"/>
  <c r="A28" i="9" l="1"/>
  <c r="Z27" i="9"/>
  <c r="AA27" i="9" s="1"/>
  <c r="AC27" i="9" s="1"/>
  <c r="DR27" i="9" s="1"/>
  <c r="Z28" i="9" l="1"/>
  <c r="AA28" i="9" s="1"/>
  <c r="AC28" i="9" s="1"/>
  <c r="DR28" i="9" s="1"/>
  <c r="A29" i="9"/>
  <c r="A30" i="9" l="1"/>
  <c r="Z29" i="9"/>
  <c r="AA29" i="9" s="1"/>
  <c r="AC29" i="9" s="1"/>
  <c r="DR29" i="9" s="1"/>
  <c r="Z30" i="9" l="1"/>
  <c r="AA30" i="9" s="1"/>
  <c r="AC30" i="9" s="1"/>
  <c r="DR30" i="9" s="1"/>
  <c r="A31" i="9"/>
  <c r="Z31" i="9" l="1"/>
  <c r="AA31" i="9" s="1"/>
  <c r="AC31" i="9" s="1"/>
  <c r="DR31" i="9" s="1"/>
  <c r="A32" i="9"/>
  <c r="A33" i="9" l="1"/>
  <c r="Z32" i="9"/>
  <c r="AA32" i="9" s="1"/>
  <c r="AC32" i="9" s="1"/>
  <c r="DR32" i="9" s="1"/>
  <c r="Z33" i="9" l="1"/>
  <c r="AA33" i="9" s="1"/>
  <c r="AC33" i="9" s="1"/>
  <c r="DR33" i="9" s="1"/>
  <c r="A34" i="9"/>
  <c r="Z34" i="9" l="1"/>
  <c r="AA34" i="9" s="1"/>
  <c r="AC34" i="9" s="1"/>
  <c r="DR34" i="9" s="1"/>
  <c r="A35" i="9"/>
  <c r="Z35" i="9" l="1"/>
  <c r="AA35" i="9" s="1"/>
  <c r="AC35" i="9" s="1"/>
  <c r="DR35" i="9" s="1"/>
  <c r="A36" i="9"/>
  <c r="Z36" i="9" l="1"/>
  <c r="AA36" i="9" s="1"/>
  <c r="AC36" i="9" s="1"/>
  <c r="DR36" i="9" s="1"/>
  <c r="A37" i="9"/>
  <c r="A38" i="9" l="1"/>
  <c r="Z37" i="9"/>
  <c r="AA37" i="9" s="1"/>
  <c r="AC37" i="9" s="1"/>
  <c r="DR37" i="9" s="1"/>
  <c r="A39" i="9" l="1"/>
  <c r="Z38" i="9"/>
  <c r="AA38" i="9" s="1"/>
  <c r="AC38" i="9" s="1"/>
  <c r="DR38" i="9" s="1"/>
  <c r="Z39" i="9" l="1"/>
  <c r="AA39" i="9" s="1"/>
  <c r="AC39" i="9" s="1"/>
  <c r="DR39" i="9" s="1"/>
  <c r="A40" i="9"/>
  <c r="A41" i="9" l="1"/>
  <c r="Z40" i="9"/>
  <c r="AA40" i="9" s="1"/>
  <c r="AC40" i="9" s="1"/>
  <c r="DR40" i="9" s="1"/>
  <c r="A42" i="9" l="1"/>
  <c r="Z41" i="9"/>
  <c r="AA41" i="9" s="1"/>
  <c r="AC41" i="9" s="1"/>
  <c r="DR41" i="9" s="1"/>
  <c r="Z42" i="9" l="1"/>
  <c r="AA42" i="9" s="1"/>
  <c r="AC42" i="9" s="1"/>
  <c r="DR42" i="9" s="1"/>
  <c r="A43" i="9"/>
  <c r="A44" i="9" l="1"/>
  <c r="Z43" i="9"/>
  <c r="AA43" i="9" s="1"/>
  <c r="AC43" i="9" s="1"/>
  <c r="DR43" i="9" s="1"/>
  <c r="Z44" i="9" l="1"/>
  <c r="AA44" i="9" s="1"/>
  <c r="AC44" i="9" s="1"/>
  <c r="DR44" i="9" s="1"/>
  <c r="A45" i="9"/>
  <c r="A46" i="9" l="1"/>
  <c r="A47" i="9" s="1"/>
  <c r="Z45" i="9"/>
  <c r="AA45" i="9" s="1"/>
  <c r="AC45" i="9" s="1"/>
  <c r="DR45" i="9" s="1"/>
  <c r="A48" i="9" l="1"/>
  <c r="Z47" i="9"/>
  <c r="AA47" i="9" s="1"/>
  <c r="AC47" i="9" s="1"/>
  <c r="DR47" i="9" s="1"/>
  <c r="Z48" i="9" l="1"/>
  <c r="AA48" i="9" s="1"/>
  <c r="AC48" i="9" s="1"/>
  <c r="DR48" i="9" s="1"/>
  <c r="A49" i="9"/>
  <c r="Z49" i="9" l="1"/>
  <c r="AA49" i="9" s="1"/>
  <c r="AC49" i="9" s="1"/>
  <c r="DR49" i="9" s="1"/>
  <c r="A50" i="9"/>
  <c r="A51" i="9" l="1"/>
  <c r="Z50" i="9"/>
  <c r="AA50" i="9" s="1"/>
  <c r="AC50" i="9" s="1"/>
  <c r="DR50" i="9" s="1"/>
  <c r="A52" i="9" l="1"/>
  <c r="Z51" i="9"/>
  <c r="AA51" i="9" s="1"/>
  <c r="AC51" i="9" s="1"/>
  <c r="DR51" i="9" s="1"/>
  <c r="AA46" i="6"/>
  <c r="Z52" i="9" l="1"/>
  <c r="AA52" i="9" s="1"/>
  <c r="AC52" i="9" s="1"/>
  <c r="DR52" i="9" s="1"/>
  <c r="A53" i="9"/>
  <c r="AC46" i="6"/>
  <c r="DR46" i="6" s="1"/>
  <c r="Z53" i="9" l="1"/>
  <c r="AA53" i="9" s="1"/>
  <c r="AC53" i="9" s="1"/>
  <c r="DR53" i="9" s="1"/>
  <c r="A54" i="9"/>
  <c r="Z54" i="9" l="1"/>
  <c r="AA54" i="9" s="1"/>
  <c r="AC54" i="9" s="1"/>
  <c r="DR54" i="9" s="1"/>
  <c r="A55" i="9"/>
  <c r="Z55" i="9" l="1"/>
  <c r="AA55" i="9" s="1"/>
  <c r="AC55" i="9" s="1"/>
  <c r="DR55" i="9" s="1"/>
  <c r="A56" i="9"/>
  <c r="A57" i="9" l="1"/>
  <c r="Z56" i="9"/>
  <c r="AA56" i="9" s="1"/>
  <c r="AC56" i="9" s="1"/>
  <c r="DR56" i="9" s="1"/>
  <c r="A58" i="9" l="1"/>
  <c r="Z57" i="9"/>
  <c r="AA57" i="9" s="1"/>
  <c r="AC57" i="9" s="1"/>
  <c r="DR57" i="9" s="1"/>
  <c r="Z58" i="9" l="1"/>
  <c r="AA58" i="9" s="1"/>
  <c r="AC58" i="9" s="1"/>
  <c r="DR58" i="9" s="1"/>
  <c r="A59" i="9"/>
  <c r="Z59" i="9" l="1"/>
  <c r="AA59" i="9" s="1"/>
  <c r="AC59" i="9" s="1"/>
  <c r="DR59" i="9" s="1"/>
  <c r="A60" i="9"/>
  <c r="A61" i="9" l="1"/>
  <c r="Z60" i="9"/>
  <c r="AA60" i="9" s="1"/>
  <c r="AC60" i="9" s="1"/>
  <c r="DR60" i="9" s="1"/>
  <c r="A62" i="9" l="1"/>
  <c r="Z61" i="9"/>
  <c r="AA61" i="9" s="1"/>
  <c r="AC61" i="9" s="1"/>
  <c r="DR61" i="9" s="1"/>
  <c r="A63" i="9" l="1"/>
  <c r="Z62" i="9"/>
  <c r="AA62" i="9" s="1"/>
  <c r="AC62" i="9" s="1"/>
  <c r="DR62" i="9" s="1"/>
  <c r="Z63" i="9" l="1"/>
  <c r="AA63" i="9" s="1"/>
  <c r="AC63" i="9" s="1"/>
  <c r="DR63" i="9" s="1"/>
  <c r="A64" i="9"/>
  <c r="A65" i="9" l="1"/>
  <c r="Z64" i="9"/>
  <c r="AA64" i="9" s="1"/>
  <c r="AC64" i="9" s="1"/>
  <c r="DR64" i="9" s="1"/>
  <c r="A66" i="9" l="1"/>
  <c r="Z65" i="9"/>
  <c r="AA65" i="9" s="1"/>
  <c r="AC65" i="9" s="1"/>
  <c r="DR65" i="9" s="1"/>
  <c r="A67" i="9" l="1"/>
  <c r="Z66" i="9"/>
  <c r="AA66" i="9" s="1"/>
  <c r="AC66" i="9" s="1"/>
  <c r="DR66" i="9" s="1"/>
  <c r="A68" i="9" l="1"/>
  <c r="Z67" i="9"/>
  <c r="AA67" i="9" s="1"/>
  <c r="AC67" i="9" s="1"/>
  <c r="DR67" i="9" s="1"/>
  <c r="A69" i="9" l="1"/>
  <c r="Z68" i="9"/>
  <c r="AA68" i="9" s="1"/>
  <c r="AC68" i="9" s="1"/>
  <c r="DR68" i="9" s="1"/>
  <c r="A70" i="9" l="1"/>
  <c r="Z69" i="9"/>
  <c r="AA69" i="9" s="1"/>
  <c r="AC69" i="9" s="1"/>
  <c r="DR69" i="9" s="1"/>
  <c r="A71" i="9" l="1"/>
  <c r="Z70" i="9"/>
  <c r="AA70" i="9" s="1"/>
  <c r="AC70" i="9" s="1"/>
  <c r="DR70" i="9" s="1"/>
  <c r="A72" i="9" l="1"/>
  <c r="Z71" i="9"/>
  <c r="AA71" i="9" s="1"/>
  <c r="AC71" i="9" s="1"/>
  <c r="DR71" i="9" s="1"/>
  <c r="Z72" i="9" l="1"/>
  <c r="AA72" i="9" s="1"/>
  <c r="AC72" i="9" s="1"/>
  <c r="DR72" i="9" s="1"/>
  <c r="A73" i="9"/>
  <c r="A74" i="9" l="1"/>
  <c r="Z73" i="9"/>
  <c r="AA73" i="9" s="1"/>
  <c r="AC73" i="9" s="1"/>
  <c r="DR73" i="9" s="1"/>
  <c r="A75" i="9" l="1"/>
  <c r="Z74" i="9"/>
  <c r="AA74" i="9" s="1"/>
  <c r="AC74" i="9" s="1"/>
  <c r="DR74" i="9" s="1"/>
  <c r="Z75" i="9" l="1"/>
  <c r="AA75" i="9" s="1"/>
  <c r="AC75" i="9" s="1"/>
  <c r="DR75" i="9" s="1"/>
  <c r="A76" i="9"/>
  <c r="A77" i="9" l="1"/>
  <c r="Z76" i="9"/>
  <c r="AA76" i="9" s="1"/>
  <c r="AC76" i="9" s="1"/>
  <c r="DR76" i="9" s="1"/>
  <c r="A78" i="9" l="1"/>
  <c r="Z77" i="9"/>
  <c r="AA77" i="9" s="1"/>
  <c r="AC77" i="9" s="1"/>
  <c r="DR77" i="9" s="1"/>
  <c r="Z78" i="9" l="1"/>
  <c r="AA78" i="9" s="1"/>
  <c r="AC78" i="9" s="1"/>
  <c r="DR78" i="9" s="1"/>
  <c r="A79" i="9"/>
  <c r="Z79" i="9" l="1"/>
  <c r="AA79" i="9" s="1"/>
  <c r="AC79" i="9" s="1"/>
  <c r="DR79" i="9" s="1"/>
  <c r="A80" i="9"/>
  <c r="A81" i="9" l="1"/>
  <c r="Z80" i="9"/>
  <c r="AA80" i="9" s="1"/>
  <c r="AC80" i="9" s="1"/>
  <c r="DR80" i="9" s="1"/>
  <c r="A82" i="9" l="1"/>
  <c r="Z81" i="9"/>
  <c r="AA81" i="9" s="1"/>
  <c r="AC81" i="9" s="1"/>
  <c r="DR81" i="9" s="1"/>
  <c r="Z82" i="9" l="1"/>
  <c r="AA82" i="9" s="1"/>
  <c r="AC82" i="9" s="1"/>
  <c r="DR82" i="9" s="1"/>
  <c r="A83" i="9"/>
  <c r="Z83" i="9" l="1"/>
  <c r="AA83" i="9" s="1"/>
  <c r="AC83" i="9" s="1"/>
  <c r="DR83" i="9" s="1"/>
  <c r="A84" i="9"/>
  <c r="Z84" i="9" l="1"/>
  <c r="AA84" i="9" s="1"/>
  <c r="AC84" i="9" s="1"/>
  <c r="DR84" i="9" s="1"/>
  <c r="A85" i="9"/>
  <c r="Z85" i="9" l="1"/>
  <c r="AA85" i="9" s="1"/>
  <c r="AC85" i="9" s="1"/>
  <c r="DR85" i="9" s="1"/>
  <c r="A86" i="9"/>
  <c r="A87" i="9" l="1"/>
  <c r="Z86" i="9"/>
  <c r="AA86" i="9" s="1"/>
  <c r="AC86" i="9" s="1"/>
  <c r="DR86" i="9" s="1"/>
  <c r="A88" i="9" l="1"/>
  <c r="Z87" i="9"/>
  <c r="AA87" i="9" s="1"/>
  <c r="AC87" i="9" s="1"/>
  <c r="DR87" i="9" s="1"/>
  <c r="Z88" i="9" l="1"/>
  <c r="AA88" i="9" s="1"/>
  <c r="AC88" i="9" s="1"/>
  <c r="DR88" i="9" s="1"/>
  <c r="A89" i="9"/>
  <c r="A90" i="9" s="1"/>
  <c r="A91" i="9" s="1"/>
  <c r="Z91" i="9" l="1"/>
  <c r="AA91" i="9" s="1"/>
  <c r="AC91" i="9" s="1"/>
  <c r="DR91" i="9" s="1"/>
  <c r="A92" i="9"/>
  <c r="A93" i="9" l="1"/>
  <c r="Z92" i="9"/>
  <c r="AA92" i="9" s="1"/>
  <c r="AC92" i="9" s="1"/>
  <c r="DR92" i="9" s="1"/>
  <c r="A94" i="9" l="1"/>
  <c r="Z93" i="9"/>
  <c r="AA93" i="9" s="1"/>
  <c r="AC93" i="9" s="1"/>
  <c r="DR93" i="9" s="1"/>
  <c r="A95" i="9" l="1"/>
  <c r="Z94" i="9"/>
  <c r="AA94" i="9" s="1"/>
  <c r="AC94" i="9" s="1"/>
  <c r="DR94" i="9" s="1"/>
  <c r="Z95" i="9" l="1"/>
  <c r="AA95" i="9" s="1"/>
  <c r="AC95" i="9" s="1"/>
  <c r="DR95" i="9" s="1"/>
  <c r="A96" i="9"/>
  <c r="A97" i="9" l="1"/>
  <c r="Z96" i="9"/>
  <c r="AA96" i="9" s="1"/>
  <c r="AC96" i="9" s="1"/>
  <c r="DR96" i="9" s="1"/>
  <c r="A98" i="9" l="1"/>
  <c r="Z97" i="9"/>
  <c r="AA97" i="9" s="1"/>
  <c r="AC97" i="9" s="1"/>
  <c r="DR97" i="9" s="1"/>
  <c r="A99" i="9" l="1"/>
  <c r="Z98" i="9"/>
  <c r="AA98" i="9" s="1"/>
  <c r="AC98" i="9" s="1"/>
  <c r="DR98" i="9" s="1"/>
  <c r="Z99" i="9" l="1"/>
  <c r="AA99" i="9" s="1"/>
  <c r="AC99" i="9" s="1"/>
  <c r="DR99" i="9" s="1"/>
  <c r="A100" i="9"/>
  <c r="Z100" i="9" l="1"/>
  <c r="AA100" i="9" s="1"/>
  <c r="AC100" i="9" s="1"/>
  <c r="DR100" i="9" s="1"/>
  <c r="A101" i="9"/>
  <c r="Z101" i="9" l="1"/>
  <c r="AA101" i="9" s="1"/>
  <c r="AC101" i="9" s="1"/>
  <c r="DR101" i="9" s="1"/>
  <c r="A102" i="9"/>
  <c r="Z102" i="9" l="1"/>
  <c r="AA102" i="9" s="1"/>
  <c r="AC102" i="9" s="1"/>
  <c r="DR102" i="9" s="1"/>
  <c r="A103" i="9"/>
  <c r="Z103" i="9" l="1"/>
  <c r="AA103" i="9" s="1"/>
  <c r="AC103" i="9" s="1"/>
  <c r="DR103" i="9" s="1"/>
  <c r="A104" i="9"/>
  <c r="A105" i="9" l="1"/>
  <c r="Z104" i="9"/>
  <c r="AA104" i="9" s="1"/>
  <c r="AC104" i="9" s="1"/>
  <c r="DR104" i="9" s="1"/>
  <c r="A106" i="9" l="1"/>
  <c r="Z105" i="9"/>
  <c r="AA105" i="9" s="1"/>
  <c r="AC105" i="9" s="1"/>
  <c r="DR105" i="9" s="1"/>
  <c r="Z106" i="9" l="1"/>
  <c r="AA106" i="9" s="1"/>
  <c r="AC106" i="9" s="1"/>
  <c r="DR106" i="9" s="1"/>
  <c r="A107" i="9"/>
  <c r="Z107" i="9" l="1"/>
  <c r="AA107" i="9" s="1"/>
  <c r="AC107" i="9" s="1"/>
  <c r="DR107" i="9" s="1"/>
  <c r="A108" i="9"/>
  <c r="Z108" i="9" l="1"/>
  <c r="AA108" i="9" s="1"/>
  <c r="AC108" i="9" s="1"/>
  <c r="DR108" i="9" s="1"/>
  <c r="A109" i="9"/>
  <c r="A110" i="9" l="1"/>
  <c r="Z109" i="9"/>
  <c r="AA109" i="9" s="1"/>
  <c r="AC109" i="9" s="1"/>
  <c r="DR109" i="9" s="1"/>
  <c r="A111" i="9" l="1"/>
  <c r="Z110" i="9"/>
  <c r="AA110" i="9" s="1"/>
  <c r="AC110" i="9" s="1"/>
  <c r="DR110" i="9" s="1"/>
  <c r="Z111" i="9" l="1"/>
  <c r="AA111" i="9" s="1"/>
  <c r="AC111" i="9" s="1"/>
  <c r="DR111" i="9" s="1"/>
  <c r="A112" i="9"/>
  <c r="DR90" i="6"/>
  <c r="A113" i="9" l="1"/>
  <c r="Z112" i="9"/>
  <c r="AA112" i="9" s="1"/>
  <c r="AC112" i="9" s="1"/>
  <c r="DR112" i="9" s="1"/>
  <c r="A114" i="9" l="1"/>
  <c r="Z113" i="9"/>
  <c r="AA113" i="9" s="1"/>
  <c r="AC113" i="9" s="1"/>
  <c r="DR113" i="9" s="1"/>
  <c r="Z114" i="9" l="1"/>
  <c r="AA114" i="9" s="1"/>
  <c r="AC114" i="9" s="1"/>
  <c r="DR114" i="9" s="1"/>
  <c r="A115" i="9"/>
  <c r="A119" i="9" l="1"/>
  <c r="Z115" i="9"/>
  <c r="AA115" i="9" s="1"/>
  <c r="AC115" i="9" l="1"/>
  <c r="DR115" i="9" s="1"/>
  <c r="AA116" i="9"/>
  <c r="AB3" i="9" s="1"/>
  <c r="A120" i="9"/>
  <c r="Z119" i="9"/>
  <c r="AA119" i="9" s="1"/>
  <c r="AC119" i="9" l="1"/>
  <c r="DR119" i="9" s="1"/>
  <c r="A121" i="9"/>
  <c r="Z120" i="9"/>
  <c r="AA120" i="9" s="1"/>
  <c r="AC120" i="9" s="1"/>
  <c r="DR120" i="9" s="1"/>
  <c r="A122" i="9" l="1"/>
  <c r="Z121" i="9"/>
  <c r="AA121" i="9" s="1"/>
  <c r="AC121" i="9" l="1"/>
  <c r="DR121" i="9" s="1"/>
  <c r="A123" i="9"/>
  <c r="Z122" i="9"/>
  <c r="AA122" i="9" s="1"/>
  <c r="AC122" i="9" s="1"/>
  <c r="DR122" i="9" s="1"/>
  <c r="Z123" i="9" l="1"/>
  <c r="AA123" i="9" s="1"/>
  <c r="AC123" i="9" s="1"/>
  <c r="DR123" i="9" s="1"/>
  <c r="A124" i="9"/>
  <c r="Z124" i="9" l="1"/>
  <c r="AA124" i="9" s="1"/>
  <c r="AC124" i="9" s="1"/>
  <c r="DR124" i="9" s="1"/>
  <c r="A125" i="9"/>
  <c r="Z125" i="9" l="1"/>
  <c r="AA125" i="9" s="1"/>
  <c r="AC125" i="9" s="1"/>
  <c r="DR125" i="9" s="1"/>
  <c r="A126" i="9"/>
  <c r="Z126" i="9" l="1"/>
  <c r="AA126" i="9" s="1"/>
  <c r="AC126" i="9" s="1"/>
  <c r="DR126" i="9" s="1"/>
  <c r="A127" i="9"/>
  <c r="Z127" i="9" l="1"/>
  <c r="AA127" i="9" s="1"/>
  <c r="AC127" i="9" s="1"/>
  <c r="DR127" i="9" s="1"/>
  <c r="A128" i="9"/>
  <c r="A129" i="9" l="1"/>
  <c r="Z128" i="9"/>
  <c r="AA128" i="9" s="1"/>
  <c r="AC128" i="9" s="1"/>
  <c r="DR128" i="9" s="1"/>
  <c r="Z129" i="9" l="1"/>
  <c r="AA129" i="9" s="1"/>
  <c r="AC129" i="9" s="1"/>
  <c r="DR129" i="9" s="1"/>
  <c r="A130" i="9"/>
  <c r="Z130" i="9" l="1"/>
  <c r="AA130" i="9" s="1"/>
  <c r="AC130" i="9" s="1"/>
  <c r="DR130" i="9" s="1"/>
  <c r="A131" i="9"/>
  <c r="A132" i="9" l="1"/>
  <c r="Z131" i="9"/>
  <c r="AA131" i="9" s="1"/>
  <c r="AC131" i="9" s="1"/>
  <c r="DR131" i="9" s="1"/>
  <c r="A133" i="9" l="1"/>
  <c r="Z132" i="9"/>
  <c r="AA132" i="9" s="1"/>
  <c r="AC132" i="9" s="1"/>
  <c r="DR132" i="9" s="1"/>
  <c r="A134" i="9" l="1"/>
  <c r="Z133" i="9"/>
  <c r="AA133" i="9" s="1"/>
  <c r="AC133" i="9" s="1"/>
  <c r="DR133" i="9" s="1"/>
  <c r="A135" i="9" l="1"/>
  <c r="Z134" i="9"/>
  <c r="AA134" i="9" s="1"/>
  <c r="AC134" i="9" s="1"/>
  <c r="DR134" i="9" s="1"/>
  <c r="AB3" i="6"/>
  <c r="A136" i="9" l="1"/>
  <c r="Z135" i="9"/>
  <c r="AA135" i="9" s="1"/>
  <c r="AC135" i="9" s="1"/>
  <c r="DR135" i="9" s="1"/>
  <c r="Z136" i="9" l="1"/>
  <c r="AA136" i="9" s="1"/>
  <c r="AC136" i="9" s="1"/>
  <c r="DR136" i="9" s="1"/>
  <c r="A137" i="9"/>
  <c r="Z137" i="9" l="1"/>
  <c r="AA137" i="9" s="1"/>
  <c r="AC137" i="9" s="1"/>
  <c r="DR137" i="9" s="1"/>
  <c r="A138" i="9"/>
  <c r="Z138" i="9" l="1"/>
  <c r="AA138" i="9" s="1"/>
  <c r="AC138" i="9" s="1"/>
  <c r="DR138" i="9" s="1"/>
  <c r="A139" i="9"/>
  <c r="Z139" i="9" l="1"/>
  <c r="AA139" i="9" s="1"/>
  <c r="AC139" i="9" s="1"/>
  <c r="DR139" i="9" s="1"/>
  <c r="A140" i="9"/>
  <c r="A141" i="9" l="1"/>
  <c r="Z140" i="9"/>
  <c r="AA140" i="9" s="1"/>
  <c r="AC140" i="9" s="1"/>
  <c r="DR140" i="9" s="1"/>
  <c r="Z141" i="9" l="1"/>
  <c r="AA141" i="9" s="1"/>
  <c r="AC141" i="9" s="1"/>
  <c r="DR141" i="9" s="1"/>
  <c r="A142" i="9"/>
  <c r="A143" i="9" l="1"/>
  <c r="Z142" i="9"/>
  <c r="AA142" i="9" s="1"/>
  <c r="AC142" i="9" s="1"/>
  <c r="DR142" i="9" s="1"/>
  <c r="Z143" i="9" l="1"/>
  <c r="AA143" i="9" s="1"/>
  <c r="AC143" i="9" s="1"/>
  <c r="DR143" i="9" s="1"/>
  <c r="A144" i="9"/>
  <c r="Z144" i="9" l="1"/>
  <c r="AA144" i="9" s="1"/>
  <c r="AC144" i="9" s="1"/>
  <c r="DR144" i="9" s="1"/>
  <c r="A145" i="9"/>
  <c r="A146" i="9" l="1"/>
  <c r="Z145" i="9"/>
  <c r="AA145" i="9" s="1"/>
  <c r="AC145" i="9" s="1"/>
  <c r="DR145" i="9" s="1"/>
  <c r="A147" i="9" l="1"/>
  <c r="Z146" i="9"/>
  <c r="AA146" i="9" s="1"/>
  <c r="AC146" i="9" s="1"/>
  <c r="DR146" i="9" s="1"/>
  <c r="Z147" i="9" l="1"/>
  <c r="AA147" i="9" s="1"/>
  <c r="AC147" i="9" s="1"/>
  <c r="DR147" i="9" s="1"/>
  <c r="A148" i="9"/>
  <c r="A149" i="9" l="1"/>
  <c r="Z148" i="9"/>
  <c r="AA148" i="9" s="1"/>
  <c r="AC148" i="9" s="1"/>
  <c r="DR148" i="9" s="1"/>
  <c r="Z149" i="9" l="1"/>
  <c r="AA149" i="9" s="1"/>
  <c r="AC149" i="9" s="1"/>
  <c r="DR149" i="9" s="1"/>
  <c r="A150" i="9"/>
  <c r="A151" i="9" l="1"/>
  <c r="Z150" i="9"/>
  <c r="AA150" i="9" s="1"/>
  <c r="AC150" i="9" s="1"/>
  <c r="DR150" i="9" s="1"/>
  <c r="A152" i="9" l="1"/>
  <c r="Z151" i="9"/>
  <c r="AA151" i="9" s="1"/>
  <c r="AC151" i="9" s="1"/>
  <c r="DR151" i="9" s="1"/>
  <c r="A153" i="9" l="1"/>
  <c r="Z152" i="9"/>
  <c r="AA152" i="9" s="1"/>
  <c r="AC152" i="9" s="1"/>
  <c r="DR152" i="9" s="1"/>
  <c r="Z153" i="9" l="1"/>
  <c r="AA153" i="9" s="1"/>
  <c r="AC153" i="9" s="1"/>
  <c r="DR153" i="9" s="1"/>
  <c r="A154" i="9"/>
  <c r="A155" i="9" l="1"/>
  <c r="Z154" i="9"/>
  <c r="AA154" i="9" s="1"/>
  <c r="AC154" i="9" s="1"/>
  <c r="DR154" i="9" s="1"/>
  <c r="A156" i="9" l="1"/>
  <c r="Z155" i="9"/>
  <c r="AA155" i="9" s="1"/>
  <c r="AC155" i="9" s="1"/>
  <c r="DR155" i="9" s="1"/>
  <c r="A157" i="9" l="1"/>
  <c r="Z156" i="9"/>
  <c r="AA156" i="9" s="1"/>
  <c r="AC156" i="9" s="1"/>
  <c r="DR156" i="9" s="1"/>
  <c r="A158" i="9" l="1"/>
  <c r="Z157" i="9"/>
  <c r="AA157" i="9" s="1"/>
  <c r="AC157" i="9" s="1"/>
  <c r="DR157" i="9" s="1"/>
  <c r="A159" i="9" l="1"/>
  <c r="Z158" i="9"/>
  <c r="AA158" i="9" s="1"/>
  <c r="AC158" i="9" s="1"/>
  <c r="DR158" i="9" s="1"/>
  <c r="Z159" i="9" l="1"/>
  <c r="AA159" i="9" s="1"/>
  <c r="AC159" i="9" s="1"/>
  <c r="DR159" i="9" s="1"/>
  <c r="A160" i="9"/>
  <c r="Z160" i="9" l="1"/>
  <c r="AA160" i="9" s="1"/>
  <c r="AC160" i="9" s="1"/>
  <c r="DR160" i="9" s="1"/>
  <c r="A161" i="9"/>
  <c r="Z161" i="9" l="1"/>
  <c r="AA161" i="9" s="1"/>
  <c r="AC161" i="9" s="1"/>
  <c r="DR161" i="9" s="1"/>
  <c r="A162" i="9"/>
  <c r="Z162" i="9" l="1"/>
  <c r="AA162" i="9" s="1"/>
  <c r="AC162" i="9" s="1"/>
  <c r="DR162" i="9" s="1"/>
  <c r="A163" i="9"/>
  <c r="Z163" i="9" l="1"/>
  <c r="AA163" i="9" s="1"/>
  <c r="AC163" i="9" s="1"/>
  <c r="DR163" i="9" s="1"/>
  <c r="A164" i="9"/>
  <c r="A165" i="9" l="1"/>
  <c r="Z164" i="9"/>
  <c r="AA164" i="9" s="1"/>
  <c r="AC164" i="9" s="1"/>
  <c r="DR164" i="9" s="1"/>
  <c r="Z165" i="9" l="1"/>
  <c r="AA165" i="9" s="1"/>
  <c r="AC165" i="9" s="1"/>
  <c r="DR165" i="9" s="1"/>
  <c r="A166" i="9"/>
  <c r="Z166" i="9" l="1"/>
  <c r="AA166" i="9" s="1"/>
  <c r="AC166" i="9" s="1"/>
  <c r="DR166" i="9" s="1"/>
  <c r="A167" i="9"/>
  <c r="A168" i="9" l="1"/>
  <c r="Z167" i="9"/>
  <c r="AA167" i="9" s="1"/>
  <c r="AC167" i="9" s="1"/>
  <c r="DR167" i="9" s="1"/>
  <c r="Z168" i="9" l="1"/>
  <c r="AA168" i="9" s="1"/>
  <c r="AC168" i="9" s="1"/>
  <c r="DR168" i="9" s="1"/>
  <c r="A169" i="9"/>
  <c r="A170" i="9" l="1"/>
  <c r="Z169" i="9"/>
  <c r="AA169" i="9" s="1"/>
  <c r="AC169" i="9" s="1"/>
  <c r="DR169" i="9" s="1"/>
  <c r="Z170" i="9" l="1"/>
  <c r="AA170" i="9" s="1"/>
  <c r="AC170" i="9" s="1"/>
  <c r="DR170" i="9" s="1"/>
  <c r="A171" i="9"/>
  <c r="Z171" i="9" l="1"/>
  <c r="AA171" i="9" s="1"/>
  <c r="AC171" i="9" s="1"/>
  <c r="DR171" i="9" s="1"/>
  <c r="A172" i="9"/>
  <c r="A173" i="9" l="1"/>
  <c r="Z172" i="9"/>
  <c r="AA172" i="9" s="1"/>
  <c r="AC172" i="9" s="1"/>
  <c r="DR172" i="9" s="1"/>
  <c r="Z173" i="9" l="1"/>
  <c r="AA173" i="9" s="1"/>
  <c r="AC173" i="9" s="1"/>
  <c r="DR173" i="9" s="1"/>
  <c r="A174" i="9"/>
  <c r="Z174" i="9" l="1"/>
  <c r="AA174" i="9" s="1"/>
  <c r="AC174" i="9" s="1"/>
  <c r="DR174" i="9" s="1"/>
  <c r="A175" i="9"/>
  <c r="A176" i="9" l="1"/>
  <c r="Z175" i="9"/>
  <c r="AA175" i="9" s="1"/>
  <c r="AC175" i="9" s="1"/>
  <c r="DR175" i="9" s="1"/>
  <c r="A177" i="9" l="1"/>
  <c r="Z176" i="9"/>
  <c r="AA176" i="9" s="1"/>
  <c r="AC176" i="9" s="1"/>
  <c r="DR176" i="9" s="1"/>
  <c r="A178" i="9" l="1"/>
  <c r="Z177" i="9"/>
  <c r="AA177" i="9" s="1"/>
  <c r="AC177" i="9" s="1"/>
  <c r="DR177" i="9" s="1"/>
  <c r="Z178" i="9" l="1"/>
  <c r="AA178" i="9" s="1"/>
  <c r="AC178" i="9" s="1"/>
  <c r="DR178" i="9" s="1"/>
  <c r="A179" i="9"/>
  <c r="A180" i="9" l="1"/>
  <c r="Z179" i="9"/>
  <c r="AA179" i="9" s="1"/>
  <c r="AC179" i="9" s="1"/>
  <c r="DR179" i="9" s="1"/>
  <c r="Z180" i="9" l="1"/>
  <c r="AA180" i="9" s="1"/>
  <c r="AC180" i="9" s="1"/>
  <c r="DR180" i="9" s="1"/>
  <c r="A181" i="9"/>
  <c r="Z181" i="9" l="1"/>
  <c r="AA181" i="9" s="1"/>
  <c r="AC181" i="9" s="1"/>
  <c r="DR181" i="9" s="1"/>
  <c r="A182" i="9"/>
  <c r="A183" i="9" l="1"/>
  <c r="Z182" i="9"/>
  <c r="AA182" i="9" s="1"/>
  <c r="AC182" i="9" s="1"/>
  <c r="DR182" i="9" s="1"/>
  <c r="Z183" i="9" l="1"/>
  <c r="AA183" i="9" s="1"/>
  <c r="AC183" i="9" s="1"/>
  <c r="DR183" i="9" s="1"/>
  <c r="A184" i="9"/>
  <c r="Z184" i="9" l="1"/>
  <c r="AA184" i="9" s="1"/>
  <c r="AC184" i="9" s="1"/>
  <c r="DR184" i="9" s="1"/>
  <c r="A185" i="9"/>
  <c r="Z185" i="9" l="1"/>
  <c r="AA185" i="9" s="1"/>
  <c r="AC185" i="9" s="1"/>
  <c r="DR185" i="9" s="1"/>
  <c r="A186" i="9"/>
  <c r="A187" i="9" l="1"/>
  <c r="Z186" i="9"/>
  <c r="AA186" i="9" s="1"/>
  <c r="AC186" i="9" s="1"/>
  <c r="DR186" i="9" s="1"/>
  <c r="Z187" i="9" l="1"/>
  <c r="AA187" i="9" s="1"/>
  <c r="AC187" i="9" s="1"/>
  <c r="DR187" i="9" s="1"/>
  <c r="A188" i="9"/>
  <c r="Z188" i="9" l="1"/>
  <c r="AA188" i="9" s="1"/>
  <c r="AC188" i="9" s="1"/>
  <c r="DR188" i="9" s="1"/>
  <c r="A189" i="9"/>
  <c r="Z189" i="9" l="1"/>
  <c r="AA189" i="9" s="1"/>
  <c r="AC189" i="9" s="1"/>
  <c r="DR189" i="9" s="1"/>
  <c r="A190" i="9"/>
  <c r="Z190" i="9" l="1"/>
  <c r="AA190" i="9" s="1"/>
  <c r="AC190" i="9" s="1"/>
  <c r="DR190" i="9" s="1"/>
  <c r="A191" i="9"/>
  <c r="A192" i="9" l="1"/>
  <c r="Z191" i="9"/>
  <c r="AA191" i="9" s="1"/>
  <c r="AC191" i="9" s="1"/>
  <c r="DR191" i="9" s="1"/>
  <c r="A193" i="9" l="1"/>
  <c r="Z192" i="9"/>
  <c r="AA192" i="9" s="1"/>
  <c r="AC192" i="9" s="1"/>
  <c r="DR192" i="9" s="1"/>
  <c r="A194" i="9" l="1"/>
  <c r="Z193" i="9"/>
  <c r="AA193" i="9" s="1"/>
  <c r="AC193" i="9" s="1"/>
  <c r="DR193" i="9" s="1"/>
  <c r="A195" i="9" l="1"/>
  <c r="Z194" i="9"/>
  <c r="AA194" i="9" s="1"/>
  <c r="AC194" i="9" s="1"/>
  <c r="DR194" i="9" s="1"/>
  <c r="Z195" i="9" l="1"/>
  <c r="AA195" i="9" s="1"/>
  <c r="AC195" i="9" s="1"/>
  <c r="DR195" i="9" s="1"/>
  <c r="A196" i="9"/>
  <c r="A197" i="9" l="1"/>
  <c r="Z196" i="9"/>
  <c r="AA196" i="9" s="1"/>
  <c r="AC196" i="9" s="1"/>
  <c r="DR196" i="9" s="1"/>
  <c r="A198" i="9" l="1"/>
  <c r="Z197" i="9"/>
  <c r="AA197" i="9" s="1"/>
  <c r="AC197" i="9" s="1"/>
  <c r="DR197" i="9" s="1"/>
  <c r="A199" i="9" l="1"/>
  <c r="Z198" i="9"/>
  <c r="AA198" i="9" s="1"/>
  <c r="AC198" i="9" s="1"/>
  <c r="DR198" i="9" s="1"/>
  <c r="Z199" i="9" l="1"/>
  <c r="AA199" i="9" s="1"/>
  <c r="AC199" i="9" s="1"/>
  <c r="DR199" i="9" s="1"/>
  <c r="A200" i="9"/>
  <c r="A201" i="9" l="1"/>
  <c r="Z200" i="9"/>
  <c r="AA200" i="9" s="1"/>
  <c r="AC200" i="9" s="1"/>
  <c r="DR200" i="9" s="1"/>
  <c r="Z201" i="9" l="1"/>
  <c r="AA201" i="9" s="1"/>
  <c r="AC201" i="9" s="1"/>
  <c r="DR201" i="9" s="1"/>
  <c r="A202" i="9"/>
  <c r="A203" i="9" l="1"/>
  <c r="Z202" i="9"/>
  <c r="AA202" i="9" s="1"/>
  <c r="AC202" i="9" s="1"/>
  <c r="DR202" i="9" s="1"/>
  <c r="Z203" i="9" l="1"/>
  <c r="AA203" i="9" s="1"/>
  <c r="AC203" i="9" s="1"/>
  <c r="DR203" i="9" s="1"/>
  <c r="A204" i="9"/>
  <c r="A205" i="9" l="1"/>
  <c r="Z204" i="9"/>
  <c r="AA204" i="9" s="1"/>
  <c r="AC204" i="9" s="1"/>
  <c r="DR204" i="9" s="1"/>
  <c r="Z205" i="9" l="1"/>
  <c r="AA205" i="9" s="1"/>
  <c r="AC205" i="9" s="1"/>
  <c r="DR205" i="9" s="1"/>
  <c r="A206" i="9"/>
  <c r="A207" i="9" l="1"/>
  <c r="Z206" i="9"/>
  <c r="AA206" i="9" s="1"/>
  <c r="AC206" i="9" s="1"/>
  <c r="DR206" i="9" s="1"/>
  <c r="Z207" i="9" l="1"/>
  <c r="AA207" i="9" s="1"/>
  <c r="AC207" i="9" s="1"/>
  <c r="DR207" i="9" s="1"/>
  <c r="A208" i="9"/>
  <c r="A209" i="9" l="1"/>
  <c r="Z208" i="9"/>
  <c r="AA208" i="9" s="1"/>
  <c r="AC208" i="9" s="1"/>
  <c r="DR208" i="9" s="1"/>
  <c r="Z257" i="6"/>
  <c r="AA257" i="6" s="1"/>
  <c r="A210" i="9" l="1"/>
  <c r="Z209" i="9"/>
  <c r="AA209" i="9" s="1"/>
  <c r="AC209" i="9" s="1"/>
  <c r="DR209" i="9" s="1"/>
  <c r="AC257" i="6"/>
  <c r="DR257" i="6" s="1"/>
  <c r="A211" i="9" l="1"/>
  <c r="Z210" i="9"/>
  <c r="AA210" i="9" s="1"/>
  <c r="AC210" i="9" s="1"/>
  <c r="DR210" i="9" s="1"/>
  <c r="A212" i="9" l="1"/>
  <c r="Z211" i="9"/>
  <c r="AA211" i="9" s="1"/>
  <c r="AC211" i="9" s="1"/>
  <c r="DR211" i="9" s="1"/>
  <c r="A213" i="9" l="1"/>
  <c r="Z212" i="9"/>
  <c r="AA212" i="9" s="1"/>
  <c r="AC212" i="9" s="1"/>
  <c r="DR212" i="9" s="1"/>
  <c r="A214" i="9" l="1"/>
  <c r="Z213" i="9"/>
  <c r="AA213" i="9" s="1"/>
  <c r="AC213" i="9" s="1"/>
  <c r="DR213" i="9" s="1"/>
  <c r="Z214" i="9" l="1"/>
  <c r="AA214" i="9" s="1"/>
  <c r="AC214" i="9" s="1"/>
  <c r="DR214" i="9" s="1"/>
  <c r="A215" i="9"/>
  <c r="Z215" i="9" l="1"/>
  <c r="AA215" i="9" s="1"/>
  <c r="AC215" i="9" s="1"/>
  <c r="DR215" i="9" s="1"/>
  <c r="A216" i="9"/>
  <c r="Z216" i="9" l="1"/>
  <c r="AA216" i="9" s="1"/>
  <c r="AC216" i="9" s="1"/>
  <c r="DR216" i="9" s="1"/>
  <c r="A217" i="9"/>
  <c r="Z217" i="9" l="1"/>
  <c r="AA217" i="9" s="1"/>
  <c r="AC217" i="9" s="1"/>
  <c r="DR217" i="9" s="1"/>
  <c r="A218" i="9"/>
  <c r="Z218" i="9" l="1"/>
  <c r="AA218" i="9" s="1"/>
  <c r="AC218" i="9" s="1"/>
  <c r="DR218" i="9" s="1"/>
  <c r="A219" i="9"/>
  <c r="Z219" i="9" l="1"/>
  <c r="AA219" i="9" s="1"/>
  <c r="AC219" i="9" s="1"/>
  <c r="DR219" i="9" s="1"/>
  <c r="A220" i="9"/>
  <c r="A221" i="9" l="1"/>
  <c r="Z220" i="9"/>
  <c r="AA220" i="9" s="1"/>
  <c r="AC220" i="9" s="1"/>
  <c r="DR220" i="9" s="1"/>
  <c r="Z221" i="9" l="1"/>
  <c r="AA221" i="9" s="1"/>
  <c r="AC221" i="9" s="1"/>
  <c r="DR221" i="9" s="1"/>
  <c r="A222" i="9"/>
  <c r="A223" i="9" l="1"/>
  <c r="Z222" i="9"/>
  <c r="AA222" i="9" s="1"/>
  <c r="AC222" i="9" s="1"/>
  <c r="DR222" i="9" s="1"/>
  <c r="Z223" i="9" l="1"/>
  <c r="AA223" i="9" s="1"/>
  <c r="AC223" i="9" s="1"/>
  <c r="DR223" i="9" s="1"/>
  <c r="A224" i="9"/>
  <c r="Z224" i="9" l="1"/>
  <c r="AA224" i="9" s="1"/>
  <c r="AC224" i="9" s="1"/>
  <c r="DR224" i="9" s="1"/>
  <c r="A225" i="9"/>
  <c r="Z225" i="9" l="1"/>
  <c r="AA225" i="9" s="1"/>
  <c r="AC225" i="9" s="1"/>
  <c r="DR225" i="9" s="1"/>
  <c r="A226" i="9"/>
  <c r="A227" i="9" l="1"/>
  <c r="Z226" i="9"/>
  <c r="AA226" i="9" s="1"/>
  <c r="AC226" i="9" s="1"/>
  <c r="DR226" i="9" s="1"/>
  <c r="A228" i="9" l="1"/>
  <c r="Z227" i="9"/>
  <c r="AA227" i="9" s="1"/>
  <c r="AC227" i="9" s="1"/>
  <c r="DR227" i="9" s="1"/>
  <c r="Z228" i="9" l="1"/>
  <c r="AA228" i="9" s="1"/>
  <c r="AC228" i="9" s="1"/>
  <c r="DR228" i="9" s="1"/>
  <c r="A229" i="9"/>
  <c r="Z229" i="9" l="1"/>
  <c r="AA229" i="9" s="1"/>
  <c r="AC229" i="9" s="1"/>
  <c r="DR229" i="9" s="1"/>
  <c r="A230" i="9"/>
  <c r="Z230" i="9" l="1"/>
  <c r="AA230" i="9" s="1"/>
  <c r="AC230" i="9" s="1"/>
  <c r="DR230" i="9" s="1"/>
  <c r="A231" i="9"/>
  <c r="A232" i="9" l="1"/>
  <c r="Z231" i="9"/>
  <c r="AA231" i="9" s="1"/>
  <c r="AC231" i="9" s="1"/>
  <c r="DR231" i="9" s="1"/>
  <c r="A233" i="9" l="1"/>
  <c r="Z232" i="9"/>
  <c r="AA232" i="9" s="1"/>
  <c r="AC232" i="9" s="1"/>
  <c r="DR232" i="9" s="1"/>
  <c r="A234" i="9" l="1"/>
  <c r="Z233" i="9"/>
  <c r="AA233" i="9" s="1"/>
  <c r="AC233" i="9" s="1"/>
  <c r="DR233" i="9" s="1"/>
  <c r="A235" i="9" l="1"/>
  <c r="Z234" i="9"/>
  <c r="AA234" i="9" s="1"/>
  <c r="AC234" i="9" s="1"/>
  <c r="DR234" i="9" s="1"/>
  <c r="Z235" i="9" l="1"/>
  <c r="AA235" i="9" s="1"/>
  <c r="AC235" i="9" s="1"/>
  <c r="DR235" i="9" s="1"/>
  <c r="A236" i="9"/>
  <c r="Z236" i="9" l="1"/>
  <c r="AA236" i="9" s="1"/>
  <c r="AC236" i="9" s="1"/>
  <c r="DR236" i="9" s="1"/>
  <c r="A237" i="9"/>
  <c r="Z237" i="9" l="1"/>
  <c r="AA237" i="9" s="1"/>
  <c r="AC237" i="9" s="1"/>
  <c r="DR237" i="9" s="1"/>
  <c r="A238" i="9"/>
  <c r="A239" i="9" l="1"/>
  <c r="Z238" i="9"/>
  <c r="AA238" i="9" s="1"/>
  <c r="AC238" i="9" s="1"/>
  <c r="DR238" i="9" s="1"/>
  <c r="A240" i="9" l="1"/>
  <c r="Z239" i="9"/>
  <c r="AA239" i="9" s="1"/>
  <c r="AC239" i="9" s="1"/>
  <c r="DR239" i="9" s="1"/>
  <c r="A241" i="9" l="1"/>
  <c r="Z240" i="9"/>
  <c r="AA240" i="9" s="1"/>
  <c r="AC240" i="9" s="1"/>
  <c r="DR240" i="9" s="1"/>
  <c r="Z241" i="9" l="1"/>
  <c r="AA241" i="9" s="1"/>
  <c r="AC241" i="9" s="1"/>
  <c r="DR241" i="9" s="1"/>
  <c r="A242" i="9"/>
  <c r="Z242" i="9" l="1"/>
  <c r="AA242" i="9" s="1"/>
  <c r="AC242" i="9" s="1"/>
  <c r="DR242" i="9" s="1"/>
  <c r="A243" i="9"/>
  <c r="A244" i="9" l="1"/>
  <c r="Z243" i="9"/>
  <c r="AA243" i="9" s="1"/>
  <c r="AC243" i="9" s="1"/>
  <c r="DR243" i="9" s="1"/>
  <c r="Z244" i="9" l="1"/>
  <c r="AA244" i="9" s="1"/>
  <c r="AC244" i="9" s="1"/>
  <c r="DR244" i="9" s="1"/>
  <c r="A245" i="9"/>
  <c r="Z245" i="9" l="1"/>
  <c r="AA245" i="9" s="1"/>
  <c r="AC245" i="9" s="1"/>
  <c r="DR245" i="9" s="1"/>
  <c r="A246" i="9"/>
  <c r="A247" i="9" l="1"/>
  <c r="Z246" i="9"/>
  <c r="AA246" i="9" s="1"/>
  <c r="AC246" i="9" s="1"/>
  <c r="DR246" i="9" s="1"/>
  <c r="A248" i="9" l="1"/>
  <c r="Z247" i="9"/>
  <c r="AA247" i="9" s="1"/>
  <c r="AC247" i="9" s="1"/>
  <c r="DR247" i="9" s="1"/>
  <c r="A249" i="9" l="1"/>
  <c r="Z248" i="9"/>
  <c r="AA248" i="9" s="1"/>
  <c r="AC248" i="9" s="1"/>
  <c r="DR248" i="9" s="1"/>
  <c r="A250" i="9" l="1"/>
  <c r="Z249" i="9"/>
  <c r="AA249" i="9" s="1"/>
  <c r="AC249" i="9" s="1"/>
  <c r="DR249" i="9" s="1"/>
  <c r="A251" i="9" l="1"/>
  <c r="Z250" i="9"/>
  <c r="AA250" i="9" s="1"/>
  <c r="AC250" i="9" s="1"/>
  <c r="DR250" i="9" s="1"/>
  <c r="Z251" i="9" l="1"/>
  <c r="AA251" i="9" s="1"/>
  <c r="AC251" i="9" s="1"/>
  <c r="DR251" i="9" s="1"/>
  <c r="A252" i="9"/>
  <c r="A253" i="9" l="1"/>
  <c r="Z252" i="9"/>
  <c r="AA252" i="9" s="1"/>
  <c r="AC252" i="9" s="1"/>
  <c r="DR252" i="9" s="1"/>
  <c r="Z253" i="9" l="1"/>
  <c r="AA253" i="9" s="1"/>
  <c r="AC253" i="9" s="1"/>
  <c r="DR253" i="9" s="1"/>
  <c r="A254" i="9"/>
  <c r="Z254" i="9" l="1"/>
  <c r="AA254" i="9" s="1"/>
  <c r="AC254" i="9" s="1"/>
  <c r="DR254" i="9" s="1"/>
  <c r="A255" i="9"/>
  <c r="A256" i="9" l="1"/>
  <c r="Z255" i="9"/>
  <c r="AA255" i="9" s="1"/>
  <c r="AC255" i="9" s="1"/>
  <c r="DR255" i="9" s="1"/>
  <c r="A257" i="9" l="1"/>
  <c r="Z256" i="9"/>
  <c r="AA256" i="9" s="1"/>
  <c r="AC256" i="9" s="1"/>
  <c r="DR256" i="9" s="1"/>
  <c r="Z257" i="9" l="1"/>
  <c r="AA257" i="9" s="1"/>
  <c r="AC257" i="9" s="1"/>
  <c r="DR257" i="9" s="1"/>
  <c r="A258" i="9"/>
  <c r="A259" i="9" l="1"/>
  <c r="Z258" i="9"/>
  <c r="AA258" i="9" s="1"/>
  <c r="AC258" i="9" s="1"/>
  <c r="DR258" i="9" s="1"/>
  <c r="A260" i="9" l="1"/>
  <c r="Z259" i="9"/>
  <c r="AA259" i="9" s="1"/>
  <c r="AC259" i="9" s="1"/>
  <c r="DR259" i="9" s="1"/>
  <c r="Z260" i="9" l="1"/>
  <c r="AA260" i="9" s="1"/>
  <c r="AC260" i="9" s="1"/>
  <c r="DR260" i="9" s="1"/>
  <c r="A261" i="9"/>
  <c r="Z261" i="9" l="1"/>
  <c r="AA261" i="9" s="1"/>
  <c r="AC261" i="9" s="1"/>
  <c r="DR261" i="9" s="1"/>
  <c r="A262" i="9"/>
  <c r="Z262" i="9" s="1"/>
  <c r="AA262" i="9" s="1"/>
  <c r="AC262" i="9" l="1"/>
  <c r="DR262" i="9" s="1"/>
  <c r="AA265" i="9"/>
  <c r="AA280" i="9" l="1"/>
  <c r="AB4" i="9"/>
  <c r="AB6" i="9" s="1"/>
  <c r="Z15" i="6"/>
  <c r="AA15" i="6" s="1"/>
  <c r="AC15" i="6" s="1"/>
  <c r="DR15" i="6" s="1"/>
  <c r="Z14" i="6"/>
  <c r="AA14" i="6" l="1"/>
  <c r="Z17" i="6"/>
  <c r="AA17" i="6" s="1"/>
  <c r="AC17" i="6" s="1"/>
  <c r="DR17" i="6" s="1"/>
  <c r="AC14" i="6" l="1"/>
  <c r="DR14" i="6" s="1"/>
  <c r="Z18" i="6"/>
  <c r="AA18" i="6" s="1"/>
  <c r="AC18" i="6" s="1"/>
  <c r="DR18" i="6" s="1"/>
  <c r="Z19" i="6" l="1"/>
  <c r="AA19" i="6" s="1"/>
  <c r="AC19" i="6" s="1"/>
  <c r="DR19" i="6" s="1"/>
  <c r="Z20" i="6" l="1"/>
  <c r="AA20" i="6" s="1"/>
  <c r="AC20" i="6" s="1"/>
  <c r="DR20" i="6" s="1"/>
  <c r="Z21" i="6" l="1"/>
  <c r="AA21" i="6" s="1"/>
  <c r="AC21" i="6" s="1"/>
  <c r="DR21" i="6" s="1"/>
  <c r="Z22" i="6" l="1"/>
  <c r="AA22" i="6" s="1"/>
  <c r="AC22" i="6" s="1"/>
  <c r="DR22" i="6" s="1"/>
  <c r="Z23" i="6" l="1"/>
  <c r="AA23" i="6" s="1"/>
  <c r="AC23" i="6" s="1"/>
  <c r="DR23" i="6" s="1"/>
  <c r="Z24" i="6" l="1"/>
  <c r="AA24" i="6" s="1"/>
  <c r="AC24" i="6" s="1"/>
  <c r="DR24" i="6" s="1"/>
  <c r="Z25" i="6" l="1"/>
  <c r="AA25" i="6" s="1"/>
  <c r="AC25" i="6" s="1"/>
  <c r="DR25" i="6" s="1"/>
  <c r="Z26" i="6" l="1"/>
  <c r="AA26" i="6" s="1"/>
  <c r="AC26" i="6" s="1"/>
  <c r="DR26" i="6" s="1"/>
  <c r="Z27" i="6" l="1"/>
  <c r="AA27" i="6" s="1"/>
  <c r="AC27" i="6" s="1"/>
  <c r="DR27" i="6" s="1"/>
  <c r="Z28" i="6" l="1"/>
  <c r="AA28" i="6" s="1"/>
  <c r="AC28" i="6" s="1"/>
  <c r="DR28" i="6" s="1"/>
  <c r="Z29" i="6" l="1"/>
  <c r="AA29" i="6" s="1"/>
  <c r="AC29" i="6" s="1"/>
  <c r="DR29" i="6" s="1"/>
  <c r="Z30" i="6" l="1"/>
  <c r="AA30" i="6" s="1"/>
  <c r="AC30" i="6" s="1"/>
  <c r="DR30" i="6" s="1"/>
  <c r="Z31" i="6" l="1"/>
  <c r="AA31" i="6" s="1"/>
  <c r="AC31" i="6" s="1"/>
  <c r="DR31" i="6" s="1"/>
  <c r="Z32" i="6" l="1"/>
  <c r="AA32" i="6" s="1"/>
  <c r="AC32" i="6" s="1"/>
  <c r="DR32" i="6" s="1"/>
  <c r="Z33" i="6" l="1"/>
  <c r="AA33" i="6" s="1"/>
  <c r="AC33" i="6" s="1"/>
  <c r="DR33" i="6" s="1"/>
  <c r="Z34" i="6" l="1"/>
  <c r="AA34" i="6" s="1"/>
  <c r="AC34" i="6" s="1"/>
  <c r="DR34" i="6" s="1"/>
  <c r="Z35" i="6" l="1"/>
  <c r="AA35" i="6" s="1"/>
  <c r="AC35" i="6" s="1"/>
  <c r="DR35" i="6" s="1"/>
  <c r="Z36" i="6" l="1"/>
  <c r="AA36" i="6" s="1"/>
  <c r="AC36" i="6" s="1"/>
  <c r="DR36" i="6" s="1"/>
  <c r="Z37" i="6" l="1"/>
  <c r="AA37" i="6" s="1"/>
  <c r="AC37" i="6" s="1"/>
  <c r="DR37" i="6" s="1"/>
  <c r="Z38" i="6" l="1"/>
  <c r="AA38" i="6" s="1"/>
  <c r="AC38" i="6" s="1"/>
  <c r="DR38" i="6" s="1"/>
  <c r="Z39" i="6" l="1"/>
  <c r="AA39" i="6" s="1"/>
  <c r="AC39" i="6" s="1"/>
  <c r="DR39" i="6" s="1"/>
  <c r="Z40" i="6" l="1"/>
  <c r="AA40" i="6" s="1"/>
  <c r="AC40" i="6" s="1"/>
  <c r="DR40" i="6" s="1"/>
  <c r="Z41" i="6" l="1"/>
  <c r="AA41" i="6" s="1"/>
  <c r="AC41" i="6" s="1"/>
  <c r="DR41" i="6" s="1"/>
  <c r="Z42" i="6" l="1"/>
  <c r="AA42" i="6" s="1"/>
  <c r="AC42" i="6" s="1"/>
  <c r="DR42" i="6" s="1"/>
  <c r="Z43" i="6" l="1"/>
  <c r="AA43" i="6" s="1"/>
  <c r="AC43" i="6" s="1"/>
  <c r="DR43" i="6" s="1"/>
  <c r="Z44" i="6" l="1"/>
  <c r="AA44" i="6" s="1"/>
  <c r="AC44" i="6" s="1"/>
  <c r="DR44" i="6" s="1"/>
  <c r="Z45" i="6" l="1"/>
  <c r="AA45" i="6" s="1"/>
  <c r="AC45" i="6" s="1"/>
  <c r="DR45" i="6" s="1"/>
  <c r="Z47" i="6" l="1"/>
  <c r="AA47" i="6" s="1"/>
  <c r="AC47" i="6" s="1"/>
  <c r="DR47" i="6" s="1"/>
  <c r="Z48" i="6" l="1"/>
  <c r="AA48" i="6" s="1"/>
  <c r="AC48" i="6" s="1"/>
  <c r="DR48" i="6" s="1"/>
  <c r="Z49" i="6" l="1"/>
  <c r="AA49" i="6" s="1"/>
  <c r="AC49" i="6" s="1"/>
  <c r="DR49" i="6" s="1"/>
  <c r="Z50" i="6" l="1"/>
  <c r="AA50" i="6" s="1"/>
  <c r="AC50" i="6" s="1"/>
  <c r="DR50" i="6" s="1"/>
  <c r="Z51" i="6" l="1"/>
  <c r="AA51" i="6" s="1"/>
  <c r="AC51" i="6" s="1"/>
  <c r="DR51" i="6" s="1"/>
  <c r="Z52" i="6" l="1"/>
  <c r="AA52" i="6" s="1"/>
  <c r="AC52" i="6" s="1"/>
  <c r="DR52" i="6" s="1"/>
  <c r="Z53" i="6" l="1"/>
  <c r="AA53" i="6" s="1"/>
  <c r="AC53" i="6" s="1"/>
  <c r="DR53" i="6" s="1"/>
  <c r="Z54" i="6" l="1"/>
  <c r="AA54" i="6" s="1"/>
  <c r="AC54" i="6" s="1"/>
  <c r="DR54" i="6" s="1"/>
  <c r="Z55" i="6" l="1"/>
  <c r="AA55" i="6" s="1"/>
  <c r="AC55" i="6" s="1"/>
  <c r="DR55" i="6" s="1"/>
  <c r="Z56" i="6" l="1"/>
  <c r="AA56" i="6" s="1"/>
  <c r="AC56" i="6" s="1"/>
  <c r="DR56" i="6" s="1"/>
  <c r="Z57" i="6" l="1"/>
  <c r="AA57" i="6" s="1"/>
  <c r="AC57" i="6" s="1"/>
  <c r="DR57" i="6" s="1"/>
  <c r="Z58" i="6" l="1"/>
  <c r="AA58" i="6" s="1"/>
  <c r="AC58" i="6" s="1"/>
  <c r="DR58" i="6" s="1"/>
  <c r="Z59" i="6" l="1"/>
  <c r="AA59" i="6" s="1"/>
  <c r="AC59" i="6" s="1"/>
  <c r="DR59" i="6" s="1"/>
  <c r="Z60" i="6" l="1"/>
  <c r="AA60" i="6" s="1"/>
  <c r="AC60" i="6" s="1"/>
  <c r="DR60" i="6" s="1"/>
  <c r="Z61" i="6" l="1"/>
  <c r="AA61" i="6" s="1"/>
  <c r="AC61" i="6" s="1"/>
  <c r="DR61" i="6" s="1"/>
  <c r="Z62" i="6" l="1"/>
  <c r="AA62" i="6" s="1"/>
  <c r="AC62" i="6" s="1"/>
  <c r="DR62" i="6" s="1"/>
  <c r="Z63" i="6" l="1"/>
  <c r="AA63" i="6" s="1"/>
  <c r="AC63" i="6" s="1"/>
  <c r="DR63" i="6" s="1"/>
  <c r="Z64" i="6" l="1"/>
  <c r="AA64" i="6" s="1"/>
  <c r="AC64" i="6" s="1"/>
  <c r="DR64" i="6" s="1"/>
  <c r="Z65" i="6" l="1"/>
  <c r="AA65" i="6" s="1"/>
  <c r="AC65" i="6" s="1"/>
  <c r="DR65" i="6" s="1"/>
  <c r="Z66" i="6" l="1"/>
  <c r="AA66" i="6" s="1"/>
  <c r="AC66" i="6" s="1"/>
  <c r="DR66" i="6" s="1"/>
  <c r="Z67" i="6" l="1"/>
  <c r="AA67" i="6" s="1"/>
  <c r="AC67" i="6" s="1"/>
  <c r="DR67" i="6" s="1"/>
  <c r="Z68" i="6" l="1"/>
  <c r="AA68" i="6" s="1"/>
  <c r="AC68" i="6" s="1"/>
  <c r="DR68" i="6" s="1"/>
  <c r="Z69" i="6" l="1"/>
  <c r="AA69" i="6" s="1"/>
  <c r="AC69" i="6" s="1"/>
  <c r="DR69" i="6" s="1"/>
  <c r="Z70" i="6" l="1"/>
  <c r="AA70" i="6" s="1"/>
  <c r="AC70" i="6" s="1"/>
  <c r="DR70" i="6" s="1"/>
  <c r="Z71" i="6" l="1"/>
  <c r="AA71" i="6" s="1"/>
  <c r="AC71" i="6" s="1"/>
  <c r="DR71" i="6" s="1"/>
  <c r="Z72" i="6" l="1"/>
  <c r="AA72" i="6" s="1"/>
  <c r="AC72" i="6" s="1"/>
  <c r="DR72" i="6" s="1"/>
  <c r="Z73" i="6" l="1"/>
  <c r="AA73" i="6" s="1"/>
  <c r="AC73" i="6" s="1"/>
  <c r="DR73" i="6" s="1"/>
  <c r="Z74" i="6" l="1"/>
  <c r="AA74" i="6" s="1"/>
  <c r="AC74" i="6" s="1"/>
  <c r="DR74" i="6" s="1"/>
  <c r="Z75" i="6" l="1"/>
  <c r="AA75" i="6" s="1"/>
  <c r="AC75" i="6" s="1"/>
  <c r="DR75" i="6" s="1"/>
  <c r="Z76" i="6" l="1"/>
  <c r="AA76" i="6" s="1"/>
  <c r="AC76" i="6" s="1"/>
  <c r="DR76" i="6" s="1"/>
  <c r="Z77" i="6" l="1"/>
  <c r="AA77" i="6" s="1"/>
  <c r="AC77" i="6" s="1"/>
  <c r="DR77" i="6" s="1"/>
  <c r="Z78" i="6" l="1"/>
  <c r="AA78" i="6" s="1"/>
  <c r="AC78" i="6" s="1"/>
  <c r="DR78" i="6" s="1"/>
  <c r="Z79" i="6" l="1"/>
  <c r="AA79" i="6" s="1"/>
  <c r="AC79" i="6" s="1"/>
  <c r="DR79" i="6" s="1"/>
  <c r="Z80" i="6" l="1"/>
  <c r="AA80" i="6" s="1"/>
  <c r="AC80" i="6" s="1"/>
  <c r="DR80" i="6" s="1"/>
  <c r="Z81" i="6" l="1"/>
  <c r="AA81" i="6" s="1"/>
  <c r="AC81" i="6" s="1"/>
  <c r="DR81" i="6" s="1"/>
  <c r="Z82" i="6" l="1"/>
  <c r="AA82" i="6" s="1"/>
  <c r="AC82" i="6" s="1"/>
  <c r="DR82" i="6" s="1"/>
  <c r="Z83" i="6" l="1"/>
  <c r="AA83" i="6" s="1"/>
  <c r="AC83" i="6" s="1"/>
  <c r="DR83" i="6" s="1"/>
  <c r="Z84" i="6" l="1"/>
  <c r="AA84" i="6" s="1"/>
  <c r="AC84" i="6" s="1"/>
  <c r="DR84" i="6" s="1"/>
  <c r="Z85" i="6" l="1"/>
  <c r="AA85" i="6" s="1"/>
  <c r="AC85" i="6" s="1"/>
  <c r="DR85" i="6" s="1"/>
  <c r="Z86" i="6" l="1"/>
  <c r="AA86" i="6" s="1"/>
  <c r="AC86" i="6" s="1"/>
  <c r="DR86" i="6" s="1"/>
  <c r="Z87" i="6" l="1"/>
  <c r="AA87" i="6" l="1"/>
  <c r="AC87" i="6" s="1"/>
  <c r="DR87" i="6" s="1"/>
  <c r="Z88" i="6"/>
  <c r="AA88" i="6" s="1"/>
  <c r="AC88" i="6" s="1"/>
  <c r="DR88" i="6" s="1"/>
  <c r="Z89" i="6" l="1"/>
  <c r="AA89" i="6" s="1"/>
  <c r="AC89" i="6" s="1"/>
  <c r="DR89" i="6" s="1"/>
  <c r="Z91" i="6" l="1"/>
  <c r="AA91" i="6" s="1"/>
  <c r="AC91" i="6" s="1"/>
  <c r="DR91" i="6" s="1"/>
  <c r="Z92" i="6" l="1"/>
  <c r="AA92" i="6" s="1"/>
  <c r="AC92" i="6" s="1"/>
  <c r="DR92" i="6" s="1"/>
  <c r="Z93" i="6" l="1"/>
  <c r="AA93" i="6" s="1"/>
  <c r="AC93" i="6" s="1"/>
  <c r="DR93" i="6" s="1"/>
  <c r="Z94" i="6" l="1"/>
  <c r="AA94" i="6" s="1"/>
  <c r="AC94" i="6" s="1"/>
  <c r="DR94" i="6" s="1"/>
  <c r="Z95" i="6" l="1"/>
  <c r="AA95" i="6" s="1"/>
  <c r="AC95" i="6" s="1"/>
  <c r="DR95" i="6" s="1"/>
  <c r="Z96" i="6" l="1"/>
  <c r="AA96" i="6" s="1"/>
  <c r="AC96" i="6" s="1"/>
  <c r="DR96" i="6" s="1"/>
  <c r="Z97" i="6" l="1"/>
  <c r="AA97" i="6" s="1"/>
  <c r="AC97" i="6" s="1"/>
  <c r="DR97" i="6" s="1"/>
  <c r="Z98" i="6" l="1"/>
  <c r="AA98" i="6" s="1"/>
  <c r="AC98" i="6" s="1"/>
  <c r="DR98" i="6" s="1"/>
  <c r="Z99" i="6" l="1"/>
  <c r="AA99" i="6" s="1"/>
  <c r="AC99" i="6" s="1"/>
  <c r="DR99" i="6" s="1"/>
  <c r="Z100" i="6" l="1"/>
  <c r="AA100" i="6" s="1"/>
  <c r="AC100" i="6" s="1"/>
  <c r="DR100" i="6" s="1"/>
  <c r="Z101" i="6" l="1"/>
  <c r="AA101" i="6" s="1"/>
  <c r="AC101" i="6" s="1"/>
  <c r="DR101" i="6" s="1"/>
  <c r="Z102" i="6" l="1"/>
  <c r="AA102" i="6" s="1"/>
  <c r="AC102" i="6" s="1"/>
  <c r="DR102" i="6" s="1"/>
  <c r="Z103" i="6" l="1"/>
  <c r="AA103" i="6" l="1"/>
  <c r="AC103" i="6" s="1"/>
  <c r="DR103" i="6" s="1"/>
  <c r="Z104" i="6"/>
  <c r="AA104" i="6" s="1"/>
  <c r="AC104" i="6" s="1"/>
  <c r="DR104" i="6" s="1"/>
  <c r="Z105" i="6" l="1"/>
  <c r="AA105" i="6" s="1"/>
  <c r="AC105" i="6" s="1"/>
  <c r="DR105" i="6" s="1"/>
  <c r="Z106" i="6" l="1"/>
  <c r="AA106" i="6" s="1"/>
  <c r="AC106" i="6" s="1"/>
  <c r="DR106" i="6" s="1"/>
  <c r="Z107" i="6" l="1"/>
  <c r="Z108" i="6" l="1"/>
  <c r="AA107" i="6"/>
  <c r="AC107" i="6" s="1"/>
  <c r="DR107" i="6" s="1"/>
  <c r="Z109" i="6" l="1"/>
  <c r="AA108" i="6"/>
  <c r="AC108" i="6" s="1"/>
  <c r="DR108" i="6" s="1"/>
  <c r="AA109" i="6" l="1"/>
  <c r="AC109" i="6" s="1"/>
  <c r="DR109" i="6" s="1"/>
  <c r="Z110" i="6" l="1"/>
  <c r="Z111" i="6" s="1"/>
  <c r="AA110" i="6" l="1"/>
  <c r="AC110" i="6" l="1"/>
  <c r="DR110" i="6" s="1"/>
  <c r="AA111" i="6"/>
  <c r="Z114" i="6"/>
  <c r="AA114" i="6" l="1"/>
  <c r="Z115" i="6"/>
  <c r="AA115" i="6" l="1"/>
  <c r="AC115" i="6" s="1"/>
  <c r="DR115" i="6" s="1"/>
  <c r="Z116" i="6"/>
  <c r="AC114" i="6"/>
  <c r="DR114" i="6" s="1"/>
  <c r="AA116" i="6" l="1"/>
  <c r="Z117" i="6"/>
  <c r="Z118" i="6" l="1"/>
  <c r="AA117" i="6"/>
  <c r="AC117" i="6" s="1"/>
  <c r="DR117" i="6" s="1"/>
  <c r="AC116" i="6"/>
  <c r="DR116" i="6" s="1"/>
  <c r="Z119" i="6" l="1"/>
  <c r="AA118" i="6"/>
  <c r="AC118" i="6" l="1"/>
  <c r="DR118" i="6" s="1"/>
  <c r="AA119" i="6"/>
  <c r="AC119" i="6" s="1"/>
  <c r="DR119" i="6" s="1"/>
  <c r="Z120" i="6"/>
  <c r="AA120" i="6" l="1"/>
  <c r="Z121" i="6"/>
  <c r="AC120" i="6" l="1"/>
  <c r="DR120" i="6" s="1"/>
  <c r="Z122" i="6"/>
  <c r="AA121" i="6"/>
  <c r="AC121" i="6" l="1"/>
  <c r="DR121" i="6" s="1"/>
  <c r="AA122" i="6"/>
  <c r="Z123" i="6"/>
  <c r="AC122" i="6" l="1"/>
  <c r="DR122" i="6" s="1"/>
  <c r="AA123" i="6"/>
  <c r="AC123" i="6" s="1"/>
  <c r="DR123" i="6" s="1"/>
  <c r="Z124" i="6"/>
  <c r="AA124" i="6" l="1"/>
  <c r="AC124" i="6" s="1"/>
  <c r="DR124" i="6" s="1"/>
  <c r="Z125" i="6"/>
  <c r="AA125" i="6" s="1"/>
  <c r="AC125" i="6" s="1"/>
  <c r="DR125" i="6" s="1"/>
  <c r="Z126" i="6" l="1"/>
  <c r="AA126" i="6" s="1"/>
  <c r="AC126" i="6" l="1"/>
  <c r="DR126" i="6" s="1"/>
  <c r="Z127" i="6"/>
  <c r="AA127" i="6" s="1"/>
  <c r="AC127" i="6" s="1"/>
  <c r="DR127" i="6" s="1"/>
  <c r="Z128" i="6" l="1"/>
  <c r="AA128" i="6" s="1"/>
  <c r="AC128" i="6" s="1"/>
  <c r="DR128" i="6" s="1"/>
  <c r="Z129" i="6" l="1"/>
  <c r="AA129" i="6" s="1"/>
  <c r="AC129" i="6" s="1"/>
  <c r="DR129" i="6" s="1"/>
  <c r="Z130" i="6" l="1"/>
  <c r="AA130" i="6" s="1"/>
  <c r="AC130" i="6" s="1"/>
  <c r="DR130" i="6" s="1"/>
  <c r="Z131" i="6" l="1"/>
  <c r="AA131" i="6" s="1"/>
  <c r="AC131" i="6" s="1"/>
  <c r="DR131" i="6" s="1"/>
  <c r="Z132" i="6" l="1"/>
  <c r="AA132" i="6" s="1"/>
  <c r="AC132" i="6" s="1"/>
  <c r="DR132" i="6" s="1"/>
  <c r="Z133" i="6" l="1"/>
  <c r="AA133" i="6" s="1"/>
  <c r="AC133" i="6" s="1"/>
  <c r="DR133" i="6" s="1"/>
  <c r="Z134" i="6" l="1"/>
  <c r="AA134" i="6" s="1"/>
  <c r="AC134" i="6" s="1"/>
  <c r="DR134" i="6" s="1"/>
  <c r="Z135" i="6" l="1"/>
  <c r="AA135" i="6" s="1"/>
  <c r="AC135" i="6" s="1"/>
  <c r="DR135" i="6" s="1"/>
  <c r="Z136" i="6" l="1"/>
  <c r="AA136" i="6" s="1"/>
  <c r="AC136" i="6" s="1"/>
  <c r="DR136" i="6" s="1"/>
  <c r="Z137" i="6" l="1"/>
  <c r="AA137" i="6" s="1"/>
  <c r="AC137" i="6" s="1"/>
  <c r="DR137" i="6" s="1"/>
  <c r="Z138" i="6" l="1"/>
  <c r="AA138" i="6" s="1"/>
  <c r="AC138" i="6" s="1"/>
  <c r="DR138" i="6" s="1"/>
  <c r="Z139" i="6" l="1"/>
  <c r="AA139" i="6" s="1"/>
  <c r="AC139" i="6" s="1"/>
  <c r="DR139" i="6" s="1"/>
  <c r="Z140" i="6" l="1"/>
  <c r="AA140" i="6" s="1"/>
  <c r="AC140" i="6" s="1"/>
  <c r="DR140" i="6" s="1"/>
  <c r="Z141" i="6" l="1"/>
  <c r="AA141" i="6" s="1"/>
  <c r="AC141" i="6" s="1"/>
  <c r="DR141" i="6" s="1"/>
  <c r="Z142" i="6" l="1"/>
  <c r="AA142" i="6" s="1"/>
  <c r="AC142" i="6" s="1"/>
  <c r="DR142" i="6" s="1"/>
  <c r="Z143" i="6" l="1"/>
  <c r="AA143" i="6" s="1"/>
  <c r="AC143" i="6" s="1"/>
  <c r="DR143" i="6" s="1"/>
  <c r="Z144" i="6" l="1"/>
  <c r="AA144" i="6" l="1"/>
  <c r="AC144" i="6" s="1"/>
  <c r="DR144" i="6" s="1"/>
  <c r="Z145" i="6"/>
  <c r="AA145" i="6" l="1"/>
  <c r="AC145" i="6" s="1"/>
  <c r="DR145" i="6" s="1"/>
  <c r="Z146" i="6"/>
  <c r="AA146" i="6" l="1"/>
  <c r="AC146" i="6" s="1"/>
  <c r="DR146" i="6" s="1"/>
  <c r="Z147" i="6"/>
  <c r="AA147" i="6" l="1"/>
  <c r="AC147" i="6" s="1"/>
  <c r="DR147" i="6" s="1"/>
  <c r="Z148" i="6"/>
  <c r="AA148" i="6" l="1"/>
  <c r="AC148" i="6" s="1"/>
  <c r="DR148" i="6" s="1"/>
  <c r="Z149" i="6"/>
  <c r="AA149" i="6" s="1"/>
  <c r="AC149" i="6" s="1"/>
  <c r="DR149" i="6" s="1"/>
  <c r="Z150" i="6" l="1"/>
  <c r="AA150" i="6" l="1"/>
  <c r="AC150" i="6" s="1"/>
  <c r="DR150" i="6" s="1"/>
  <c r="Z151" i="6"/>
  <c r="AA151" i="6" l="1"/>
  <c r="AC151" i="6" s="1"/>
  <c r="DR151" i="6" s="1"/>
  <c r="Z152" i="6"/>
  <c r="AA152" i="6" l="1"/>
  <c r="AC152" i="6" s="1"/>
  <c r="DR152" i="6" s="1"/>
  <c r="Z153" i="6"/>
  <c r="AA153" i="6" s="1"/>
  <c r="AC153" i="6" s="1"/>
  <c r="DR153" i="6" s="1"/>
  <c r="Z154" i="6" l="1"/>
  <c r="AA154" i="6" l="1"/>
  <c r="AC154" i="6" s="1"/>
  <c r="DR154" i="6" s="1"/>
  <c r="Z155" i="6"/>
  <c r="AA155" i="6" l="1"/>
  <c r="AC155" i="6" s="1"/>
  <c r="DR155" i="6" s="1"/>
  <c r="Z156" i="6"/>
  <c r="AA156" i="6" l="1"/>
  <c r="AC156" i="6" s="1"/>
  <c r="DR156" i="6" s="1"/>
  <c r="Z157" i="6"/>
  <c r="AA157" i="6" l="1"/>
  <c r="AC157" i="6" s="1"/>
  <c r="DR157" i="6" s="1"/>
  <c r="Z158" i="6"/>
  <c r="AA158" i="6" s="1"/>
  <c r="AC158" i="6" s="1"/>
  <c r="DR158" i="6" s="1"/>
  <c r="Z159" i="6" l="1"/>
  <c r="AA159" i="6" l="1"/>
  <c r="AC159" i="6" s="1"/>
  <c r="DR159" i="6" s="1"/>
  <c r="Z160" i="6"/>
  <c r="AA160" i="6" l="1"/>
  <c r="AC160" i="6" s="1"/>
  <c r="DR160" i="6" s="1"/>
  <c r="Z161" i="6"/>
  <c r="AA161" i="6" s="1"/>
  <c r="AC161" i="6" s="1"/>
  <c r="DR161" i="6" s="1"/>
  <c r="Z162" i="6" l="1"/>
  <c r="AA162" i="6" s="1"/>
  <c r="AC162" i="6" s="1"/>
  <c r="DR162" i="6" s="1"/>
  <c r="Z163" i="6" l="1"/>
  <c r="AA163" i="6" s="1"/>
  <c r="AC163" i="6" s="1"/>
  <c r="DR163" i="6" s="1"/>
  <c r="Z164" i="6" l="1"/>
  <c r="AA164" i="6" s="1"/>
  <c r="AC164" i="6" s="1"/>
  <c r="DR164" i="6" s="1"/>
  <c r="Z165" i="6" l="1"/>
  <c r="AA165" i="6" s="1"/>
  <c r="AC165" i="6" s="1"/>
  <c r="DR165" i="6" s="1"/>
  <c r="Z166" i="6" l="1"/>
  <c r="AA166" i="6" l="1"/>
  <c r="AC166" i="6" s="1"/>
  <c r="DR166" i="6" s="1"/>
  <c r="Z167" i="6"/>
  <c r="AA167" i="6" l="1"/>
  <c r="AC167" i="6" s="1"/>
  <c r="DR167" i="6" s="1"/>
  <c r="Z168" i="6"/>
  <c r="L11" i="7" l="1"/>
  <c r="AA168" i="6"/>
  <c r="AC168" i="6" s="1"/>
  <c r="DR168" i="6" s="1"/>
  <c r="Z169" i="6"/>
  <c r="AA169" i="6" s="1"/>
  <c r="AC169" i="6" s="1"/>
  <c r="DR169" i="6" s="1"/>
  <c r="Z170" i="6" l="1"/>
  <c r="N11" i="7" l="1"/>
  <c r="AA170" i="6"/>
  <c r="AC170" i="6" s="1"/>
  <c r="DR170" i="6" s="1"/>
  <c r="Z171" i="6"/>
  <c r="AA171" i="6" l="1"/>
  <c r="AC171" i="6" s="1"/>
  <c r="DR171" i="6" s="1"/>
  <c r="Z172" i="6"/>
  <c r="AA172" i="6" l="1"/>
  <c r="AC172" i="6" s="1"/>
  <c r="DR172" i="6" s="1"/>
  <c r="Z173" i="6"/>
  <c r="AA173" i="6" s="1"/>
  <c r="AC173" i="6" s="1"/>
  <c r="DR173" i="6" s="1"/>
  <c r="Z174" i="6" l="1"/>
  <c r="AA174" i="6" s="1"/>
  <c r="AC174" i="6" s="1"/>
  <c r="DR174" i="6" s="1"/>
  <c r="Z175" i="6" l="1"/>
  <c r="AA175" i="6" s="1"/>
  <c r="AC175" i="6" s="1"/>
  <c r="DR175" i="6" s="1"/>
  <c r="Z176" i="6" l="1"/>
  <c r="AA176" i="6" s="1"/>
  <c r="AC176" i="6" s="1"/>
  <c r="DR176" i="6" s="1"/>
  <c r="Z177" i="6" l="1"/>
  <c r="AA177" i="6" s="1"/>
  <c r="AC177" i="6" s="1"/>
  <c r="DR177" i="6" s="1"/>
  <c r="Z178" i="6" l="1"/>
  <c r="AA178" i="6" l="1"/>
  <c r="AC178" i="6" s="1"/>
  <c r="DR178" i="6" s="1"/>
  <c r="Z179" i="6"/>
  <c r="AA179" i="6" s="1"/>
  <c r="AC179" i="6" s="1"/>
  <c r="DR179" i="6" s="1"/>
  <c r="Z180" i="6" l="1"/>
  <c r="AA180" i="6" s="1"/>
  <c r="AC180" i="6" s="1"/>
  <c r="DR180" i="6" s="1"/>
  <c r="Z181" i="6" l="1"/>
  <c r="AA181" i="6" l="1"/>
  <c r="AC181" i="6" s="1"/>
  <c r="DR181" i="6" s="1"/>
  <c r="Z182" i="6"/>
  <c r="AA182" i="6" s="1"/>
  <c r="AC182" i="6" s="1"/>
  <c r="DR182" i="6" s="1"/>
  <c r="Z183" i="6" l="1"/>
  <c r="AA183" i="6" s="1"/>
  <c r="AC183" i="6" s="1"/>
  <c r="DR183" i="6" s="1"/>
  <c r="Z184" i="6" l="1"/>
  <c r="AA184" i="6" s="1"/>
  <c r="AC184" i="6" s="1"/>
  <c r="DR184" i="6" s="1"/>
  <c r="Z185" i="6" l="1"/>
  <c r="AA185" i="6" s="1"/>
  <c r="AC185" i="6" s="1"/>
  <c r="DR185" i="6" s="1"/>
  <c r="Z186" i="6" l="1"/>
  <c r="AA186" i="6" s="1"/>
  <c r="AC186" i="6" s="1"/>
  <c r="DR186" i="6" s="1"/>
  <c r="Z187" i="6" l="1"/>
  <c r="AA187" i="6" s="1"/>
  <c r="AC187" i="6" s="1"/>
  <c r="DR187" i="6" s="1"/>
  <c r="Z188" i="6" l="1"/>
  <c r="AA188" i="6" s="1"/>
  <c r="AC188" i="6" s="1"/>
  <c r="DR188" i="6" s="1"/>
  <c r="Z189" i="6" l="1"/>
  <c r="AA189" i="6" s="1"/>
  <c r="AC189" i="6" s="1"/>
  <c r="DR189" i="6" s="1"/>
  <c r="Z190" i="6" l="1"/>
  <c r="AA190" i="6" s="1"/>
  <c r="AC190" i="6" s="1"/>
  <c r="DR190" i="6" s="1"/>
  <c r="Z191" i="6" l="1"/>
  <c r="AA191" i="6" s="1"/>
  <c r="AC191" i="6" s="1"/>
  <c r="DR191" i="6" s="1"/>
  <c r="Z192" i="6" l="1"/>
  <c r="AA192" i="6" s="1"/>
  <c r="AC192" i="6" s="1"/>
  <c r="DR192" i="6" s="1"/>
  <c r="Z193" i="6" l="1"/>
  <c r="AA193" i="6" s="1"/>
  <c r="AC193" i="6" s="1"/>
  <c r="DR193" i="6" s="1"/>
  <c r="Z194" i="6" l="1"/>
  <c r="AA194" i="6" s="1"/>
  <c r="AC194" i="6" s="1"/>
  <c r="DR194" i="6" s="1"/>
  <c r="Z195" i="6" l="1"/>
  <c r="AA195" i="6" s="1"/>
  <c r="AC195" i="6" s="1"/>
  <c r="DR195" i="6" s="1"/>
  <c r="Z196" i="6" l="1"/>
  <c r="AA196" i="6" s="1"/>
  <c r="AC196" i="6" s="1"/>
  <c r="DR196" i="6" s="1"/>
  <c r="Z197" i="6" l="1"/>
  <c r="AA197" i="6" s="1"/>
  <c r="AC197" i="6" s="1"/>
  <c r="DR197" i="6" s="1"/>
  <c r="Z198" i="6" l="1"/>
  <c r="AA198" i="6" s="1"/>
  <c r="AC198" i="6" s="1"/>
  <c r="DR198" i="6" s="1"/>
  <c r="Z199" i="6" l="1"/>
  <c r="AA199" i="6" s="1"/>
  <c r="AC199" i="6" s="1"/>
  <c r="DR199" i="6" s="1"/>
  <c r="Z200" i="6" l="1"/>
  <c r="AA200" i="6" s="1"/>
  <c r="AC200" i="6" s="1"/>
  <c r="DR200" i="6" s="1"/>
  <c r="Z201" i="6" l="1"/>
  <c r="AA201" i="6" s="1"/>
  <c r="AC201" i="6" s="1"/>
  <c r="DR201" i="6" s="1"/>
  <c r="Z202" i="6" l="1"/>
  <c r="AA202" i="6" s="1"/>
  <c r="AC202" i="6" s="1"/>
  <c r="DR202" i="6" s="1"/>
  <c r="Z203" i="6" l="1"/>
  <c r="AA203" i="6" l="1"/>
  <c r="AC203" i="6" s="1"/>
  <c r="DR203" i="6" s="1"/>
  <c r="Z204" i="6"/>
  <c r="AA204" i="6" s="1"/>
  <c r="AC204" i="6" s="1"/>
  <c r="DR204" i="6" s="1"/>
  <c r="Z205" i="6" l="1"/>
  <c r="AA205" i="6" s="1"/>
  <c r="AC205" i="6" s="1"/>
  <c r="DR205" i="6" s="1"/>
  <c r="Z206" i="6" l="1"/>
  <c r="AA206" i="6" s="1"/>
  <c r="AC206" i="6" s="1"/>
  <c r="DR206" i="6" s="1"/>
  <c r="Z207" i="6" l="1"/>
  <c r="AA207" i="6" s="1"/>
  <c r="AC207" i="6" s="1"/>
  <c r="DR207" i="6" s="1"/>
  <c r="Z208" i="6" l="1"/>
  <c r="AA208" i="6" l="1"/>
  <c r="AC208" i="6" s="1"/>
  <c r="DR208" i="6" s="1"/>
  <c r="Z209" i="6"/>
  <c r="AA209" i="6" s="1"/>
  <c r="AC209" i="6" s="1"/>
  <c r="DR209" i="6" s="1"/>
  <c r="Z210" i="6" l="1"/>
  <c r="AA210" i="6" s="1"/>
  <c r="AC210" i="6" s="1"/>
  <c r="DR210" i="6" s="1"/>
  <c r="Z211" i="6" l="1"/>
  <c r="AA211" i="6" s="1"/>
  <c r="AC211" i="6" s="1"/>
  <c r="DR211" i="6" s="1"/>
  <c r="Z212" i="6" l="1"/>
  <c r="AA212" i="6" s="1"/>
  <c r="AC212" i="6" s="1"/>
  <c r="DR212" i="6" s="1"/>
  <c r="Z213" i="6" l="1"/>
  <c r="AA213" i="6" s="1"/>
  <c r="AC213" i="6" s="1"/>
  <c r="DR213" i="6" s="1"/>
  <c r="Z214" i="6" l="1"/>
  <c r="AA214" i="6" l="1"/>
  <c r="AC214" i="6" s="1"/>
  <c r="DR214" i="6" s="1"/>
  <c r="Z215" i="6"/>
  <c r="AA215" i="6" s="1"/>
  <c r="AC215" i="6" s="1"/>
  <c r="DR215" i="6" s="1"/>
  <c r="Z216" i="6" l="1"/>
  <c r="AA216" i="6" s="1"/>
  <c r="AC216" i="6" s="1"/>
  <c r="DR216" i="6" s="1"/>
  <c r="Z217" i="6" l="1"/>
  <c r="AA217" i="6" s="1"/>
  <c r="AC217" i="6" s="1"/>
  <c r="DR217" i="6" s="1"/>
  <c r="Z218" i="6" l="1"/>
  <c r="AA218" i="6" s="1"/>
  <c r="AC218" i="6" s="1"/>
  <c r="DR218" i="6" s="1"/>
  <c r="Z219" i="6" l="1"/>
  <c r="AA219" i="6" s="1"/>
  <c r="AC219" i="6" s="1"/>
  <c r="DR219" i="6" s="1"/>
  <c r="Z220" i="6" l="1"/>
  <c r="AA220" i="6" s="1"/>
  <c r="AC220" i="6" s="1"/>
  <c r="DR220" i="6" s="1"/>
  <c r="Z221" i="6" l="1"/>
  <c r="AA221" i="6" s="1"/>
  <c r="AC221" i="6" s="1"/>
  <c r="DR221" i="6" s="1"/>
  <c r="Z222" i="6" l="1"/>
  <c r="AA222" i="6" s="1"/>
  <c r="AC222" i="6" s="1"/>
  <c r="DR222" i="6" s="1"/>
  <c r="Z223" i="6" l="1"/>
  <c r="AA223" i="6" s="1"/>
  <c r="AC223" i="6" s="1"/>
  <c r="DR223" i="6" s="1"/>
  <c r="Z224" i="6" l="1"/>
  <c r="AA224" i="6" s="1"/>
  <c r="AC224" i="6" s="1"/>
  <c r="DR224" i="6" s="1"/>
  <c r="Z225" i="6" l="1"/>
  <c r="AA225" i="6" s="1"/>
  <c r="AC225" i="6" s="1"/>
  <c r="DR225" i="6" s="1"/>
  <c r="Z226" i="6" l="1"/>
  <c r="AA226" i="6" s="1"/>
  <c r="AC226" i="6" s="1"/>
  <c r="DR226" i="6" s="1"/>
  <c r="Z227" i="6" l="1"/>
  <c r="AA227" i="6" s="1"/>
  <c r="AC227" i="6" s="1"/>
  <c r="DR227" i="6" s="1"/>
  <c r="Z228" i="6" l="1"/>
  <c r="AA228" i="6" s="1"/>
  <c r="AC228" i="6" s="1"/>
  <c r="DR228" i="6" s="1"/>
  <c r="Z229" i="6" l="1"/>
  <c r="AA229" i="6" s="1"/>
  <c r="AC229" i="6" s="1"/>
  <c r="DR229" i="6" s="1"/>
  <c r="Z230" i="6" l="1"/>
  <c r="AA230" i="6" s="1"/>
  <c r="AC230" i="6" s="1"/>
  <c r="DR230" i="6" s="1"/>
  <c r="Z231" i="6" l="1"/>
  <c r="AA231" i="6" s="1"/>
  <c r="AC231" i="6" s="1"/>
  <c r="DR231" i="6" s="1"/>
  <c r="Z232" i="6" l="1"/>
  <c r="AA232" i="6" s="1"/>
  <c r="AC232" i="6" s="1"/>
  <c r="DR232" i="6" s="1"/>
  <c r="Z233" i="6" l="1"/>
  <c r="AA233" i="6" s="1"/>
  <c r="AC233" i="6" s="1"/>
  <c r="DR233" i="6" s="1"/>
  <c r="Z234" i="6" l="1"/>
  <c r="AA234" i="6" s="1"/>
  <c r="AC234" i="6" s="1"/>
  <c r="DR234" i="6" s="1"/>
  <c r="Z235" i="6" l="1"/>
  <c r="AA235" i="6" l="1"/>
  <c r="AC235" i="6" s="1"/>
  <c r="DR235" i="6" s="1"/>
  <c r="Z236" i="6"/>
  <c r="AA236" i="6" l="1"/>
  <c r="AC236" i="6" s="1"/>
  <c r="DR236" i="6" s="1"/>
  <c r="Z237" i="6"/>
  <c r="AA237" i="6" l="1"/>
  <c r="AC237" i="6" s="1"/>
  <c r="DR237" i="6" s="1"/>
  <c r="Z238" i="6"/>
  <c r="AA238" i="6" s="1"/>
  <c r="AC238" i="6" s="1"/>
  <c r="DR238" i="6" s="1"/>
  <c r="Z239" i="6" l="1"/>
  <c r="AA239" i="6" s="1"/>
  <c r="AC239" i="6" s="1"/>
  <c r="DR239" i="6" s="1"/>
  <c r="Z240" i="6" l="1"/>
  <c r="AA240" i="6" s="1"/>
  <c r="AC240" i="6" s="1"/>
  <c r="DR240" i="6" s="1"/>
  <c r="Z241" i="6" l="1"/>
  <c r="AA241" i="6" s="1"/>
  <c r="AC241" i="6" s="1"/>
  <c r="DR241" i="6" s="1"/>
  <c r="Z242" i="6" l="1"/>
  <c r="AA242" i="6" s="1"/>
  <c r="AC242" i="6" s="1"/>
  <c r="DR242" i="6" s="1"/>
  <c r="Z243" i="6" l="1"/>
  <c r="AA243" i="6" s="1"/>
  <c r="AC243" i="6" s="1"/>
  <c r="DR243" i="6" s="1"/>
  <c r="Z244" i="6" l="1"/>
  <c r="AA244" i="6" s="1"/>
  <c r="AC244" i="6" s="1"/>
  <c r="DR244" i="6" s="1"/>
  <c r="Z245" i="6" l="1"/>
  <c r="AA245" i="6" s="1"/>
  <c r="AC245" i="6" s="1"/>
  <c r="DR245" i="6" s="1"/>
  <c r="Z246" i="6" l="1"/>
  <c r="AA246" i="6" s="1"/>
  <c r="AC246" i="6" s="1"/>
  <c r="DR246" i="6" s="1"/>
  <c r="Z247" i="6" l="1"/>
  <c r="AA247" i="6" s="1"/>
  <c r="AC247" i="6" s="1"/>
  <c r="DR247" i="6" s="1"/>
  <c r="Z248" i="6" l="1"/>
  <c r="AA248" i="6" s="1"/>
  <c r="AC248" i="6" s="1"/>
  <c r="DR248" i="6" s="1"/>
  <c r="Z249" i="6" l="1"/>
  <c r="AA249" i="6" l="1"/>
  <c r="AC249" i="6" s="1"/>
  <c r="DR249" i="6" s="1"/>
  <c r="Z250" i="6"/>
  <c r="AA250" i="6" l="1"/>
  <c r="AC250" i="6" s="1"/>
  <c r="DR250" i="6" s="1"/>
  <c r="Z251" i="6"/>
  <c r="AA251" i="6" l="1"/>
  <c r="AC251" i="6" s="1"/>
  <c r="DR251" i="6" s="1"/>
  <c r="Z252" i="6"/>
  <c r="AA252" i="6" l="1"/>
  <c r="AC252" i="6" s="1"/>
  <c r="DR252" i="6" s="1"/>
  <c r="Z253" i="6"/>
  <c r="AA253" i="6" l="1"/>
  <c r="AC253" i="6" s="1"/>
  <c r="DR253" i="6" s="1"/>
  <c r="Z254" i="6"/>
  <c r="AA254" i="6" l="1"/>
  <c r="AC254" i="6" s="1"/>
  <c r="DR254" i="6" s="1"/>
  <c r="G8" i="7"/>
  <c r="G2" i="7" s="1"/>
  <c r="Z255" i="6"/>
  <c r="AA255" i="6" s="1"/>
  <c r="AC255" i="6" s="1"/>
  <c r="DR255" i="6" s="1"/>
  <c r="Z256" i="6"/>
  <c r="AA256" i="6" l="1"/>
  <c r="AA260" i="6" s="1"/>
  <c r="AA261" i="6" s="1"/>
  <c r="Z260" i="6"/>
  <c r="AC256" i="6"/>
  <c r="DR256" i="6" s="1"/>
  <c r="AA276" i="6" l="1"/>
  <c r="AB4" i="6"/>
  <c r="AB6"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D17" authorId="0" shapeId="0" xr:uid="{071105C3-03D0-4CFB-AB54-59BD7DB5FB43}">
      <text>
        <r>
          <rPr>
            <sz val="11"/>
            <color theme="1"/>
            <rFont val="Aptos Narrow"/>
            <family val="2"/>
            <scheme val="minor"/>
          </rPr>
          <t xml:space="preserve">USUARIO:
NO DA  LO DE LA BOLSA   ENVIAR A MARCELA 
</t>
        </r>
      </text>
    </comment>
    <comment ref="D19" authorId="0" shapeId="0" xr:uid="{A4AFE041-627B-4486-BBE0-5C5644284D28}">
      <text>
        <r>
          <rPr>
            <sz val="11"/>
            <color theme="1"/>
            <rFont val="Aptos Narrow"/>
            <family val="2"/>
            <scheme val="minor"/>
          </rPr>
          <t xml:space="preserve">USUARIO:
REVISAR CON MARCELA 
</t>
        </r>
      </text>
    </comment>
    <comment ref="G22" authorId="0" shapeId="0" xr:uid="{E909E98C-6594-4980-9430-801699F1136C}">
      <text>
        <r>
          <rPr>
            <sz val="11"/>
            <color theme="1"/>
            <rFont val="Aptos Narrow"/>
            <family val="2"/>
            <scheme val="minor"/>
          </rPr>
          <t>USUARIO:
REVISAR CANTIDADES</t>
        </r>
      </text>
    </comment>
    <comment ref="D36" authorId="0" shapeId="0" xr:uid="{2AA2DB84-4B0A-41EF-9DB8-AAB7BCD03752}">
      <text>
        <r>
          <rPr>
            <sz val="11"/>
            <color theme="1"/>
            <rFont val="Aptos Narrow"/>
            <family val="2"/>
            <scheme val="minor"/>
          </rPr>
          <t xml:space="preserve">USUARIO:
NO ESTAN EN LA BASE 
</t>
        </r>
      </text>
    </comment>
    <comment ref="D44" authorId="0" shapeId="0" xr:uid="{75169707-6537-4FD7-84F5-F950F7B4ACCB}">
      <text>
        <r>
          <rPr>
            <sz val="11"/>
            <color theme="1"/>
            <rFont val="Aptos Narrow"/>
            <family val="2"/>
            <scheme val="minor"/>
          </rPr>
          <t xml:space="preserve">USUARIO:
no coinside con la bolsa
</t>
        </r>
      </text>
    </comment>
    <comment ref="D45" authorId="0" shapeId="0" xr:uid="{EF02F3E2-C7F7-4DFB-A7E4-C43FB28F2586}">
      <text>
        <r>
          <rPr>
            <sz val="11"/>
            <color theme="1"/>
            <rFont val="Aptos Narrow"/>
            <family val="2"/>
            <scheme val="minor"/>
          </rPr>
          <t xml:space="preserve">USUARIO:
no coincide con la bolsa
</t>
        </r>
      </text>
    </comment>
    <comment ref="D46" authorId="0" shapeId="0" xr:uid="{13C5E4F1-4549-4A5B-B8CC-5DAE97478DAB}">
      <text>
        <r>
          <rPr>
            <sz val="11"/>
            <color theme="1"/>
            <rFont val="Aptos Narrow"/>
            <family val="2"/>
            <scheme val="minor"/>
          </rPr>
          <t xml:space="preserve">USUARIO:
revisar con area tecncia 
</t>
        </r>
      </text>
    </comment>
    <comment ref="D48" authorId="0" shapeId="0" xr:uid="{7C17CE43-E415-4A51-8EF7-B920B8053B36}">
      <text>
        <r>
          <rPr>
            <sz val="11"/>
            <color theme="1"/>
            <rFont val="Aptos Narrow"/>
            <family val="2"/>
            <scheme val="minor"/>
          </rPr>
          <t xml:space="preserve">USUARIO:
revisar con bolsa
</t>
        </r>
      </text>
    </comment>
    <comment ref="D61" authorId="0" shapeId="0" xr:uid="{295638A1-1657-4261-B6BB-57FD65FF3C2C}">
      <text>
        <r>
          <rPr>
            <b/>
            <sz val="9"/>
            <color indexed="81"/>
            <rFont val="Tahoma"/>
            <family val="2"/>
          </rPr>
          <t xml:space="preserve">USUARIO:REVISAR CON AREA TECNICA YA QUE EL VALOR NO TIENE REFERENCIA CLARA 
</t>
        </r>
      </text>
    </comment>
    <comment ref="D62" authorId="0" shapeId="0" xr:uid="{C115AA3F-5EC9-43F4-974A-DEC9ADFBA0F0}">
      <text>
        <r>
          <rPr>
            <b/>
            <sz val="9"/>
            <color indexed="81"/>
            <rFont val="Tahoma"/>
            <family val="2"/>
          </rPr>
          <t>USUARIO:</t>
        </r>
        <r>
          <rPr>
            <sz val="9"/>
            <color indexed="81"/>
            <rFont val="Tahoma"/>
            <family val="2"/>
          </rPr>
          <t xml:space="preserve">
REVISAR CON AREA TECNICA  SI ES MEJOR LA COMPRA
</t>
        </r>
      </text>
    </comment>
    <comment ref="D72" authorId="0" shapeId="0" xr:uid="{C0CE91F4-363E-4D4D-9707-2DC875598F22}">
      <text>
        <r>
          <rPr>
            <b/>
            <sz val="9"/>
            <color indexed="81"/>
            <rFont val="Tahoma"/>
            <family val="2"/>
          </rPr>
          <t>USUARIO:</t>
        </r>
        <r>
          <rPr>
            <sz val="9"/>
            <color indexed="81"/>
            <rFont val="Tahoma"/>
            <family val="2"/>
          </rPr>
          <t xml:space="preserve">
no se tiene valores en bolsa planeacon
</t>
        </r>
      </text>
    </comment>
    <comment ref="C75" authorId="0" shapeId="0" xr:uid="{3A6455D3-21A6-42F7-95D7-60A12F6D5181}">
      <text>
        <r>
          <rPr>
            <sz val="11"/>
            <color theme="1"/>
            <rFont val="Aptos Narrow"/>
            <family val="2"/>
            <scheme val="minor"/>
          </rPr>
          <t xml:space="preserve">USUARIO:
revisar nombre 
</t>
        </r>
      </text>
    </comment>
    <comment ref="D75" authorId="0" shapeId="0" xr:uid="{CB073AFB-7C9E-45D6-8C78-F5485554BA82}">
      <text>
        <r>
          <rPr>
            <b/>
            <sz val="9"/>
            <color indexed="81"/>
            <rFont val="Tahoma"/>
            <family val="2"/>
          </rPr>
          <t>USUARIO:</t>
        </r>
        <r>
          <rPr>
            <sz val="9"/>
            <color indexed="81"/>
            <rFont val="Tahoma"/>
            <family val="2"/>
          </rPr>
          <t xml:space="preserve">
revisar con area tecnica ya que la cotizacion es de 47 mil en el mercado
</t>
        </r>
      </text>
    </comment>
    <comment ref="D87" authorId="0" shapeId="0" xr:uid="{3EE5D52A-D333-4FA2-8632-4193890039DB}">
      <text>
        <r>
          <rPr>
            <b/>
            <sz val="9"/>
            <color indexed="81"/>
            <rFont val="Tahoma"/>
            <family val="2"/>
          </rPr>
          <t>USUARIO:</t>
        </r>
        <r>
          <rPr>
            <sz val="9"/>
            <color indexed="81"/>
            <rFont val="Tahoma"/>
            <family val="2"/>
          </rPr>
          <t xml:space="preserve">
no se tiene referencia de valores en la bolsa
</t>
        </r>
      </text>
    </comment>
    <comment ref="D114" authorId="0" shapeId="0" xr:uid="{E1DD545C-DAB5-4F99-9F63-094AB9DA4198}">
      <text>
        <r>
          <rPr>
            <b/>
            <sz val="9"/>
            <color indexed="81"/>
            <rFont val="Tahoma"/>
            <family val="2"/>
          </rPr>
          <t xml:space="preserve">USUARIO: se encuentran mal digitados los valores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D17" authorId="0" shapeId="0" xr:uid="{00000000-0006-0000-0500-000001000000}">
      <text>
        <r>
          <rPr>
            <sz val="11"/>
            <color theme="1"/>
            <rFont val="Aptos Narrow"/>
            <family val="2"/>
            <scheme val="minor"/>
          </rPr>
          <t xml:space="preserve">USUARIO:
NO DA  LO DE LA BOLSA   ENVIAR A MARCELA 
</t>
        </r>
      </text>
    </comment>
    <comment ref="D19" authorId="0" shapeId="0" xr:uid="{00000000-0006-0000-0500-000002000000}">
      <text>
        <r>
          <rPr>
            <sz val="11"/>
            <color theme="1"/>
            <rFont val="Aptos Narrow"/>
            <family val="2"/>
            <scheme val="minor"/>
          </rPr>
          <t xml:space="preserve">USUARIO:
REVISAR CON MARCELA 
</t>
        </r>
      </text>
    </comment>
    <comment ref="G22" authorId="0" shapeId="0" xr:uid="{00000000-0006-0000-0500-000003000000}">
      <text>
        <r>
          <rPr>
            <sz val="11"/>
            <color theme="1"/>
            <rFont val="Aptos Narrow"/>
            <family val="2"/>
            <scheme val="minor"/>
          </rPr>
          <t>USUARIO:
REVISAR CANTIDADES</t>
        </r>
      </text>
    </comment>
    <comment ref="D44" authorId="0" shapeId="0" xr:uid="{00000000-0006-0000-0500-000005000000}">
      <text>
        <r>
          <rPr>
            <sz val="11"/>
            <color theme="1"/>
            <rFont val="Aptos Narrow"/>
            <family val="2"/>
            <scheme val="minor"/>
          </rPr>
          <t xml:space="preserve">USUARIO:
no coinside con la bolsa
</t>
        </r>
      </text>
    </comment>
    <comment ref="D45" authorId="0" shapeId="0" xr:uid="{00000000-0006-0000-0500-000006000000}">
      <text>
        <r>
          <rPr>
            <sz val="11"/>
            <color theme="1"/>
            <rFont val="Aptos Narrow"/>
            <family val="2"/>
            <scheme val="minor"/>
          </rPr>
          <t xml:space="preserve">USUARIO:
no coincide con la bolsa
</t>
        </r>
      </text>
    </comment>
    <comment ref="D46" authorId="0" shapeId="0" xr:uid="{00000000-0006-0000-0500-000007000000}">
      <text>
        <r>
          <rPr>
            <sz val="11"/>
            <color theme="1"/>
            <rFont val="Aptos Narrow"/>
            <family val="2"/>
            <scheme val="minor"/>
          </rPr>
          <t xml:space="preserve">USUARIO:
revisar con area tecncia 
</t>
        </r>
      </text>
    </comment>
    <comment ref="D48" authorId="0" shapeId="0" xr:uid="{00000000-0006-0000-0500-000008000000}">
      <text>
        <r>
          <rPr>
            <sz val="11"/>
            <color theme="1"/>
            <rFont val="Aptos Narrow"/>
            <family val="2"/>
            <scheme val="minor"/>
          </rPr>
          <t xml:space="preserve">USUARIO:
revisar con bolsa
</t>
        </r>
      </text>
    </comment>
    <comment ref="D61" authorId="0" shapeId="0" xr:uid="{24DCFF33-2C63-41C9-81BC-3991321D56C8}">
      <text>
        <r>
          <rPr>
            <b/>
            <sz val="9"/>
            <color indexed="81"/>
            <rFont val="Tahoma"/>
            <family val="2"/>
          </rPr>
          <t xml:space="preserve">USUARIO:REVISAR CON AREA TECNICA YA QUE EL VALOR NO TIENE REFERENCIA CLARA 
</t>
        </r>
      </text>
    </comment>
    <comment ref="D62" authorId="0" shapeId="0" xr:uid="{017B7972-CC43-497B-8B8C-418F2FEB2768}">
      <text>
        <r>
          <rPr>
            <b/>
            <sz val="9"/>
            <color indexed="81"/>
            <rFont val="Tahoma"/>
            <family val="2"/>
          </rPr>
          <t>USUARIO:</t>
        </r>
        <r>
          <rPr>
            <sz val="9"/>
            <color indexed="81"/>
            <rFont val="Tahoma"/>
            <family val="2"/>
          </rPr>
          <t xml:space="preserve">
REVISAR CON AREA TECNICA  SI ES MEJOR LA COMPRA
</t>
        </r>
      </text>
    </comment>
    <comment ref="D72" authorId="0" shapeId="0" xr:uid="{9CD123AF-F195-4B1C-A073-D5411E582E7C}">
      <text>
        <r>
          <rPr>
            <b/>
            <sz val="9"/>
            <color indexed="81"/>
            <rFont val="Tahoma"/>
            <family val="2"/>
          </rPr>
          <t>USUARIO:</t>
        </r>
        <r>
          <rPr>
            <sz val="9"/>
            <color indexed="81"/>
            <rFont val="Tahoma"/>
            <family val="2"/>
          </rPr>
          <t xml:space="preserve">
no se tiene valores en bolsa planeacon
</t>
        </r>
      </text>
    </comment>
    <comment ref="C75" authorId="0" shapeId="0" xr:uid="{00000000-0006-0000-0500-000009000000}">
      <text>
        <r>
          <rPr>
            <sz val="11"/>
            <color theme="1"/>
            <rFont val="Aptos Narrow"/>
            <family val="2"/>
            <scheme val="minor"/>
          </rPr>
          <t xml:space="preserve">USUARIO:
revisar nombre 
</t>
        </r>
      </text>
    </comment>
    <comment ref="D75" authorId="0" shapeId="0" xr:uid="{A9CE1290-360D-4439-A9DD-ECD5C7770877}">
      <text>
        <r>
          <rPr>
            <b/>
            <sz val="9"/>
            <color indexed="81"/>
            <rFont val="Tahoma"/>
            <family val="2"/>
          </rPr>
          <t>USUARIO:</t>
        </r>
        <r>
          <rPr>
            <sz val="9"/>
            <color indexed="81"/>
            <rFont val="Tahoma"/>
            <family val="2"/>
          </rPr>
          <t xml:space="preserve">
revisar con area tecnica ya que la cotizacion es de 47 mil en el mercado
</t>
        </r>
      </text>
    </comment>
    <comment ref="D87" authorId="0" shapeId="0" xr:uid="{1A6EA1D3-0D1D-4BF6-A12F-76BF260A878C}">
      <text>
        <r>
          <rPr>
            <b/>
            <sz val="9"/>
            <color indexed="81"/>
            <rFont val="Tahoma"/>
            <family val="2"/>
          </rPr>
          <t>USUARIO:</t>
        </r>
        <r>
          <rPr>
            <sz val="9"/>
            <color indexed="81"/>
            <rFont val="Tahoma"/>
            <family val="2"/>
          </rPr>
          <t xml:space="preserve">
no se tiene referencia de valores en la bolsa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E17" authorId="0" shapeId="0" xr:uid="{BF6BBD0E-1262-45B7-B4A9-B3E0E8FA5977}">
      <text>
        <r>
          <rPr>
            <sz val="11"/>
            <color theme="1"/>
            <rFont val="Aptos Narrow"/>
            <family val="2"/>
            <scheme val="minor"/>
          </rPr>
          <t xml:space="preserve">USUARIO:
NO DA  LO DE LA BOLSA   ENVIAR A MARCELA 
</t>
        </r>
      </text>
    </comment>
    <comment ref="E19" authorId="0" shapeId="0" xr:uid="{43B10CC8-C120-4626-BA27-A79D438E357D}">
      <text>
        <r>
          <rPr>
            <sz val="11"/>
            <color theme="1"/>
            <rFont val="Aptos Narrow"/>
            <family val="2"/>
            <scheme val="minor"/>
          </rPr>
          <t xml:space="preserve">USUARIO:
REVISAR CON MARCELA 
</t>
        </r>
      </text>
    </comment>
    <comment ref="H22" authorId="0" shapeId="0" xr:uid="{91E853D5-1DE5-41BE-9373-A23B64AC46EE}">
      <text>
        <r>
          <rPr>
            <sz val="11"/>
            <color theme="1"/>
            <rFont val="Aptos Narrow"/>
            <family val="2"/>
            <scheme val="minor"/>
          </rPr>
          <t>USUARIO:
REVISAR CANTIDADES</t>
        </r>
      </text>
    </comment>
    <comment ref="E44" authorId="0" shapeId="0" xr:uid="{2A079C05-CA31-47D3-BF2C-C15642AAD772}">
      <text>
        <r>
          <rPr>
            <sz val="11"/>
            <color theme="1"/>
            <rFont val="Aptos Narrow"/>
            <family val="2"/>
            <scheme val="minor"/>
          </rPr>
          <t xml:space="preserve">USUARIO:
no coinside con la bolsa
</t>
        </r>
      </text>
    </comment>
    <comment ref="E45" authorId="0" shapeId="0" xr:uid="{3CA46E70-B1D2-4F1B-B2D4-B272D0C2B836}">
      <text>
        <r>
          <rPr>
            <sz val="11"/>
            <color theme="1"/>
            <rFont val="Aptos Narrow"/>
            <family val="2"/>
            <scheme val="minor"/>
          </rPr>
          <t xml:space="preserve">USUARIO:
no coincide con la bolsa
</t>
        </r>
      </text>
    </comment>
    <comment ref="E46" authorId="0" shapeId="0" xr:uid="{4D8E85D8-10C2-4B5D-877E-283E8AEDA0CE}">
      <text>
        <r>
          <rPr>
            <sz val="11"/>
            <color theme="1"/>
            <rFont val="Aptos Narrow"/>
            <family val="2"/>
            <scheme val="minor"/>
          </rPr>
          <t xml:space="preserve">USUARIO:
revisar con area tecncia 
</t>
        </r>
      </text>
    </comment>
    <comment ref="E48" authorId="0" shapeId="0" xr:uid="{D3675188-B66C-4621-97FC-6D537605A11D}">
      <text>
        <r>
          <rPr>
            <sz val="11"/>
            <color theme="1"/>
            <rFont val="Aptos Narrow"/>
            <family val="2"/>
            <scheme val="minor"/>
          </rPr>
          <t xml:space="preserve">USUARIO:
revisar con bolsa
</t>
        </r>
      </text>
    </comment>
    <comment ref="E61" authorId="0" shapeId="0" xr:uid="{04E5DE56-9ADD-47C2-B097-7DA5CF6AC5B5}">
      <text>
        <r>
          <rPr>
            <b/>
            <sz val="9"/>
            <color indexed="81"/>
            <rFont val="Tahoma"/>
            <family val="2"/>
          </rPr>
          <t xml:space="preserve">USUARIO:REVISAR CON AREA TECNICA YA QUE EL VALOR NO TIENE REFERENCIA CLARA 
</t>
        </r>
      </text>
    </comment>
    <comment ref="E62" authorId="0" shapeId="0" xr:uid="{DFF12E96-E048-4B7E-9B3D-5DA51889BB30}">
      <text>
        <r>
          <rPr>
            <b/>
            <sz val="9"/>
            <color indexed="81"/>
            <rFont val="Tahoma"/>
            <family val="2"/>
          </rPr>
          <t>USUARIO:</t>
        </r>
        <r>
          <rPr>
            <sz val="9"/>
            <color indexed="81"/>
            <rFont val="Tahoma"/>
            <family val="2"/>
          </rPr>
          <t xml:space="preserve">
REVISAR CON AREA TECNICA  SI ES MEJOR LA COMPRA
</t>
        </r>
      </text>
    </comment>
    <comment ref="E72" authorId="0" shapeId="0" xr:uid="{9683D36C-D99F-4174-95E5-9567AF495D52}">
      <text>
        <r>
          <rPr>
            <b/>
            <sz val="9"/>
            <color indexed="81"/>
            <rFont val="Tahoma"/>
            <family val="2"/>
          </rPr>
          <t>USUARIO:</t>
        </r>
        <r>
          <rPr>
            <sz val="9"/>
            <color indexed="81"/>
            <rFont val="Tahoma"/>
            <family val="2"/>
          </rPr>
          <t xml:space="preserve">
no se tiene valores en bolsa planeacon
</t>
        </r>
      </text>
    </comment>
    <comment ref="D75" authorId="0" shapeId="0" xr:uid="{EA20FE31-ADDA-4336-AC7E-3188A1AAADFA}">
      <text>
        <r>
          <rPr>
            <sz val="11"/>
            <color theme="1"/>
            <rFont val="Aptos Narrow"/>
            <family val="2"/>
            <scheme val="minor"/>
          </rPr>
          <t xml:space="preserve">USUARIO:
revisar nombre 
</t>
        </r>
      </text>
    </comment>
    <comment ref="E75" authorId="0" shapeId="0" xr:uid="{58972BF5-B77D-438E-B03F-E5E0E0ECC7F5}">
      <text>
        <r>
          <rPr>
            <b/>
            <sz val="9"/>
            <color indexed="81"/>
            <rFont val="Tahoma"/>
            <family val="2"/>
          </rPr>
          <t>USUARIO:</t>
        </r>
        <r>
          <rPr>
            <sz val="9"/>
            <color indexed="81"/>
            <rFont val="Tahoma"/>
            <family val="2"/>
          </rPr>
          <t xml:space="preserve">
revisar con area tecnica ya que la cotizacion es de 47 mil en el mercado
</t>
        </r>
      </text>
    </comment>
    <comment ref="E87" authorId="0" shapeId="0" xr:uid="{7CA6A474-91AE-4054-B9CD-8AE4CB29BB72}">
      <text>
        <r>
          <rPr>
            <b/>
            <sz val="9"/>
            <color indexed="81"/>
            <rFont val="Tahoma"/>
            <family val="2"/>
          </rPr>
          <t>USUARIO:</t>
        </r>
        <r>
          <rPr>
            <sz val="9"/>
            <color indexed="81"/>
            <rFont val="Tahoma"/>
            <family val="2"/>
          </rPr>
          <t xml:space="preserve">
no se tiene referencia de valores en la bolsa
</t>
        </r>
      </text>
    </comment>
  </commentList>
</comments>
</file>

<file path=xl/sharedStrings.xml><?xml version="1.0" encoding="utf-8"?>
<sst xmlns="http://schemas.openxmlformats.org/spreadsheetml/2006/main" count="19447" uniqueCount="2294">
  <si>
    <t>DIGO CIIU (Clase)DESCRIPCIÓN DE LA ACTIVIDADJUSTIFICACIÓN TÉCNICA (Basada en SEFUR)P8559Otros tipos de educación n.c.p.Se incorpora en razón a que el proyecto contempla como núcleo misional un componente transversal de Educación No Formal (39%) orientado a las ferias ambientales (talleres de separación, residuos especiales, tips ambientales, habilidades blandas para recicladores y compostaje).G4719Otros tipos de comercio al por menor en establecimientos no especializados.Habilita de forma directa la adquisición del régimen mixto de incentivos del componente de Comercio (20% en conjunto), tales como insumos para el vermicultivo y la entrega de elementos de difusión.G4771Comercio al por menor de prendas de vestir y sus accesorios en establecimientos especializados.Requerido de forma específica para amparar el suministro de la dotación física comercial, correspondiente a los 320 uniformes y Elementos de Protección Personal (EPP) que serán entregados en la ceremonia de reconocimiento a recicladores.N8230Organización de convenciones y eventos comerciales.Se asocia directamente al componente de Logística y Operación (15%) para amparar integralmente la realización de las ferias ambientales itinerantes (de 3 pasos), asumiendo el acopio, transporte local y montaje de los eventos en la localidad.M7490Otras actividades profesionales, científicas y técnicas n.c.p.Clasifica y ampara los componentes de Servicios Administrativos, Coordinación y Diagnóstico (20% en conjunto), sustentando la contratación de los ingenieros, coordinadores (10%) y firmas expertas para el diagnóstico y delimitación de beneficiarios (10%).E3821Tratamiento y disposición de desechos no peligrosos.Aplica de manera directa al subsector operativo de Servicios de Compostaje (3%) enfocado en la capacitación y tratamiento de residuos orgánicos segregados en Fruver, restaurantes y propiedades horizontales.J5911Actividades de producción de películas de cine, video y programas de televisión.Necesario para habilitar formalmente a las firmas del componente de Producción Audiovisual (3%) que realizarán la producción de los videos institucionales tipo "Reciclador por un día" y demás actividades.</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</si>
  <si>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</si>
  <si>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</si>
  <si>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</si>
  <si>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</si>
  <si>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</si>
  <si>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</si>
  <si>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</si>
  <si>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</si>
  <si>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 xml:space="preserve">Estudio de Mercado </t>
  </si>
  <si>
    <t>FECHA DE DILIGENCIAMIENTO DEL ESTUDIO DE MERCADO</t>
  </si>
  <si>
    <t>MODALIDAD CONTRATACIÓN</t>
  </si>
  <si>
    <t>ESTRUCTURADOR</t>
  </si>
  <si>
    <t>REVISÓ</t>
  </si>
  <si>
    <t>APROBÓ</t>
  </si>
  <si>
    <t>OBJETO DEL PROCESO DE CONTRATACIÓN</t>
  </si>
  <si>
    <t>RECURSO HUMANO</t>
  </si>
  <si>
    <t>Cotización 1</t>
  </si>
  <si>
    <t>Cotización 2</t>
  </si>
  <si>
    <t>Cotización 3</t>
  </si>
  <si>
    <t>Procesos en Otras Entidades</t>
  </si>
  <si>
    <t>Promedio Simple</t>
  </si>
  <si>
    <t>Media Geométrica</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</si>
  <si>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</si>
  <si>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</si>
  <si>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</si>
  <si>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</si>
  <si>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</si>
  <si>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</si>
  <si>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</si>
  <si>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</si>
  <si>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</si>
  <si>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</si>
  <si>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</si>
  <si>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</si>
  <si>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</si>
  <si>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</si>
  <si>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Nombre Entidad</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</si>
  <si>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</si>
  <si>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</si>
  <si>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</si>
  <si>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</si>
  <si>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</si>
  <si>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</si>
  <si>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</si>
  <si>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</si>
  <si>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</si>
  <si>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</si>
  <si>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</si>
  <si>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</si>
  <si>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</si>
  <si>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</si>
  <si>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</si>
  <si>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</si>
  <si>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</si>
  <si>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</si>
  <si>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</si>
  <si>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</si>
  <si>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</si>
  <si>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</si>
  <si>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</si>
  <si>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</si>
  <si>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</si>
  <si>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</si>
  <si>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</si>
  <si>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</si>
  <si>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</si>
  <si>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</si>
  <si>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</si>
  <si>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</si>
  <si>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</si>
  <si>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</si>
  <si>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</si>
  <si>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</si>
  <si>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</si>
  <si>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</si>
  <si>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</si>
  <si>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</si>
  <si>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</si>
  <si>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</si>
  <si>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</si>
  <si>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</si>
  <si>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</si>
  <si>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</si>
  <si>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</si>
  <si>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</si>
  <si>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</si>
  <si>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</si>
  <si>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</si>
  <si>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</si>
  <si>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</si>
  <si>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</si>
  <si>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</si>
  <si>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</si>
  <si>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</si>
  <si>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</si>
  <si>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</si>
  <si>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</si>
  <si>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</si>
  <si>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</si>
  <si>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</si>
  <si>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</si>
  <si>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</si>
  <si>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</si>
  <si>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</si>
  <si>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</si>
  <si>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</si>
  <si>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</si>
  <si>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</si>
  <si>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</si>
  <si>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</si>
  <si>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</si>
  <si>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</si>
  <si>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</si>
  <si>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</si>
  <si>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</si>
  <si>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</si>
  <si>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</si>
  <si>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</si>
  <si>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</si>
  <si>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</si>
  <si>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</si>
  <si>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</si>
  <si>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</si>
  <si>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</si>
  <si>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</si>
  <si>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</si>
  <si>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</si>
  <si>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</si>
  <si>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</si>
  <si>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</si>
  <si>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</si>
  <si>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</si>
  <si>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</si>
  <si>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</si>
  <si>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</si>
  <si>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</si>
  <si>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</si>
  <si>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</si>
  <si>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</si>
  <si>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</si>
  <si>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</si>
  <si>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</si>
  <si>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</si>
  <si>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</si>
  <si>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</si>
  <si>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</si>
  <si>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</si>
  <si>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</si>
  <si>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</si>
  <si>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</si>
  <si>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</si>
  <si>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</si>
  <si>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</si>
  <si>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</si>
  <si>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</si>
  <si>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</si>
  <si>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</si>
  <si>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ALCALDÍA LOCAL DE SUBA - ESTUDIO DE MERCADO 2026</t>
  </si>
  <si>
    <t xml:space="preserve">TOTAL ITEMS PROCEDAS </t>
  </si>
  <si>
    <t>FECHA DE ENTREGA DEL ESTUDIO DE MERCADO</t>
  </si>
  <si>
    <t>SELECCIÓN ABREVIADA DE MENOR CUANTIA</t>
  </si>
  <si>
    <t xml:space="preserve">TOTAL ITEMS AGRICULTURA URBANA </t>
  </si>
  <si>
    <t>CAROLINA VALENCIA BAUTISTA</t>
  </si>
  <si>
    <t>TOTAL RECURSO HUMANO</t>
  </si>
  <si>
    <t>PRESUPUESTO OFICIAL</t>
  </si>
  <si>
    <t>$ 524.829.000</t>
  </si>
  <si>
    <t xml:space="preserve">Prestar servicios profesionales para fortalecer la agricultura urbana y periurbana e implementar Procesos Comunitarios de Educación Ambiental (PROCEDA) en la localidad de Suba  
 </t>
  </si>
  <si>
    <t>TOTAL ESTUDIO DE MERCADO</t>
  </si>
  <si>
    <t>OJO, PARA TODAS LAS COTIZACIONES QUE CRUZAN INFORMACIÓN DE LA BOLSA SE DEBEN VERIFICAR LOS IMPUESTOS Y EL VALOR UNITARIO CON IVA!!!!!!! QUE CORRESPONDA A LA BOLSA COMPARTIDA</t>
  </si>
  <si>
    <t>Valor Unitario sin IVA</t>
  </si>
  <si>
    <t>CRUCE DE DATOS</t>
  </si>
  <si>
    <t>VALIDACIÓN</t>
  </si>
  <si>
    <t>PROCEDAS</t>
  </si>
  <si>
    <t>Compra Alquiler
Prestación Servicio</t>
  </si>
  <si>
    <t>Valor IVA / proyección IPC</t>
  </si>
  <si>
    <t>Valor IVA/ IPOCONSUMO</t>
  </si>
  <si>
    <t>NOMBRE</t>
  </si>
  <si>
    <t>DESCRIPCIÓN</t>
  </si>
  <si>
    <t>PROVEEDOR 1</t>
  </si>
  <si>
    <t>VALOR SIN IVA 1</t>
  </si>
  <si>
    <t>PROVEEDOR 2</t>
  </si>
  <si>
    <t>VALOR SIN IVA 2</t>
  </si>
  <si>
    <t>PROVEEDOR 3</t>
  </si>
  <si>
    <t>VALOR SIN IVA 3</t>
  </si>
  <si>
    <t>COEFICIENTE VARIACIÓN</t>
  </si>
  <si>
    <t>DGral. Ecología integral – Conversión</t>
  </si>
  <si>
    <t>Refrigerio Tipo 1</t>
  </si>
  <si>
    <t>1PROCEDAS</t>
  </si>
  <si>
    <t>Bolsas negras</t>
  </si>
  <si>
    <t xml:space="preserve">BOLSA NEGRA 60 X 80 PAQ. X 50 UND, disposicion de residuos </t>
  </si>
  <si>
    <t>Unidad</t>
  </si>
  <si>
    <t>Compra</t>
  </si>
  <si>
    <t>AVANCE ORGANIZACIONAL CONSULTORES SAS</t>
  </si>
  <si>
    <t>SIDED</t>
  </si>
  <si>
    <t>SUPER DESECHABLES DEL NORTE</t>
  </si>
  <si>
    <t>2PROCEDAS</t>
  </si>
  <si>
    <t xml:space="preserve">Bolsas blancas </t>
  </si>
  <si>
    <t xml:space="preserve">BOLSA BLANCA 60 X 80 PAQ. X 50 UND, disposicion de residuos </t>
  </si>
  <si>
    <t>3PROCEDAS</t>
  </si>
  <si>
    <t xml:space="preserve">Bolsas verdes </t>
  </si>
  <si>
    <t xml:space="preserve">BOLSA VERDE 60 X 80 PAQ. X 50 UND, disposicion de residuos </t>
  </si>
  <si>
    <t>4PROCEDAS</t>
  </si>
  <si>
    <t>Servicio de transporte zona Rural de la localidad de Suba para  40 personas por jornada</t>
  </si>
  <si>
    <t>5PROCEDAS</t>
  </si>
  <si>
    <t>Servicio de transporte zona Rural de la localidad de Suba para  10 personas por trayecto</t>
  </si>
  <si>
    <t>6PROCEDAS</t>
  </si>
  <si>
    <t>Tallerista</t>
  </si>
  <si>
    <t>Tallerista (Por cada sesión) durante 4 horas, profesional como ingeniero/a ambiental, administrador ambiental, licenciado ambiental en educación ambiental, biólogo, ecólogo y/o carreras afines, servicio quedebe incluir el desplazamiento del tallerista</t>
  </si>
  <si>
    <t>PrestaciónServicio</t>
  </si>
  <si>
    <t>CONANDES</t>
  </si>
  <si>
    <t>7PROCEDAS</t>
  </si>
  <si>
    <t>Agendas con esfero</t>
  </si>
  <si>
    <t>8PROCEDAS</t>
  </si>
  <si>
    <t>Camiseta t-shirt o Camiseta blanca</t>
  </si>
  <si>
    <t>9PROCEDAS</t>
  </si>
  <si>
    <t>Codos</t>
  </si>
  <si>
    <t xml:space="preserve">Codos PVC de 3” (Pulgadas) </t>
  </si>
  <si>
    <t>INVERSIONES PROIN</t>
  </si>
  <si>
    <t>FERRETERIA AL DIA</t>
  </si>
  <si>
    <t>10PROCEDAS</t>
  </si>
  <si>
    <t>Tubos PVC</t>
  </si>
  <si>
    <t xml:space="preserve">Metro de tubo PVC de 3” (Pulgadas) liviano </t>
  </si>
  <si>
    <t>CENTRO DE LA CONSTRUCION</t>
  </si>
  <si>
    <t>COMADERAS</t>
  </si>
  <si>
    <t>FERRETITO</t>
  </si>
  <si>
    <t>11PROCEDAS</t>
  </si>
  <si>
    <t>Pegamento</t>
  </si>
  <si>
    <t>Pegamento o soldadura de tubo PVC y plásticos  de 473 cm3 de 1/8 de galón</t>
  </si>
  <si>
    <t>GRUPO SAN PIO</t>
  </si>
  <si>
    <t>HOMECENTER</t>
  </si>
  <si>
    <t>FERRETERIA FORERO</t>
  </si>
  <si>
    <t>12PROCEDAS</t>
  </si>
  <si>
    <t>Bisturí mediano</t>
  </si>
  <si>
    <t>13PROCEDAS</t>
  </si>
  <si>
    <t>Amarres plásticos</t>
  </si>
  <si>
    <t>Paquetes de veinticinco (25) unidades de amarres plásticos de 40 cm de largo y de ancho de 4.5 mm</t>
  </si>
  <si>
    <t>C&amp;C GRUPO EMPRESARIAL SAS</t>
  </si>
  <si>
    <t>FERRETERIA DE MARCA</t>
  </si>
  <si>
    <t>EXITO</t>
  </si>
  <si>
    <t>C&amp;C no tiene link de cotizacion No lo encontre en la WEB</t>
  </si>
  <si>
    <t>14PROCEDAS</t>
  </si>
  <si>
    <t>Alambre</t>
  </si>
  <si>
    <t>Kilo de alambre dulce</t>
  </si>
  <si>
    <t>Kg</t>
  </si>
  <si>
    <t>CONADES</t>
  </si>
  <si>
    <t>15PROCEDAS</t>
  </si>
  <si>
    <t>Silicona ácida</t>
  </si>
  <si>
    <t>Frascos de silicona ácida de 200 ml c/u</t>
  </si>
  <si>
    <t>16PROCEDAS</t>
  </si>
  <si>
    <t>Zuncho plástico</t>
  </si>
  <si>
    <t xml:space="preserve">Rollo de zuncho plástico de 1/2" de 100 m </t>
  </si>
  <si>
    <t>CASA FERRETERIA</t>
  </si>
  <si>
    <t>17PROCEDAS</t>
  </si>
  <si>
    <t>Grapas</t>
  </si>
  <si>
    <t>Paquete por diez (10) unidades de grapas metálicas de 1/2 " que funcionen como abrazadera</t>
  </si>
  <si>
    <t>NACIONAL DE ELECTRICOS</t>
  </si>
  <si>
    <t>INTER ELECTRICAS</t>
  </si>
  <si>
    <t>PRODUCABOS</t>
  </si>
  <si>
    <t>18PROCEDAS</t>
  </si>
  <si>
    <t>Pintura acrílica base (fondo)</t>
  </si>
  <si>
    <t>Pintura acrílica color blanco o gris ecológica para fondear superficies ,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</si>
  <si>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Cuñete</t>
  </si>
  <si>
    <t>HOMCENTER</t>
  </si>
  <si>
    <t>19PROCEDAS</t>
  </si>
  <si>
    <t>Pintura acrílica amarilla</t>
  </si>
  <si>
    <t>Pintura acrílica color amarillo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</si>
  <si>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Galón</t>
  </si>
  <si>
    <t>20PROCEDAS</t>
  </si>
  <si>
    <t>Pintura acrílica azul</t>
  </si>
  <si>
    <t>Pintura acrílica color azul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</si>
  <si>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 xml:space="preserve">Galón </t>
  </si>
  <si>
    <t>21PROCEDAS</t>
  </si>
  <si>
    <t>Pintura acrílica roja</t>
  </si>
  <si>
    <t>Pintura acrílica color roja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</si>
  <si>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22PROCEDAS</t>
  </si>
  <si>
    <t>Pintura acrílica negra</t>
  </si>
  <si>
    <t xml:space="preserve">Pintura acrílica color negra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t>
  </si>
  <si>
    <t>23PROCEDAS</t>
  </si>
  <si>
    <t>Rodillos</t>
  </si>
  <si>
    <t>Rodillos de 3” (Pulgadas)</t>
  </si>
  <si>
    <t>24PROCEDAS</t>
  </si>
  <si>
    <t>Brochas</t>
  </si>
  <si>
    <t>Brochas de 1” (Pulgada)</t>
  </si>
  <si>
    <t>HOMMECENTER</t>
  </si>
  <si>
    <t>FALABELLA COLOMBIA</t>
  </si>
  <si>
    <t>FERRICENTRO</t>
  </si>
  <si>
    <t>25PROCEDAS</t>
  </si>
  <si>
    <t>Brochas de 5 ” (Pulgadas)</t>
  </si>
  <si>
    <t>FERREINOX</t>
  </si>
  <si>
    <t>26PROCEDAS</t>
  </si>
  <si>
    <t>DdifRur. Guardianes de la vida y la biodiversidad</t>
  </si>
  <si>
    <t>27PROCEDAS</t>
  </si>
  <si>
    <t>28PROCEDAS</t>
  </si>
  <si>
    <t>29PROCEDAS</t>
  </si>
  <si>
    <t>30PROCEDAS</t>
  </si>
  <si>
    <t>31PROCEDAS</t>
  </si>
  <si>
    <t>32PROCEDAS</t>
  </si>
  <si>
    <t>33PROCEDAS</t>
  </si>
  <si>
    <t>Auditorio para 50 personas media jornada</t>
  </si>
  <si>
    <t>34PROCEDAS</t>
  </si>
  <si>
    <t>Alquiler Carpa Pagoda 4 x 4</t>
  </si>
  <si>
    <t>35PROCEDAS</t>
  </si>
  <si>
    <t>Sillas</t>
  </si>
  <si>
    <t>Alquiler de sillas plásticas para uso de los participantes</t>
  </si>
  <si>
    <t>Alquiler</t>
  </si>
  <si>
    <t>36PROCEDAS</t>
  </si>
  <si>
    <t>Mesas cuadradas</t>
  </si>
  <si>
    <t>37PROCEDAS</t>
  </si>
  <si>
    <t>Suba le apuesta a los mercados verdes, la economía y/o moda circular v 2.0</t>
  </si>
  <si>
    <t>38PROCEDAS</t>
  </si>
  <si>
    <t>Moldes</t>
  </si>
  <si>
    <t>Moldes reutilizables como medias esferas de poliestireno expandido de 30 cm para utilizar para dar forma a la lámpara</t>
  </si>
  <si>
    <t>VELAS E INSUMOS LEON</t>
  </si>
  <si>
    <t>39PROCEDAS</t>
  </si>
  <si>
    <t>Desmoldante</t>
  </si>
  <si>
    <t xml:space="preserve">Aceite vegetal que funciona como desmoldante de 50 ml </t>
  </si>
  <si>
    <t>MUNDO HUEVO</t>
  </si>
  <si>
    <t>TALSA</t>
  </si>
  <si>
    <t>TECNOLOGIA Y SUMINSTROS TESUMA</t>
  </si>
  <si>
    <t>40PROCEDAS</t>
  </si>
  <si>
    <t>Colorantes</t>
  </si>
  <si>
    <t xml:space="preserve">Colorantes naturales o ecológicos hidrosolubles seguros para aplicación en jabones, shampoo, acondicionadores, cremas, en general para productos de cuidado personal en tarro de 15 ml </t>
  </si>
  <si>
    <t>DEW GENIAL</t>
  </si>
  <si>
    <t>TIENDA DEL CHOCOLATE</t>
  </si>
  <si>
    <t>41PROCEDAS</t>
  </si>
  <si>
    <t>Agua destilada</t>
  </si>
  <si>
    <t>Agua destilada en envase de 1 litro</t>
  </si>
  <si>
    <t>LA CASA DEL CIENTIFICO</t>
  </si>
  <si>
    <t>ASENIX</t>
  </si>
  <si>
    <t>42PROCEDAS</t>
  </si>
  <si>
    <t>Jabón biodegradable</t>
  </si>
  <si>
    <t>Jabón biodegradable en envase de 1 galón</t>
  </si>
  <si>
    <t>43PROCEDAS</t>
  </si>
  <si>
    <t>Vinagre blanco</t>
  </si>
  <si>
    <t>Vinagre blanco en botella por 500 ml</t>
  </si>
  <si>
    <t>MERCADONCASA</t>
  </si>
  <si>
    <t>CARULLA</t>
  </si>
  <si>
    <t>SUPERMERCADOEURO</t>
  </si>
  <si>
    <t>44PROCEDAS</t>
  </si>
  <si>
    <t>Aceite esencial en botella por 20 ml</t>
  </si>
  <si>
    <t>MANUARTE</t>
  </si>
  <si>
    <t>YO SOY REGALO DEL CIELO</t>
  </si>
  <si>
    <t>45PROCEDAS</t>
  </si>
  <si>
    <t>Alcohol</t>
  </si>
  <si>
    <t>Alcohol común en envase de 700 ml</t>
  </si>
  <si>
    <t>DROGUERIA PASTEUR</t>
  </si>
  <si>
    <t>46PROCEDAS</t>
  </si>
  <si>
    <t>Botellas reciclables</t>
  </si>
  <si>
    <t>Botellas reciclables con capacidad para 250 ml de líquido</t>
  </si>
  <si>
    <t>DPS</t>
  </si>
  <si>
    <t>DUQUE SALDARRIAGA</t>
  </si>
  <si>
    <t>DISTRIBUIDORA PLASTICOS DEL SUR</t>
  </si>
  <si>
    <t>47PROCEDAS</t>
  </si>
  <si>
    <t>Tapas para botella</t>
  </si>
  <si>
    <t xml:space="preserve">Tapas para botellas de 250 ml de líquido </t>
  </si>
  <si>
    <t>SOLOENVASES</t>
  </si>
  <si>
    <t>UNICORSA S.A</t>
  </si>
  <si>
    <t>TECNOPRES GRAFICA S.A</t>
  </si>
  <si>
    <t xml:space="preserve">NO SE ENCUENTRA EN LINK NI EN WEB </t>
  </si>
  <si>
    <t>48PROCEDAS</t>
  </si>
  <si>
    <t>Glicerina vegetal</t>
  </si>
  <si>
    <t xml:space="preserve">Glicerina vegetal en botella de 250 gr </t>
  </si>
  <si>
    <t>INSUMOS MYM</t>
  </si>
  <si>
    <t>QUIMICOS PROQUIMPI</t>
  </si>
  <si>
    <t>BODEGA PORTILLA</t>
  </si>
  <si>
    <t>49PROCEDAS</t>
  </si>
  <si>
    <t>Alquiler trituradora de escombros</t>
  </si>
  <si>
    <t>Alquiler de trituradora de escombros manual o mecánica para el aprovechamiento de la materia prima</t>
  </si>
  <si>
    <t>50PROCEDAS</t>
  </si>
  <si>
    <t>Alquiler tamiz</t>
  </si>
  <si>
    <t>Alquiler de tamiz para obtener granulometría decorativa de 1-3 cms</t>
  </si>
  <si>
    <t>51PROCEDAS</t>
  </si>
  <si>
    <t>Sacos para empaque</t>
  </si>
  <si>
    <t>Sacos para empaque de gravilla decorativa con dimensiones de 42 cm x 80 cm</t>
  </si>
  <si>
    <t>MULTIPLASTICPS CARTAGENA</t>
  </si>
  <si>
    <t>GABY VENTAS</t>
  </si>
  <si>
    <t>52PROCEDAS</t>
  </si>
  <si>
    <t xml:space="preserve">Guantes </t>
  </si>
  <si>
    <t>Guantes de protección para labores agrícolas, en materiales resistentes (látex, nitrilo o tela recubierta). Tallas M y L, antideslizantes, reutilizables.</t>
  </si>
  <si>
    <t xml:space="preserve">JUNTOS DE LA MANO </t>
  </si>
  <si>
    <t>MYCBDE</t>
  </si>
  <si>
    <t>DAGROW</t>
  </si>
  <si>
    <t>53PROCEDAS</t>
  </si>
  <si>
    <t>Tapabocas</t>
  </si>
  <si>
    <t>Caja de tapaboca desechable de protección facial. Elaborado en tela quirúgica de 50gr. y espuma blanca. Ajuste mediante bandas elásticas de cuatro hilos, con ajuste nasal laminado. Caja por 50 unidades.</t>
  </si>
  <si>
    <t>COMERCIALIZADORA PROCOL DEL VALLE</t>
  </si>
  <si>
    <t>PYP VIDA</t>
  </si>
  <si>
    <t>FLOW CHEMICAL</t>
  </si>
  <si>
    <t>54PROCEDAS</t>
  </si>
  <si>
    <t>Gafas de protección</t>
  </si>
  <si>
    <t xml:space="preserve">Gafas de protección Ancho : 4.5 cm Largo : 15.2 cm
•Alto : 5 cm
Características : • Lentes de policarbonato que al romperse no producen astillas ni esquirlas, por lo que son seguros contra el impacto. • Cuentan con un recubrimiento anti-rayadura que también protege contra la abrasión. • Diseño envolvente que provee protección extendida y una visión sin obstrucciones.
</t>
  </si>
  <si>
    <t>HOMME CENTER</t>
  </si>
  <si>
    <t>55PROCEDAS</t>
  </si>
  <si>
    <t>Cemento</t>
  </si>
  <si>
    <t>Cemento gris en presentación de 50 Kg</t>
  </si>
  <si>
    <t>56PROCEDAS</t>
  </si>
  <si>
    <t>Almidón</t>
  </si>
  <si>
    <t>Almidón artesanal de maíz, yuca o papa</t>
  </si>
  <si>
    <t>HAIKU</t>
  </si>
  <si>
    <t>57PROCEDAS</t>
  </si>
  <si>
    <t>Fibra natural</t>
  </si>
  <si>
    <t>Fibras naturales que provengan de semillas, tallos, hojas o frutos de distintas plantas como algodón, lino, cáñamo, yute, entre otras… que sirvan como refuerzos para el desarrollo de cartucheras artesanales</t>
  </si>
  <si>
    <t>g</t>
  </si>
  <si>
    <t>PELETERIA MANUELA</t>
  </si>
  <si>
    <t>58PROCEDAS</t>
  </si>
  <si>
    <t>Láminas</t>
  </si>
  <si>
    <t>Láminas antiadherentes en papel reutilizables de 40x50 cm aproximadamente</t>
  </si>
  <si>
    <t>AMBIENTE GROUMENT</t>
  </si>
  <si>
    <t>59PROCEDAS</t>
  </si>
  <si>
    <t>Papel encerado</t>
  </si>
  <si>
    <t>Paquete de papel encerado en hojas de 30x30 cm por 100 unidades</t>
  </si>
  <si>
    <t xml:space="preserve"> MAKRO </t>
  </si>
  <si>
    <t>60PROCEDAS</t>
  </si>
  <si>
    <t>PISTOLA DE CALOR</t>
  </si>
  <si>
    <t>otencia nominal 1800 W
Alimentación Eléctrica
Largo del cable2 m
Voltaje enchufable 110 V
Temperatura máxima 630 °C
Rango de temperatura 50°C - 630°C
Voltaje110 V
Incluye Boquilla plana</t>
  </si>
  <si>
    <t>MAQUITODO</t>
  </si>
  <si>
    <t>61PROCEDAS</t>
  </si>
  <si>
    <t>62PROCEDAS</t>
  </si>
  <si>
    <t>Resina PLA</t>
  </si>
  <si>
    <t>Resina PLA (Bioplástico) ecológica degradable 100 % de base biológica que se polimeriza a partir de ácido láctico derivado de fuentes vegetales como el maíz.</t>
  </si>
  <si>
    <t xml:space="preserve">Kg </t>
  </si>
  <si>
    <t>ZULUPRINT</t>
  </si>
  <si>
    <t>63PROCEDAS</t>
  </si>
  <si>
    <t>Tarugos de bambú guadua de 8 mm (paquete por 50 unidades)</t>
  </si>
  <si>
    <t>64PROCEDAS</t>
  </si>
  <si>
    <t>Repuesto para cepillo de dientes de cabeza intercambiable, de bambú</t>
  </si>
  <si>
    <t>BRIOBRANDS</t>
  </si>
  <si>
    <t>65PROCEDAS</t>
  </si>
  <si>
    <t>66PROCEDAS</t>
  </si>
  <si>
    <t>Pegamento ecológico de látex de caucho natural, con un porcentaje de preservante ecológico. Al ser biodegradable, se descompone de forma natural sin dejar residuos tóxicos en el suelo o el agua, en envase de 240 gr</t>
  </si>
  <si>
    <t>PANAMERICANA</t>
  </si>
  <si>
    <t>PANAFARGO</t>
  </si>
  <si>
    <t>TRAZOS PAPELERIA ONLINE</t>
  </si>
  <si>
    <t>67PROCEDAS</t>
  </si>
  <si>
    <t>Lijas</t>
  </si>
  <si>
    <t xml:space="preserve">Lijas finas de 10 cm de ancho x 100 cm largo de  Grano de 60 a 400
</t>
  </si>
  <si>
    <t>EAOSDE</t>
  </si>
  <si>
    <t>68PROCEDAS</t>
  </si>
  <si>
    <t>Cera</t>
  </si>
  <si>
    <t>Sellador natural, como cera de abeja de aproximadamente 5 cm x 5 cm en presentación de 500 g</t>
  </si>
  <si>
    <t>69PROCEDAS</t>
  </si>
  <si>
    <t>Cajas</t>
  </si>
  <si>
    <t>Cajas de cartón reciclado de 25 cm x 5 cm</t>
  </si>
  <si>
    <t>MICROCORRUGADO</t>
  </si>
  <si>
    <t>CART PAPER</t>
  </si>
  <si>
    <t>70PROCEDAS</t>
  </si>
  <si>
    <t>Tela</t>
  </si>
  <si>
    <t>Tela agroecológica (algodón orgánico, lino, cáñamo) o en fibras de yute, rollo por metro, de cualquier color</t>
  </si>
  <si>
    <t>EL MAYORISTA STORE</t>
  </si>
  <si>
    <t>71PROCEDAS</t>
  </si>
  <si>
    <t>Tela liviana</t>
  </si>
  <si>
    <t>Tela liviana (Algodón o mezcla natural) de 180 hilos, rollo por metro, de cualquier color</t>
  </si>
  <si>
    <t>CASATEXTIL</t>
  </si>
  <si>
    <t>72PROCEDAS</t>
  </si>
  <si>
    <t>Entretela</t>
  </si>
  <si>
    <t>Entretela adhesiva o cosida de 35 g, rollo por metro de cualquier color</t>
  </si>
  <si>
    <t>LA MINA</t>
  </si>
  <si>
    <t>73PROCEDAS</t>
  </si>
  <si>
    <t>Cremalleras</t>
  </si>
  <si>
    <t>Cremalleras metálicas de 25 cm</t>
  </si>
  <si>
    <t>MIL HERRAJES</t>
  </si>
  <si>
    <t>74PROCEDAS</t>
  </si>
  <si>
    <t>Hilo</t>
  </si>
  <si>
    <t>Hilo ecológico (Algodón reciclado) por rollo de 300 metros, de 100 gramos de algodón reciclado</t>
  </si>
  <si>
    <t>MI LANERIA</t>
  </si>
  <si>
    <t>ENTRELANAS</t>
  </si>
  <si>
    <t>CROCHETEANDO</t>
  </si>
  <si>
    <t>75PROCEDAS</t>
  </si>
  <si>
    <t>Tiradores</t>
  </si>
  <si>
    <t>Tela, cuerda o cinta que sirva de tirador de la cremallera de la cartuchera artesanal, el cual puede ser en rollo de 300 metros</t>
  </si>
  <si>
    <t>PLASTITIENDA</t>
  </si>
  <si>
    <t>76PROCEDAS</t>
  </si>
  <si>
    <t>Tintes naturales</t>
  </si>
  <si>
    <t xml:space="preserve">Pintura textil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en frasco de 30 ml </t>
  </si>
  <si>
    <t>77PROCEDAS</t>
  </si>
  <si>
    <t>Bordes</t>
  </si>
  <si>
    <t>Cinta bies, ribetes, mide 18mm de ancho. Especial para el remate de todo tipo de prendas y tejidos. Composición: 50% Algodón / 50% Poliéster.</t>
  </si>
  <si>
    <t>m</t>
  </si>
  <si>
    <t xml:space="preserve"> $ 55.533,33 </t>
  </si>
  <si>
    <t xml:space="preserve"> $ 2.499.000,00 </t>
  </si>
  <si>
    <t xml:space="preserve"> $ 2.164.197,48 </t>
  </si>
  <si>
    <t>78PROCEDAS</t>
  </si>
  <si>
    <t>Prestación de servicio logísticos para desarrollo de carrera por la biodiversidad</t>
  </si>
  <si>
    <t>Logsitica y  desarrollo de la actividad denominada "Carrera por la biodiversidad", para cien (100) personas, incluyendo el personal para el  cumpliendo las funciones de dirigir y guiar a los participantes a lo largo del recorrido, desde su punto partidad hasta el punto de llegada. De igual manera,se incluye los kits, refrigerios, manejo de puntos de hidratación, entre otras necesidades que se presenten en el desarrollo de la actividad. El contratista debe velar por el cumplimiento del desarrollo de la actividad, y debe garantizar la entrega de todos los insumos mencionados previamente, y a su vez el diseño y organización del evento en general</t>
  </si>
  <si>
    <t>Hora</t>
  </si>
  <si>
    <t xml:space="preserve"> $ 1.963.500,00 </t>
  </si>
  <si>
    <t xml:space="preserve"> $ 15.708.000,00 </t>
  </si>
  <si>
    <t xml:space="preserve"> $ 673.165,66 </t>
  </si>
  <si>
    <t>79PROCEDAS</t>
  </si>
  <si>
    <t>Pendón</t>
  </si>
  <si>
    <t>Pendón institucional para la identiicación y ambientación del evento (CEFE Cometas, punto de cierre de la carrera). Lona banner para exteriores de 13 oz de 10 m x 2 m, que cuente con ojales metálicos y refuerzo perimetral, y guaya plástica de amarre</t>
  </si>
  <si>
    <t>CREAN2 AGENCIA GRAFICA SAS</t>
  </si>
  <si>
    <t>ZOOM CREATIVO PUBLICIDAD</t>
  </si>
  <si>
    <t>DESIGN EXPRESS</t>
  </si>
  <si>
    <t>80PROCEDAS</t>
  </si>
  <si>
    <t>Habladores verticales</t>
  </si>
  <si>
    <t xml:space="preserve">Habladores verticales los cuales cuenten con información relacionada a todas las líneas de trabajo desarrolladas en la oficina de gestión ambiental de la Alcaldia Local de Suba, las cuales se encuentran descritas en el anexo técnico. Lona banner 13 oz o polipropileno laminado con refuerzo perimetral y ojales metálicos en cada esquina con una medida de 2 m x 2 m. Que cuente con refuerzo perimentral y con bolsillo superior e inferior para varilla, la cual debe ser horizontal en PVC de 2 m x 2 x (Dos varillas por hablador). Soporte metálico tipo L sencillo, y bandas metálicas 1/2 " con hebilla de cierre y acero galvanizado. </t>
  </si>
  <si>
    <t>TIENDA SRM</t>
  </si>
  <si>
    <t>DISACRYL</t>
  </si>
  <si>
    <t>INSUMOS ARTES GRAFICAS</t>
  </si>
  <si>
    <t>81PROCEDAS</t>
  </si>
  <si>
    <t>Gorra tela bordada con logo</t>
  </si>
  <si>
    <t>de velcro, botón forrado, en dril liviano y víscera rigida, en plástico de polietileno, cierre en plástico o velcro, bordado 1 al frente. Logo impreso por oficina de Prensa del FDLS</t>
  </si>
  <si>
    <t>82PROCEDAS</t>
  </si>
  <si>
    <t>Tula Deportiva con logos</t>
  </si>
  <si>
    <t>83PROCEDAS</t>
  </si>
  <si>
    <t>Suculenta</t>
  </si>
  <si>
    <t xml:space="preserve">Suculenta resistente adaptada a climas áridos, caracterizadas por poseer tejidos carnosos (Tallos, hojas o raíces) que almacenan agua. Debe contar con 30 gramos de tierra para una maceta tipo pequeña de 6 cm. Las macetas deben ser en material biodegradable. El contratista debe garantizar la entrega de todos los insumos mencionados previamente en la descripción. </t>
  </si>
  <si>
    <t>84PROCEDAS</t>
  </si>
  <si>
    <t>Agua en botella x 24 unidades 300 ml</t>
  </si>
  <si>
    <t>Bandeja X 24 unidades de agua en botella por 300 ML.</t>
  </si>
  <si>
    <t>85PROCEDAS</t>
  </si>
  <si>
    <t>Sonido 1000 w 6 a 8 horas</t>
  </si>
  <si>
    <t>Alquiler de Sonido de 1000 watios con operario por un periodo de 6 a 8 horas 2 cabinas de sonido, 2 trípodes para cabinas, sistema de monitoreo, set de micrófono, 1 consola de sonido.</t>
  </si>
  <si>
    <t>D&amp;R PRODUCCIONES SAS</t>
  </si>
  <si>
    <t>ACTIVO2 EVENTOS</t>
  </si>
  <si>
    <t>EFECTO_MASIVO</t>
  </si>
  <si>
    <t>86PROCEDAS</t>
  </si>
  <si>
    <t>Alquiler ambulancia</t>
  </si>
  <si>
    <t>Alquiler de Ambulancia medicalizada durante una jornada de 6 a 8 horas</t>
  </si>
  <si>
    <t>87PROCEDAS</t>
  </si>
  <si>
    <t>Alquiler de módulo de estabilización y clasificación de heridos MEC</t>
  </si>
  <si>
    <t>Alquiler de módulo de estabilización y clasificación de heridos MEC, en carpa con acompañamiento de un médico, 2 parámedicos, equipo de primeros auxilios y elementos de atención durante toda la jornada, establecida entre 6-8 horas</t>
  </si>
  <si>
    <t>88PROCEDAS</t>
  </si>
  <si>
    <t>Infable</t>
  </si>
  <si>
    <t xml:space="preserve">Infable tipo arco en lona cilíndrica impermeable de alta resistencia especial para exteriores, cocido con hilo nylon reforzado con sus respectivos anclajes, motor incluido, montaje y desmontaje. Infable de medidas de ancho 6 m, alto 5 m </t>
  </si>
  <si>
    <t>AEROINFLABLES</t>
  </si>
  <si>
    <t>89PROCEDAS</t>
  </si>
  <si>
    <t>Medalla</t>
  </si>
  <si>
    <t>Medallas de participación de tamaño de 5 cm color bronce mate</t>
  </si>
  <si>
    <t>BOTONES.COM</t>
  </si>
  <si>
    <t>MEDALLAS.COM</t>
  </si>
  <si>
    <t>GRAFIC KOJAC</t>
  </si>
  <si>
    <t>90PROCEDAS</t>
  </si>
  <si>
    <t>Premiación primer puesto</t>
  </si>
  <si>
    <t>Estadía por una noche en zona rural fuera de Bogotá, para dos personas</t>
  </si>
  <si>
    <t>Noche</t>
  </si>
  <si>
    <t>BOOKING</t>
  </si>
  <si>
    <t>MIRADOR DEL BOSQUE GRANTORINO</t>
  </si>
  <si>
    <t>AVANCE ORGANIZACIONAL</t>
  </si>
  <si>
    <t>91PROCEDAS</t>
  </si>
  <si>
    <t>Premiación segundo puesto</t>
  </si>
  <si>
    <t>Visita al parque nacional natural Chingaza por un día, para una persona, el cual cuenta con servicio de transporte ida y regreso, almuerzo y refrigerio. El contratista debe garantizar el premio a través de un bono económico con el cual se cubran los gastos mencionados previamente</t>
  </si>
  <si>
    <t>Pasadía</t>
  </si>
  <si>
    <t>92PROCEDAS</t>
  </si>
  <si>
    <t>Premiación tercer puesto</t>
  </si>
  <si>
    <t xml:space="preserve">Bono físico o digital por 50 mil pesos de uso en tiendas físicas o plataformas online, con vigencia de un año </t>
  </si>
  <si>
    <t>93PROCEDAS</t>
  </si>
  <si>
    <t>94PROCEDAS</t>
  </si>
  <si>
    <t>95PROCEDAS</t>
  </si>
  <si>
    <t>96PROCEDAS</t>
  </si>
  <si>
    <t>97PROCEDAS</t>
  </si>
  <si>
    <t>98PROCEDAS</t>
  </si>
  <si>
    <t>99PROCEDAS</t>
  </si>
  <si>
    <t>100PROCEDAS</t>
  </si>
  <si>
    <t>101PROCEDAS</t>
  </si>
  <si>
    <t>Estadía por una noche en "Refugio del Neusa" denominado "Glamping vista al bosque" para dos personas, área de 20 m2 + zona verde</t>
  </si>
  <si>
    <t>MIRADOR BOSQUE</t>
  </si>
  <si>
    <t>102PROCEDAS</t>
  </si>
  <si>
    <t>103PROCEDAS</t>
  </si>
  <si>
    <t>Bono sodexo por 50 mil pesos</t>
  </si>
  <si>
    <t>104PROCEDAS</t>
  </si>
  <si>
    <t>items PROCEDAS</t>
  </si>
  <si>
    <t xml:space="preserve">AGRICULTURA URBANA </t>
  </si>
  <si>
    <t>Componente 3: Escuela Itinerante de Agricultura Urbana: De la Semilla a la Mesa</t>
  </si>
  <si>
    <t>Estación de café tipo 1</t>
  </si>
  <si>
    <t>Servicio de cafetería para 50 personas (tinto, aromática y agua): Operario + presentación mesa + vasos de cartón bebida caliente 4 oz. + mezclador + azúcar + crema para café. Duración del evento aprox. 6 horas. Transporte incluido</t>
  </si>
  <si>
    <t>unidad</t>
  </si>
  <si>
    <t>OPERADOR LOGÍSTICO</t>
  </si>
  <si>
    <t>HUERTAS</t>
  </si>
  <si>
    <t>1HUERTAS</t>
  </si>
  <si>
    <t>Componente 5: Servicio de cuadrilla manos a la huerta</t>
  </si>
  <si>
    <t>Servicios de cultivos agrícolas tipo 1</t>
  </si>
  <si>
    <t xml:space="preserve">Servicio de cuadrilla conformada por un (1) técnico o tecnólogo ambiental y 3 operarios, con conocimientos y/o experiencia en jardinería y/o huertera, dotados con elementos de protección personal y de herramientas menor tales como: Cuatro (4) tijeras de poda, Cuatro (4) kit de jardinería (como mínimo Pala, Rastrillo, Palín de Acero) Mínimo un martillo y caja de puntillas Diez (10) bolsas de basura grandes 90*80 cm
El servicio corresponde a un servicio/día, el cual consta de jornadas de apoyo máximo de 3 horas al día a las huertas de la localidad de Suba que soliciten su apoyo. </t>
  </si>
  <si>
    <t>2HUERTAS</t>
  </si>
  <si>
    <t>Servicios de cultivos agrícolas tipo 2</t>
  </si>
  <si>
    <t xml:space="preserve">Servicio de un (1) operario para servicios en huertas pequeñas con apoyo de 2 horas por servicio; con conocimientos y/o experiencia en jardinería y/o huertera, dotados con elementos de protección personal, adicionalmente dotado de herramientas menor tales como: Una (1) tijera de poda, Un (1) kit de jardinería (como mínimo Pala, Rastrillo, Palín de Acero) Mínimo un martillo y caja de puntillas.Dos (2) bolsas de basura grandes 90*80 cm. El servicio corresponde a una jornadas de apoyo de 2 horas a las huertas de la localidad de Suba que soliciten su apoyo. </t>
  </si>
  <si>
    <t>3HUERTAS</t>
  </si>
  <si>
    <t>Componente 4: Visitas técnicas y entrega de suministros</t>
  </si>
  <si>
    <t>Semilla de Quinoa</t>
  </si>
  <si>
    <t>Bolsa de semillas X 50GR</t>
  </si>
  <si>
    <t>4HUERTAS</t>
  </si>
  <si>
    <t>Semilla de Apio</t>
  </si>
  <si>
    <t>Bolsa de semillas X 2GR</t>
  </si>
  <si>
    <t>5HUERTAS</t>
  </si>
  <si>
    <t>Semilla de Tomate Cherry</t>
  </si>
  <si>
    <t>Bolsa de semillas X 30 unidades o 0,3 GR</t>
  </si>
  <si>
    <t>6HUERTAS</t>
  </si>
  <si>
    <t>Semilla Guascas</t>
  </si>
  <si>
    <t>7HUERTAS</t>
  </si>
  <si>
    <t>Semilla de Kale</t>
  </si>
  <si>
    <t>Bolsa de semillas X 2 GR</t>
  </si>
  <si>
    <t>8HUERTAS</t>
  </si>
  <si>
    <t>Semilla de Albahaca Morada</t>
  </si>
  <si>
    <t>Bolsa de semillas X 0,5 GR</t>
  </si>
  <si>
    <t>9HUERTAS</t>
  </si>
  <si>
    <t>Semilla de Alverja (Pisum sativum)</t>
  </si>
  <si>
    <t>Paquete de semillas x Kilo / Libra </t>
  </si>
  <si>
    <t>MARK</t>
  </si>
  <si>
    <t>10HUERTAS</t>
  </si>
  <si>
    <t>Plántula de brócoli</t>
  </si>
  <si>
    <t>Buenas condiciones sanitarias, de 6 a 10 cm de alto en bolsa negra con tierra negra</t>
  </si>
  <si>
    <t>AGRIPLANT</t>
  </si>
  <si>
    <t>SEMBRAMOS VIVEROS ONLINE</t>
  </si>
  <si>
    <t>PAQUA</t>
  </si>
  <si>
    <t>11HUERTAS</t>
  </si>
  <si>
    <t>Plántula de cebolla puerro</t>
  </si>
  <si>
    <t>12HUERTAS</t>
  </si>
  <si>
    <t>Plántula de lechuga verde crespa</t>
  </si>
  <si>
    <t>FROM NATIVO</t>
  </si>
  <si>
    <t>13HUERTAS</t>
  </si>
  <si>
    <t>plántula de menta</t>
  </si>
  <si>
    <t>14HUERTAS</t>
  </si>
  <si>
    <t>plántula de caléndula</t>
  </si>
  <si>
    <t>15HUERTAS</t>
  </si>
  <si>
    <t>plántula de breva</t>
  </si>
  <si>
    <t>CROPER</t>
  </si>
  <si>
    <t>LA CANASTA</t>
  </si>
  <si>
    <t>EYO YUMA</t>
  </si>
  <si>
    <t>16HUERTAS</t>
  </si>
  <si>
    <t>Plántula de Cilantro (Coriandrum sativum)</t>
  </si>
  <si>
    <t>Mide entre 5 y 12 centímetros de alto, tiene un tallo delgado de 1 a 3 milímetros, entre 2 y 6 hojas pequeñas, y raíces finas de unos 4 a 10 centímetros de largo. </t>
  </si>
  <si>
    <t>17HUERTAS</t>
  </si>
  <si>
    <t>Plántula de Zanahoria (Daucus carota)</t>
  </si>
  <si>
    <t>18HUERTAS</t>
  </si>
  <si>
    <t>Plántula de Lechuga crespa morada (Lactuca sativa var. crispa)</t>
  </si>
  <si>
    <t>19HUERTAS</t>
  </si>
  <si>
    <t>Plántula de Lechuga lisa verde (Lactuca sativa var. capitata)</t>
  </si>
  <si>
    <t>20HUERTAS</t>
  </si>
  <si>
    <t>Plántula de Lechuga lisa morada (Lactuca sativa var. capitata)</t>
  </si>
  <si>
    <t>21HUERTAS</t>
  </si>
  <si>
    <t>Plántula de Lechuga Batavia (Lactuca sativa var. capitata)</t>
  </si>
  <si>
    <t>22HUERTAS</t>
  </si>
  <si>
    <t>Plántula de Lechuga de cogollo (Lactuca sativa var. romana)</t>
  </si>
  <si>
    <t>23HUERTAS</t>
  </si>
  <si>
    <t>Plántula de Lechuga Mizuna (Brassica rapa var. nipposinica)</t>
  </si>
  <si>
    <t>SEMBRAMOS VARIOS ONLINE</t>
  </si>
  <si>
    <t>24HUERTAS</t>
  </si>
  <si>
    <t>plántula de lechuga Escarola (Cichorium endivia)</t>
  </si>
  <si>
    <t>25HUERTAS</t>
  </si>
  <si>
    <t>Plántula de Lechuga Romana (Lactuca sativa var. longifolia)</t>
  </si>
  <si>
    <t>PLANTULAMOS</t>
  </si>
  <si>
    <t>26HUERTAS</t>
  </si>
  <si>
    <t>Plántula de Perejil liso (Petroselinum crispum var. neapolitanum)</t>
  </si>
  <si>
    <t>27HUERTAS</t>
  </si>
  <si>
    <t>Plántula de Perejil crespo (Petroselinum crispum var. crispum)</t>
  </si>
  <si>
    <t>28HUERTAS</t>
  </si>
  <si>
    <t>Pántula de Zuchini amarillo (Cucurbita pepo)</t>
  </si>
  <si>
    <t>29HUERTAS</t>
  </si>
  <si>
    <t>Plántula de Zuchini verde (Cucurbita pepo)</t>
  </si>
  <si>
    <t>30HUERTAS</t>
  </si>
  <si>
    <t>Plántula de Brócoli Liso (Brassica oleracea var. italica)</t>
  </si>
  <si>
    <t>31HUERTAS</t>
  </si>
  <si>
    <t>Plántula de Brocoli Romanesco (Brassica oleracea var. botrytis)</t>
  </si>
  <si>
    <t>32HUERTAS</t>
  </si>
  <si>
    <t>Plántula de Tomate Cherry (Solanum lycopersicum var. cerasiforme)</t>
  </si>
  <si>
    <t>33HUERTAS</t>
  </si>
  <si>
    <t>Plántula de Rúgula ( Eruca vesicaria)</t>
  </si>
  <si>
    <t>34HUERTAS</t>
  </si>
  <si>
    <t>Plántula de Tomillo (Thymus vulgaris)</t>
  </si>
  <si>
    <t>35HUERTAS</t>
  </si>
  <si>
    <t>Plántula de Apio (Apium graveolens)</t>
  </si>
  <si>
    <t>36HUERTAS</t>
  </si>
  <si>
    <t>Plántula de Frijol Cargamanto (Phaseolus vulgaris)</t>
  </si>
  <si>
    <t>MY GARDEN</t>
  </si>
  <si>
    <t>HOGAR SEMILLA</t>
  </si>
  <si>
    <t>ZELVA</t>
  </si>
  <si>
    <t>37HUERTAS</t>
  </si>
  <si>
    <t>Plántula de Kale Liso (Brassica oleracea var. acephala) </t>
  </si>
  <si>
    <t>38HUERTAS</t>
  </si>
  <si>
    <t>Plántula de Kale Crespo (Brassica oleracea var. sabellica)</t>
  </si>
  <si>
    <t>39HUERTAS</t>
  </si>
  <si>
    <t>Plántula de Caléndula (Calendula officinalis)</t>
  </si>
  <si>
    <t>40HUERTAS</t>
  </si>
  <si>
    <t>Plántula de Acelga Blanca (Beta vulgaris var. cicla)</t>
  </si>
  <si>
    <t>FRUTOS CAMPESTRES</t>
  </si>
  <si>
    <t>41HUERTAS</t>
  </si>
  <si>
    <t>Plántula de Acelga de colores (Beta vulgaris var. cicla)</t>
  </si>
  <si>
    <t>42HUERTAS</t>
  </si>
  <si>
    <t>Plántula de Lulo (Solanum quitoense)</t>
  </si>
  <si>
    <t>43HUERTAS</t>
  </si>
  <si>
    <t>Cal dolomita</t>
  </si>
  <si>
    <t>Polvo seco, color blanco hasta Gris, Apariencia Polvo Color Gris Olor Inodoro pH al 10% (en agua); promedio 8,8 Densidad aparente (g/cm3): 1,4 Bulto por 50 kg</t>
  </si>
  <si>
    <t>44HUERTAS</t>
  </si>
  <si>
    <t xml:space="preserve">Bulto de compost. </t>
  </si>
  <si>
    <t>Material orgánico con buenas condiciones de descomposición, buen olor y alto contenido de nutrientes. Bulto: 20 kg</t>
  </si>
  <si>
    <t>45HUERTAS</t>
  </si>
  <si>
    <t>Malla plástica tipo diamante 15 mt</t>
  </si>
  <si>
    <t>Malla Plástica Multiusos Diamante 1 16 x 16 x 1,5 mt alto  y 15 mt de largo Color Verde o negro</t>
  </si>
  <si>
    <t>46HUERTAS</t>
  </si>
  <si>
    <t>Bandeja de germinación 32 cavidades</t>
  </si>
  <si>
    <t>Bandeja De Enraizamiento De 32 Cav Profunda, Tipo Vaso.</t>
  </si>
  <si>
    <t>LA RES</t>
  </si>
  <si>
    <t>TERMOFORMADOS</t>
  </si>
  <si>
    <t>TIERRAGRO</t>
  </si>
  <si>
    <t>47HUERTAS</t>
  </si>
  <si>
    <t xml:space="preserve">Palín Hoyador </t>
  </si>
  <si>
    <t>Hierro macizo, con Mango de metal o madera.</t>
  </si>
  <si>
    <t>FERRAGRO</t>
  </si>
  <si>
    <t>MACHO</t>
  </si>
  <si>
    <t>48HUERTAS</t>
  </si>
  <si>
    <t>Barra Agrícola</t>
  </si>
  <si>
    <t>Punta de filo; Hierro macizo, con Mango de metal, 14 lb</t>
  </si>
  <si>
    <t>ATRIAL</t>
  </si>
  <si>
    <t>HERRAGRO</t>
  </si>
  <si>
    <t>CASA ANDINA</t>
  </si>
  <si>
    <t>49HUERTAS</t>
  </si>
  <si>
    <t>Pala</t>
  </si>
  <si>
    <t>Pala Cuadrada Profesional Largo 144 cm y Ancho 24 cm</t>
  </si>
  <si>
    <t>50HUERTAS</t>
  </si>
  <si>
    <t>Azadón</t>
  </si>
  <si>
    <t>Azadón Forjado con Mango 1850 Gramos 1,2 Metros</t>
  </si>
  <si>
    <t>51HUERTAS</t>
  </si>
  <si>
    <t>Rastrillo de garra de 12 dientes para jardín</t>
  </si>
  <si>
    <t>Rastrillo metálico de 12 dientes con mango de madera</t>
  </si>
  <si>
    <t>52HUERTAS</t>
  </si>
  <si>
    <t>Caja de Puntilla con cabeza 2 pulg</t>
  </si>
  <si>
    <t>En acero, Medidas: 2-1/2pulg Con cabeza, uso: Madera maciza - Caja Libra</t>
  </si>
  <si>
    <t>53HUERTAS</t>
  </si>
  <si>
    <t>Regadera Plástica de 5 litros</t>
  </si>
  <si>
    <t>Regadera Plastica de 5 litros</t>
  </si>
  <si>
    <t>54HUERTAS</t>
  </si>
  <si>
    <t>Tierra negra preparada, Bulto 40 kg</t>
  </si>
  <si>
    <t>40 kg de tierra negra para compostaje</t>
  </si>
  <si>
    <t>55HUERTAS</t>
  </si>
  <si>
    <t>Abono bocashi para acelerar compostaje</t>
  </si>
  <si>
    <t>Acelerador De Compostaje 100% Natural 100 G</t>
  </si>
  <si>
    <t>DISTRIBUCIONES LADAM SAS</t>
  </si>
  <si>
    <t>56HUERTAS</t>
  </si>
  <si>
    <t>Polisombra negra 10 mt</t>
  </si>
  <si>
    <t>Polisombra Negra X 4 Mts Ancho X 10 Mts Largo 80 %</t>
  </si>
  <si>
    <t>57HUERTAS</t>
  </si>
  <si>
    <t>Cascarilla quemada 4 kg</t>
  </si>
  <si>
    <t>Residuo de arroz quemado, de textura liviana y porosa, color negro grisáceo, ideal para sustrato o mejoramiento de suelos. Paquete por 4 kg</t>
  </si>
  <si>
    <t>58HUERTAS</t>
  </si>
  <si>
    <t>Humus 10 kg</t>
  </si>
  <si>
    <t xml:space="preserve">Humus de lombriz, de textura fina y color marrón oscuro, alto en materia orgánica. Presentación en bultos de 10 kg </t>
  </si>
  <si>
    <t>59HUERTAS</t>
  </si>
  <si>
    <t>Fibra de coco 4 lt</t>
  </si>
  <si>
    <t>Sustrato vegetal en forma de fibra o polvo, de color marrón claro, con buena retención de humedad. Presentación en bloques comprimidos o sacos de 4 lt</t>
  </si>
  <si>
    <t>60HUERTAS</t>
  </si>
  <si>
    <t>Listones de madera</t>
  </si>
  <si>
    <t>Madera aserrada (pino o similar), medida estándar de  2”x 4”, largos de 3 metros</t>
  </si>
  <si>
    <t>61HUERTAS</t>
  </si>
  <si>
    <t>Plástico calibre 6</t>
  </si>
  <si>
    <t>Plastico Invernadero 3m Ancho X 10m Largo Calibre 6</t>
  </si>
  <si>
    <t>62HUERTAS</t>
  </si>
  <si>
    <t>Kit de jardinería</t>
  </si>
  <si>
    <t>Set de jardín que incluye pinzas de corte, pala ancha, horqueta, rastrillo, guantes de algodón con antiderrapante y bolsa en poliester con asa.
* Material: Poliéster / Metal / Madera Eucalipto.
* Tamaño: 20 x 30 cm.</t>
  </si>
  <si>
    <t>63HUERTAS</t>
  </si>
  <si>
    <t>Tijeras de poda larga</t>
  </si>
  <si>
    <t>Tijeras de dos manos con mango largo (80 cm), hoja curva de acero templado, ideales para cortar ramas gruesas de hasta 3 cm de diámetro. Mangos ergonómicos, antideslizantes.</t>
  </si>
  <si>
    <t>64HUERTAS</t>
  </si>
  <si>
    <t>Carretilla  tipo zorra</t>
  </si>
  <si>
    <t>Carretilla Zorra Carro Plegable Multifunciones 80kg + Pulpo</t>
  </si>
  <si>
    <t>65HUERTAS</t>
  </si>
  <si>
    <t>Alambre dulce</t>
  </si>
  <si>
    <t>Alambre galvanizado de acero de fácil manipulación (maleable), de 10 metros, calibre 20 Usado para amarres o estructuras ligeras.</t>
  </si>
  <si>
    <t>FERRETERIA PEÑA</t>
  </si>
  <si>
    <t>66HUERTAS</t>
  </si>
  <si>
    <t>Aspersora de 10 litros</t>
  </si>
  <si>
    <t>Aspersora manual tipo mochila o de presión previa, capacidad de 10 litros, fabricada en plástico resistente, boquilla ajustable (niebla/chorro), válvula de seguridad, correa para transporte.</t>
  </si>
  <si>
    <t>PROGEN</t>
  </si>
  <si>
    <t>AGROTECNICO</t>
  </si>
  <si>
    <t>67HUERTAS</t>
  </si>
  <si>
    <t>Aspersora de 5 litros</t>
  </si>
  <si>
    <t>Aspersora manual de mano, capacidad de 5 litros, diseño compacto, fabricada en plástico resistente, boquilla regulable, ideal para aplicaciones en semilleros o plantas pequeñas.</t>
  </si>
  <si>
    <t>EASY</t>
  </si>
  <si>
    <t>FALABELLA</t>
  </si>
  <si>
    <t>68HUERTAS</t>
  </si>
  <si>
    <t>69HUERTAS</t>
  </si>
  <si>
    <t>Vermicompostera</t>
  </si>
  <si>
    <t>Contenedor modular o por niveles para la producción de humus mediante lombrices rojas californianas. Fabricada en plástico resistente o madera tratada, con sistema de drenaje, ventilación y tapa. Capacidad 52 lt</t>
  </si>
  <si>
    <t>70HUERTAS</t>
  </si>
  <si>
    <t xml:space="preserve">Fertilizante foliar en litro </t>
  </si>
  <si>
    <t>Fertilizante rico en algas (Aporte de nitrógeno): Bioestimulantes naturales derivados del alga Ascophyllum nodosum. Es un fertilizante no tóxico y no dañino al medio ambiente. Rico en microelementos, citoquininas, giberelinas, ácido algínico y aminoácidos de origen vegetal. </t>
  </si>
  <si>
    <t>71HUERTAS</t>
  </si>
  <si>
    <t>Regadera 8 litros</t>
  </si>
  <si>
    <t>Recipiente de plástico resistente o metal galvanizado, con capacidad de 8 litros, boquilla tipo roseta para riego suave. </t>
  </si>
  <si>
    <t>72HUERTAS</t>
  </si>
  <si>
    <t>Canastilla plástica 13 cm</t>
  </si>
  <si>
    <t>Canastillas apilables de polipropileno, con ventilación lateral y base reforzada. Profundidad: 40 cm, Altura: 13 cm, Ancho: 60 cm </t>
  </si>
  <si>
    <t>73HUERTAS</t>
  </si>
  <si>
    <t>Canastilla plástica 25 cm</t>
  </si>
  <si>
    <t>Canastillas apilables de polipropileno, con ventilación lateral y base reforzada. Profundidad: 40 cm, Altura: 25 cm, Ancho: 60 cm </t>
  </si>
  <si>
    <t>74HUERTAS</t>
  </si>
  <si>
    <t>Canastilla plástica para compostaje con tapa</t>
  </si>
  <si>
    <t>Medidas externas: 59,2 x 40 x 40,7 cm
Medidas internas: 56,2 x 36,7 x 39,2 cm
Dimensiones ventana: 26,5 x 26,5 cm
Volumen: 80,9 litros</t>
  </si>
  <si>
    <t>75HUERTAS</t>
  </si>
  <si>
    <t>Estiba</t>
  </si>
  <si>
    <t>76HUERTAS</t>
  </si>
  <si>
    <t>Bolsas compostables</t>
  </si>
  <si>
    <t>Bolsas biodegradables fabricadas a base de almidón de maíz. Capacidad de 5 a 30 litros. Degradación completa en condiciones de compostaje. </t>
  </si>
  <si>
    <t>LA TORTUGA Y LA LIEBRE</t>
  </si>
  <si>
    <t>VIEJO VERDE</t>
  </si>
  <si>
    <t>VERDE PLUMA</t>
  </si>
  <si>
    <t>77HUERTAS</t>
  </si>
  <si>
    <t xml:space="preserve">Contenedores de compostaje - 30 litros </t>
  </si>
  <si>
    <t>Garrafas industriales con tapa de cierre hermético con precinto de seguridad y ara metálico, fáciles de usar, fáciles de apilar y/o reutilizables; con capacidad de 30 litros </t>
  </si>
  <si>
    <t>78HUERTAS</t>
  </si>
  <si>
    <t>Bulto de compost 35 kg</t>
  </si>
  <si>
    <t>Material orgánico con buenas condiciones de descomposición, buen olor y alto contenido de nutrientes, capacidad del bulto 35 kg. </t>
  </si>
  <si>
    <t>79HUERTAS</t>
  </si>
  <si>
    <t>Bulto de compost 50 kg</t>
  </si>
  <si>
    <t>Material orgánico con buenas condiciones de descomposición, buen olor y alto contenido de nutrientes, capacidad del bulto 50 kg. </t>
  </si>
  <si>
    <t>80HUERTAS</t>
  </si>
  <si>
    <t>Caja de Puntilla con cabeza 2 1/2</t>
  </si>
  <si>
    <t>En acero, Medidas: 2-1/2pulg Con cabeza, uso: Madera maciza - Caja Libra </t>
  </si>
  <si>
    <t>81HUERTAS</t>
  </si>
  <si>
    <t>Regadera Plástica 2 lt</t>
  </si>
  <si>
    <t>Regadera Plástica de 2 Litros Dimensiones: 7,5x33x24,5cm </t>
  </si>
  <si>
    <t>82HUERTAS</t>
  </si>
  <si>
    <t>Tablas Burras</t>
  </si>
  <si>
    <t>Tabla de madera 3mt*30cm*4CMt </t>
  </si>
  <si>
    <t>83HUERTAS</t>
  </si>
  <si>
    <t>Polisombra negra</t>
  </si>
  <si>
    <t>Poli sombra Negra X 4 metros Ancho X 10 metros Largo 80 % </t>
  </si>
  <si>
    <t>84HUERTAS</t>
  </si>
  <si>
    <t>Cascarilla quemada paquete por 4 kg</t>
  </si>
  <si>
    <t>Residuo de arroz quemado, de textura liviana y porosa, color negro grisáceo, ideal para sustrato o mejoramiento de suelos. Paquete por 4 kg </t>
  </si>
  <si>
    <t>85HUERTAS</t>
  </si>
  <si>
    <t>Listones</t>
  </si>
  <si>
    <t>Madera aserrada (pino o similar), medida estándar de 2” x 4”, largos de 3 metros </t>
  </si>
  <si>
    <t>86HUERTAS</t>
  </si>
  <si>
    <t>Carretilla</t>
  </si>
  <si>
    <t>Carretilla de una rueda, estructura metálica reforzada, bandeja galvanizada o pintada anticorrosiva de 200 Lt de capacidad. Mango doble con empuñadura de goma. </t>
  </si>
  <si>
    <t>87HUERTAS</t>
  </si>
  <si>
    <t>Aspersora de 2 litros</t>
  </si>
  <si>
    <t>Aspersora manual de mano, capacidad de 2 litros, diseño compacto, fabricada en plástico resistente, boquilla regulable, ideal para aplicaciones en semilleros o plantas pequeñas. </t>
  </si>
  <si>
    <t>AGROCOLOMBIA</t>
  </si>
  <si>
    <t>88HUERTAS</t>
  </si>
  <si>
    <t>Aspersora 20 litros</t>
  </si>
  <si>
    <t>Fumigadora 20 Litros tipo mochila para uso agrícola adecuado para agua, fertilizantes, herbicidas y pesticidas, también se puede utilizar para la limpieza y tratamiento de la corrosión. </t>
  </si>
  <si>
    <t>EVANS</t>
  </si>
  <si>
    <t>MAQUITEC</t>
  </si>
  <si>
    <t>89HUERTAS</t>
  </si>
  <si>
    <t>Humus Liquido 1 lt</t>
  </si>
  <si>
    <t>Biofertilizante orgánico de origen natural, rico en ácidos húmicos y fúlvicos, ideal para mejorar la fertilidad del suelo, estimular la actividad microbiana y optimizar la absorción de nutrientes. Presentación líquida de fácil aplicación por riego o aspersión, compatible con cultivos agrícolas y ornamentales. </t>
  </si>
  <si>
    <t>90HUERTAS</t>
  </si>
  <si>
    <t>Hidroretenedor</t>
  </si>
  <si>
    <t>Polímero absorbente que almacena agua en la raíz de las plantas, reduciendo la frecuencia de riego y mejorando la eficiencia hídrica. </t>
  </si>
  <si>
    <t>91HUERTAS</t>
  </si>
  <si>
    <t>Beauveria Bassiana x 250 gr</t>
  </si>
  <si>
    <t>Patógeno natural de insectos, sus esporas reconocen la cubierta del insecto plaga penetrando en su interior, dentro del cual liberan sustancias que son digeridas por el insecto y esta lo destruyen. Si las condiciones ambientales son adecuadas el hongo produce nuevas esporas en el exterior del insecto muerto. </t>
  </si>
  <si>
    <t>92HUERTAS</t>
  </si>
  <si>
    <t>Trichoderma 1 lt</t>
  </si>
  <si>
    <t>Biofungicida controla patógenos como Rhizoctonia, Phytophthora, Rhizoctonia, Sclerotinia, Phythium y Fusarium. Los mecanismos utilizados por Trichoderma como biofungicida incluyen, antibiosis, mico parasitismo y competitividad en la rizosfera. </t>
  </si>
  <si>
    <t>93HUERTAS</t>
  </si>
  <si>
    <t>Termómetro de suelo</t>
  </si>
  <si>
    <t>Termómetro para suelos de lectura rápida, ideal para medir la temperatura del sustrato y optimizar prácticas agrícolas y de jardinería </t>
  </si>
  <si>
    <t>94HUERTAS</t>
  </si>
  <si>
    <t>Microorganismos eficientes 1 lt</t>
  </si>
  <si>
    <t>Microorganismos eficientes formulados con bacterias y hongos benéficos que mejoran la estructura y fertilidad del suelo, aceleran la descomposición de residuos orgánicos y fortalecen la salud de cultivos de forma sostenible y natural </t>
  </si>
  <si>
    <t>95HUERTAS</t>
  </si>
  <si>
    <t>Aceite de neem 250 ml</t>
  </si>
  <si>
    <t>Aceite de neem 100% natural, utilizado como insecticida y fungicida orgánico para control de plagas y enfermedades en cultivos </t>
  </si>
  <si>
    <t>COLOMBIAN HAPPY</t>
  </si>
  <si>
    <t>96HUERTAS</t>
  </si>
  <si>
    <t>Jabón potásico 1 lt</t>
  </si>
  <si>
    <t>Jabón potásico ecológico, ideal como insecticida y limpiador de hojas, ayuda al control de plagas como pulgones y cochinillas de forma natural </t>
  </si>
  <si>
    <t>97HUERTAS</t>
  </si>
  <si>
    <t>Bandejas de plántulación con cupula</t>
  </si>
  <si>
    <t>Bandejas de plantación reutilizables, fabricadas en polietileno de alta densidad (HDPE) o material similar resistente a la intemperie, con mínimo 50 cavidades por bandeja, tamaño uniforme de cavidad de 3-5 cm de diámetro, fondo perforado para drenaje, fáciles de limpiar y desinfectar. </t>
  </si>
  <si>
    <t>98HUERTAS</t>
  </si>
  <si>
    <t xml:space="preserve">Peat Most - Sustrato </t>
  </si>
  <si>
    <t>Sustrato de turba (peat moss) de textura media, con pH entre 5.5 y 6.5, capacidad de retención de humedad mínima de 400% respecto a su peso seco, libre de semillas, patógenos y residuos contaminantes. Presentación: saco o bolsa sellada de mínimo 20 kg, etiquetada con lote y fecha de producción. </t>
  </si>
  <si>
    <t>PAISAGRO</t>
  </si>
  <si>
    <t>99HUERTAS</t>
  </si>
  <si>
    <t>Carbón activado 1 kg</t>
  </si>
  <si>
    <t>100HUERTAS</t>
  </si>
  <si>
    <t>Perlita 1 kl</t>
  </si>
  <si>
    <t>Perlita expandida de granulometría media (tamaño de partícula entre 1 y 5 mm), libre de impurezas, con capacidad de retención de agua mínima de 200% respecto a su peso seco. Presentación: saco o bolsa sellada de mínimo 20 kg, etiquetada con lote y fecha de producción. </t>
  </si>
  <si>
    <t>101HUERTAS</t>
  </si>
  <si>
    <t>Microorganismos Eficientes Em Compostaje X 4 Litros</t>
  </si>
  <si>
    <t>Beneficio: Disminuye los malos olores, acelera la descomposición de materia orgánica y mantiene el sistema funcional.</t>
  </si>
  <si>
    <t>102HUERTAS</t>
  </si>
  <si>
    <t>Tubo PVC de 1/2,</t>
  </si>
  <si>
    <t>Tubo de PVC de ½ pulgada de diámetro para sistemas de riego, conducción de agua o instalaciones agrícolas </t>
  </si>
  <si>
    <t>103HUERTAS</t>
  </si>
  <si>
    <t>Tubo PVC de 3/4</t>
  </si>
  <si>
    <t>Tubo de PVC de ¾ pulgadas de diámetro para conducción de agua en sistemas hidráulicos o de riego. </t>
  </si>
  <si>
    <t>104HUERTAS</t>
  </si>
  <si>
    <t>Tubo PVC 1 pulgada</t>
  </si>
  <si>
    <t>Tubo de PVC de 1 pulgada de diámetro, resistente para sistemas de distribución de agua o riego </t>
  </si>
  <si>
    <t>105HUERTAS</t>
  </si>
  <si>
    <t xml:space="preserve">Tutores para plantas </t>
  </si>
  <si>
    <t>Tutores de madera inmunizada o plástico reciclado de alta resistencia, longitud mínima de 1.20 metros y diámetro de 1 a 2 cm, libres de astillas o bordes filosos, aptos para uso repetido en campo. Presentación: paquete por mínimo 20 unidades. </t>
  </si>
  <si>
    <t>106HUERTAS</t>
  </si>
  <si>
    <t>Pita  x 3.000 mts</t>
  </si>
  <si>
    <t>Pita resistente para amarre de cultivos, entutorado o uso agrícola general - 100 metros </t>
  </si>
  <si>
    <t>107HUERTAS</t>
  </si>
  <si>
    <t xml:space="preserve">Envase de vidrio 30 ml </t>
  </si>
  <si>
    <t>Envases de plástico resistente o vidrio, con tapa hermética. Capacidades de 30 ml. Aptos para almacenamiento de líquidos o productos procesados. </t>
  </si>
  <si>
    <t>EL FRASQUERIO</t>
  </si>
  <si>
    <t>108HUERTAS</t>
  </si>
  <si>
    <t xml:space="preserve">Envase de vidrio 80 ml </t>
  </si>
  <si>
    <t>Envases de plástico resistente o vidrio, con tapa hermética. Capacidades de 80 ml. Aptos para almacenamiento de líquidos o productos procesados. </t>
  </si>
  <si>
    <t>109HUERTAS</t>
  </si>
  <si>
    <t xml:space="preserve">Envase de vidrio 100 ml </t>
  </si>
  <si>
    <t>Envases de plástico resistente o vidrio, con tapa hermética. Capacidades de 100 ml. Aptos para almacenamiento de líquidos o productos procesados. </t>
  </si>
  <si>
    <t>110HUERTAS</t>
  </si>
  <si>
    <t xml:space="preserve">Envase de vidrio 150 ml </t>
  </si>
  <si>
    <t>Envases de plástico resistente o vidrio, con tapa hermética. Capacidades de 150 ml. Aptos para almacenamiento de líquidos o productos procesados. </t>
  </si>
  <si>
    <t>111HUERTAS</t>
  </si>
  <si>
    <t xml:space="preserve">Envase de vidrio 250 ml </t>
  </si>
  <si>
    <t>Envases de plástico resistente o vidrio, con tapa hermética. Capacidades de 250 ml. Aptos para almacenamiento de líquidos o productos procesados. </t>
  </si>
  <si>
    <t>112HUERTAS</t>
  </si>
  <si>
    <t xml:space="preserve">Envase de vidrio 350ml </t>
  </si>
  <si>
    <t>Envases de plástico resistente o vidrio, con tapa hermética. Capacidades de 350 ml. Aptos para almacenamiento de líquidos o productos procesados. </t>
  </si>
  <si>
    <t>113HUERTAS</t>
  </si>
  <si>
    <t xml:space="preserve">Envase de vidrio 500 ml </t>
  </si>
  <si>
    <t>Envases de plástico resistente o vidrio, con tapa hermética. Capacidades de 500 ml. Aptos para almacenamiento de líquidos o productos procesados. </t>
  </si>
  <si>
    <t>114HUERTAS</t>
  </si>
  <si>
    <t xml:space="preserve">Envase de plástico 1 litro </t>
  </si>
  <si>
    <t>Envases de plástico resistente o vidrio, con tapa hermética. Capacidades de 1 litro. Aptos para almacenamiento de líquidos o productos procesados. </t>
  </si>
  <si>
    <t>115HUERTAS</t>
  </si>
  <si>
    <t>Bandejas deshidratados</t>
  </si>
  <si>
    <t>Bandejas rectangulares de acero inoxidable o plástico alimentario, perforadas para circulación de aire. Medidas estándar: 30×40 cm o 40×60 cm. </t>
  </si>
  <si>
    <t>116HUERTAS</t>
  </si>
  <si>
    <t>Básculas</t>
  </si>
  <si>
    <t>Balanza Liquidadora Electrónica 40 Kg Digital Gramo en gran </t>
  </si>
  <si>
    <t>117HUERTAS</t>
  </si>
  <si>
    <t>Etiquetas 5x3 cm x 100 unid</t>
  </si>
  <si>
    <t>Etiquetas adhesivas para empaques, plastificadas, 100 unidades</t>
  </si>
  <si>
    <t>118HUERTAS</t>
  </si>
  <si>
    <t>Etiquetas 10x15 cm x 100 unid</t>
  </si>
  <si>
    <t>119HUERTAS</t>
  </si>
  <si>
    <t>Bolsa compostera impermeable</t>
  </si>
  <si>
    <t>Bolsa de Compost de 34 Lt Plegable Reutilizable para Jardín Exterior por 2 unidades </t>
  </si>
  <si>
    <t>120HUERTAS</t>
  </si>
  <si>
    <t>Agua destilada 250 ml</t>
  </si>
  <si>
    <t>Agua purificada mediante destilación simple, libre de minerales, sales, partículas, microorganismos y compuestos orgánicos volátiles. Su bajo nivel de conductividad la hace adecuada para aplicaciones que requieren alta pureza y mínima interferencia química. pH: 5.0 – 7.0 Libre de iones metálicos y cloro residual</t>
  </si>
  <si>
    <t>MCKENNA GROUP</t>
  </si>
  <si>
    <t>CRUZ VERDE</t>
  </si>
  <si>
    <t>INCOMEDICA</t>
  </si>
  <si>
    <t>121HUERTAS</t>
  </si>
  <si>
    <t>Alcohol etilico de grado alimienticio (70° a 96°) 1 litro</t>
  </si>
  <si>
    <t>Etanol 190 Proof 95% USP/FCC Alcohol de grado alimenticio, Kosher 1 litro
Aplicación versátil: perfecto para desinfectantes de manos, extracciones botánicas o como reactivo en reacciones químicas.</t>
  </si>
  <si>
    <t>PROTOKIMICA</t>
  </si>
  <si>
    <t>PORQUIM INDUSTRIAL</t>
  </si>
  <si>
    <t>122HUERTAS</t>
  </si>
  <si>
    <t>Aceite de almendras 500 ml</t>
  </si>
  <si>
    <t>Aceite de almendras, en envase de 500 ml</t>
  </si>
  <si>
    <t>KRIKA</t>
  </si>
  <si>
    <t>LA ECONOMIA</t>
  </si>
  <si>
    <t>123HUERTAS</t>
  </si>
  <si>
    <t>aceite de coco 500 ml</t>
  </si>
  <si>
    <t>Aceite de coco, en envase de 500 ml</t>
  </si>
  <si>
    <t>BIOCO</t>
  </si>
  <si>
    <t xml:space="preserve">MONSERAT </t>
  </si>
  <si>
    <t>124HUERTAS</t>
  </si>
  <si>
    <t>Glicerina vegetal 500 ml</t>
  </si>
  <si>
    <t>Glicerina Natural Vegetal Usp 500 Ml de calidad farmacéutica</t>
  </si>
  <si>
    <t>125HUERTAS</t>
  </si>
  <si>
    <t>Vinagre de manzana 500 ml</t>
  </si>
  <si>
    <t>Vinagre de manzana, envase de 500 ml</t>
  </si>
  <si>
    <t>126HUERTAS</t>
  </si>
  <si>
    <t>Vitamina E  100 capsulas blandas</t>
  </si>
  <si>
    <t>Vitamina e, capsulas blandas, 100 unidades 400 UI</t>
  </si>
  <si>
    <t>IHERB</t>
  </si>
  <si>
    <t>LA REBAJA</t>
  </si>
  <si>
    <t>ALAMACEN MADEIRA</t>
  </si>
  <si>
    <t>127HUERTAS</t>
  </si>
  <si>
    <t>Papel de filtro tipo laboratorio 11 cm</t>
  </si>
  <si>
    <t>Papel Filtro 11cm Diámetro Flujo Medio 100uds</t>
  </si>
  <si>
    <t>128HUERTAS</t>
  </si>
  <si>
    <t>tela de algodón crudo (mantequeras)  2 unidades</t>
  </si>
  <si>
    <t>Tela Colador Filtro De Tela 45 Cm Reutilizable</t>
  </si>
  <si>
    <t>129HUERTAS</t>
  </si>
  <si>
    <t>malla red deshidratador</t>
  </si>
  <si>
    <t>Malla Red Colgante Para Deshidratar Alimentos 2 Capas, 80 cm x 70 cm x 50 cm</t>
  </si>
  <si>
    <t>130HUERTAS</t>
  </si>
  <si>
    <t>Maquina Secadora Frutas Verduras </t>
  </si>
  <si>
    <t>Maquina secadora de frutas y verduras con corriente eléctrica 5 Bandejas ajustables sin BPA:</t>
  </si>
  <si>
    <t>131HUERTAS</t>
  </si>
  <si>
    <t>centrifugadora de vegetales</t>
  </si>
  <si>
    <t>Centrifugador Secadora De Lechuga Escurridor De Verduras, diametro 25 cm</t>
  </si>
  <si>
    <t>132HUERTAS</t>
  </si>
  <si>
    <t>molino de granos o especias</t>
  </si>
  <si>
    <t>Molino Eléctrico 200W Trituradora Café y Especias Acero Inoxidable Plateado</t>
  </si>
  <si>
    <t>133HUERTAS</t>
  </si>
  <si>
    <t>termometro de sonda o infrarrojo</t>
  </si>
  <si>
    <t>Termómetro Digital De Cocina Punzón Sonda Temperatura, Rango de temperatura: -50°C + 300°C (58° F + 572F)
Velocidad de distinción: 0,1°C (&lt;100°C); 0,5ºC (&gt;100ºC)
Precisión: (-20° / 80°C) + - 1°C
Voltaje de la energía: DC 1.5V</t>
  </si>
  <si>
    <t>134HUERTAS</t>
  </si>
  <si>
    <t>alambique para aceites esenciales</t>
  </si>
  <si>
    <t>Laboratorio de Química 10pcs Set 100 ML
Kit de Destilación Ultra Eficiente para Aceites Esenciales</t>
  </si>
  <si>
    <t>ENCARGUELO</t>
  </si>
  <si>
    <t>135HUERTAS</t>
  </si>
  <si>
    <t>colador cónico</t>
  </si>
  <si>
    <t>Colador 16.5 Cm Acero Inoxidable Taati-006156-plateado</t>
  </si>
  <si>
    <t>136HUERTAS</t>
  </si>
  <si>
    <t>frasco medidor de vidrio</t>
  </si>
  <si>
    <t>Vaso Medidor De Vidrio Borosilicato Con Boquilla, capacidad 500 ml</t>
  </si>
  <si>
    <t>137HUERTAS</t>
  </si>
  <si>
    <t>Frasco vidrio ambar 10 ml con tapa</t>
  </si>
  <si>
    <t>Envase de vidrio con tapa, oscuro, tipo ambar</t>
  </si>
  <si>
    <t>138HUERTAS</t>
  </si>
  <si>
    <t>Frasco vidrio ambar 20 ml con tapa</t>
  </si>
  <si>
    <t>139HUERTAS</t>
  </si>
  <si>
    <t>Frasco vidrio ambar 30 ml con tapa</t>
  </si>
  <si>
    <t>140HUERTAS</t>
  </si>
  <si>
    <t>Frasco vidrio ambar 50 ml con tapa</t>
  </si>
  <si>
    <t>141HUERTAS</t>
  </si>
  <si>
    <t>Componente 6: Cierre y evaluación</t>
  </si>
  <si>
    <t xml:space="preserve">"Alquiler salón de conferencias 
Media Jornada
Capacidad para 50  personas.   
- sillas tapizadas 
- Sistema de sonio y video beam 
- 1 tablero 
- Baños equipados (Jabón, Papel y Papeleras) 
-Accesos para personas con discapacidad
-Servicio de Vigilancia y aseo"
</t>
  </si>
  <si>
    <t>EFECTO MASIVO</t>
  </si>
  <si>
    <t>142HUERTAS</t>
  </si>
  <si>
    <t>Componente 6: Cierre y Evaluación</t>
  </si>
  <si>
    <t>Almuerzo Tipo 1</t>
  </si>
  <si>
    <t>Entrada, sopa o porción de fruta, 2 carnes (130 gr. c/u) + 1 carbohidrato 100 gramos + 1 ensalada 100 gramos + 1 acompañamiento 50 gramos postre 50 gramos + bebida 250 ml.Servicio de samovares y servido en cerámica</t>
  </si>
  <si>
    <t>Servicio</t>
  </si>
  <si>
    <t>143HUERTAS</t>
  </si>
  <si>
    <t>Almuerzo Tipo 4 -Vegetariano</t>
  </si>
  <si>
    <t>Entrada, sopa o porción de fruta, Proteína vegetal + 1 carbohidrato 100 gramos + 1 ensalada 100 gramos + 1 acompañamiento 50 gramos + postre 50 gramos + bebida 250 ml. Servicio de samovares y servido en cerámica</t>
  </si>
  <si>
    <t>144HUERTAS</t>
  </si>
  <si>
    <t>compra</t>
  </si>
  <si>
    <t>145HUERTAS</t>
  </si>
  <si>
    <t>Trituradora picadora</t>
  </si>
  <si>
    <t>capacidad de 50 a 300 kg/h y para el picado de forrajes con un rendimiento de 300 a 800 kg/h. Cuenta con 2 martillos, 2 cuchillas y 1 contracuchilla, además de cribas intercambiables con perforaciones de 1.5, 3, 6, 10 mm y opción lisa. El rotor opera a una velocidad de 3200 a 3500 revoluciones por minuto. Funciona con motor eléctrico de 2 a 3 H.P. o con motor a gasolina o diésel de 5 a 6.5 H.P. Sus dimensiones son 660 x 550 x 1.200 mm, lo que permite un diseño compacto y funcional para diversas aplicaciones agroindustriale</t>
  </si>
  <si>
    <t>AGROSTORE</t>
  </si>
  <si>
    <t xml:space="preserve">AGROPAISA </t>
  </si>
  <si>
    <t>EQUIPMASTER</t>
  </si>
  <si>
    <t>146HUERTAS</t>
  </si>
  <si>
    <t>ROL</t>
  </si>
  <si>
    <t>Descripción del perfil - Recurso Humano</t>
  </si>
  <si>
    <t>Valor unitario (Tabla)</t>
  </si>
  <si>
    <t>Valor total</t>
  </si>
  <si>
    <t>OBEERAVACION</t>
  </si>
  <si>
    <t>TRANSVERSAL</t>
  </si>
  <si>
    <t>COORDINADOR</t>
  </si>
  <si>
    <t xml:space="preserve">Formación académica: profesional en ciencias sociales y humanas y/o administración, economía y afines, o en carreras afines a medio ambiente con posgrado en administración y/o gerencia de proyectos (según clasificación del SNIES).  
EXPERIENCIA PROFESIONAL Tres (3) años de experiencia profesional, contados a partir de la terminación de materias y/o fecha de grado, según aplique.  
EXPERIENCIA RELACIONADA En dos (2) años como director(a) y/o coordinador(a) de proyectos. </t>
  </si>
  <si>
    <t>Persona</t>
  </si>
  <si>
    <t>NO MODIFICABLE</t>
  </si>
  <si>
    <t xml:space="preserve">PROFESIONAL EN GESTIÓN AMBIENTAL </t>
  </si>
  <si>
    <t>Formación académica:  profesional en Ingeniería ambiental o Administrador ambiental o licenciado ambiental en educación ambiental o biólogo o ecólogo y/o carreras afines. 
 EXPERIENCIA PROFESIONAL Veinticuatro (24) meses de experiencia a partir de la expedición de la tarjeta profesional. 
EXPERIENCIA RELACIONADA Mínimo veinticuatro (24) meses de experiencia específica en procesos de educación ambiental, pedagogía y/o afines.</t>
  </si>
  <si>
    <t>RECURSO HUMANO PROCEDAS</t>
  </si>
  <si>
    <t>AGRICULTURA URBANA</t>
  </si>
  <si>
    <t xml:space="preserve">PROFESIONAL EN AGROECOLOGÍA </t>
  </si>
  <si>
    <t xml:space="preserve">Formación Académica: Ingeniero/a agrónomo y/o Administrador/a agropecuario y/o Administrador/a de empresas agropecuarias y/o Ingeniero/a agronómica y/o Ingeniero/a agroecológica y/o Ingeniero/a agrícola y/o carreras afines 
EXPERIENCIA PROFESIONAL 
Mínimo veintitrés (24) meses de experiencia específica en procesos de educación ambiental, desarrollo social, pedagogía y/o afines. 
 EXPERIENCIA RELACIONADA 
Al menos 12 meses en agroecología, huertas urbanas, mercados verdes. 
EQUIVALENCIA: Ingeniero/a ambiental, y/o Administrador/a ambiental, y/o licenciado/a en educación ambiental, y/o biólogo/a, y/o ecólogo/a, con especialización en áreas agrícolas o agropecuarias y/o experiencia de 3 años certificable en el desarrollo de proyectos agropecuarios o agrícolas.                 </t>
  </si>
  <si>
    <t xml:space="preserve">PROFESIONAL EN GASTRONOMIA </t>
  </si>
  <si>
    <t xml:space="preserve">Formación Académica Profesional en gastronomía, ingeniería de alimentos y/o ingeniería agrícola, y/o ingeniería química, y/o ingeniería agrónoma y/o ingeniería agroecológica y/o afines. 
EXPERIENCIA PROFESIONAL  
Mínimo veintitrés (24) meses de experiencia específica en procesos de asesoría a emprendimientos, pedagogía y/o afines en transformación de alimentos y/o transformación de plantas medicinales. </t>
  </si>
  <si>
    <t xml:space="preserve">RECURSO HUMANO AGRICULTURA URBANA </t>
  </si>
  <si>
    <t>Total Recurso Humano</t>
  </si>
  <si>
    <t>D</t>
  </si>
  <si>
    <t>AJUSTADO POR PRECIO ALTO, COTIZACIONES DE LA BOLSA- no hicieron el trabajo completo, solo consiguieron el precio de referencia por cumplir</t>
  </si>
  <si>
    <t>Coincide desviación con la transcripción de la bolsa -IGUAL EN LA BOLSA AL MOMENTO DE LA REVISIÓN</t>
  </si>
  <si>
    <t>AJUSTADO POR PRECIO ALTO, COTIZACIONES DE LA BOLSA</t>
  </si>
  <si>
    <t>REVISIÓN MARCELA GONZALEZ</t>
  </si>
  <si>
    <t>cruce</t>
  </si>
  <si>
    <t>Okey, coincide con la información de la bolsa básica</t>
  </si>
  <si>
    <t>Coincide desviación con la transcripción de la bolsa - OK</t>
  </si>
  <si>
    <t>No coincide con la información de la bolsa básica // Se realiza ajuste de impuestos, se dejó IVA y no tenía IVA</t>
  </si>
  <si>
    <t xml:space="preserve">Coincide desviación con la transcripción de la bolsa </t>
  </si>
  <si>
    <t>No coincide con los ítems de la bolsa de las cotizaciones propias del proyecto // El segundo ítem no tenía IVA</t>
  </si>
  <si>
    <t>NO SE REVISA PRECIO</t>
  </si>
  <si>
    <t>No coincide con la información de la bolsa básica // Revisar fórmulas</t>
  </si>
  <si>
    <t>No coincide con la información de la bolsa básica//AJUSTADO</t>
  </si>
  <si>
    <t>POTENTE</t>
  </si>
  <si>
    <t>MABEK</t>
  </si>
  <si>
    <t>FLOW</t>
  </si>
  <si>
    <t xml:space="preserve">Tiene el mismo nombre de otros elementos que no tienen la misma descripción, Coincide desviación con la transcripción de la bolsa </t>
  </si>
  <si>
    <t>Pistola de Calor</t>
  </si>
  <si>
    <t>Pistola de Calor  de 1600o 1800W</t>
  </si>
  <si>
    <t>OLIMPICA</t>
  </si>
  <si>
    <t>CENTRO 3D</t>
  </si>
  <si>
    <t>DESVIACIÓN ALTA</t>
  </si>
  <si>
    <t>SIDEP</t>
  </si>
  <si>
    <t>COSER EN LINEA</t>
  </si>
  <si>
    <t>DBIDECL</t>
  </si>
  <si>
    <t>Ajustado</t>
  </si>
  <si>
    <t>Se pegó el precio en valores</t>
  </si>
  <si>
    <t>PENDIENTE</t>
  </si>
  <si>
    <t>ALMA DE CAMPO</t>
  </si>
  <si>
    <t>POSADA RURALES</t>
  </si>
  <si>
    <t>VIVEX MEJORES GLAMPING</t>
  </si>
  <si>
    <t>Se ajusta la cotización toda vez que habían cotizaciones de booking y demás</t>
  </si>
  <si>
    <t>CORPOCHINGAZA</t>
  </si>
  <si>
    <t>AWAKE TRAVEL</t>
  </si>
  <si>
    <t>No estoy de acuerdo con la tercera cotización, dado que aunque puede coincidir la desviación, no está en el rango de las otras dos, se elimina la cotización del estudio y del cálculo de este ítem</t>
  </si>
  <si>
    <t>NO SE ENTREGA PRECIO DE REFERENCIA</t>
  </si>
  <si>
    <t>TOTAL PROCEDAS</t>
  </si>
  <si>
    <t>No coincide con los ítems de la bolsa de las cotizaciones propias del proyecto</t>
  </si>
  <si>
    <t>AGROSNYNC</t>
  </si>
  <si>
    <t>ADICIÓN DE PRECIO DE REFERENCIA</t>
  </si>
  <si>
    <t>En relación con la observación, se aclara que las tres cotizaciones incorporadas corresponden a presentaciones comerciales de 30 metros, debido a que durante el estudio de mercado no fue posible encontrar proveedores que comercializaran la malla en rollos de 15 metros, que es la cantidad requerida. Por esta razón, para efectos del análisis económico se tomó como referencia el valor proporcional correspondiente a 15 metros (50 % del precio del rollo de 30 metros), metodología que permite estimar el costo de la cantidad solicitada. Asimismo, estas cotizaciones fueron incluidas con el fin de contar con referencias de mercado disponibles, dado que no se identificó oferta en la presentación exacta requerida.</t>
  </si>
  <si>
    <t>FERRETERIA MARCA</t>
  </si>
  <si>
    <t>ELECTROMANFER</t>
  </si>
  <si>
    <t>DONDE KIKE</t>
  </si>
  <si>
    <t>FERRECO</t>
  </si>
  <si>
    <t>FARRAGRO</t>
  </si>
  <si>
    <t>AJUSTADO, estaba repetido, pero con precios diferentes y nombres diferentes</t>
  </si>
  <si>
    <t>FERRETEROS DEL NORTE</t>
  </si>
  <si>
    <t>PRECIO ALTO</t>
  </si>
  <si>
    <t>PROTEZZONI</t>
  </si>
  <si>
    <t>PLASTICOS INDUSTRIALES DJ</t>
  </si>
  <si>
    <t>FLEAMARKET</t>
  </si>
  <si>
    <t>IDENTIFFY</t>
  </si>
  <si>
    <t>COMPRANET</t>
  </si>
  <si>
    <t>NO INCLUYEN LAS COTIZACIONES NUEVAS TODO LO QUE SOLICITA EL ÍTEM</t>
  </si>
  <si>
    <t>AJUSTADO POR PRECIO ALTO, COTIZACIONES DE LA BOLSA- alerta aún de precio alto</t>
  </si>
  <si>
    <t>WEST QUIMICA</t>
  </si>
  <si>
    <t>AJUSTADO POR PRECIO ALTO, COTIZACIONES DE LA BOLSA- no hicieron el trabajo completo, solo consiguieron el precio de referencia por cumplit</t>
  </si>
  <si>
    <t>DEPOSITO TRUJILLO</t>
  </si>
  <si>
    <t>EN REVISIÓN</t>
  </si>
  <si>
    <t>Carretilla de una rueda, estructura metálica reforzada, bandeja galvanizada o pintada anticorrosiva de 170 Lt de capacidad. Mango doble con empuñadura de goma. </t>
  </si>
  <si>
    <t>SUPPLYCO</t>
  </si>
  <si>
    <t>MENAVI</t>
  </si>
  <si>
    <t>TECNOPLES</t>
  </si>
  <si>
    <t>SE AJUSTARON LAS COTIZACIONES Y LA DESCRIPCIÓN, DADO QUE NO HAY CARRETILLAS DE LA CAPACIDAD QUE SOLICITABAN</t>
  </si>
  <si>
    <t>ESTABA ERRADA LA CAPTURA DEL IVA</t>
  </si>
  <si>
    <t>AGROACTIVO</t>
  </si>
  <si>
    <t>FERCON</t>
  </si>
  <si>
    <t>BIOESPACIO</t>
  </si>
  <si>
    <t>FRUTO AGRO</t>
  </si>
  <si>
    <t>COTIZACIONES ERRADAS-</t>
  </si>
  <si>
    <t>PERSIUS STORE</t>
  </si>
  <si>
    <t>BASCULAS DE SANTANDER</t>
  </si>
  <si>
    <t>YAXXA</t>
  </si>
  <si>
    <t>INSTRUMENTALIA</t>
  </si>
  <si>
    <t>YAXA</t>
  </si>
  <si>
    <t>COIMPORMEDICA</t>
  </si>
  <si>
    <t>Vaso Medidor De Vidrio Con Boquilla, capacidad 500 ml</t>
  </si>
  <si>
    <t>TIENDAS JUMBO</t>
  </si>
  <si>
    <t>No coincide con la información de la bolsa básica // Tenía la fórmula mal</t>
  </si>
  <si>
    <t>TOTAL HUERTAS</t>
  </si>
  <si>
    <t>TOTAL LICITACIÓN</t>
  </si>
  <si>
    <t>Cotización devuelta y descartada por precios demasiado altos</t>
  </si>
  <si>
    <t>10/07/2026 Marcela González, pasada a estudio, sin revisión posterior de cotizaciones</t>
  </si>
  <si>
    <t>SELECCIÓN ABREVIADA DE MENOR CUANTÍA</t>
  </si>
  <si>
    <t xml:space="preserve">Prestar servicios  para fortalecer la agricultura urbana y periurbana e implementar Procesos Comunitarios de Educación Ambiental (PROCEDA) en la localidad de Suba  
 </t>
  </si>
  <si>
    <t>INDICADORES</t>
  </si>
  <si>
    <t>PROYECTO</t>
  </si>
  <si>
    <t>TOTAL AGRICULTURA URBANA</t>
  </si>
  <si>
    <t>TOTAL ESTUDIO DE MERCADO ITEMS</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</si>
  <si>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La responsabilidad de los valores contenidos y del la realidad de los precios del mercado es de los funcionarios que las gestionaron en la construcciòn del presente estudio de mercado</t>
  </si>
  <si>
    <t>Diferencia estudio- Oferta Económica</t>
  </si>
  <si>
    <t>ALCALDÍA LOCAL DE SUBA - FORMATO DE VALORES UNITARIOS</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</si>
  <si>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</si>
  <si>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</si>
  <si>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</si>
  <si>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</si>
  <si>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</si>
  <si>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</si>
  <si>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</si>
  <si>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</si>
  <si>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</si>
  <si>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</si>
  <si>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</si>
  <si>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</si>
  <si>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Ofertable/No ofertable</t>
  </si>
  <si>
    <t>DIFERENCIA VALOR UNITARIO INCLUIDO IVA</t>
  </si>
  <si>
    <t>DIFERENCIA VALOR TOTAL</t>
  </si>
  <si>
    <t>Procedas</t>
  </si>
  <si>
    <t>Huertas</t>
  </si>
  <si>
    <t>TOTAL ÍTEMS</t>
  </si>
  <si>
    <t>NOMBRE DEL REPRESENTANTE LEGAL</t>
  </si>
  <si>
    <t>NOMBRE DE LA EMPRESA</t>
  </si>
  <si>
    <t>DIRECCION</t>
  </si>
  <si>
    <t>TELEFONOS DE CONTACTO</t>
  </si>
  <si>
    <t xml:space="preserve">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como el talento humano y los siguientes items: Para la evaluación se tendrá en cuenta la propuesta económica presentada, EN LA CUAL NO PODRÁN SER MODIFICABLES SO PENA DE CAUSAL DE RECHAZO DE LA PROPUESTA LOS ITEMS N° (12 Y 13 CORRESPONDIENTE A ENTREGA DE BONOS POR HASTA $175.000), N° (14 CORRESPONDIENTE A LA ENTREGA DE TARJETA DE SISTEMA INTEGRADO DE TRANSPORTE PUBLICO POR UN VALOR DE $90.000). FORMATO PROPUESTA ECONÓMICA.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</si>
  <si>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</si>
  <si>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</si>
  <si>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</si>
  <si>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</si>
  <si>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</si>
  <si>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</si>
  <si>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</si>
  <si>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</si>
  <si>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</si>
  <si>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</si>
  <si>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</si>
  <si>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</si>
  <si>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</si>
  <si>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</si>
  <si>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</si>
  <si>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</si>
  <si>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</si>
  <si>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</si>
  <si>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</si>
  <si>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</si>
  <si>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</si>
  <si>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</si>
  <si>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</si>
  <si>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</si>
  <si>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</si>
  <si>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</si>
  <si>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</si>
  <si>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</si>
  <si>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</si>
  <si>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</si>
  <si>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</si>
  <si>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</si>
  <si>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</si>
  <si>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</si>
  <si>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</si>
  <si>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</si>
  <si>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</si>
  <si>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</si>
  <si>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</si>
  <si>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</si>
  <si>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</si>
  <si>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</si>
  <si>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</si>
  <si>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</si>
  <si>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</si>
  <si>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</si>
  <si>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</si>
  <si>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</si>
  <si>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</si>
  <si>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</si>
  <si>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</si>
  <si>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</si>
  <si>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</si>
  <si>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</si>
  <si>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</si>
  <si>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</si>
  <si>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</si>
  <si>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</si>
  <si>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</si>
  <si>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</si>
  <si>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</si>
  <si>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</si>
  <si>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</si>
  <si>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</si>
  <si>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</si>
  <si>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</si>
  <si>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</si>
  <si>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44112005-44121702</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</si>
  <si>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</si>
  <si>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</si>
  <si>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</si>
  <si>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</si>
  <si>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</si>
  <si>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</si>
  <si>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</si>
  <si>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</si>
  <si>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</si>
  <si>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</si>
  <si>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</si>
  <si>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</si>
  <si>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</si>
  <si>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</si>
  <si>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</si>
  <si>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</si>
  <si>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</si>
  <si>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</si>
  <si>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</si>
  <si>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</si>
  <si>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</si>
  <si>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</si>
  <si>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</si>
  <si>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</si>
  <si>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</si>
  <si>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</si>
  <si>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</si>
  <si>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</si>
  <si>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</si>
  <si>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</si>
  <si>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</si>
  <si>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Inversiones Becorati_Varios _09-02-2026</t>
  </si>
  <si>
    <t>INVERSIONES BECORATI E Y O SAS</t>
  </si>
  <si>
    <t>Precio sin Ipoconsumo</t>
  </si>
  <si>
    <t>Si tiene IPOCONSUMO</t>
  </si>
  <si>
    <t>Catering Depot.pdf</t>
  </si>
  <si>
    <t>Catering Depot</t>
  </si>
  <si>
    <t>D&amp;R PRODUCCIONES_LOGISTICA_VARIOS_13-03-2026.pdf</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</si>
  <si>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</si>
  <si>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</si>
  <si>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</si>
  <si>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</si>
  <si>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</si>
  <si>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</si>
  <si>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</si>
  <si>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D&amp;R PRODUCCIONES_VARIOS_03_02_2026.pdf</t>
  </si>
  <si>
    <t>D&amp;R PRODUCCIONES</t>
  </si>
  <si>
    <t>ACTIVA2_EVENTOS_VARIOS.pdf</t>
  </si>
  <si>
    <t>ACTIVOS2 ENVENTOS</t>
  </si>
  <si>
    <t>PRODUCCIONES_EL_SOL_VARIOS.pdf</t>
  </si>
  <si>
    <t>PRODUCCIONES EL SOL</t>
  </si>
  <si>
    <t>80141607-92101902</t>
  </si>
  <si>
    <t>Ambulacias Particulares Ayudar_Ambulancia.pdf</t>
  </si>
  <si>
    <t>Ambulancias Particulares Ayudar</t>
  </si>
  <si>
    <t>LOGISTBOX L&amp;L SAS</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</si>
  <si>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</si>
  <si>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</si>
  <si>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</si>
  <si>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</si>
  <si>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</si>
  <si>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</si>
  <si>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</si>
  <si>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</si>
  <si>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</si>
  <si>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</si>
  <si>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</si>
  <si>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</si>
  <si>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</si>
  <si>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</si>
  <si>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</si>
  <si>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</si>
  <si>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</si>
  <si>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</si>
  <si>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</si>
  <si>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</si>
  <si>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</si>
  <si>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</si>
  <si>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</si>
  <si>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</si>
  <si>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</si>
  <si>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</si>
  <si>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</si>
  <si>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</si>
  <si>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</si>
  <si>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</si>
  <si>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</si>
  <si>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</si>
  <si>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</si>
  <si>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</si>
  <si>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</si>
  <si>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</si>
  <si>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</si>
  <si>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</si>
  <si>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</si>
  <si>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</si>
  <si>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</si>
  <si>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</si>
  <si>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</si>
  <si>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</si>
  <si>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</si>
  <si>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</si>
  <si>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</si>
  <si>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</si>
  <si>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</si>
  <si>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</si>
  <si>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</si>
  <si>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</si>
  <si>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</si>
  <si>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</si>
  <si>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</si>
  <si>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</si>
  <si>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</si>
  <si>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</si>
  <si>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</si>
  <si>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</si>
  <si>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</si>
  <si>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</si>
  <si>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</si>
  <si>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</si>
  <si>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</si>
  <si>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</si>
  <si>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</si>
  <si>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</si>
  <si>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</si>
  <si>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</si>
  <si>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</si>
  <si>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</si>
  <si>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</si>
  <si>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Michael Bautista</t>
  </si>
  <si>
    <t>D&amp;R PRODUCCIONES_13_03_26.pdf</t>
  </si>
  <si>
    <t>ACTIVA2_EVENTOS_20_03.pdf</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</si>
  <si>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</si>
  <si>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</si>
  <si>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</si>
  <si>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</si>
  <si>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</si>
  <si>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</si>
  <si>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</si>
  <si>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</si>
  <si>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</si>
  <si>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</si>
  <si>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</si>
  <si>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</si>
  <si>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</si>
  <si>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</si>
  <si>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</si>
  <si>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</si>
  <si>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</si>
  <si>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</si>
  <si>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</si>
  <si>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</si>
  <si>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</si>
  <si>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</si>
  <si>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</si>
  <si>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</si>
  <si>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</si>
  <si>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</si>
  <si>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</si>
  <si>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</si>
  <si>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</si>
  <si>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</si>
  <si>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</si>
  <si>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</si>
  <si>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</si>
  <si>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</si>
  <si>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</si>
  <si>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</si>
  <si>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</si>
  <si>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</si>
  <si>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Alquiler Tarima 6 x 6 Jornada completa</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</si>
  <si>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</si>
  <si>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Jornada completa
</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</si>
  <si>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</si>
  <si>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</si>
  <si>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</si>
  <si>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</si>
  <si>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</si>
  <si>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</si>
  <si>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</si>
  <si>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</si>
  <si>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</si>
  <si>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</si>
  <si>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</si>
  <si>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</si>
  <si>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</si>
  <si>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</si>
  <si>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</si>
  <si>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</si>
  <si>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</si>
  <si>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</si>
  <si>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</si>
  <si>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</si>
  <si>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</si>
  <si>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</si>
  <si>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</si>
  <si>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</si>
  <si>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</si>
  <si>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</si>
  <si>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</si>
  <si>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</si>
  <si>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</si>
  <si>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</si>
  <si>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</si>
  <si>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</si>
  <si>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</si>
  <si>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</si>
  <si>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</si>
  <si>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</si>
  <si>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</si>
  <si>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</si>
  <si>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</si>
  <si>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</si>
  <si>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</si>
  <si>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</si>
  <si>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Carol lópez</t>
  </si>
  <si>
    <t>AMCI INGENIEROS 17-04-2026 .pdf</t>
  </si>
  <si>
    <t>AMCI INGENIERIAS SAS</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</si>
  <si>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</si>
  <si>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</si>
  <si>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</si>
  <si>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</si>
  <si>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</si>
  <si>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</si>
  <si>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</si>
  <si>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</si>
  <si>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</si>
  <si>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</si>
  <si>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</si>
  <si>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</si>
  <si>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</si>
  <si>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</si>
  <si>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</si>
  <si>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</si>
  <si>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</si>
  <si>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</si>
  <si>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</si>
  <si>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</si>
  <si>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</si>
  <si>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</si>
  <si>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</si>
  <si>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</si>
  <si>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</si>
  <si>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</si>
  <si>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</si>
  <si>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</si>
  <si>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</si>
  <si>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</si>
  <si>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</si>
  <si>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</si>
  <si>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</si>
  <si>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</si>
  <si>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</si>
  <si>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</si>
  <si>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</si>
  <si>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</si>
  <si>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</si>
  <si>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</si>
  <si>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</si>
  <si>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</si>
  <si>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</si>
  <si>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</si>
  <si>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</si>
  <si>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</si>
  <si>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</si>
  <si>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</si>
  <si>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</si>
  <si>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</si>
  <si>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</si>
  <si>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</si>
  <si>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</si>
  <si>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</si>
  <si>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</si>
  <si>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</si>
  <si>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</si>
  <si>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</si>
  <si>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</si>
  <si>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</si>
  <si>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</si>
  <si>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</si>
  <si>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</si>
  <si>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</si>
  <si>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</si>
  <si>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</si>
  <si>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</si>
  <si>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</si>
  <si>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</si>
  <si>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</si>
  <si>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</si>
  <si>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</si>
  <si>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</si>
  <si>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</si>
  <si>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</si>
  <si>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</si>
  <si>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</si>
  <si>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</si>
  <si>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</si>
  <si>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</si>
  <si>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</si>
  <si>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</si>
  <si>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</si>
  <si>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100% en algodón de 185 gr. cuello redondo y/o en v, de diferentes tallas, marcadas en screen 4 tintas. fabricación y materiales nacionales</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</si>
  <si>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</si>
  <si>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</si>
  <si>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</si>
  <si>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</si>
  <si>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</si>
  <si>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</si>
  <si>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</si>
  <si>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</si>
  <si>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</si>
  <si>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</si>
  <si>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</si>
  <si>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</si>
  <si>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</si>
  <si>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</si>
  <si>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</si>
  <si>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</si>
  <si>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</si>
  <si>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</si>
  <si>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</si>
  <si>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</si>
  <si>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</si>
  <si>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</si>
  <si>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</si>
  <si>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</si>
  <si>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</si>
  <si>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</si>
  <si>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</si>
  <si>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</si>
  <si>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</si>
  <si>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</si>
  <si>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</si>
  <si>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</si>
  <si>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</si>
  <si>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</si>
  <si>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</si>
  <si>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</si>
  <si>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</si>
  <si>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</si>
  <si>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</si>
  <si>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</si>
  <si>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</si>
  <si>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</si>
  <si>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</si>
  <si>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</si>
  <si>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</si>
  <si>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</si>
  <si>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</si>
  <si>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</si>
  <si>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</si>
  <si>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</si>
  <si>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</si>
  <si>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</si>
  <si>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</si>
  <si>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</si>
  <si>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</si>
  <si>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</si>
  <si>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</si>
  <si>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</si>
  <si>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</si>
  <si>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</si>
  <si>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</si>
  <si>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</si>
  <si>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</si>
  <si>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</si>
  <si>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</si>
  <si>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</si>
  <si>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</si>
  <si>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</si>
  <si>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</si>
  <si>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</si>
  <si>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</si>
  <si>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</si>
  <si>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</si>
  <si>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</si>
  <si>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</si>
  <si>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</si>
  <si>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</si>
  <si>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</si>
  <si>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</si>
  <si>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</si>
  <si>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</si>
  <si>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</si>
  <si>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</si>
  <si>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</si>
  <si>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</si>
  <si>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</si>
  <si>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</si>
  <si>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</si>
  <si>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</si>
  <si>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</si>
  <si>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</si>
  <si>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</si>
  <si>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</si>
  <si>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</si>
  <si>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</si>
  <si>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</si>
  <si>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</si>
  <si>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</si>
  <si>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</si>
  <si>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</si>
  <si>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</si>
  <si>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</si>
  <si>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</si>
  <si>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</si>
  <si>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</si>
  <si>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</si>
  <si>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</si>
  <si>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</si>
  <si>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</si>
  <si>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</si>
  <si>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</si>
  <si>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</si>
  <si>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</si>
  <si>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</si>
  <si>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</si>
  <si>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</si>
  <si>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</si>
  <si>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</si>
  <si>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</si>
  <si>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</si>
  <si>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</si>
  <si>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</si>
  <si>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</si>
  <si>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</si>
  <si>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</si>
  <si>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</si>
  <si>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</si>
  <si>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</si>
  <si>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</si>
  <si>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</si>
  <si>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</si>
  <si>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</si>
  <si>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</si>
  <si>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</si>
  <si>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</si>
  <si>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</si>
  <si>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</si>
  <si>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</si>
  <si>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</si>
  <si>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</si>
  <si>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</si>
  <si>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</si>
  <si>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</si>
  <si>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</si>
  <si>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</si>
  <si>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</si>
  <si>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</si>
  <si>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</si>
  <si>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</si>
  <si>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</si>
  <si>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</si>
  <si>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</si>
  <si>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</si>
  <si>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</si>
  <si>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</si>
  <si>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</si>
  <si>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</si>
  <si>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</si>
  <si>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</si>
  <si>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</si>
  <si>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</si>
  <si>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</si>
  <si>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</si>
  <si>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</si>
  <si>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</si>
  <si>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</si>
  <si>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</si>
  <si>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</si>
  <si>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</si>
  <si>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</si>
  <si>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</si>
  <si>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</si>
  <si>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</si>
  <si>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</si>
  <si>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</si>
  <si>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</si>
  <si>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</si>
  <si>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</si>
  <si>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</si>
  <si>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</si>
  <si>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</si>
  <si>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</si>
  <si>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</si>
  <si>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</si>
  <si>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</si>
  <si>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</si>
  <si>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</si>
  <si>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</si>
  <si>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</si>
  <si>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</si>
  <si>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</si>
  <si>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</si>
  <si>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</si>
  <si>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</si>
  <si>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</si>
  <si>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</si>
  <si>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</si>
  <si>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</si>
  <si>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</si>
  <si>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</si>
  <si>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</si>
  <si>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</si>
  <si>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</si>
  <si>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</si>
  <si>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</si>
  <si>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</si>
  <si>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</si>
  <si>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</si>
  <si>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</si>
  <si>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</si>
  <si>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</si>
  <si>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</si>
  <si>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</si>
  <si>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</si>
  <si>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</si>
  <si>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</si>
  <si>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</si>
  <si>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</si>
  <si>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</si>
  <si>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</si>
  <si>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</si>
  <si>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</si>
  <si>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</si>
  <si>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</si>
  <si>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</si>
  <si>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</si>
  <si>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</si>
  <si>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</si>
  <si>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</si>
  <si>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</si>
  <si>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</si>
  <si>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</si>
  <si>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</si>
  <si>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</si>
  <si>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</si>
  <si>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</si>
  <si>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</si>
  <si>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</si>
  <si>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</si>
  <si>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</si>
  <si>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</si>
  <si>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</si>
  <si>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</si>
  <si>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</si>
  <si>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</si>
  <si>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</si>
  <si>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</si>
  <si>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</si>
  <si>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</si>
  <si>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</si>
  <si>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</si>
  <si>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</si>
  <si>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</si>
  <si>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</si>
  <si>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</si>
  <si>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</si>
  <si>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</si>
  <si>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</si>
  <si>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</si>
  <si>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</si>
  <si>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</si>
  <si>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</si>
  <si>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</si>
  <si>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</si>
  <si>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</si>
  <si>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</si>
  <si>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</si>
  <si>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</si>
  <si>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</si>
  <si>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</si>
  <si>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</si>
  <si>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</si>
  <si>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</si>
  <si>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</si>
  <si>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</si>
  <si>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</si>
  <si>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</si>
  <si>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</si>
  <si>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</si>
  <si>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</si>
  <si>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</si>
  <si>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</si>
  <si>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</si>
  <si>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</si>
  <si>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</si>
  <si>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</si>
  <si>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</si>
  <si>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</si>
  <si>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</si>
  <si>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</si>
  <si>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</si>
  <si>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</si>
  <si>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</si>
  <si>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</si>
  <si>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</si>
  <si>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</si>
  <si>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</si>
  <si>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</si>
  <si>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</si>
  <si>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</si>
  <si>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</si>
  <si>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</si>
  <si>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</si>
  <si>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</si>
  <si>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</si>
  <si>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</si>
  <si>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</si>
  <si>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</si>
  <si>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</si>
  <si>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</si>
  <si>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</si>
  <si>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</si>
  <si>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</si>
  <si>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</si>
  <si>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</si>
  <si>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</si>
  <si>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</si>
  <si>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</si>
  <si>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</si>
  <si>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</si>
  <si>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</si>
  <si>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</si>
  <si>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</si>
  <si>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</si>
  <si>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</si>
  <si>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</si>
  <si>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</si>
  <si>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</si>
  <si>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</si>
  <si>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</si>
  <si>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</si>
  <si>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</si>
  <si>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</si>
  <si>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</si>
  <si>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</si>
  <si>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</si>
  <si>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</si>
  <si>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</si>
  <si>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</si>
  <si>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</si>
  <si>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</si>
  <si>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</si>
  <si>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</si>
  <si>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</si>
  <si>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</si>
  <si>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</si>
  <si>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</si>
  <si>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</si>
  <si>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</si>
  <si>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</si>
  <si>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</si>
  <si>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</si>
  <si>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</si>
  <si>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</si>
  <si>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</si>
  <si>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</si>
  <si>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</si>
  <si>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</si>
  <si>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</si>
  <si>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</si>
  <si>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</si>
  <si>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</si>
  <si>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</si>
  <si>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</si>
  <si>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</si>
  <si>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</si>
  <si>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</si>
  <si>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</si>
  <si>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</si>
  <si>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</si>
  <si>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</si>
  <si>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</si>
  <si>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</si>
  <si>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</si>
  <si>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</si>
  <si>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</si>
  <si>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</si>
  <si>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</si>
  <si>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</si>
  <si>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</si>
  <si>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</si>
  <si>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</si>
  <si>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</si>
  <si>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</si>
  <si>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</si>
  <si>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</si>
  <si>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</si>
  <si>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</si>
  <si>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</si>
  <si>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</si>
  <si>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</si>
  <si>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</si>
  <si>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</si>
  <si>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</si>
  <si>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</si>
  <si>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</si>
  <si>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</si>
  <si>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</si>
  <si>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</si>
  <si>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</si>
  <si>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</si>
  <si>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</si>
  <si>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</si>
  <si>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</si>
  <si>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</si>
  <si>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</si>
  <si>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</si>
  <si>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</si>
  <si>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</si>
  <si>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</si>
  <si>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</si>
  <si>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</si>
  <si>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</si>
  <si>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</si>
  <si>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</si>
  <si>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</si>
  <si>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</si>
  <si>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</si>
  <si>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</si>
  <si>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</si>
  <si>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</si>
  <si>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</si>
  <si>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</si>
  <si>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</si>
  <si>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</si>
  <si>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</si>
  <si>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</si>
  <si>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</si>
  <si>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</si>
  <si>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</si>
  <si>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</si>
  <si>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</si>
  <si>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</si>
  <si>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</si>
  <si>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</si>
  <si>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</si>
  <si>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</si>
  <si>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</si>
  <si>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</si>
  <si>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</si>
  <si>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</si>
  <si>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</si>
  <si>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</si>
  <si>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</si>
  <si>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</si>
  <si>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</si>
  <si>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</si>
  <si>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</si>
  <si>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</si>
  <si>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</si>
  <si>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</si>
  <si>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t>
  </si>
  <si>
    <t>Tablero acrílico con base trípode caballete metálico medida trípode 150cm de alto , medidas tablero 120x80cm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</si>
  <si>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</si>
  <si>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</si>
  <si>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</si>
  <si>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</si>
  <si>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</si>
  <si>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</si>
  <si>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</si>
  <si>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</si>
  <si>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</si>
  <si>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</si>
  <si>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</si>
  <si>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</si>
  <si>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</si>
  <si>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</si>
  <si>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</si>
  <si>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</si>
  <si>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</si>
  <si>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</si>
  <si>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</si>
  <si>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</si>
  <si>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</si>
  <si>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</si>
  <si>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</si>
  <si>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</si>
  <si>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</si>
  <si>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</si>
  <si>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</si>
  <si>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</si>
  <si>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</si>
  <si>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</si>
  <si>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</si>
  <si>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</si>
  <si>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</si>
  <si>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</si>
  <si>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</si>
  <si>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</si>
  <si>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</si>
  <si>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</si>
  <si>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</si>
  <si>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</si>
  <si>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</si>
  <si>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</si>
  <si>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</si>
  <si>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</si>
  <si>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</si>
  <si>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</si>
  <si>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</si>
  <si>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</si>
  <si>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</si>
  <si>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</si>
  <si>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</si>
  <si>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</si>
  <si>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</si>
  <si>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</si>
  <si>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</si>
  <si>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</si>
  <si>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</si>
  <si>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</si>
  <si>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</si>
  <si>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</si>
  <si>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Compra Alquiler</t>
  </si>
  <si>
    <t>1. Carolina Valencia - Procedas Huertas</t>
  </si>
  <si>
    <t>Cotizaciones del área de ambiente</t>
  </si>
  <si>
    <t>JUNTOS DE LA MANO.pdf</t>
  </si>
  <si>
    <t xml:space="preserve"> $ -   </t>
  </si>
  <si>
    <t>MYCBDE.pdf</t>
  </si>
  <si>
    <t>Aceite De Almendras - 500 ml _ Cruz Verde.pdf</t>
  </si>
  <si>
    <t>ACEITE CORP KALUx500ml ALMENDRAS-krika.pdf</t>
  </si>
  <si>
    <t>ACEITE DE ALMENDRAS LEON FCO X 500 ML LA ECONOMIA.pdf</t>
  </si>
  <si>
    <t>aceite de coco puro - extravirgen 500 ml</t>
  </si>
  <si>
    <t>Aceite de Coco Virgen Alta Pureza Prodcoco 500 mL PRODCOCO _ Falabella Colombia</t>
  </si>
  <si>
    <t>Aceite de coco, en envase de 500 ml-Tienda Monserat.pdf</t>
  </si>
  <si>
    <t>TIENDA MONSERAT</t>
  </si>
  <si>
    <t>ACEITE DE COCO 500 ml _ BioCo.pdf</t>
  </si>
  <si>
    <t>Aceite Neem 25 ML Grado Laboratorio – La casa del cientifico.pdf</t>
  </si>
  <si>
    <t>Aceite de Neem Biocida orgánico-COLOMBIA HAPPY.pdf</t>
  </si>
  <si>
    <t>Repelente Orgánico Neem- Homecenter.com.co</t>
  </si>
  <si>
    <t>Aceite esencial</t>
  </si>
  <si>
    <t>Aceites Esenciales Puros x 20 ML _ Manuarte Colombia.pdf</t>
  </si>
  <si>
    <t>COTIZACIÓN SIDED .pdf</t>
  </si>
  <si>
    <t>Aceite esencial en botella por 20 ml – 20 ml – Yo soy Regalos del cielo.pdf</t>
  </si>
  <si>
    <t>Agua Destilada 1L – La casa del cientifico.pdf</t>
  </si>
  <si>
    <t>CONADES COTIZACION</t>
  </si>
  <si>
    <t>Agua Destilada grado reactivo1 litro, laboratorios _ Asenix.pdf</t>
  </si>
  <si>
    <t>AGUA DESTILADA 250mL — McKenna Group.pdf</t>
  </si>
  <si>
    <t>agua destilada 250ml-Cruz verde.pdf</t>
  </si>
  <si>
    <t>agua destilada AL 0.9) X 250 ML - Imcolmedica.pdf</t>
  </si>
  <si>
    <t>Kit de Destilación de Aceites... - B0CXXPVLRJ _ Encarguelo.com.pdf</t>
  </si>
  <si>
    <t>AVANCE ORGANIZACIONAL CONSULTORES SAS BIC .pdf</t>
  </si>
  <si>
    <t>CONADES COTIZACION .pdf</t>
  </si>
  <si>
    <t>Alambre Calibre 20 Galvanizado 1Kg Proalco - Homecenter.com.co</t>
  </si>
  <si>
    <t>Alambre Galvanizado x Kilo – Ferretería y Eléctricos PEÑA</t>
  </si>
  <si>
    <t>Alambre Galvanizado C18 Por Kg-COMADERAS</t>
  </si>
  <si>
    <t>ALCOHOL 700 ML_DROGUERIAPASTEUR.pdf</t>
  </si>
  <si>
    <t>Alcohol etilico de grado alimienticio (70° a 96°) 1 litro. – La casa del cientifico</t>
  </si>
  <si>
    <t>Alcohol Etílico 96% (Etanol) - Protokimica</t>
  </si>
  <si>
    <t>Alcohol etilico de grado alimienticio (70° a 96°) 1 litro – PROQUIM INDUSTRIAL S.A.S</t>
  </si>
  <si>
    <t>HAIKU_Almidón de Yuca Cosmético</t>
  </si>
  <si>
    <t>Bodega Portilla_ALMIDÓN DE YUCA DULCE</t>
  </si>
  <si>
    <t>El Mercadito Saludable_Almidón de yuca - 500gr</t>
  </si>
  <si>
    <t>EL MERCADITO SALUDABLE</t>
  </si>
  <si>
    <t>Vita Integral_Almidón De Yuca x500GR Salugran</t>
  </si>
  <si>
    <t>VIDA INTEGRAL</t>
  </si>
  <si>
    <t>Colocar Descripción explícita del ítem</t>
  </si>
  <si>
    <t>Alquiler de tamiz</t>
  </si>
  <si>
    <t>Alquiler de trituradora de escombros</t>
  </si>
  <si>
    <t>INVERSIONES FPG SAS_Trituradora</t>
  </si>
  <si>
    <t>INVERSIONES FPD SAS</t>
  </si>
  <si>
    <t>C&amp;C GRUPO EMPRESARIAL SAS_AMARRE PLASTICO 4.5MM X 40CM (25 UNIDADES) 44330 _</t>
  </si>
  <si>
    <t>Ferretería de Marca_25 Amarres Plásticos De 40 cm Tensión 50 Lb Color Negro</t>
  </si>
  <si>
    <t>EXITO_25 Amarres Plásticos De 40 Cm, Tensión 50 Lb, Color</t>
  </si>
  <si>
    <t>Aros metálicos</t>
  </si>
  <si>
    <t>Argolla de 35cm para Malabar.-cabeza de martillo.pdf</t>
  </si>
  <si>
    <t>CABEZA DE MARTILLO</t>
  </si>
  <si>
    <t>Aspersora _ ASM-ME20L _ Evans Colombia</t>
  </si>
  <si>
    <t>Fumigadora Activa 20 lt _ Equipos de Fumigación _ Tierragro Colombia</t>
  </si>
  <si>
    <t>Fumigadora de Espalda Manual Ducati 20L DSP2000S – Maquitec de Colombia</t>
  </si>
  <si>
    <t>Aspersora Handy 10 lt _ Equipos de Fumigación _ Tierragro Colombia</t>
  </si>
  <si>
    <t>Fumigadora Manual RoyalCondor ® Handy 10 Litros - progen</t>
  </si>
  <si>
    <t>Aspersora de 2 litros - Homecenter.com.co.pdf</t>
  </si>
  <si>
    <t>Aspersora _ 2 Litros _ PEAD _ SOLOENVASES</t>
  </si>
  <si>
    <t>Agrocolombia_Fumigador de 2 litros doméstico truper</t>
  </si>
  <si>
    <t>Aapersora Pulverizador Manual 5 Lt - Homecenter.com.co</t>
  </si>
  <si>
    <t>Aspersora de 5 litros - Easy Colombia.pdf</t>
  </si>
  <si>
    <t>Aspersora de 5 litros _ Falabella Colombia.pdf</t>
  </si>
  <si>
    <t>DAGROW SAS.pdf</t>
  </si>
  <si>
    <t>Bandeja Germinadora Fercon Varias – LA RES COLOMBIA.pdf</t>
  </si>
  <si>
    <t>LARES</t>
  </si>
  <si>
    <t>BANDEJA DE GERMINACIÓN 32 ALVEOLOS TERMOFORMADA - TERMOFORMADOS ANTIOQUIA SAS</t>
  </si>
  <si>
    <t>Bandeja Germinadora 32 Cavidades _ Materas y Soportes _ Tierragro Colombia</t>
  </si>
  <si>
    <t>Barniz</t>
  </si>
  <si>
    <t>GRUPO IDEASA</t>
  </si>
  <si>
    <t>Barra Agricola 14lb Ranger para uso ferretero en Colombia.pdf</t>
  </si>
  <si>
    <t>BARRA AGRICOLA 14 LIBRAS 320514 HERRAGRO</t>
  </si>
  <si>
    <t>Barra Agrícola 1255 mm X 100 mm 14 Lb 3205 - 14 Herragro _ Casa Andina _ Ferretería y materiales de construcción</t>
  </si>
  <si>
    <t>Bolsas blancas</t>
  </si>
  <si>
    <t>SUPER DESECHABLES DEL NORTE_BOLSA BLANCA 60 X 80 PAQ. X 50 UND</t>
  </si>
  <si>
    <t>La Tortuga y La Liebre_Bolsas de Maíz 100% Compostables Compostpack</t>
  </si>
  <si>
    <t>Viejo Verde_Bolsas biodegradables para perros</t>
  </si>
  <si>
    <t>Verde Pluma_Bolsas 100% compostables Compostpack</t>
  </si>
  <si>
    <t>SUPER DESECHABLES DEL NORTE_BOLSA NEGRA 60 X 80 PAQ. X 50 UND_</t>
  </si>
  <si>
    <t>Bolsas verdes</t>
  </si>
  <si>
    <t>SUPER DESECHABLES DEL NORTE_BOLSA VERDE 60 X 80 X 50 UNDS</t>
  </si>
  <si>
    <t>Bombillos</t>
  </si>
  <si>
    <t>Botellas biodegradables</t>
  </si>
  <si>
    <t>DPS_BOTELLA PET 250 ML NAT PCO28-1816 GENÉRICA</t>
  </si>
  <si>
    <t>sandra Vargas</t>
  </si>
  <si>
    <t>Duque Saldarriaga_Envase X 250 ML Pet Cuadrado 16.3 Gramos Jugo</t>
  </si>
  <si>
    <t>DISTRIBUIDORA PLASTICOS DEL SUR SAS</t>
  </si>
  <si>
    <t>Brocha Popular Mona 1 Pulgadas - Homecenter.com.co.pdf</t>
  </si>
  <si>
    <t>Falabella Colombia _Brocha en Cerda Mona Cabo Azul de 1 Pulgada GOYA</t>
  </si>
  <si>
    <t>Brocha Popular Mona 1 Pulgadas_Ferricentro.pdf</t>
  </si>
  <si>
    <t>Falabella Colombia_BROCHA CERDA NEGRA 5'' COLIMA INCOLMA INCOLMA</t>
  </si>
  <si>
    <t>Éxito_Brocha De 5 Pulgadas Con Mango De Plástico, Usos Gen</t>
  </si>
  <si>
    <t>FERREINOX_Brocha Popular Goya, Goya en Pereira desde</t>
  </si>
  <si>
    <t>Cable eléctrico</t>
  </si>
  <si>
    <t>Eléctricos La Cabalgata_CABLE DUPLEX CENTELSA 2X20 POR ROLLO DE 100 MTS</t>
  </si>
  <si>
    <t>ELECTRICOS LA CABALGATA</t>
  </si>
  <si>
    <t>Easy Colombia_Cable dúplex 2x20 blanco 100 mt centelsa</t>
  </si>
  <si>
    <t>Tiendas Jumbo_Cable dúplex 2x20 blanco 100 mt centelsa</t>
  </si>
  <si>
    <t>Caja de Puntilla con cabeza 2 1/2 pulg</t>
  </si>
  <si>
    <t>Caja autoarmable 25x25x7 PACK 25u Micro corrugado.pdf</t>
  </si>
  <si>
    <t>CART PAPER_Caja autoarmable 25X15X12 PACK 25</t>
  </si>
  <si>
    <t>CEMENTO GRIS 50K_HOMECENTER.pdf</t>
  </si>
  <si>
    <t>cera de abejas velas e insumos leon.pdf</t>
  </si>
  <si>
    <t>Inversiones Proin_SEMICODO PVC SANITARIO 3 CXC</t>
  </si>
  <si>
    <t>Codo Sanitario de 3 X 45 C X E PVC PAVCO.pdf</t>
  </si>
  <si>
    <t>FERRETERIA ALDIA</t>
  </si>
  <si>
    <t>DEW GENIAL_Colorante Cobertura Chocolate Liquido Liposoluble</t>
  </si>
  <si>
    <t>Tienda del Chocolate_Colorante Liposoluble chocolate 70g</t>
  </si>
  <si>
    <t>Mundo Huevo_Colorante para Chocolate Gris x 70 Gr La Chocolatera</t>
  </si>
  <si>
    <t>Cierre o Cremallera para Chaqueta 75cm – Mil Herrajes Colombia</t>
  </si>
  <si>
    <t>ml</t>
  </si>
  <si>
    <t>Mundo Huevo_Desmol 5500 x 1 Lt Citalsa</t>
  </si>
  <si>
    <t>Talsa_Aceite desmoldante para Panaderia Desmol 5500 x 1Lt</t>
  </si>
  <si>
    <t>Tecnología y Suministros SAS_Aceite Desmol 5500 X 1 L Desmoldante para panadería</t>
  </si>
  <si>
    <t>Enchufe</t>
  </si>
  <si>
    <t>Adaptador redondo plano codelca - Easy Colombia.pdf</t>
  </si>
  <si>
    <t>Adaptador redondo plano codelca - Tiendas Jumbo.pdf</t>
  </si>
  <si>
    <t>JUMBO</t>
  </si>
  <si>
    <t>Engrudo</t>
  </si>
  <si>
    <t>SemillaBread_Sémola de Trigo Fina para Panadería y Pasta</t>
  </si>
  <si>
    <t>SEMILLA BREAD</t>
  </si>
  <si>
    <t>LA MINA_Entretela Tejida Camisería Adhesiva</t>
  </si>
  <si>
    <t>Duque Saldarriaga_Envase X 30 ML Con Tapa Mantel</t>
  </si>
  <si>
    <t>Velas e Insumos León_Frasco Cilíndrico Para Velas 30 ml</t>
  </si>
  <si>
    <t>El Frasquerio_Frasco de vidrio 30 ml octogonal con tapa dorada - Elegante</t>
  </si>
  <si>
    <t>Estante de 3 Bandejas deshidratadoras en acero inoxidable</t>
  </si>
  <si>
    <t>Zelva Planteria_Fibra de coco</t>
  </si>
  <si>
    <t>ZELVA PLANTERIA</t>
  </si>
  <si>
    <t>Sustrato De Coco Molido - VARORABLE Semillas Orgánicas.pdf</t>
  </si>
  <si>
    <t>VARORABLE</t>
  </si>
  <si>
    <t>Peletería Manuela_Yute _ Tela Costal por metros</t>
  </si>
  <si>
    <t>Biobrands_Cabezales de reemplazo bambú</t>
  </si>
  <si>
    <t>Lentes de Seguridad Uv con Proteccion Lateral - Homecenter.com.co.pdf</t>
  </si>
  <si>
    <t>Insumos MyM_GLICERINA VEGETAL LIQUIDA USP X 250 G</t>
  </si>
  <si>
    <t>QUIMICOS PROQUIMPI_Glicerina USP (Vegetal)</t>
  </si>
  <si>
    <t>Bodega Portilla_GLICERINA X 250GR</t>
  </si>
  <si>
    <t>Nacional De Electricos_Grapa Galvanizada 1_2 Sencilla Para Tuberia PVC</t>
  </si>
  <si>
    <t>INTER ELECTRICAS_ Grapa Metálica Aleta Sencilla 1-2 Pulgadas</t>
  </si>
  <si>
    <t>Producabos _GRAPA ABRAZADERA METALICA SENCILLA 1_2″</t>
  </si>
  <si>
    <t>Guantes</t>
  </si>
  <si>
    <t>Guantes de carnaza por par</t>
  </si>
  <si>
    <t>TIENDA SRM_Hablador publicitario</t>
  </si>
  <si>
    <t>Disacryl_Hablador L vertical carta para insertar hoja</t>
  </si>
  <si>
    <t>INSUMOS ARTES GRAFICAS_HABLADOR MEDIA CARTA 2MM</t>
  </si>
  <si>
    <t>Hilo Ecological Papatya – Mi Laneria</t>
  </si>
  <si>
    <t>MI LANERA</t>
  </si>
  <si>
    <t>Hilo Lana Papatya Ecological Cotton # 304 Beige – Entrelanas Sala de Tejido</t>
  </si>
  <si>
    <t>hilo Papatya ecological algodon</t>
  </si>
  <si>
    <t>Arco de Meta Inflable_ Precio Aeroinflables</t>
  </si>
  <si>
    <t>Interruptor</t>
  </si>
  <si>
    <t>INTERRUCTOR LAMPARA_HOMECENTER.pdf</t>
  </si>
  <si>
    <t>JABON BIODEGRADABLE_HOMECENTER.pdf</t>
  </si>
  <si>
    <t>Lamina Antiadherente Para Parrilla _ Ambiente Gourmet.pdf</t>
  </si>
  <si>
    <t>LIJA DE TELA_EAOSDE.pdf</t>
  </si>
  <si>
    <t>Malla Cesta Tipo Red Colgante De 2 Capas Para Deshid _ Éxito.pdf</t>
  </si>
  <si>
    <t>Medalla de premiación Bronce Metalica</t>
  </si>
  <si>
    <t>Medallas baño bronze personalizadas _ Elegancia y calidad</t>
  </si>
  <si>
    <t>Kojak graphic_Medalla Clasica Tipo 3 Personalizada para Eventos y Premiaciones.pdf</t>
  </si>
  <si>
    <t>Velas e Insumos León_Molde de silicona 3D 8 esferas</t>
  </si>
  <si>
    <t>Ferragro_Palin Hoyador Colima (68945401), Cercas eléctricas</t>
  </si>
  <si>
    <t>Falabella Colombia_PALIN HOYADOR COLIMA INCOLMA INCOLMA</t>
  </si>
  <si>
    <t>MACHO_PALIN HOYADOR</t>
  </si>
  <si>
    <t>Papel</t>
  </si>
  <si>
    <t>PAPEL 30X30_MAKRO.pdf</t>
  </si>
  <si>
    <t>MAKRO</t>
  </si>
  <si>
    <t>Papel usado</t>
  </si>
  <si>
    <t>Rollo de papel plástico burbuja film 30 cm x 50 metros – Foncrea S.A.S.pdf</t>
  </si>
  <si>
    <t>PONCREAS</t>
  </si>
  <si>
    <t>Éxito_Rollo De Papel Plástico Burbuja 30 Cm X 50 Metros</t>
  </si>
  <si>
    <t>SUSTRATO TURBA MKS1 - Paisagro SAS.pdf</t>
  </si>
  <si>
    <t>GRUPO SAN PIO_SOLDADURA CPVC 1_8 (473 CC) DURMAN</t>
  </si>
  <si>
    <t>Homecenter.com.co_Soldadura PVC 1_8 Galón</t>
  </si>
  <si>
    <t>FERRETERIA FORERO_Soldaduras PVC PAVCO</t>
  </si>
  <si>
    <t>Panamericana_Pegante ecológico Aflatex de 150 g</t>
  </si>
  <si>
    <t>Panafargo_pegamento para manualidades, 100% ecologico marca Aflatex - 150g</t>
  </si>
  <si>
    <t>Trazzos Papeleria Online_Pegante para Foamy</t>
  </si>
  <si>
    <t>CREAN2 AGENCIA GRAFICA SAS_PENDON</t>
  </si>
  <si>
    <t>ZOOM CREATIVO PUBLICIDAD_PENDON</t>
  </si>
  <si>
    <t>DESIGN EXPRESS_PENDON</t>
  </si>
  <si>
    <t>Homecenter.com.co_Pintura Para Mantenimiento Blanco Acrílica Para Mantenimiento 1 Galón -</t>
  </si>
  <si>
    <t>Galón 1/8</t>
  </si>
  <si>
    <t>Plancha</t>
  </si>
  <si>
    <t xml:space="preserve">$ -   </t>
  </si>
  <si>
    <t xml:space="preserve">  </t>
  </si>
  <si>
    <r>
      <t xml:space="preserve">Plántula de Acelga Blanca </t>
    </r>
    <r>
      <rPr>
        <i/>
        <sz val="11"/>
        <color rgb="FF000000"/>
        <rFont val="Aptos Narrow"/>
        <family val="2"/>
        <scheme val="minor"/>
      </rPr>
      <t>(Beta vulgaris var. cicla)</t>
    </r>
  </si>
  <si>
    <t>AGRIPLANT_VARIOS</t>
  </si>
  <si>
    <t>SEMBRAMOS VIVERO ONLINE_VARIOS</t>
  </si>
  <si>
    <t>Frutos Campestres_Acelga</t>
  </si>
  <si>
    <r>
      <t>Plántula de Acelga de colores (</t>
    </r>
    <r>
      <rPr>
        <i/>
        <sz val="11"/>
        <color rgb="FF000000"/>
        <rFont val="Aptos Narrow"/>
        <family val="2"/>
        <scheme val="minor"/>
      </rPr>
      <t>Beta vulgaris var. cicla)</t>
    </r>
  </si>
  <si>
    <t>AGRIPLANT_Varios</t>
  </si>
  <si>
    <t>SEMBRAMOS_VARIOS</t>
  </si>
  <si>
    <t>PAQUUA_Varios</t>
  </si>
  <si>
    <r>
      <t>Plántula de Apio (</t>
    </r>
    <r>
      <rPr>
        <i/>
        <sz val="11"/>
        <color rgb="FF000000"/>
        <rFont val="Aptos Narrow"/>
        <family val="2"/>
        <scheme val="minor"/>
      </rPr>
      <t>Apium graveolens)</t>
    </r>
  </si>
  <si>
    <t>Croper_Precio del Brevo en Colombia _ Compra y Tendencia</t>
  </si>
  <si>
    <t>La Canasta_Breva – lb</t>
  </si>
  <si>
    <t>EKO YUMA_Plántula Brevo</t>
  </si>
  <si>
    <r>
      <t xml:space="preserve">Plántula de Frijol Cargamanto </t>
    </r>
    <r>
      <rPr>
        <i/>
        <sz val="11"/>
        <color rgb="FF000000"/>
        <rFont val="Aptos Narrow"/>
        <family val="2"/>
        <scheme val="minor"/>
      </rPr>
      <t>(Phaseolus vulgaris)</t>
    </r>
  </si>
  <si>
    <t>Plántula de Frijol Cargamanto (Phaseolus vulgaris) - My Garden.pdf</t>
  </si>
  <si>
    <t>Plántula de Frijol Cargamanto (Phaseolus vulgaris)(Phaseolus vulgaris).pdf</t>
  </si>
  <si>
    <t>Plántula de Frijol Cargamanto (Phaseolus vulgaris)_ Zelva Planteria.pdf</t>
  </si>
  <si>
    <r>
      <t xml:space="preserve">Plántula de Kale Crespo </t>
    </r>
    <r>
      <rPr>
        <i/>
        <sz val="11"/>
        <color rgb="FF000000"/>
        <rFont val="Aptos Narrow"/>
        <family val="2"/>
        <scheme val="minor"/>
      </rPr>
      <t>(Brassica oleracea var. sabellica)</t>
    </r>
  </si>
  <si>
    <r>
      <t>Plántula de Kale Liso (</t>
    </r>
    <r>
      <rPr>
        <i/>
        <sz val="11"/>
        <color rgb="FF000000"/>
        <rFont val="Aptos Narrow"/>
        <family val="2"/>
        <scheme val="minor"/>
      </rPr>
      <t>Brassica oleracea var. acephala)</t>
    </r>
    <r>
      <rPr>
        <sz val="11"/>
        <color rgb="FF000000"/>
        <rFont val="Aptos Narrow"/>
        <family val="2"/>
        <scheme val="minor"/>
      </rPr>
      <t> </t>
    </r>
  </si>
  <si>
    <r>
      <t xml:space="preserve">Plántula de Lechuga crespa morada </t>
    </r>
    <r>
      <rPr>
        <i/>
        <sz val="11"/>
        <color rgb="FF000000"/>
        <rFont val="Aptos Narrow"/>
        <family val="2"/>
        <scheme val="minor"/>
      </rPr>
      <t>(Lactuca sativa var. crispa)</t>
    </r>
  </si>
  <si>
    <r>
      <t xml:space="preserve">Plántula de Lechuga de cogollo </t>
    </r>
    <r>
      <rPr>
        <i/>
        <sz val="11"/>
        <color rgb="FF000000"/>
        <rFont val="Aptos Narrow"/>
        <family val="2"/>
        <scheme val="minor"/>
      </rPr>
      <t>(Lactuca sativa var. romana)</t>
    </r>
  </si>
  <si>
    <t>PLANTULAMOS S.A.S_PLANTULAS DE LECHUGA</t>
  </si>
  <si>
    <t>FromNativo_Plántula de lechuga hoja de roble verde y morada</t>
  </si>
  <si>
    <r>
      <t xml:space="preserve">Plántula de Tomillo </t>
    </r>
    <r>
      <rPr>
        <i/>
        <sz val="11"/>
        <color rgb="FF000000"/>
        <rFont val="Aptos Narrow"/>
        <family val="2"/>
        <scheme val="minor"/>
      </rPr>
      <t>(Thymus vulgaris</t>
    </r>
    <r>
      <rPr>
        <sz val="11"/>
        <color rgb="FF000000"/>
        <rFont val="Aptos Narrow"/>
        <family val="2"/>
        <scheme val="minor"/>
      </rPr>
      <t>)</t>
    </r>
  </si>
  <si>
    <t>FromNativo_Plántula de zanahoria (blanca, amarilla o naranja)</t>
  </si>
  <si>
    <t>Portalámparas</t>
  </si>
  <si>
    <t>HOMCENTER_Portalámparas Dorado Con Interruptor De Presión 250</t>
  </si>
  <si>
    <t>FALABELLA COLOMBIA_Portalámparas Dorado Con Interruptor Tipo Cadena 25 HALUX</t>
  </si>
  <si>
    <t>Creative Cables_Kit portalámparas (socket) cilíndrico</t>
  </si>
  <si>
    <t>CREATIVE CABLES</t>
  </si>
  <si>
    <t>Booking Online_Refugio Del Neusa</t>
  </si>
  <si>
    <t>Mirador Bosque Gran Torino Neusa, Cogua (precios actualizados en 2026)</t>
  </si>
  <si>
    <t>Puntilla con cabeza 2 1/2</t>
  </si>
  <si>
    <t>Kg 3,3</t>
  </si>
  <si>
    <t>Resina PLA.pdf</t>
  </si>
  <si>
    <t>Empaque 42 x 80 cm blanco polipropileno - Homecenter.com.co.pdf</t>
  </si>
  <si>
    <t>SACO PP _ Multiplasticos Cartagena.pdf</t>
  </si>
  <si>
    <t>GABYVENTAS_Lonas O Costal En Fibra Nuevas De 25 Kilos _ ECORECICLAJE</t>
  </si>
  <si>
    <t xml:space="preserve">Sellador </t>
  </si>
  <si>
    <t>HOMCENTER_Sellador Catalizado Transparente 1_4</t>
  </si>
  <si>
    <t>MARK_Semillas de Girasol x 500 gr -</t>
  </si>
  <si>
    <t>HOMCENTER_Semilla Pasto Bermuda Clima Cálido 50 Gramos -</t>
  </si>
  <si>
    <t>Homecenter_Suculenta Grande - Crassulacea De Interior Diámetro 7 Cm</t>
  </si>
  <si>
    <t>RV_ Solicitud de confimacion de valor tarllerista_ Luz Nelida Jimenez Mendieta - Outlook.pdf</t>
  </si>
  <si>
    <t>Comercializadora Procol del Valle_Tapabocas Económico x50 und</t>
  </si>
  <si>
    <t>PYP Vida_Tapabocas Desechables Blanco con Empaque Individual – Caja x 50 Unidad</t>
  </si>
  <si>
    <t>FLOW CHEMICAL_Tapabocas Quirúrgico 3 Capas</t>
  </si>
  <si>
    <t>SOLOENVASES_Tapón Pilfer para Botella Vídrio _ PEAD _ rosca_ 28</t>
  </si>
  <si>
    <t>UNICORSA S.A_TAPA PLASTICA 28 MM</t>
  </si>
  <si>
    <t>El mayorista store_ALASKA</t>
  </si>
  <si>
    <t>Casatextil ®_Tela Lino Flex x Metros</t>
  </si>
  <si>
    <t>Tela Liviana_Lino Poliester Terracota X Metros</t>
  </si>
  <si>
    <t>TELAS REAL</t>
  </si>
  <si>
    <t>Homecenter_PINTURA 1gl ECOLOGICA KOLOR BLANCO</t>
  </si>
  <si>
    <t>Centro de la Construcción_TUBO SANITARIO LIVIANO 3″ PLASDEL</t>
  </si>
  <si>
    <t>COMADERAS_Tubo Económico Sanitario 3 X 6 Mts</t>
  </si>
  <si>
    <t>ferretito.com_Tubo Sanitario PVC Tuvinil Liviano x 6 Mts</t>
  </si>
  <si>
    <t>- Homecenter.com.co_Tutor Plástico Triangular 11mm 1.5m</t>
  </si>
  <si>
    <t>VINAGRE_BLANCO_500ML_SAN JORGE.pdf</t>
  </si>
  <si>
    <t>VINAGRE_BLANCO_500ML_CARULLA.pdf</t>
  </si>
  <si>
    <t>VINAGRE_BLANCO_500ML_EURO.pdf</t>
  </si>
  <si>
    <t>EC_vitamina E Mason Natural, Mini Multivitamínicos, 365 Mini Comprimidos</t>
  </si>
  <si>
    <t>VITAMINA E 400 UI (COLMED)</t>
  </si>
  <si>
    <t>Mason Vitamina E-400 iu 100 Softgels – Almacén Madeira</t>
  </si>
  <si>
    <t xml:space="preserve">Si tiene IVA </t>
  </si>
  <si>
    <t>Zunchos y grapas para zunchos _ CasaFerretera.com.pdf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</si>
</sst>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 #,##0.00\ &quot;€&quot;_-;\-* #,##0.00\ &quot;€&quot;_-;_-* &quot;-&quot;??\ &quot;€&quot;_-;_-@_-"/>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 #,##0_-;\-&quot;$&quot;\ * #,##0_-;_-&quot;$&quot;\ * &quot;-&quot;??_-;_-@_-"/>
    <numFmt numFmtId="169" formatCode="_-[$$-240A]\ * #,##0_-;\-[$$-240A]\ * #,##0_-;_-[$$-240A]\ * &quot;-&quot;??_-;_-@_-"/>
    <numFmt numFmtId="170" formatCode="_-&quot;$&quot;\ * #,##0.0000_-;\-&quot;$&quot;\ * #,##0.0000_-;_-&quot;$&quot;\ * &quot;-&quot;??_-;_-@_-"/>
    <numFmt numFmtId="171" formatCode="_-[$$-409]* #,##0_ ;_-[$$-409]* \-#,##0\ ;_-[$$-409]* &quot;-&quot;??_ ;_-@_ "/>
  </numFmts>
  <fonts count="72">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1"/>
      <color theme="0"/>
      <name val="Garamond"/>
      <family val="1"/>
    </font>
    <font>
      <sz val="16"/>
      <color rgb="FF000000"/>
      <name val="Aptos Narrow"/>
      <family val="2"/>
      <scheme val="minor"/>
    </font>
    <font>
      <b/>
      <sz val="11"/>
      <color theme="1"/>
      <name val="Aptos Narrow"/>
      <family val="2"/>
      <scheme val="minor"/>
    </font>
    <font>
      <sz val="16"/>
      <color theme="0"/>
      <name val="Aptos Narrow"/>
      <family val="2"/>
      <scheme val="minor"/>
    </font>
    <font>
      <sz val="16"/>
      <name val="Aptos Narrow"/>
      <family val="2"/>
      <scheme val="minor"/>
    </font>
    <font>
      <u/>
      <sz val="11"/>
      <color theme="10"/>
      <name val="Aptos Narrow"/>
      <family val="2"/>
      <scheme val="minor"/>
    </font>
    <font>
      <sz val="11"/>
      <color rgb="FF000000"/>
      <name val="Aptos Narrow"/>
      <family val="2"/>
    </font>
    <font>
      <sz val="11"/>
      <name val="Aptos Narrow"/>
      <family val="2"/>
      <scheme val="minor"/>
    </font>
    <font>
      <sz val="11"/>
      <color theme="4"/>
      <name val="Aptos Narrow"/>
      <family val="2"/>
      <scheme val="minor"/>
    </font>
    <font>
      <b/>
      <sz val="20"/>
      <color theme="0"/>
      <name val="Aptos Narrow"/>
      <family val="2"/>
      <scheme val="minor"/>
    </font>
    <font>
      <sz val="24"/>
      <color rgb="FFFF0000"/>
      <name val="Aptos Narrow"/>
      <family val="2"/>
      <scheme val="minor"/>
    </font>
    <font>
      <sz val="14"/>
      <name val="Aptos Narrow"/>
      <family val="2"/>
      <scheme val="minor"/>
    </font>
    <font>
      <sz val="14"/>
      <color theme="1"/>
      <name val="Aptos Narrow"/>
      <family val="2"/>
      <scheme val="minor"/>
    </font>
    <font>
      <sz val="16"/>
      <name val="Garamond"/>
      <family val="1"/>
    </font>
    <font>
      <sz val="16"/>
      <color theme="1"/>
      <name val="Garamond"/>
      <family val="1"/>
    </font>
    <font>
      <sz val="18"/>
      <color theme="1"/>
      <name val="Aptos Narrow"/>
      <family val="2"/>
      <scheme val="minor"/>
    </font>
    <font>
      <b/>
      <sz val="24"/>
      <color theme="1"/>
      <name val="Aptos Narrow"/>
      <family val="2"/>
      <scheme val="minor"/>
    </font>
    <font>
      <b/>
      <sz val="22"/>
      <name val="Aptos Narrow"/>
      <family val="2"/>
      <scheme val="minor"/>
    </font>
    <font>
      <sz val="9"/>
      <color indexed="81"/>
      <name val="Tahoma"/>
      <family val="2"/>
    </font>
    <font>
      <b/>
      <sz val="9"/>
      <color indexed="81"/>
      <name val="Tahoma"/>
      <family val="2"/>
    </font>
    <font>
      <sz val="16"/>
      <color rgb="FFFF0000"/>
      <name val="Aptos Narrow"/>
      <family val="2"/>
      <scheme val="minor"/>
    </font>
    <font>
      <b/>
      <sz val="16"/>
      <color theme="0"/>
      <name val="Aptos Narrow"/>
      <family val="2"/>
      <scheme val="minor"/>
    </font>
    <font>
      <sz val="12"/>
      <name val="Aptos Narrow"/>
      <family val="2"/>
      <scheme val="minor"/>
    </font>
    <font>
      <sz val="11"/>
      <color rgb="FF006100"/>
      <name val="Aptos Narrow"/>
      <family val="2"/>
      <scheme val="minor"/>
    </font>
    <font>
      <sz val="11"/>
      <color rgb="FFFF0000"/>
      <name val="Aptos Narrow"/>
      <family val="2"/>
      <scheme val="minor"/>
    </font>
    <font>
      <b/>
      <sz val="11"/>
      <name val="Aptos Narrow"/>
      <family val="2"/>
      <scheme val="minor"/>
    </font>
    <font>
      <i/>
      <sz val="11"/>
      <color rgb="FF000000"/>
      <name val="Aptos Narrow"/>
      <family val="2"/>
      <scheme val="minor"/>
    </font>
    <font>
      <b/>
      <sz val="11"/>
      <color rgb="FF000000"/>
      <name val="Aptos Narrow"/>
      <family val="2"/>
      <scheme val="minor"/>
    </font>
    <font>
      <sz val="11"/>
      <color rgb="FF0C769E"/>
      <name val="Aptos Narrow"/>
      <family val="2"/>
      <scheme val="minor"/>
    </font>
    <font>
      <sz val="11"/>
      <color rgb="FF156082"/>
      <name val="Aptos Narrow"/>
      <family val="2"/>
      <scheme val="minor"/>
    </font>
    <font>
      <u/>
      <sz val="11"/>
      <color rgb="FF467886"/>
      <name val="Aptos Narrow"/>
      <family val="2"/>
      <scheme val="minor"/>
    </font>
    <font>
      <sz val="11"/>
      <color rgb="FFBE5014"/>
      <name val="Aptos Narrow"/>
      <family val="2"/>
      <scheme val="minor"/>
    </font>
    <font>
      <sz val="12"/>
      <color rgb="FF000000"/>
      <name val="Aptos Narrow"/>
      <family val="2"/>
      <scheme val="minor"/>
    </font>
    <font>
      <sz val="20"/>
      <color theme="1"/>
      <name val="Aptos Narrow"/>
      <family val="2"/>
      <scheme val="minor"/>
    </font>
    <font>
      <sz val="9"/>
      <color rgb="FF000000"/>
      <name val="Aptos Narrow"/>
      <family val="2"/>
      <scheme val="minor"/>
    </font>
    <font>
      <sz val="14"/>
      <color rgb="FF000000"/>
      <name val="Aptos Narrow"/>
      <family val="2"/>
      <scheme val="minor"/>
    </font>
    <font>
      <sz val="24"/>
      <color theme="1"/>
      <name val="Aptos Narrow"/>
      <family val="2"/>
      <scheme val="minor"/>
    </font>
  </fonts>
  <fills count="49">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0"/>
        <bgColor theme="0"/>
      </patternFill>
    </fill>
    <fill>
      <patternFill patternType="solid">
        <fgColor rgb="FFFFCE3C"/>
        <bgColor indexed="64"/>
      </patternFill>
    </fill>
    <fill>
      <patternFill patternType="solid">
        <fgColor rgb="FFA3DBFF"/>
        <bgColor indexed="64"/>
      </patternFill>
    </fill>
    <fill>
      <patternFill patternType="solid">
        <fgColor rgb="FF356BA1"/>
        <bgColor rgb="FF000000"/>
      </patternFill>
    </fill>
    <fill>
      <patternFill patternType="solid">
        <fgColor rgb="FFFFFFFF"/>
        <bgColor rgb="FF000000"/>
      </patternFill>
    </fill>
    <fill>
      <patternFill patternType="solid">
        <fgColor rgb="FFC6EFCE"/>
        <bgColor rgb="FF000000"/>
      </patternFill>
    </fill>
    <fill>
      <patternFill patternType="solid">
        <fgColor rgb="FF595959"/>
        <bgColor rgb="FF000000"/>
      </patternFill>
    </fill>
    <fill>
      <patternFill patternType="solid">
        <fgColor rgb="FF3C7D22"/>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FFFF99"/>
        <bgColor rgb="FF000000"/>
      </patternFill>
    </fill>
    <fill>
      <patternFill patternType="solid">
        <fgColor rgb="FFD0D0D0"/>
        <bgColor rgb="FF000000"/>
      </patternFill>
    </fill>
    <fill>
      <patternFill patternType="solid">
        <fgColor rgb="FFC0E6F5"/>
        <bgColor rgb="FF000000"/>
      </patternFill>
    </fill>
    <fill>
      <patternFill patternType="solid">
        <fgColor rgb="FFA6A6A6"/>
        <bgColor rgb="FF000000"/>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s>
  <cellStyleXfs count="10">
    <xf numFmtId="0" fontId="0" fillId="0" borderId="0"/>
    <xf numFmtId="167" fontId="1" fillId="0" borderId="0"/>
    <xf numFmtId="9" fontId="1" fillId="0" borderId="0"/>
    <xf numFmtId="0" fontId="1" fillId="0" borderId="0"/>
    <xf numFmtId="0" fontId="18" fillId="0" borderId="0"/>
    <xf numFmtId="167" fontId="1" fillId="0" borderId="0"/>
    <xf numFmtId="0" fontId="40" fillId="0" borderId="0"/>
    <xf numFmtId="0" fontId="40" fillId="0" borderId="0"/>
    <xf numFmtId="167" fontId="1" fillId="0" borderId="0"/>
    <xf numFmtId="44" fontId="1" fillId="0" borderId="0"/>
  </cellStyleXfs>
  <cellXfs count="648">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7"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7" fontId="1" fillId="9" borderId="1" xfId="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7" fontId="1" fillId="11" borderId="1" xfId="1" applyFill="1" applyBorder="1" applyAlignment="1" applyProtection="1">
      <alignment vertical="center" wrapText="1"/>
      <protection locked="0"/>
    </xf>
    <xf numFmtId="167" fontId="1" fillId="11" borderId="1" xfId="1" applyFill="1" applyBorder="1" applyAlignment="1">
      <alignment vertical="center" wrapText="1"/>
    </xf>
    <xf numFmtId="167" fontId="1" fillId="12" borderId="1" xfId="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7" fontId="1" fillId="6" borderId="1" xfId="1" applyFill="1" applyBorder="1" applyAlignment="1" applyProtection="1">
      <alignment vertical="center" wrapText="1"/>
      <protection locked="0"/>
    </xf>
    <xf numFmtId="167" fontId="1" fillId="6" borderId="1" xfId="1" applyFill="1" applyBorder="1" applyAlignment="1">
      <alignment vertical="center" wrapText="1"/>
    </xf>
    <xf numFmtId="167" fontId="1" fillId="14" borderId="1" xfId="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7" fontId="1" fillId="15" borderId="1" xfId="1" applyFill="1" applyBorder="1" applyAlignment="1">
      <alignment vertical="center" wrapText="1"/>
    </xf>
    <xf numFmtId="167"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8"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9" fontId="1" fillId="9" borderId="1" xfId="1" applyNumberForma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9" fontId="1" fillId="10" borderId="1" xfId="1" applyNumberFormat="1" applyFill="1" applyBorder="1" applyAlignment="1">
      <alignment vertical="center" wrapText="1"/>
    </xf>
    <xf numFmtId="0" fontId="0" fillId="18" borderId="0" xfId="0" applyFill="1" applyAlignment="1">
      <alignment vertical="center" wrapText="1"/>
    </xf>
    <xf numFmtId="167"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Border="1" applyAlignment="1">
      <alignment horizontal="center" vertical="center" wrapText="1"/>
    </xf>
    <xf numFmtId="168" fontId="1" fillId="0" borderId="1" xfId="1" applyNumberFormat="1" applyBorder="1" applyAlignment="1">
      <alignment vertical="center" wrapText="1"/>
    </xf>
    <xf numFmtId="168" fontId="0" fillId="0" borderId="1" xfId="0" applyNumberFormat="1" applyBorder="1" applyAlignment="1">
      <alignment vertical="center" wrapText="1"/>
    </xf>
    <xf numFmtId="167" fontId="3" fillId="0" borderId="13" xfId="1" applyFont="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7"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6" fillId="0" borderId="1" xfId="0" applyFont="1" applyBorder="1" applyAlignment="1" applyProtection="1">
      <alignment vertical="center" wrapText="1"/>
      <protection locked="0"/>
    </xf>
    <xf numFmtId="0" fontId="26" fillId="9" borderId="1" xfId="0" applyFont="1" applyFill="1" applyBorder="1" applyAlignment="1" applyProtection="1">
      <alignment vertical="center" wrapText="1"/>
      <protection locked="0"/>
    </xf>
    <xf numFmtId="167" fontId="26" fillId="9" borderId="1" xfId="1" applyFont="1" applyFill="1" applyBorder="1" applyAlignment="1" applyProtection="1">
      <alignment vertical="center" wrapText="1"/>
      <protection locked="0"/>
    </xf>
    <xf numFmtId="167" fontId="26" fillId="15" borderId="1" xfId="1" applyFont="1" applyFill="1" applyBorder="1" applyAlignment="1">
      <alignment vertical="center" wrapText="1"/>
    </xf>
    <xf numFmtId="167" fontId="26" fillId="19" borderId="0" xfId="0" applyNumberFormat="1" applyFont="1" applyFill="1" applyAlignment="1">
      <alignment vertical="center" wrapText="1"/>
    </xf>
    <xf numFmtId="0" fontId="27" fillId="3"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26" fillId="0" borderId="1" xfId="1" applyNumberFormat="1" applyFont="1" applyBorder="1" applyAlignment="1">
      <alignment horizontal="center" vertical="center" wrapText="1"/>
    </xf>
    <xf numFmtId="0" fontId="20" fillId="0" borderId="0" xfId="3" applyFont="1" applyAlignment="1">
      <alignment horizontal="center" vertical="center" wrapText="1"/>
    </xf>
    <xf numFmtId="0" fontId="7" fillId="0" borderId="0" xfId="0" applyFont="1" applyAlignment="1">
      <alignment horizontal="center" vertical="center" wrapText="1"/>
    </xf>
    <xf numFmtId="0" fontId="29" fillId="0" borderId="0" xfId="0" applyFont="1" applyAlignment="1">
      <alignment horizontal="center" vertical="center" wrapText="1"/>
    </xf>
    <xf numFmtId="0" fontId="30" fillId="0" borderId="0" xfId="0" applyFont="1" applyAlignment="1">
      <alignment wrapText="1"/>
    </xf>
    <xf numFmtId="0" fontId="17" fillId="0" borderId="0" xfId="0" applyFont="1" applyAlignment="1">
      <alignment wrapText="1"/>
    </xf>
    <xf numFmtId="0" fontId="31"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wrapText="1"/>
      <protection locked="0"/>
    </xf>
    <xf numFmtId="166" fontId="17" fillId="0" borderId="1" xfId="0" applyNumberFormat="1" applyFont="1" applyBorder="1" applyAlignment="1">
      <alignment wrapText="1"/>
    </xf>
    <xf numFmtId="0" fontId="17" fillId="0" borderId="1" xfId="0" applyFont="1" applyBorder="1" applyAlignment="1">
      <alignment wrapText="1"/>
    </xf>
    <xf numFmtId="0" fontId="34" fillId="7" borderId="0" xfId="0" applyFont="1" applyFill="1" applyAlignment="1">
      <alignment horizontal="center" vertical="center" wrapText="1"/>
    </xf>
    <xf numFmtId="0" fontId="26" fillId="7" borderId="1" xfId="0" applyFont="1" applyFill="1" applyBorder="1" applyAlignment="1" applyProtection="1">
      <alignment vertical="center" wrapText="1"/>
      <protection locked="0"/>
    </xf>
    <xf numFmtId="169" fontId="36" fillId="10" borderId="1" xfId="1" applyNumberFormat="1" applyFont="1" applyFill="1" applyBorder="1" applyAlignment="1">
      <alignment vertical="center" wrapText="1"/>
    </xf>
    <xf numFmtId="0" fontId="36" fillId="6" borderId="1" xfId="0" applyFont="1" applyFill="1" applyBorder="1" applyAlignment="1" applyProtection="1">
      <alignment vertical="center" wrapText="1"/>
      <protection locked="0"/>
    </xf>
    <xf numFmtId="167" fontId="36" fillId="6" borderId="1" xfId="1" applyFont="1" applyFill="1" applyBorder="1" applyAlignment="1" applyProtection="1">
      <alignment vertical="center" wrapText="1"/>
      <protection locked="0"/>
    </xf>
    <xf numFmtId="167" fontId="36" fillId="6" borderId="1" xfId="1" applyFont="1" applyFill="1" applyBorder="1" applyAlignment="1">
      <alignment vertical="center" wrapText="1"/>
    </xf>
    <xf numFmtId="167" fontId="36" fillId="15" borderId="1" xfId="1" applyFont="1" applyFill="1" applyBorder="1" applyAlignment="1">
      <alignment vertical="center" wrapText="1"/>
    </xf>
    <xf numFmtId="0" fontId="3" fillId="23" borderId="0" xfId="0" applyFont="1" applyFill="1" applyAlignment="1">
      <alignment vertical="center" wrapText="1"/>
    </xf>
    <xf numFmtId="10" fontId="26" fillId="15" borderId="1" xfId="2" applyNumberFormat="1" applyFont="1" applyFill="1" applyBorder="1" applyAlignment="1">
      <alignment horizontal="center" vertical="center" wrapText="1"/>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5" fillId="0" borderId="11" xfId="3" applyFont="1" applyBorder="1" applyAlignment="1">
      <alignment vertical="center" wrapText="1"/>
    </xf>
    <xf numFmtId="0" fontId="36" fillId="10" borderId="1" xfId="0" applyFont="1" applyFill="1" applyBorder="1" applyAlignment="1" applyProtection="1">
      <alignment vertical="center" wrapText="1"/>
      <protection locked="0"/>
    </xf>
    <xf numFmtId="167" fontId="36" fillId="10" borderId="1" xfId="1" applyFont="1" applyFill="1" applyBorder="1" applyAlignment="1" applyProtection="1">
      <alignment vertical="center" wrapText="1"/>
      <protection locked="0"/>
    </xf>
    <xf numFmtId="0" fontId="36" fillId="19" borderId="1" xfId="0" applyFont="1" applyFill="1" applyBorder="1" applyAlignment="1" applyProtection="1">
      <alignment vertical="center" wrapText="1"/>
      <protection locked="0"/>
    </xf>
    <xf numFmtId="167" fontId="36" fillId="19" borderId="1" xfId="1" applyFont="1" applyFill="1" applyBorder="1" applyAlignment="1" applyProtection="1">
      <alignment vertical="center" wrapText="1"/>
      <protection locked="0"/>
    </xf>
    <xf numFmtId="167" fontId="36" fillId="19" borderId="1" xfId="1" applyFont="1" applyFill="1" applyBorder="1" applyAlignment="1">
      <alignment vertical="center" wrapText="1"/>
    </xf>
    <xf numFmtId="0" fontId="39" fillId="7" borderId="1" xfId="0" applyFont="1" applyFill="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167" fontId="0" fillId="0" borderId="0" xfId="0" applyNumberFormat="1" applyAlignment="1">
      <alignment wrapText="1"/>
    </xf>
    <xf numFmtId="0" fontId="6" fillId="0" borderId="1" xfId="3" applyFont="1" applyBorder="1" applyAlignment="1">
      <alignment vertical="center" wrapText="1"/>
    </xf>
    <xf numFmtId="0" fontId="8" fillId="0" borderId="5" xfId="0" applyFont="1" applyBorder="1" applyAlignment="1">
      <alignment vertical="center" wrapText="1"/>
    </xf>
    <xf numFmtId="14" fontId="41" fillId="27" borderId="1" xfId="1" applyNumberFormat="1" applyFont="1" applyFill="1" applyBorder="1" applyAlignment="1" applyProtection="1">
      <alignment vertical="center" wrapText="1"/>
      <protection locked="0"/>
    </xf>
    <xf numFmtId="167" fontId="41" fillId="25" borderId="6" xfId="1" applyFont="1" applyFill="1" applyBorder="1" applyAlignment="1" applyProtection="1">
      <alignment vertical="center" wrapText="1"/>
      <protection locked="0"/>
    </xf>
    <xf numFmtId="0" fontId="41" fillId="24" borderId="1" xfId="0" applyFont="1" applyFill="1" applyBorder="1" applyAlignment="1" applyProtection="1">
      <alignment vertical="center" wrapText="1"/>
      <protection locked="0"/>
    </xf>
    <xf numFmtId="167" fontId="41" fillId="24" borderId="6" xfId="1" applyFont="1" applyFill="1" applyBorder="1" applyAlignment="1" applyProtection="1">
      <alignment vertical="center" wrapText="1"/>
      <protection locked="0"/>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7"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0" fillId="0" borderId="1" xfId="0" applyBorder="1" applyAlignment="1">
      <alignment horizontal="left" vertical="center" wrapText="1"/>
    </xf>
    <xf numFmtId="0" fontId="42" fillId="7"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42" fillId="28" borderId="1" xfId="0" applyFont="1" applyFill="1" applyBorder="1" applyAlignment="1" applyProtection="1">
      <alignment horizontal="center" vertical="center" wrapText="1"/>
      <protection locked="0"/>
    </xf>
    <xf numFmtId="14" fontId="0" fillId="29" borderId="1" xfId="1" applyNumberFormat="1" applyFont="1" applyFill="1" applyBorder="1" applyAlignment="1" applyProtection="1">
      <alignment vertical="center" wrapText="1"/>
      <protection locked="0"/>
    </xf>
    <xf numFmtId="0" fontId="0" fillId="29" borderId="28" xfId="0" applyFill="1" applyBorder="1" applyAlignment="1" applyProtection="1">
      <alignment horizontal="center" vertical="center" wrapText="1"/>
      <protection locked="0"/>
    </xf>
    <xf numFmtId="0" fontId="0" fillId="29" borderId="1" xfId="0" applyFill="1" applyBorder="1" applyAlignment="1" applyProtection="1">
      <alignment horizontal="center" vertical="center" wrapText="1"/>
      <protection locked="0"/>
    </xf>
    <xf numFmtId="167" fontId="0" fillId="29" borderId="1" xfId="1" applyFont="1" applyFill="1" applyBorder="1" applyAlignment="1" applyProtection="1">
      <alignment vertical="center" wrapText="1"/>
      <protection locked="0"/>
    </xf>
    <xf numFmtId="167" fontId="0" fillId="10" borderId="1" xfId="1" applyFont="1" applyFill="1" applyBorder="1" applyAlignment="1">
      <alignment vertical="center" wrapText="1"/>
    </xf>
    <xf numFmtId="169" fontId="0" fillId="10" borderId="1" xfId="1" applyNumberFormat="1" applyFont="1" applyFill="1" applyBorder="1" applyAlignment="1">
      <alignment vertical="center" wrapText="1"/>
    </xf>
    <xf numFmtId="0" fontId="42" fillId="12" borderId="1" xfId="0" applyFont="1" applyFill="1" applyBorder="1" applyAlignment="1" applyProtection="1">
      <alignment horizontal="center" vertical="center" wrapText="1"/>
      <protection locked="0"/>
    </xf>
    <xf numFmtId="14" fontId="0" fillId="12" borderId="1" xfId="1" applyNumberFormat="1" applyFont="1" applyFill="1" applyBorder="1" applyAlignment="1" applyProtection="1">
      <alignment vertical="center" wrapText="1"/>
      <protection locked="0"/>
    </xf>
    <xf numFmtId="0" fontId="40" fillId="12" borderId="28" xfId="7" applyFill="1" applyBorder="1"/>
    <xf numFmtId="0" fontId="0" fillId="12" borderId="1" xfId="0" applyFill="1" applyBorder="1" applyAlignment="1" applyProtection="1">
      <alignment horizontal="center" vertical="center" wrapText="1"/>
      <protection locked="0"/>
    </xf>
    <xf numFmtId="0" fontId="0" fillId="12" borderId="28" xfId="0" applyFill="1" applyBorder="1" applyAlignment="1" applyProtection="1">
      <alignment vertical="center" wrapText="1"/>
      <protection locked="0"/>
    </xf>
    <xf numFmtId="167" fontId="0" fillId="12" borderId="1" xfId="1" applyFont="1" applyFill="1" applyBorder="1" applyAlignment="1" applyProtection="1">
      <alignment vertical="center" wrapText="1"/>
      <protection locked="0"/>
    </xf>
    <xf numFmtId="167" fontId="0" fillId="21" borderId="1" xfId="1" applyFont="1" applyFill="1" applyBorder="1" applyAlignment="1">
      <alignment vertical="center" wrapText="1"/>
    </xf>
    <xf numFmtId="169" fontId="0" fillId="21" borderId="1" xfId="1" applyNumberFormat="1" applyFont="1" applyFill="1" applyBorder="1" applyAlignment="1">
      <alignment vertical="center" wrapText="1"/>
    </xf>
    <xf numFmtId="0" fontId="42" fillId="30" borderId="1" xfId="0" applyFont="1" applyFill="1" applyBorder="1" applyAlignment="1" applyProtection="1">
      <alignment horizontal="center" vertical="center" wrapText="1"/>
      <protection locked="0"/>
    </xf>
    <xf numFmtId="14" fontId="0" fillId="30" borderId="1" xfId="1" applyNumberFormat="1" applyFont="1" applyFill="1" applyBorder="1" applyAlignment="1" applyProtection="1">
      <alignment vertical="center" wrapText="1"/>
      <protection locked="0"/>
    </xf>
    <xf numFmtId="167" fontId="0" fillId="30" borderId="26" xfId="1" applyFont="1" applyFill="1" applyBorder="1" applyAlignment="1" applyProtection="1">
      <alignment horizontal="justify" vertical="center" wrapText="1"/>
      <protection locked="0"/>
    </xf>
    <xf numFmtId="0" fontId="0" fillId="30" borderId="1" xfId="0" applyFill="1" applyBorder="1" applyAlignment="1" applyProtection="1">
      <alignment horizontal="center" vertical="center" wrapText="1"/>
      <protection locked="0"/>
    </xf>
    <xf numFmtId="167" fontId="0" fillId="30" borderId="1" xfId="1" applyFont="1" applyFill="1" applyBorder="1" applyAlignment="1" applyProtection="1">
      <alignment horizontal="justify" vertical="center" wrapText="1"/>
      <protection locked="0"/>
    </xf>
    <xf numFmtId="167" fontId="0" fillId="30" borderId="1" xfId="1" applyFont="1" applyFill="1" applyBorder="1" applyAlignment="1" applyProtection="1">
      <alignment vertical="center" wrapText="1"/>
      <protection locked="0"/>
    </xf>
    <xf numFmtId="167" fontId="0" fillId="30" borderId="28" xfId="1" applyFont="1" applyFill="1" applyBorder="1" applyAlignment="1" applyProtection="1">
      <alignment vertical="center" wrapText="1"/>
      <protection locked="0"/>
    </xf>
    <xf numFmtId="167" fontId="0" fillId="6" borderId="1" xfId="1" applyFont="1" applyFill="1" applyBorder="1" applyAlignment="1">
      <alignment vertical="center" wrapText="1"/>
    </xf>
    <xf numFmtId="169" fontId="0" fillId="6" borderId="1" xfId="1" applyNumberFormat="1" applyFont="1" applyFill="1" applyBorder="1" applyAlignment="1">
      <alignment vertical="center" wrapText="1"/>
    </xf>
    <xf numFmtId="167" fontId="0" fillId="15" borderId="1" xfId="1" applyFont="1" applyFill="1" applyBorder="1" applyAlignment="1">
      <alignment vertical="center" wrapText="1"/>
    </xf>
    <xf numFmtId="10" fontId="0" fillId="15" borderId="1" xfId="2" applyNumberFormat="1" applyFont="1" applyFill="1" applyBorder="1" applyAlignment="1">
      <alignment horizontal="center" vertical="center" wrapText="1"/>
    </xf>
    <xf numFmtId="0" fontId="41" fillId="26" borderId="1" xfId="0" applyFont="1" applyFill="1" applyBorder="1" applyAlignment="1">
      <alignment wrapText="1"/>
    </xf>
    <xf numFmtId="170" fontId="0" fillId="21" borderId="1" xfId="1" applyNumberFormat="1" applyFont="1" applyFill="1" applyBorder="1" applyAlignment="1">
      <alignment vertical="center" wrapText="1"/>
    </xf>
    <xf numFmtId="0" fontId="42" fillId="28" borderId="28" xfId="0" applyFont="1" applyFill="1" applyBorder="1" applyAlignment="1" applyProtection="1">
      <alignment horizontal="center" vertical="center" wrapText="1"/>
      <protection locked="0"/>
    </xf>
    <xf numFmtId="14" fontId="0" fillId="29" borderId="28" xfId="1" applyNumberFormat="1" applyFont="1" applyFill="1" applyBorder="1" applyAlignment="1" applyProtection="1">
      <alignment vertical="center" wrapText="1"/>
      <protection locked="0"/>
    </xf>
    <xf numFmtId="14" fontId="0" fillId="29" borderId="27" xfId="1" applyNumberFormat="1" applyFont="1" applyFill="1" applyBorder="1" applyAlignment="1" applyProtection="1">
      <alignment vertical="center" wrapText="1"/>
      <protection locked="0"/>
    </xf>
    <xf numFmtId="167" fontId="43" fillId="29" borderId="28" xfId="1" applyFont="1" applyFill="1" applyBorder="1" applyAlignment="1" applyProtection="1">
      <alignment vertical="center" wrapText="1"/>
      <protection locked="0"/>
    </xf>
    <xf numFmtId="167" fontId="43" fillId="10" borderId="1" xfId="1" applyFont="1" applyFill="1" applyBorder="1" applyAlignment="1">
      <alignment vertical="center" wrapText="1"/>
    </xf>
    <xf numFmtId="169" fontId="43" fillId="10" borderId="1" xfId="1" applyNumberFormat="1" applyFont="1" applyFill="1" applyBorder="1" applyAlignment="1">
      <alignment vertical="center" wrapText="1"/>
    </xf>
    <xf numFmtId="0" fontId="42" fillId="12" borderId="28" xfId="0" applyFont="1" applyFill="1" applyBorder="1" applyAlignment="1" applyProtection="1">
      <alignment horizontal="center" vertical="center" wrapText="1"/>
      <protection locked="0"/>
    </xf>
    <xf numFmtId="14" fontId="0" fillId="12" borderId="28" xfId="1" applyNumberFormat="1" applyFont="1" applyFill="1" applyBorder="1" applyAlignment="1" applyProtection="1">
      <alignment vertical="center" wrapText="1"/>
      <protection locked="0"/>
    </xf>
    <xf numFmtId="0" fontId="40" fillId="12" borderId="28" xfId="6" applyFill="1" applyBorder="1" applyProtection="1">
      <protection locked="0"/>
    </xf>
    <xf numFmtId="0" fontId="0" fillId="12" borderId="28" xfId="0" applyFill="1" applyBorder="1" applyAlignment="1" applyProtection="1">
      <alignment horizontal="center" vertical="center" wrapText="1"/>
      <protection locked="0"/>
    </xf>
    <xf numFmtId="167" fontId="0" fillId="12" borderId="28" xfId="1" applyFont="1" applyFill="1" applyBorder="1" applyAlignment="1" applyProtection="1">
      <alignment vertical="center" wrapText="1"/>
      <protection locked="0"/>
    </xf>
    <xf numFmtId="167" fontId="0" fillId="19" borderId="1" xfId="1" applyFont="1" applyFill="1" applyBorder="1" applyAlignment="1">
      <alignment vertical="center" wrapText="1"/>
    </xf>
    <xf numFmtId="169" fontId="0" fillId="19" borderId="1" xfId="1" applyNumberFormat="1" applyFont="1" applyFill="1" applyBorder="1" applyAlignment="1">
      <alignment vertical="center" wrapText="1"/>
    </xf>
    <xf numFmtId="0" fontId="42" fillId="30" borderId="26" xfId="0" applyFont="1" applyFill="1" applyBorder="1" applyAlignment="1" applyProtection="1">
      <alignment horizontal="center" vertical="center" wrapText="1"/>
      <protection locked="0"/>
    </xf>
    <xf numFmtId="14" fontId="0" fillId="30" borderId="28" xfId="1" applyNumberFormat="1" applyFont="1" applyFill="1" applyBorder="1" applyAlignment="1" applyProtection="1">
      <alignment vertical="center" wrapText="1"/>
      <protection locked="0"/>
    </xf>
    <xf numFmtId="14" fontId="0" fillId="30" borderId="0" xfId="1" applyNumberFormat="1" applyFont="1" applyFill="1" applyAlignment="1" applyProtection="1">
      <alignment vertical="center" wrapText="1"/>
      <protection locked="0"/>
    </xf>
    <xf numFmtId="0" fontId="0" fillId="30" borderId="26" xfId="0" applyFill="1" applyBorder="1" applyAlignment="1" applyProtection="1">
      <alignment horizontal="center" vertical="center" wrapText="1"/>
      <protection locked="0"/>
    </xf>
    <xf numFmtId="14" fontId="0" fillId="30" borderId="26" xfId="1" applyNumberFormat="1" applyFont="1" applyFill="1" applyBorder="1" applyAlignment="1" applyProtection="1">
      <alignment vertical="center" wrapText="1"/>
      <protection locked="0"/>
    </xf>
    <xf numFmtId="167" fontId="0" fillId="30" borderId="7" xfId="1" applyFont="1" applyFill="1" applyBorder="1" applyAlignment="1" applyProtection="1">
      <alignment vertical="center" wrapText="1"/>
      <protection locked="0"/>
    </xf>
    <xf numFmtId="0" fontId="5" fillId="0" borderId="0" xfId="0" applyFont="1" applyAlignment="1">
      <alignment wrapText="1"/>
    </xf>
    <xf numFmtId="0" fontId="44" fillId="3" borderId="1" xfId="0" applyFont="1" applyFill="1" applyBorder="1" applyAlignment="1">
      <alignment horizontal="center" vertical="center" wrapText="1"/>
    </xf>
    <xf numFmtId="0" fontId="44" fillId="8" borderId="1" xfId="0" applyFont="1" applyFill="1" applyBorder="1" applyAlignment="1">
      <alignment horizontal="center" vertical="center" wrapText="1"/>
    </xf>
    <xf numFmtId="0" fontId="44" fillId="13" borderId="1" xfId="0" applyFont="1" applyFill="1" applyBorder="1" applyAlignment="1">
      <alignment horizontal="center" vertical="center" wrapText="1"/>
    </xf>
    <xf numFmtId="0" fontId="44" fillId="18"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47" fillId="0" borderId="28" xfId="0" applyFont="1" applyBorder="1" applyAlignment="1" applyProtection="1">
      <alignment vertical="center" wrapText="1"/>
      <protection locked="0"/>
    </xf>
    <xf numFmtId="0" fontId="46" fillId="7" borderId="28" xfId="0" applyFont="1" applyFill="1" applyBorder="1" applyAlignment="1" applyProtection="1">
      <alignment vertical="center" wrapText="1"/>
      <protection locked="0"/>
    </xf>
    <xf numFmtId="0" fontId="37" fillId="0" borderId="0" xfId="0" applyFont="1"/>
    <xf numFmtId="0" fontId="26" fillId="0" borderId="1" xfId="0" applyFont="1" applyBorder="1" applyAlignment="1" applyProtection="1">
      <alignment horizontal="justify" vertical="center" wrapText="1"/>
      <protection locked="0"/>
    </xf>
    <xf numFmtId="0" fontId="26" fillId="0" borderId="0" xfId="0" applyFont="1" applyAlignment="1">
      <alignment vertical="center" wrapText="1"/>
    </xf>
    <xf numFmtId="0" fontId="48" fillId="7" borderId="1" xfId="0" applyFont="1" applyFill="1" applyBorder="1" applyAlignment="1" applyProtection="1">
      <alignment horizontal="justify" vertical="center" wrapText="1"/>
      <protection locked="0"/>
    </xf>
    <xf numFmtId="0" fontId="49" fillId="0" borderId="1" xfId="0" applyFont="1" applyBorder="1" applyAlignment="1" applyProtection="1">
      <alignment horizontal="justify" vertical="center" wrapText="1"/>
      <protection locked="0"/>
    </xf>
    <xf numFmtId="0" fontId="47" fillId="0" borderId="1" xfId="0" applyFont="1" applyBorder="1" applyAlignment="1" applyProtection="1">
      <alignment vertical="center" wrapText="1"/>
      <protection locked="0"/>
    </xf>
    <xf numFmtId="0" fontId="47" fillId="0" borderId="6" xfId="0" applyFont="1" applyBorder="1" applyAlignment="1" applyProtection="1">
      <alignment vertical="center" wrapText="1"/>
      <protection locked="0"/>
    </xf>
    <xf numFmtId="0" fontId="46" fillId="7" borderId="1" xfId="0" applyFont="1" applyFill="1" applyBorder="1" applyAlignment="1" applyProtection="1">
      <alignment vertical="center" wrapText="1"/>
      <protection locked="0"/>
    </xf>
    <xf numFmtId="0" fontId="50" fillId="31" borderId="28" xfId="0" applyFont="1" applyFill="1" applyBorder="1" applyAlignment="1">
      <alignment vertical="center" wrapText="1"/>
    </xf>
    <xf numFmtId="0" fontId="50" fillId="31" borderId="29" xfId="0" applyFont="1" applyFill="1" applyBorder="1" applyAlignment="1">
      <alignment vertical="center" wrapText="1"/>
    </xf>
    <xf numFmtId="0" fontId="36" fillId="19" borderId="1" xfId="0" applyFont="1" applyFill="1" applyBorder="1" applyAlignment="1" applyProtection="1">
      <alignment horizontal="center" vertical="center" wrapText="1"/>
      <protection locked="0"/>
    </xf>
    <xf numFmtId="0" fontId="52" fillId="33" borderId="2" xfId="0" applyFont="1" applyFill="1" applyBorder="1" applyAlignment="1" applyProtection="1">
      <alignment vertical="center" textRotation="90" wrapText="1"/>
      <protection locked="0"/>
    </xf>
    <xf numFmtId="168" fontId="36" fillId="19" borderId="1" xfId="1" applyNumberFormat="1" applyFont="1" applyFill="1" applyBorder="1" applyAlignment="1">
      <alignment vertical="center" wrapText="1"/>
    </xf>
    <xf numFmtId="0" fontId="39" fillId="22" borderId="1" xfId="0" applyFont="1" applyFill="1" applyBorder="1" applyAlignment="1" applyProtection="1">
      <alignment horizontal="center" vertical="center" wrapText="1"/>
      <protection locked="0"/>
    </xf>
    <xf numFmtId="0" fontId="39" fillId="2" borderId="1" xfId="0" applyFont="1" applyFill="1" applyBorder="1" applyAlignment="1" applyProtection="1">
      <alignment horizontal="center" vertical="center" wrapText="1"/>
      <protection locked="0"/>
    </xf>
    <xf numFmtId="0" fontId="26" fillId="7" borderId="1" xfId="0" applyFont="1" applyFill="1" applyBorder="1" applyAlignment="1" applyProtection="1">
      <alignment horizontal="justify" vertical="center" wrapText="1"/>
      <protection locked="0"/>
    </xf>
    <xf numFmtId="0" fontId="8" fillId="0" borderId="1" xfId="0" applyFont="1" applyBorder="1" applyAlignment="1">
      <alignment horizontal="center" vertical="center" wrapText="1"/>
    </xf>
    <xf numFmtId="0" fontId="26" fillId="0" borderId="28" xfId="0" applyFont="1" applyBorder="1" applyAlignment="1" applyProtection="1">
      <alignment vertical="top" wrapText="1"/>
      <protection locked="0"/>
    </xf>
    <xf numFmtId="0" fontId="6" fillId="0" borderId="6" xfId="3" applyFont="1" applyBorder="1" applyAlignment="1">
      <alignment horizontal="center" vertical="center" wrapText="1"/>
    </xf>
    <xf numFmtId="0" fontId="26" fillId="0" borderId="0" xfId="0" applyFont="1" applyAlignment="1">
      <alignment wrapText="1"/>
    </xf>
    <xf numFmtId="0" fontId="6" fillId="0" borderId="0" xfId="0" applyFont="1" applyAlignment="1">
      <alignment wrapText="1"/>
    </xf>
    <xf numFmtId="0" fontId="56" fillId="3" borderId="1" xfId="0" applyFont="1" applyFill="1" applyBorder="1" applyAlignment="1">
      <alignment horizontal="center" vertical="center" wrapText="1"/>
    </xf>
    <xf numFmtId="0" fontId="26" fillId="0" borderId="1" xfId="0" applyFont="1" applyBorder="1" applyAlignment="1">
      <alignment vertical="center"/>
    </xf>
    <xf numFmtId="0" fontId="38" fillId="23" borderId="0" xfId="0" applyFont="1" applyFill="1" applyAlignment="1">
      <alignment vertical="center" wrapText="1"/>
    </xf>
    <xf numFmtId="0" fontId="56" fillId="8" borderId="1" xfId="0" applyFont="1" applyFill="1" applyBorder="1" applyAlignment="1">
      <alignment horizontal="center" vertical="center" wrapText="1"/>
    </xf>
    <xf numFmtId="0" fontId="26" fillId="7" borderId="1" xfId="0" applyFont="1" applyFill="1" applyBorder="1" applyAlignment="1" applyProtection="1">
      <alignment horizontal="center" vertical="center" wrapText="1"/>
      <protection locked="0"/>
    </xf>
    <xf numFmtId="0" fontId="39" fillId="7" borderId="1" xfId="0" applyFont="1" applyFill="1" applyBorder="1" applyAlignment="1" applyProtection="1">
      <alignment vertical="center" wrapText="1"/>
      <protection locked="0"/>
    </xf>
    <xf numFmtId="0" fontId="39" fillId="0" borderId="1" xfId="0" applyFont="1" applyBorder="1" applyAlignment="1" applyProtection="1">
      <alignment horizontal="justify" vertical="center" wrapText="1"/>
      <protection locked="0"/>
    </xf>
    <xf numFmtId="0" fontId="47" fillId="7" borderId="1" xfId="0" applyFont="1" applyFill="1" applyBorder="1" applyAlignment="1" applyProtection="1">
      <alignment vertical="center" wrapText="1"/>
      <protection locked="0"/>
    </xf>
    <xf numFmtId="167" fontId="55" fillId="15" borderId="1" xfId="1" applyFont="1" applyFill="1" applyBorder="1" applyAlignment="1">
      <alignment vertical="center" wrapText="1"/>
    </xf>
    <xf numFmtId="0" fontId="26" fillId="7" borderId="1" xfId="0" applyFont="1" applyFill="1" applyBorder="1" applyAlignment="1" applyProtection="1">
      <alignment horizontal="left" vertical="center" wrapText="1"/>
      <protection locked="0"/>
    </xf>
    <xf numFmtId="0" fontId="26" fillId="0" borderId="1" xfId="0" applyFont="1" applyBorder="1" applyAlignment="1" applyProtection="1">
      <alignment horizontal="left" vertical="center" wrapText="1"/>
      <protection locked="0"/>
    </xf>
    <xf numFmtId="0" fontId="47" fillId="7" borderId="28" xfId="0" applyFont="1" applyFill="1" applyBorder="1" applyAlignment="1" applyProtection="1">
      <alignment vertical="center" wrapText="1"/>
      <protection locked="0"/>
    </xf>
    <xf numFmtId="0" fontId="0" fillId="0" borderId="9" xfId="0" applyBorder="1"/>
    <xf numFmtId="0" fontId="11" fillId="0" borderId="0" xfId="0" applyFont="1" applyAlignment="1">
      <alignment horizontal="center" vertical="center" wrapText="1"/>
    </xf>
    <xf numFmtId="0" fontId="26" fillId="0" borderId="3" xfId="0" applyFont="1" applyBorder="1" applyAlignment="1" applyProtection="1">
      <alignment vertical="center" wrapText="1"/>
      <protection locked="0"/>
    </xf>
    <xf numFmtId="0" fontId="39" fillId="7" borderId="3" xfId="0" applyFont="1" applyFill="1" applyBorder="1" applyAlignment="1" applyProtection="1">
      <alignment horizontal="center" vertical="center" wrapText="1"/>
      <protection locked="0"/>
    </xf>
    <xf numFmtId="0" fontId="26" fillId="0" borderId="3" xfId="0" applyFont="1" applyBorder="1" applyAlignment="1" applyProtection="1">
      <alignment horizontal="center" vertical="center" wrapText="1"/>
      <protection locked="0"/>
    </xf>
    <xf numFmtId="0" fontId="26" fillId="0" borderId="3" xfId="1" applyNumberFormat="1" applyFont="1" applyBorder="1" applyAlignment="1">
      <alignment horizontal="center" vertical="center" wrapText="1"/>
    </xf>
    <xf numFmtId="0" fontId="26" fillId="9" borderId="3" xfId="0" applyFont="1" applyFill="1" applyBorder="1" applyAlignment="1" applyProtection="1">
      <alignment vertical="center" wrapText="1"/>
      <protection locked="0"/>
    </xf>
    <xf numFmtId="167" fontId="26" fillId="9" borderId="0" xfId="1" applyFont="1" applyFill="1" applyAlignment="1" applyProtection="1">
      <alignment vertical="center" wrapText="1"/>
      <protection locked="0"/>
    </xf>
    <xf numFmtId="0" fontId="0" fillId="0" borderId="0" xfId="0" applyAlignment="1">
      <alignment horizontal="center" vertical="center" wrapText="1"/>
    </xf>
    <xf numFmtId="0" fontId="26" fillId="15" borderId="1" xfId="0" applyFont="1" applyFill="1" applyBorder="1" applyAlignment="1" applyProtection="1">
      <alignment vertical="center" wrapText="1"/>
      <protection locked="0"/>
    </xf>
    <xf numFmtId="0" fontId="39" fillId="15" borderId="1" xfId="0" applyFont="1" applyFill="1" applyBorder="1" applyAlignment="1" applyProtection="1">
      <alignment horizontal="center" vertical="center" wrapText="1"/>
      <protection locked="0"/>
    </xf>
    <xf numFmtId="0" fontId="26" fillId="15" borderId="1" xfId="0" applyFont="1" applyFill="1" applyBorder="1" applyAlignment="1" applyProtection="1">
      <alignment horizontal="center" vertical="center" wrapText="1"/>
      <protection locked="0"/>
    </xf>
    <xf numFmtId="0" fontId="26" fillId="15" borderId="1" xfId="1" applyNumberFormat="1" applyFont="1" applyFill="1" applyBorder="1" applyAlignment="1">
      <alignment horizontal="center" vertical="center" wrapText="1"/>
    </xf>
    <xf numFmtId="167" fontId="26" fillId="15" borderId="1" xfId="1" applyFont="1" applyFill="1" applyBorder="1" applyAlignment="1" applyProtection="1">
      <alignment vertical="center" wrapText="1"/>
      <protection locked="0"/>
    </xf>
    <xf numFmtId="0" fontId="6" fillId="15" borderId="1" xfId="0" applyFont="1" applyFill="1" applyBorder="1" applyAlignment="1" applyProtection="1">
      <alignment vertical="center" wrapText="1"/>
      <protection locked="0"/>
    </xf>
    <xf numFmtId="167" fontId="6" fillId="19" borderId="0" xfId="0" applyNumberFormat="1" applyFont="1" applyFill="1" applyAlignment="1">
      <alignment vertical="center" wrapText="1"/>
    </xf>
    <xf numFmtId="0" fontId="27" fillId="8" borderId="28" xfId="0" applyFont="1" applyFill="1" applyBorder="1" applyAlignment="1">
      <alignment horizontal="center" vertical="center" wrapText="1"/>
    </xf>
    <xf numFmtId="43" fontId="57" fillId="0" borderId="28" xfId="0" applyNumberFormat="1" applyFont="1" applyBorder="1" applyAlignment="1">
      <alignment vertical="center" wrapText="1"/>
    </xf>
    <xf numFmtId="0" fontId="57" fillId="0" borderId="28" xfId="0" applyFont="1" applyBorder="1" applyAlignment="1">
      <alignment vertical="center" wrapText="1"/>
    </xf>
    <xf numFmtId="167" fontId="15" fillId="0" borderId="3" xfId="3" applyNumberFormat="1" applyFont="1" applyBorder="1" applyAlignment="1">
      <alignment vertical="center" wrapText="1"/>
    </xf>
    <xf numFmtId="0" fontId="26" fillId="0" borderId="30" xfId="0" applyFont="1" applyBorder="1" applyAlignment="1" applyProtection="1">
      <alignment vertical="center" wrapText="1"/>
      <protection locked="0"/>
    </xf>
    <xf numFmtId="0" fontId="50" fillId="31" borderId="32" xfId="0" applyFont="1" applyFill="1" applyBorder="1" applyAlignment="1">
      <alignment vertical="center" wrapText="1"/>
    </xf>
    <xf numFmtId="0" fontId="26" fillId="0" borderId="32" xfId="0" applyFont="1" applyBorder="1" applyAlignment="1">
      <alignment vertical="center"/>
    </xf>
    <xf numFmtId="0" fontId="36" fillId="10" borderId="32" xfId="0" applyFont="1" applyFill="1" applyBorder="1" applyAlignment="1" applyProtection="1">
      <alignment vertical="center" wrapText="1"/>
      <protection locked="0"/>
    </xf>
    <xf numFmtId="167" fontId="36" fillId="10" borderId="32" xfId="1" applyFont="1" applyFill="1" applyBorder="1" applyAlignment="1" applyProtection="1">
      <alignment vertical="center" wrapText="1"/>
      <protection locked="0"/>
    </xf>
    <xf numFmtId="0" fontId="36" fillId="19" borderId="32" xfId="0" applyFont="1" applyFill="1" applyBorder="1" applyAlignment="1" applyProtection="1">
      <alignment vertical="center" wrapText="1"/>
      <protection locked="0"/>
    </xf>
    <xf numFmtId="167" fontId="36" fillId="19" borderId="32" xfId="1" applyFont="1" applyFill="1" applyBorder="1" applyAlignment="1" applyProtection="1">
      <alignment vertical="center" wrapText="1"/>
      <protection locked="0"/>
    </xf>
    <xf numFmtId="0" fontId="36" fillId="6" borderId="32" xfId="0" applyFont="1" applyFill="1" applyBorder="1" applyAlignment="1" applyProtection="1">
      <alignment vertical="center" wrapText="1"/>
      <protection locked="0"/>
    </xf>
    <xf numFmtId="167" fontId="36" fillId="6" borderId="32" xfId="1" applyFont="1" applyFill="1" applyBorder="1" applyAlignment="1" applyProtection="1">
      <alignment vertical="center" wrapText="1"/>
      <protection locked="0"/>
    </xf>
    <xf numFmtId="0" fontId="0" fillId="0" borderId="32" xfId="0" applyBorder="1" applyAlignment="1">
      <alignment vertical="center" wrapText="1"/>
    </xf>
    <xf numFmtId="43" fontId="0" fillId="0" borderId="0" xfId="0" applyNumberFormat="1" applyAlignment="1">
      <alignment wrapText="1"/>
    </xf>
    <xf numFmtId="0" fontId="60" fillId="33" borderId="2" xfId="0" applyFont="1" applyFill="1" applyBorder="1" applyAlignment="1" applyProtection="1">
      <alignment vertical="center" textRotation="90" wrapText="1"/>
      <protection locked="0"/>
    </xf>
    <xf numFmtId="0" fontId="42" fillId="22" borderId="1" xfId="0" applyFont="1" applyFill="1" applyBorder="1" applyAlignment="1" applyProtection="1">
      <alignment horizontal="center" vertical="center" wrapText="1"/>
      <protection locked="0"/>
    </xf>
    <xf numFmtId="0" fontId="42" fillId="2" borderId="1" xfId="0" applyFont="1" applyFill="1" applyBorder="1" applyAlignment="1" applyProtection="1">
      <alignment horizontal="center" vertical="center" wrapText="1"/>
      <protection locked="0"/>
    </xf>
    <xf numFmtId="10" fontId="1" fillId="0" borderId="0" xfId="2" applyNumberFormat="1"/>
    <xf numFmtId="10" fontId="1" fillId="0" borderId="0" xfId="2" applyNumberFormat="1" applyAlignment="1">
      <alignment vertical="center"/>
    </xf>
    <xf numFmtId="0" fontId="5" fillId="0" borderId="0" xfId="0" applyFont="1" applyAlignment="1">
      <alignment vertical="center" wrapText="1"/>
    </xf>
    <xf numFmtId="0" fontId="59" fillId="0" borderId="0" xfId="0" applyFont="1" applyAlignment="1">
      <alignment vertical="center" wrapText="1"/>
    </xf>
    <xf numFmtId="0" fontId="22" fillId="34" borderId="28" xfId="0" applyFont="1" applyFill="1" applyBorder="1" applyAlignment="1">
      <alignment horizontal="center" vertical="center" wrapText="1"/>
    </xf>
    <xf numFmtId="0" fontId="13" fillId="0" borderId="28" xfId="0" applyFont="1" applyBorder="1" applyAlignment="1">
      <alignment vertical="center" wrapText="1"/>
    </xf>
    <xf numFmtId="0" fontId="42" fillId="35" borderId="28" xfId="0" applyFont="1" applyFill="1" applyBorder="1" applyAlignment="1">
      <alignment horizontal="center" vertical="center" wrapText="1"/>
    </xf>
    <xf numFmtId="0" fontId="58" fillId="36" borderId="28" xfId="0" applyFont="1" applyFill="1" applyBorder="1" applyAlignment="1">
      <alignment vertical="center" wrapText="1"/>
    </xf>
    <xf numFmtId="0" fontId="13" fillId="35" borderId="28" xfId="0" applyFont="1" applyFill="1" applyBorder="1" applyAlignment="1">
      <alignment vertical="center" wrapText="1"/>
    </xf>
    <xf numFmtId="0" fontId="22" fillId="34" borderId="29" xfId="0" applyFont="1" applyFill="1" applyBorder="1" applyAlignment="1">
      <alignment horizontal="center" vertical="center" wrapText="1"/>
    </xf>
    <xf numFmtId="0" fontId="13" fillId="0" borderId="28" xfId="0" applyFont="1" applyBorder="1" applyAlignment="1">
      <alignment horizontal="center" vertical="center" wrapText="1"/>
    </xf>
    <xf numFmtId="0" fontId="40" fillId="0" borderId="0" xfId="6"/>
    <xf numFmtId="0" fontId="13" fillId="39" borderId="28" xfId="0" applyFont="1" applyFill="1" applyBorder="1" applyAlignment="1">
      <alignment horizontal="center" vertical="center" wrapText="1"/>
    </xf>
    <xf numFmtId="0" fontId="13" fillId="39" borderId="28" xfId="0" applyFont="1" applyFill="1" applyBorder="1" applyAlignment="1">
      <alignment vertical="center"/>
    </xf>
    <xf numFmtId="165" fontId="13" fillId="39" borderId="28" xfId="0" applyNumberFormat="1" applyFont="1" applyFill="1" applyBorder="1" applyAlignment="1">
      <alignment vertical="center" wrapText="1"/>
    </xf>
    <xf numFmtId="0" fontId="13" fillId="39" borderId="28" xfId="0" applyFont="1" applyFill="1" applyBorder="1" applyAlignment="1">
      <alignment vertical="center" wrapText="1"/>
    </xf>
    <xf numFmtId="0" fontId="13" fillId="39" borderId="28" xfId="0" applyFont="1" applyFill="1" applyBorder="1" applyAlignment="1">
      <alignment horizontal="justify" vertical="center" wrapText="1"/>
    </xf>
    <xf numFmtId="165" fontId="63" fillId="40" borderId="28" xfId="0" applyNumberFormat="1" applyFont="1" applyFill="1" applyBorder="1" applyAlignment="1">
      <alignment vertical="center" wrapText="1"/>
    </xf>
    <xf numFmtId="0" fontId="63" fillId="40" borderId="28" xfId="0" applyFont="1" applyFill="1" applyBorder="1" applyAlignment="1">
      <alignment vertical="center" wrapText="1"/>
    </xf>
    <xf numFmtId="164" fontId="63" fillId="40" borderId="28" xfId="0" applyNumberFormat="1" applyFont="1" applyFill="1" applyBorder="1" applyAlignment="1">
      <alignment vertical="center" wrapText="1"/>
    </xf>
    <xf numFmtId="164" fontId="64" fillId="40" borderId="28" xfId="0" applyNumberFormat="1" applyFont="1" applyFill="1" applyBorder="1" applyAlignment="1">
      <alignment vertical="center" wrapText="1"/>
    </xf>
    <xf numFmtId="0" fontId="42" fillId="25" borderId="28" xfId="0" applyFont="1" applyFill="1" applyBorder="1" applyAlignment="1">
      <alignment horizontal="center" vertical="center" wrapText="1"/>
    </xf>
    <xf numFmtId="14" fontId="13" fillId="25" borderId="28" xfId="0" applyNumberFormat="1" applyFont="1" applyFill="1" applyBorder="1" applyAlignment="1">
      <alignment vertical="center" wrapText="1"/>
    </xf>
    <xf numFmtId="0" fontId="65" fillId="25" borderId="28" xfId="0" applyFont="1" applyFill="1" applyBorder="1" applyAlignment="1">
      <alignment vertical="center"/>
    </xf>
    <xf numFmtId="0" fontId="13" fillId="25" borderId="28" xfId="0" applyFont="1" applyFill="1" applyBorder="1" applyAlignment="1">
      <alignment horizontal="center" vertical="center" wrapText="1"/>
    </xf>
    <xf numFmtId="0" fontId="13" fillId="25" borderId="28" xfId="0" applyFont="1" applyFill="1" applyBorder="1" applyAlignment="1">
      <alignment vertical="center"/>
    </xf>
    <xf numFmtId="165" fontId="13" fillId="25" borderId="28" xfId="0" applyNumberFormat="1" applyFont="1" applyFill="1" applyBorder="1" applyAlignment="1">
      <alignment vertical="center" wrapText="1"/>
    </xf>
    <xf numFmtId="0" fontId="13" fillId="25" borderId="28" xfId="0" applyFont="1" applyFill="1" applyBorder="1" applyAlignment="1">
      <alignment vertical="center" wrapText="1"/>
    </xf>
    <xf numFmtId="0" fontId="13" fillId="25" borderId="28" xfId="0" applyFont="1" applyFill="1" applyBorder="1" applyAlignment="1">
      <alignment horizontal="justify" vertical="center" wrapText="1"/>
    </xf>
    <xf numFmtId="165" fontId="63" fillId="41" borderId="28" xfId="0" applyNumberFormat="1" applyFont="1" applyFill="1" applyBorder="1" applyAlignment="1">
      <alignment vertical="center" wrapText="1"/>
    </xf>
    <xf numFmtId="0" fontId="63" fillId="41" borderId="28" xfId="0" applyFont="1" applyFill="1" applyBorder="1" applyAlignment="1">
      <alignment vertical="center" wrapText="1"/>
    </xf>
    <xf numFmtId="164" fontId="63" fillId="41" borderId="28" xfId="0" applyNumberFormat="1" applyFont="1" applyFill="1" applyBorder="1" applyAlignment="1">
      <alignment vertical="center" wrapText="1"/>
    </xf>
    <xf numFmtId="164" fontId="13" fillId="41" borderId="28" xfId="0" applyNumberFormat="1" applyFont="1" applyFill="1" applyBorder="1" applyAlignment="1">
      <alignment vertical="center" wrapText="1"/>
    </xf>
    <xf numFmtId="0" fontId="42" fillId="42" borderId="28" xfId="0" applyFont="1" applyFill="1" applyBorder="1" applyAlignment="1">
      <alignment horizontal="center" vertical="center" wrapText="1"/>
    </xf>
    <xf numFmtId="14" fontId="13" fillId="42" borderId="28" xfId="0" applyNumberFormat="1" applyFont="1" applyFill="1" applyBorder="1" applyAlignment="1">
      <alignment vertical="center" wrapText="1"/>
    </xf>
    <xf numFmtId="0" fontId="65" fillId="42" borderId="28" xfId="0" applyFont="1" applyFill="1" applyBorder="1" applyAlignment="1">
      <alignment vertical="center"/>
    </xf>
    <xf numFmtId="0" fontId="13" fillId="42" borderId="28" xfId="0" applyFont="1" applyFill="1" applyBorder="1" applyAlignment="1">
      <alignment horizontal="center" vertical="center" wrapText="1"/>
    </xf>
    <xf numFmtId="165" fontId="13" fillId="42" borderId="28" xfId="0" applyNumberFormat="1" applyFont="1" applyFill="1" applyBorder="1" applyAlignment="1">
      <alignment vertical="center" wrapText="1"/>
    </xf>
    <xf numFmtId="0" fontId="13" fillId="42" borderId="28" xfId="0" applyFont="1" applyFill="1" applyBorder="1" applyAlignment="1">
      <alignment vertical="center" wrapText="1"/>
    </xf>
    <xf numFmtId="165" fontId="63" fillId="24" borderId="28" xfId="0" applyNumberFormat="1" applyFont="1" applyFill="1" applyBorder="1" applyAlignment="1">
      <alignment vertical="center" wrapText="1"/>
    </xf>
    <xf numFmtId="164" fontId="63" fillId="24" borderId="28" xfId="0" applyNumberFormat="1" applyFont="1" applyFill="1" applyBorder="1" applyAlignment="1">
      <alignment vertical="center" wrapText="1"/>
    </xf>
    <xf numFmtId="164" fontId="13" fillId="24" borderId="28" xfId="0" applyNumberFormat="1" applyFont="1" applyFill="1" applyBorder="1" applyAlignment="1">
      <alignment vertical="center" wrapText="1"/>
    </xf>
    <xf numFmtId="165" fontId="13" fillId="43" borderId="28" xfId="0" applyNumberFormat="1" applyFont="1" applyFill="1" applyBorder="1" applyAlignment="1">
      <alignment vertical="center" wrapText="1"/>
    </xf>
    <xf numFmtId="165" fontId="13" fillId="43" borderId="33" xfId="0" applyNumberFormat="1" applyFont="1" applyFill="1" applyBorder="1" applyAlignment="1">
      <alignment vertical="center" wrapText="1"/>
    </xf>
    <xf numFmtId="10" fontId="13" fillId="43" borderId="33" xfId="0" applyNumberFormat="1" applyFont="1" applyFill="1" applyBorder="1" applyAlignment="1">
      <alignment horizontal="center" vertical="center" wrapText="1"/>
    </xf>
    <xf numFmtId="0" fontId="65" fillId="39" borderId="28" xfId="0" applyFont="1" applyFill="1" applyBorder="1" applyAlignment="1">
      <alignment vertical="center"/>
    </xf>
    <xf numFmtId="0" fontId="13" fillId="42" borderId="28" xfId="0" applyFont="1" applyFill="1" applyBorder="1" applyAlignment="1">
      <alignment vertical="center"/>
    </xf>
    <xf numFmtId="10" fontId="13" fillId="43" borderId="28" xfId="0" applyNumberFormat="1" applyFont="1" applyFill="1" applyBorder="1" applyAlignment="1">
      <alignment horizontal="center" vertical="center" wrapText="1"/>
    </xf>
    <xf numFmtId="0" fontId="63" fillId="24" borderId="28" xfId="0" applyFont="1" applyFill="1" applyBorder="1" applyAlignment="1">
      <alignment vertical="center" wrapText="1"/>
    </xf>
    <xf numFmtId="0" fontId="13" fillId="24" borderId="28" xfId="0" applyFont="1" applyFill="1" applyBorder="1" applyAlignment="1">
      <alignment vertical="center" wrapText="1"/>
    </xf>
    <xf numFmtId="10" fontId="66" fillId="44" borderId="28" xfId="0" applyNumberFormat="1" applyFont="1" applyFill="1" applyBorder="1" applyAlignment="1">
      <alignment horizontal="center" vertical="center" wrapText="1"/>
    </xf>
    <xf numFmtId="0" fontId="13" fillId="35" borderId="28" xfId="0" applyFont="1" applyFill="1" applyBorder="1" applyAlignment="1">
      <alignment horizontal="center" vertical="center" wrapText="1"/>
    </xf>
    <xf numFmtId="165" fontId="63" fillId="45" borderId="28" xfId="0" applyNumberFormat="1" applyFont="1" applyFill="1" applyBorder="1" applyAlignment="1">
      <alignment vertical="center" wrapText="1"/>
    </xf>
    <xf numFmtId="164" fontId="63" fillId="45" borderId="28" xfId="0" applyNumberFormat="1" applyFont="1" applyFill="1" applyBorder="1" applyAlignment="1">
      <alignment vertical="center" wrapText="1"/>
    </xf>
    <xf numFmtId="164" fontId="64" fillId="45" borderId="28" xfId="0" applyNumberFormat="1" applyFont="1" applyFill="1" applyBorder="1" applyAlignment="1">
      <alignment vertical="center" wrapText="1"/>
    </xf>
    <xf numFmtId="165" fontId="63" fillId="46" borderId="28" xfId="0" applyNumberFormat="1" applyFont="1" applyFill="1" applyBorder="1" applyAlignment="1">
      <alignment vertical="center" wrapText="1"/>
    </xf>
    <xf numFmtId="164" fontId="63" fillId="46" borderId="28" xfId="0" applyNumberFormat="1" applyFont="1" applyFill="1" applyBorder="1" applyAlignment="1">
      <alignment vertical="center" wrapText="1"/>
    </xf>
    <xf numFmtId="164" fontId="13" fillId="46" borderId="28" xfId="0" applyNumberFormat="1" applyFont="1" applyFill="1" applyBorder="1" applyAlignment="1">
      <alignment vertical="center" wrapText="1"/>
    </xf>
    <xf numFmtId="0" fontId="65" fillId="42" borderId="28" xfId="0" applyFont="1" applyFill="1" applyBorder="1"/>
    <xf numFmtId="0" fontId="67" fillId="42" borderId="28" xfId="0" applyFont="1" applyFill="1" applyBorder="1" applyAlignment="1">
      <alignment horizontal="justify" vertical="center" wrapText="1"/>
    </xf>
    <xf numFmtId="4" fontId="67" fillId="42" borderId="28" xfId="0" applyNumberFormat="1" applyFont="1" applyFill="1" applyBorder="1" applyAlignment="1">
      <alignment horizontal="right" vertical="center" wrapText="1"/>
    </xf>
    <xf numFmtId="0" fontId="67" fillId="47" borderId="28" xfId="0" applyFont="1" applyFill="1" applyBorder="1" applyAlignment="1">
      <alignment horizontal="justify" vertical="center" wrapText="1"/>
    </xf>
    <xf numFmtId="4" fontId="67" fillId="47" borderId="28" xfId="0" applyNumberFormat="1" applyFont="1" applyFill="1" applyBorder="1" applyAlignment="1">
      <alignment horizontal="right" vertical="center" wrapText="1"/>
    </xf>
    <xf numFmtId="14" fontId="67" fillId="42" borderId="28" xfId="0" applyNumberFormat="1" applyFont="1" applyFill="1" applyBorder="1" applyAlignment="1">
      <alignment horizontal="justify" vertical="center" wrapText="1"/>
    </xf>
    <xf numFmtId="0" fontId="64" fillId="40" borderId="28" xfId="0" applyFont="1" applyFill="1" applyBorder="1" applyAlignment="1">
      <alignment vertical="center" wrapText="1"/>
    </xf>
    <xf numFmtId="0" fontId="13" fillId="41" borderId="28" xfId="0" applyFont="1" applyFill="1" applyBorder="1" applyAlignment="1">
      <alignment vertical="center" wrapText="1"/>
    </xf>
    <xf numFmtId="0" fontId="13" fillId="43" borderId="28" xfId="0" applyFont="1" applyFill="1" applyBorder="1" applyAlignment="1">
      <alignment vertical="center" wrapText="1"/>
    </xf>
    <xf numFmtId="0" fontId="13" fillId="43" borderId="28" xfId="0" applyFont="1" applyFill="1" applyBorder="1" applyAlignment="1">
      <alignment horizontal="center" vertical="center" wrapText="1"/>
    </xf>
    <xf numFmtId="0" fontId="13" fillId="25" borderId="28" xfId="0" applyFont="1" applyFill="1" applyBorder="1" applyAlignment="1">
      <alignment horizontal="left" vertical="center" wrapText="1"/>
    </xf>
    <xf numFmtId="0" fontId="42" fillId="39" borderId="28" xfId="0" applyFont="1" applyFill="1" applyBorder="1" applyAlignment="1">
      <alignment horizontal="center" vertical="center" wrapText="1"/>
    </xf>
    <xf numFmtId="14" fontId="13" fillId="39" borderId="28" xfId="0" applyNumberFormat="1" applyFont="1" applyFill="1" applyBorder="1" applyAlignment="1">
      <alignment vertical="center" wrapText="1"/>
    </xf>
    <xf numFmtId="14" fontId="67" fillId="47" borderId="28" xfId="0" applyNumberFormat="1" applyFont="1" applyFill="1" applyBorder="1" applyAlignment="1">
      <alignment horizontal="justify" vertical="center" wrapText="1"/>
    </xf>
    <xf numFmtId="0" fontId="22" fillId="37" borderId="31" xfId="0" applyFont="1" applyFill="1" applyBorder="1" applyAlignment="1">
      <alignment vertical="center" wrapText="1"/>
    </xf>
    <xf numFmtId="0" fontId="62" fillId="24" borderId="31" xfId="0" applyFont="1" applyFill="1" applyBorder="1" applyAlignment="1">
      <alignment vertical="center" wrapText="1"/>
    </xf>
    <xf numFmtId="0" fontId="22" fillId="38" borderId="29" xfId="0" applyFont="1" applyFill="1" applyBorder="1" applyAlignment="1">
      <alignment vertical="center" wrapText="1"/>
    </xf>
    <xf numFmtId="0" fontId="22" fillId="38" borderId="31" xfId="0" applyFont="1" applyFill="1" applyBorder="1" applyAlignment="1">
      <alignment vertical="center" wrapText="1"/>
    </xf>
    <xf numFmtId="0" fontId="22" fillId="34" borderId="31" xfId="0" applyFont="1" applyFill="1" applyBorder="1" applyAlignment="1">
      <alignment vertical="center" wrapText="1"/>
    </xf>
    <xf numFmtId="0" fontId="22" fillId="34" borderId="29" xfId="0" applyFont="1" applyFill="1" applyBorder="1" applyAlignment="1">
      <alignment vertical="center" wrapText="1"/>
    </xf>
    <xf numFmtId="0" fontId="22" fillId="37" borderId="29" xfId="0" applyFont="1" applyFill="1" applyBorder="1" applyAlignment="1">
      <alignment vertical="center" wrapText="1"/>
    </xf>
    <xf numFmtId="165" fontId="63" fillId="40" borderId="1" xfId="0" applyNumberFormat="1" applyFont="1" applyFill="1" applyBorder="1" applyAlignment="1">
      <alignment vertical="center" wrapText="1"/>
    </xf>
    <xf numFmtId="165" fontId="63" fillId="41" borderId="1" xfId="0" applyNumberFormat="1" applyFont="1" applyFill="1" applyBorder="1" applyAlignment="1">
      <alignment vertical="center" wrapText="1"/>
    </xf>
    <xf numFmtId="165" fontId="63" fillId="24" borderId="1" xfId="0" applyNumberFormat="1" applyFont="1" applyFill="1" applyBorder="1" applyAlignment="1">
      <alignment vertical="center" wrapText="1"/>
    </xf>
    <xf numFmtId="0" fontId="0" fillId="22" borderId="0" xfId="0" applyFill="1" applyAlignment="1">
      <alignment vertical="center" wrapText="1"/>
    </xf>
    <xf numFmtId="0" fontId="13" fillId="25" borderId="34" xfId="0" applyFont="1" applyFill="1" applyBorder="1" applyAlignment="1">
      <alignment vertical="center"/>
    </xf>
    <xf numFmtId="0" fontId="26" fillId="0" borderId="1" xfId="0" applyFont="1" applyBorder="1" applyAlignment="1">
      <alignment vertical="center" wrapText="1"/>
    </xf>
    <xf numFmtId="0" fontId="13" fillId="39" borderId="1" xfId="0" applyFont="1" applyFill="1" applyBorder="1" applyAlignment="1">
      <alignment horizontal="justify" vertical="center" wrapText="1"/>
    </xf>
    <xf numFmtId="164" fontId="64" fillId="40" borderId="1" xfId="0" applyNumberFormat="1" applyFont="1" applyFill="1" applyBorder="1" applyAlignment="1">
      <alignment vertical="center" wrapText="1"/>
    </xf>
    <xf numFmtId="0" fontId="13" fillId="25" borderId="1" xfId="0" applyFont="1" applyFill="1" applyBorder="1" applyAlignment="1">
      <alignment horizontal="justify" vertical="center" wrapText="1"/>
    </xf>
    <xf numFmtId="0" fontId="13" fillId="42" borderId="1" xfId="0" applyFont="1" applyFill="1" applyBorder="1" applyAlignment="1">
      <alignment vertical="center" wrapText="1"/>
    </xf>
    <xf numFmtId="167" fontId="68" fillId="0" borderId="0" xfId="1" applyFont="1"/>
    <xf numFmtId="0" fontId="0" fillId="0" borderId="3" xfId="0" applyBorder="1"/>
    <xf numFmtId="0" fontId="0" fillId="0" borderId="7" xfId="0" applyBorder="1"/>
    <xf numFmtId="0" fontId="0" fillId="0" borderId="10" xfId="0" applyBorder="1"/>
    <xf numFmtId="0" fontId="0" fillId="0" borderId="11" xfId="0" applyBorder="1"/>
    <xf numFmtId="0" fontId="0" fillId="0" borderId="6" xfId="0" applyBorder="1"/>
    <xf numFmtId="0" fontId="0" fillId="0" borderId="12" xfId="0" applyBorder="1"/>
    <xf numFmtId="0" fontId="0" fillId="0" borderId="27" xfId="0" applyBorder="1"/>
    <xf numFmtId="0" fontId="0" fillId="0" borderId="4" xfId="0" applyBorder="1"/>
    <xf numFmtId="0" fontId="0" fillId="0" borderId="8" xfId="0" applyBorder="1"/>
    <xf numFmtId="0" fontId="26" fillId="0" borderId="28" xfId="0" applyFont="1" applyBorder="1" applyAlignment="1">
      <alignment vertical="center" wrapText="1"/>
    </xf>
    <xf numFmtId="0" fontId="13" fillId="39" borderId="33" xfId="0" applyFont="1" applyFill="1" applyBorder="1" applyAlignment="1">
      <alignment vertical="center" wrapText="1"/>
    </xf>
    <xf numFmtId="0" fontId="25" fillId="0" borderId="0" xfId="3" applyFont="1" applyAlignment="1">
      <alignment vertical="center" wrapText="1"/>
    </xf>
    <xf numFmtId="0" fontId="6" fillId="0" borderId="0" xfId="3" applyFont="1" applyAlignment="1">
      <alignment vertical="center" wrapText="1"/>
    </xf>
    <xf numFmtId="0" fontId="27" fillId="13" borderId="27" xfId="0" applyFont="1" applyFill="1" applyBorder="1" applyAlignment="1">
      <alignment wrapText="1"/>
    </xf>
    <xf numFmtId="0" fontId="27" fillId="18" borderId="1" xfId="0" applyFont="1" applyFill="1" applyBorder="1" applyAlignment="1">
      <alignment vertical="center" wrapText="1"/>
    </xf>
    <xf numFmtId="0" fontId="5" fillId="17" borderId="10" xfId="0" applyFont="1" applyFill="1" applyBorder="1" applyAlignment="1">
      <alignment wrapText="1"/>
    </xf>
    <xf numFmtId="0" fontId="7" fillId="0" borderId="1" xfId="0" applyFont="1" applyBorder="1" applyAlignment="1">
      <alignment vertical="center" wrapText="1"/>
    </xf>
    <xf numFmtId="0" fontId="27" fillId="8" borderId="27" xfId="0" applyFont="1" applyFill="1" applyBorder="1" applyAlignment="1">
      <alignment wrapText="1"/>
    </xf>
    <xf numFmtId="0" fontId="20" fillId="0" borderId="1" xfId="3" applyFont="1" applyBorder="1" applyAlignment="1">
      <alignment vertical="center" wrapText="1"/>
    </xf>
    <xf numFmtId="0" fontId="51" fillId="32" borderId="11" xfId="0" applyFont="1" applyFill="1" applyBorder="1" applyAlignment="1">
      <alignment wrapText="1"/>
    </xf>
    <xf numFmtId="0" fontId="45" fillId="0" borderId="3" xfId="0" applyFont="1" applyBorder="1" applyAlignment="1">
      <alignment wrapText="1"/>
    </xf>
    <xf numFmtId="0" fontId="23" fillId="20" borderId="1" xfId="0" applyFont="1" applyFill="1" applyBorder="1" applyAlignment="1">
      <alignment vertical="center" wrapText="1"/>
    </xf>
    <xf numFmtId="0" fontId="26" fillId="20" borderId="0" xfId="0" applyFont="1" applyFill="1" applyAlignment="1">
      <alignment vertical="center" wrapText="1"/>
    </xf>
    <xf numFmtId="0" fontId="26" fillId="20" borderId="3" xfId="0" applyFont="1" applyFill="1" applyBorder="1" applyAlignment="1">
      <alignment vertical="center" wrapText="1"/>
    </xf>
    <xf numFmtId="167" fontId="23" fillId="4" borderId="1" xfId="0" applyNumberFormat="1" applyFont="1" applyFill="1" applyBorder="1" applyAlignment="1">
      <alignment vertical="center" wrapText="1"/>
    </xf>
    <xf numFmtId="0" fontId="0" fillId="9" borderId="1" xfId="0" applyFill="1" applyBorder="1" applyAlignment="1">
      <alignment vertical="center" wrapText="1"/>
    </xf>
    <xf numFmtId="0" fontId="21" fillId="0" borderId="5" xfId="3" applyFont="1" applyBorder="1" applyAlignment="1">
      <alignment vertical="center" wrapText="1"/>
    </xf>
    <xf numFmtId="0" fontId="27" fillId="3" borderId="27" xfId="0" applyFont="1" applyFill="1" applyBorder="1" applyAlignment="1">
      <alignment wrapText="1"/>
    </xf>
    <xf numFmtId="0" fontId="50" fillId="31" borderId="1" xfId="0" applyFont="1" applyFill="1" applyBorder="1" applyAlignment="1">
      <alignment vertical="center" wrapText="1"/>
    </xf>
    <xf numFmtId="0" fontId="13" fillId="39" borderId="1" xfId="0" applyFont="1" applyFill="1" applyBorder="1" applyAlignment="1">
      <alignment vertical="center"/>
    </xf>
    <xf numFmtId="0" fontId="36" fillId="10" borderId="33" xfId="0" applyFont="1" applyFill="1" applyBorder="1" applyAlignment="1" applyProtection="1">
      <alignment vertical="center" wrapText="1"/>
      <protection locked="0"/>
    </xf>
    <xf numFmtId="0" fontId="13" fillId="39" borderId="1" xfId="0" applyFont="1" applyFill="1" applyBorder="1" applyAlignment="1">
      <alignment vertical="center" wrapText="1"/>
    </xf>
    <xf numFmtId="0" fontId="13" fillId="25" borderId="1" xfId="0" applyFont="1" applyFill="1" applyBorder="1" applyAlignment="1">
      <alignment vertical="center"/>
    </xf>
    <xf numFmtId="0" fontId="36" fillId="10" borderId="28" xfId="0" applyFont="1" applyFill="1" applyBorder="1" applyAlignment="1" applyProtection="1">
      <alignment vertical="center" wrapText="1"/>
      <protection locked="0"/>
    </xf>
    <xf numFmtId="0" fontId="36" fillId="10" borderId="35" xfId="0" applyFont="1" applyFill="1" applyBorder="1" applyAlignment="1" applyProtection="1">
      <alignment vertical="center" wrapText="1"/>
      <protection locked="0"/>
    </xf>
    <xf numFmtId="0" fontId="67" fillId="39" borderId="1" xfId="0" applyFont="1" applyFill="1" applyBorder="1" applyAlignment="1">
      <alignment horizontal="justify" vertical="center" wrapText="1"/>
    </xf>
    <xf numFmtId="0" fontId="13" fillId="39" borderId="1" xfId="0" applyFont="1" applyFill="1" applyBorder="1" applyAlignment="1">
      <alignment horizontal="center" vertical="center" wrapText="1"/>
    </xf>
    <xf numFmtId="167" fontId="36" fillId="10" borderId="6" xfId="1" applyFont="1" applyFill="1" applyBorder="1" applyAlignment="1" applyProtection="1">
      <alignment vertical="center" wrapText="1"/>
      <protection locked="0"/>
    </xf>
    <xf numFmtId="0" fontId="13" fillId="25" borderId="1" xfId="0" applyFont="1" applyFill="1" applyBorder="1" applyAlignment="1">
      <alignment horizontal="center" vertical="center" wrapText="1"/>
    </xf>
    <xf numFmtId="0" fontId="36" fillId="19" borderId="28" xfId="0" applyFont="1" applyFill="1" applyBorder="1" applyAlignment="1" applyProtection="1">
      <alignment vertical="center" wrapText="1"/>
      <protection locked="0"/>
    </xf>
    <xf numFmtId="0" fontId="36" fillId="19" borderId="34" xfId="0" applyFont="1" applyFill="1" applyBorder="1" applyAlignment="1" applyProtection="1">
      <alignment vertical="center" wrapText="1"/>
      <protection locked="0"/>
    </xf>
    <xf numFmtId="0" fontId="13" fillId="42" borderId="1" xfId="0" applyFont="1" applyFill="1" applyBorder="1" applyAlignment="1">
      <alignment vertical="center"/>
    </xf>
    <xf numFmtId="0" fontId="67" fillId="25" borderId="1" xfId="0" applyFont="1" applyFill="1" applyBorder="1" applyAlignment="1">
      <alignment horizontal="justify" vertical="center" wrapText="1"/>
    </xf>
    <xf numFmtId="0" fontId="67" fillId="42" borderId="1" xfId="0" applyFont="1" applyFill="1" applyBorder="1" applyAlignment="1">
      <alignment horizontal="justify" vertical="center" wrapText="1"/>
    </xf>
    <xf numFmtId="0" fontId="36" fillId="6" borderId="28" xfId="0" applyFont="1" applyFill="1" applyBorder="1" applyAlignment="1" applyProtection="1">
      <alignment vertical="center" wrapText="1"/>
      <protection locked="0"/>
    </xf>
    <xf numFmtId="0" fontId="36" fillId="6" borderId="34" xfId="0" applyFont="1" applyFill="1" applyBorder="1" applyAlignment="1" applyProtection="1">
      <alignment vertical="center" wrapText="1"/>
      <protection locked="0"/>
    </xf>
    <xf numFmtId="167" fontId="36" fillId="6" borderId="6" xfId="1" applyFont="1" applyFill="1" applyBorder="1" applyAlignment="1" applyProtection="1">
      <alignment vertical="center" wrapText="1"/>
      <protection locked="0"/>
    </xf>
    <xf numFmtId="0" fontId="42" fillId="2" borderId="25" xfId="0" applyFont="1" applyFill="1" applyBorder="1" applyAlignment="1" applyProtection="1">
      <alignment horizontal="center" vertical="center" wrapText="1"/>
      <protection locked="0"/>
    </xf>
    <xf numFmtId="0" fontId="13" fillId="42" borderId="34" xfId="0" applyFont="1" applyFill="1" applyBorder="1" applyAlignment="1">
      <alignment vertical="center"/>
    </xf>
    <xf numFmtId="0" fontId="13" fillId="39" borderId="33" xfId="0" applyFont="1" applyFill="1" applyBorder="1" applyAlignment="1">
      <alignment vertical="center"/>
    </xf>
    <xf numFmtId="0" fontId="26" fillId="0" borderId="29" xfId="0" applyFont="1" applyBorder="1" applyAlignment="1">
      <alignment vertical="center" wrapText="1"/>
    </xf>
    <xf numFmtId="0" fontId="69" fillId="0" borderId="1" xfId="0" applyFont="1" applyBorder="1" applyAlignment="1">
      <alignment vertical="top" wrapText="1"/>
    </xf>
    <xf numFmtId="0" fontId="26" fillId="48" borderId="1" xfId="0" applyFont="1" applyFill="1" applyBorder="1" applyAlignment="1" applyProtection="1">
      <alignment horizontal="justify" vertical="center" wrapText="1"/>
      <protection locked="0"/>
    </xf>
    <xf numFmtId="0" fontId="26" fillId="0" borderId="25" xfId="0" applyFont="1" applyBorder="1" applyAlignment="1" applyProtection="1">
      <alignment vertical="center" wrapText="1"/>
      <protection locked="0"/>
    </xf>
    <xf numFmtId="165" fontId="13" fillId="39" borderId="1" xfId="0" applyNumberFormat="1" applyFont="1" applyFill="1" applyBorder="1" applyAlignment="1">
      <alignment vertical="center" wrapText="1"/>
    </xf>
    <xf numFmtId="167" fontId="36" fillId="10" borderId="28" xfId="1" applyFont="1" applyFill="1" applyBorder="1" applyAlignment="1" applyProtection="1">
      <alignment vertical="center" wrapText="1"/>
      <protection locked="0"/>
    </xf>
    <xf numFmtId="0" fontId="36" fillId="19" borderId="36" xfId="0" applyFont="1" applyFill="1" applyBorder="1" applyAlignment="1" applyProtection="1">
      <alignment vertical="center" wrapText="1"/>
      <protection locked="0"/>
    </xf>
    <xf numFmtId="0" fontId="36" fillId="19" borderId="0" xfId="0" applyFont="1" applyFill="1" applyAlignment="1" applyProtection="1">
      <alignment vertical="center" wrapText="1"/>
      <protection locked="0"/>
    </xf>
    <xf numFmtId="0" fontId="0" fillId="0" borderId="34" xfId="0" applyBorder="1" applyAlignment="1">
      <alignment vertical="center" wrapText="1"/>
    </xf>
    <xf numFmtId="165" fontId="0" fillId="0" borderId="1" xfId="0" applyNumberFormat="1" applyBorder="1" applyAlignment="1">
      <alignment vertical="center" wrapText="1"/>
    </xf>
    <xf numFmtId="167" fontId="36" fillId="19" borderId="0" xfId="1" applyFont="1" applyFill="1" applyAlignment="1" applyProtection="1">
      <alignment vertical="center" wrapText="1"/>
      <protection locked="0"/>
    </xf>
    <xf numFmtId="0" fontId="44" fillId="3" borderId="30" xfId="0" applyFont="1" applyFill="1" applyBorder="1" applyAlignment="1">
      <alignment horizontal="center" vertical="center" wrapText="1"/>
    </xf>
    <xf numFmtId="0" fontId="44" fillId="3" borderId="32" xfId="0" applyFont="1" applyFill="1" applyBorder="1" applyAlignment="1">
      <alignment horizontal="center" vertical="center" wrapText="1"/>
    </xf>
    <xf numFmtId="0" fontId="26" fillId="7" borderId="0" xfId="0" applyFont="1" applyFill="1" applyAlignment="1" applyProtection="1">
      <alignment vertical="center" wrapText="1"/>
      <protection locked="0"/>
    </xf>
    <xf numFmtId="0" fontId="56" fillId="3" borderId="32" xfId="0" applyFont="1" applyFill="1" applyBorder="1" applyAlignment="1">
      <alignment horizontal="center" vertical="center" wrapText="1"/>
    </xf>
    <xf numFmtId="0" fontId="44" fillId="8" borderId="32" xfId="0" applyFont="1" applyFill="1" applyBorder="1" applyAlignment="1">
      <alignment horizontal="center" vertical="center" wrapText="1"/>
    </xf>
    <xf numFmtId="0" fontId="44" fillId="13" borderId="32" xfId="0" applyFont="1" applyFill="1" applyBorder="1" applyAlignment="1">
      <alignment horizontal="center" vertical="center" wrapText="1"/>
    </xf>
    <xf numFmtId="0" fontId="44" fillId="18" borderId="32" xfId="0" applyFont="1" applyFill="1" applyBorder="1" applyAlignment="1">
      <alignment horizontal="center" vertical="center" wrapText="1"/>
    </xf>
    <xf numFmtId="0" fontId="5" fillId="0" borderId="32" xfId="0" applyFont="1" applyBorder="1" applyAlignment="1">
      <alignment wrapText="1"/>
    </xf>
    <xf numFmtId="0" fontId="26" fillId="48" borderId="28" xfId="0" applyFont="1" applyFill="1" applyBorder="1" applyAlignment="1">
      <alignment vertical="center" wrapText="1"/>
    </xf>
    <xf numFmtId="0" fontId="67" fillId="42" borderId="35" xfId="0" applyFont="1" applyFill="1" applyBorder="1" applyAlignment="1">
      <alignment horizontal="justify" vertical="center" wrapText="1"/>
    </xf>
    <xf numFmtId="0" fontId="47" fillId="0" borderId="29" xfId="0" applyFont="1" applyBorder="1" applyAlignment="1" applyProtection="1">
      <alignment vertical="center" wrapText="1"/>
      <protection locked="0"/>
    </xf>
    <xf numFmtId="0" fontId="47" fillId="0" borderId="25" xfId="0" applyFont="1" applyBorder="1" applyAlignment="1" applyProtection="1">
      <alignment vertical="center" wrapText="1"/>
      <protection locked="0"/>
    </xf>
    <xf numFmtId="0" fontId="46" fillId="7" borderId="25" xfId="0" applyFont="1" applyFill="1" applyBorder="1" applyAlignment="1" applyProtection="1">
      <alignment vertical="center" wrapText="1"/>
      <protection locked="0"/>
    </xf>
    <xf numFmtId="0" fontId="36" fillId="10" borderId="25" xfId="0" applyFont="1" applyFill="1" applyBorder="1" applyAlignment="1" applyProtection="1">
      <alignment vertical="center" wrapText="1"/>
      <protection locked="0"/>
    </xf>
    <xf numFmtId="167" fontId="36" fillId="10" borderId="25" xfId="1" applyFont="1" applyFill="1" applyBorder="1" applyAlignment="1" applyProtection="1">
      <alignment vertical="center" wrapText="1"/>
      <protection locked="0"/>
    </xf>
    <xf numFmtId="169" fontId="36" fillId="10" borderId="25" xfId="1" applyNumberFormat="1" applyFont="1" applyFill="1" applyBorder="1" applyAlignment="1">
      <alignment vertical="center" wrapText="1"/>
    </xf>
    <xf numFmtId="0" fontId="36" fillId="19" borderId="25" xfId="0" applyFont="1" applyFill="1" applyBorder="1" applyAlignment="1" applyProtection="1">
      <alignment vertical="center" wrapText="1"/>
      <protection locked="0"/>
    </xf>
    <xf numFmtId="167" fontId="36" fillId="19" borderId="25" xfId="1" applyFont="1" applyFill="1" applyBorder="1" applyAlignment="1" applyProtection="1">
      <alignment vertical="center" wrapText="1"/>
      <protection locked="0"/>
    </xf>
    <xf numFmtId="167" fontId="36" fillId="19" borderId="25" xfId="1" applyFont="1" applyFill="1" applyBorder="1" applyAlignment="1">
      <alignment vertical="center" wrapText="1"/>
    </xf>
    <xf numFmtId="0" fontId="36" fillId="6" borderId="25" xfId="0" applyFont="1" applyFill="1" applyBorder="1" applyAlignment="1" applyProtection="1">
      <alignment vertical="center" wrapText="1"/>
      <protection locked="0"/>
    </xf>
    <xf numFmtId="167" fontId="36" fillId="6" borderId="25" xfId="1" applyFont="1" applyFill="1" applyBorder="1" applyAlignment="1" applyProtection="1">
      <alignment vertical="center" wrapText="1"/>
      <protection locked="0"/>
    </xf>
    <xf numFmtId="167" fontId="36" fillId="6" borderId="25" xfId="1" applyFont="1" applyFill="1" applyBorder="1" applyAlignment="1">
      <alignment vertical="center" wrapText="1"/>
    </xf>
    <xf numFmtId="167" fontId="36" fillId="15" borderId="25" xfId="1" applyFont="1" applyFill="1" applyBorder="1" applyAlignment="1">
      <alignment vertical="center" wrapText="1"/>
    </xf>
    <xf numFmtId="167" fontId="26" fillId="15" borderId="25" xfId="1" applyFont="1" applyFill="1" applyBorder="1" applyAlignment="1">
      <alignment vertical="center" wrapText="1"/>
    </xf>
    <xf numFmtId="10" fontId="26" fillId="15" borderId="25" xfId="2" applyNumberFormat="1" applyFont="1" applyFill="1" applyBorder="1" applyAlignment="1">
      <alignment horizontal="center" vertical="center" wrapText="1"/>
    </xf>
    <xf numFmtId="0" fontId="0" fillId="0" borderId="25" xfId="0" applyBorder="1" applyAlignment="1">
      <alignment vertical="center" wrapText="1"/>
    </xf>
    <xf numFmtId="0" fontId="44" fillId="8" borderId="27" xfId="0" applyFont="1" applyFill="1" applyBorder="1" applyAlignment="1">
      <alignment horizontal="center" vertical="center" wrapText="1"/>
    </xf>
    <xf numFmtId="0" fontId="44" fillId="3" borderId="27" xfId="0" applyFont="1" applyFill="1" applyBorder="1" applyAlignment="1">
      <alignment horizontal="center" vertical="center" wrapText="1"/>
    </xf>
    <xf numFmtId="0" fontId="44" fillId="13" borderId="27" xfId="0" applyFont="1" applyFill="1" applyBorder="1" applyAlignment="1">
      <alignment horizontal="center" vertical="center" wrapText="1"/>
    </xf>
    <xf numFmtId="0" fontId="46" fillId="7" borderId="0" xfId="0" applyFont="1" applyFill="1" applyAlignment="1" applyProtection="1">
      <alignment vertical="center" wrapText="1"/>
      <protection locked="0"/>
    </xf>
    <xf numFmtId="0" fontId="42" fillId="7" borderId="0" xfId="0" applyFont="1" applyFill="1" applyAlignment="1" applyProtection="1">
      <alignment horizontal="center" vertical="center" wrapText="1"/>
      <protection locked="0"/>
    </xf>
    <xf numFmtId="0" fontId="47" fillId="7" borderId="0" xfId="0" applyFont="1" applyFill="1" applyAlignment="1" applyProtection="1">
      <alignment vertical="center" wrapText="1"/>
      <protection locked="0"/>
    </xf>
    <xf numFmtId="0" fontId="36" fillId="7" borderId="0" xfId="0" applyFont="1" applyFill="1" applyAlignment="1" applyProtection="1">
      <alignment vertical="center" wrapText="1"/>
      <protection locked="0"/>
    </xf>
    <xf numFmtId="167" fontId="36" fillId="7" borderId="0" xfId="1" applyFont="1" applyFill="1" applyAlignment="1" applyProtection="1">
      <alignment vertical="center" wrapText="1"/>
      <protection locked="0"/>
    </xf>
    <xf numFmtId="169" fontId="36" fillId="7" borderId="0" xfId="1" applyNumberFormat="1" applyFont="1" applyFill="1" applyAlignment="1">
      <alignment vertical="center" wrapText="1"/>
    </xf>
    <xf numFmtId="167" fontId="36" fillId="7" borderId="0" xfId="1" applyFont="1" applyFill="1" applyAlignment="1">
      <alignment vertical="center" wrapText="1"/>
    </xf>
    <xf numFmtId="167" fontId="26" fillId="7" borderId="0" xfId="1" applyFont="1" applyFill="1" applyAlignment="1">
      <alignment vertical="center" wrapText="1"/>
    </xf>
    <xf numFmtId="10" fontId="26" fillId="7" borderId="0" xfId="2" applyNumberFormat="1" applyFont="1" applyFill="1" applyAlignment="1">
      <alignment horizontal="center" vertical="center" wrapText="1"/>
    </xf>
    <xf numFmtId="0" fontId="0" fillId="7" borderId="0" xfId="0" applyFill="1" applyAlignment="1">
      <alignment vertical="center" wrapText="1"/>
    </xf>
    <xf numFmtId="10" fontId="1" fillId="7" borderId="0" xfId="2" applyNumberFormat="1" applyFill="1" applyAlignment="1">
      <alignment vertical="center"/>
    </xf>
    <xf numFmtId="0" fontId="26" fillId="0" borderId="25" xfId="0" applyFont="1" applyBorder="1" applyAlignment="1">
      <alignment vertical="center"/>
    </xf>
    <xf numFmtId="0" fontId="17" fillId="0" borderId="9" xfId="0" applyFont="1" applyBorder="1" applyAlignment="1">
      <alignment horizontal="center" vertical="center" wrapText="1"/>
    </xf>
    <xf numFmtId="0" fontId="17" fillId="0" borderId="9" xfId="0" applyFont="1" applyBorder="1" applyAlignment="1" applyProtection="1">
      <alignment horizontal="left" vertical="center" wrapText="1"/>
      <protection locked="0"/>
    </xf>
    <xf numFmtId="0" fontId="17" fillId="0" borderId="9" xfId="0" applyFont="1" applyBorder="1" applyAlignment="1" applyProtection="1">
      <alignment vertical="center" wrapText="1"/>
      <protection locked="0"/>
    </xf>
    <xf numFmtId="0" fontId="17" fillId="0" borderId="9" xfId="0" applyFont="1" applyBorder="1" applyAlignment="1">
      <alignment wrapText="1"/>
    </xf>
    <xf numFmtId="0" fontId="4" fillId="0" borderId="1" xfId="3" applyFont="1" applyBorder="1" applyAlignment="1">
      <alignment horizontal="center" vertical="center" wrapText="1"/>
    </xf>
    <xf numFmtId="0" fontId="6" fillId="0" borderId="1" xfId="3" applyFont="1" applyBorder="1" applyAlignment="1">
      <alignment horizontal="center" vertical="center" wrapText="1"/>
    </xf>
    <xf numFmtId="168" fontId="36" fillId="10" borderId="1" xfId="1" applyNumberFormat="1" applyFont="1" applyFill="1" applyBorder="1" applyAlignment="1" applyProtection="1">
      <alignment vertical="center" wrapText="1"/>
      <protection locked="0"/>
    </xf>
    <xf numFmtId="168" fontId="36" fillId="19" borderId="1" xfId="1" applyNumberFormat="1" applyFont="1" applyFill="1" applyBorder="1" applyAlignment="1" applyProtection="1">
      <alignment vertical="center" wrapText="1"/>
      <protection locked="0"/>
    </xf>
    <xf numFmtId="168" fontId="36" fillId="6" borderId="1" xfId="1" applyNumberFormat="1" applyFont="1" applyFill="1" applyBorder="1" applyAlignment="1" applyProtection="1">
      <alignment vertical="center" wrapText="1"/>
      <protection locked="0"/>
    </xf>
    <xf numFmtId="0" fontId="26" fillId="0" borderId="25" xfId="0" applyFont="1" applyBorder="1" applyAlignment="1">
      <alignment vertical="center" wrapText="1"/>
    </xf>
    <xf numFmtId="0" fontId="36" fillId="10" borderId="25" xfId="0" applyFont="1" applyFill="1" applyBorder="1" applyAlignment="1">
      <alignment vertical="center" wrapText="1"/>
    </xf>
    <xf numFmtId="168" fontId="36" fillId="10" borderId="25" xfId="1" applyNumberFormat="1" applyFont="1" applyFill="1" applyBorder="1" applyAlignment="1">
      <alignment vertical="center" wrapText="1"/>
    </xf>
    <xf numFmtId="0" fontId="36" fillId="19" borderId="25" xfId="0" applyFont="1" applyFill="1" applyBorder="1" applyAlignment="1">
      <alignment vertical="center" wrapText="1"/>
    </xf>
    <xf numFmtId="168" fontId="36" fillId="19" borderId="25" xfId="1" applyNumberFormat="1" applyFont="1" applyFill="1" applyBorder="1" applyAlignment="1">
      <alignment vertical="center" wrapText="1"/>
    </xf>
    <xf numFmtId="0" fontId="36" fillId="6" borderId="25" xfId="0" applyFont="1" applyFill="1" applyBorder="1" applyAlignment="1">
      <alignment vertical="center" wrapText="1"/>
    </xf>
    <xf numFmtId="168" fontId="36" fillId="6" borderId="25" xfId="1" applyNumberFormat="1" applyFont="1" applyFill="1" applyBorder="1" applyAlignment="1">
      <alignment vertical="center" wrapText="1"/>
    </xf>
    <xf numFmtId="168" fontId="36" fillId="15" borderId="25" xfId="1" applyNumberFormat="1" applyFont="1" applyFill="1" applyBorder="1" applyAlignment="1">
      <alignment vertical="center" wrapText="1"/>
    </xf>
    <xf numFmtId="168" fontId="26" fillId="15" borderId="25" xfId="1" applyNumberFormat="1" applyFont="1" applyFill="1" applyBorder="1" applyAlignment="1">
      <alignment vertical="center" wrapText="1"/>
    </xf>
    <xf numFmtId="0" fontId="36" fillId="10" borderId="1" xfId="0" applyFont="1" applyFill="1" applyBorder="1" applyAlignment="1">
      <alignment vertical="center" wrapText="1"/>
    </xf>
    <xf numFmtId="168" fontId="36" fillId="10" borderId="1" xfId="1" applyNumberFormat="1" applyFont="1" applyFill="1" applyBorder="1" applyAlignment="1">
      <alignment vertical="center" wrapText="1"/>
    </xf>
    <xf numFmtId="0" fontId="36" fillId="19" borderId="1" xfId="0" applyFont="1" applyFill="1" applyBorder="1" applyAlignment="1">
      <alignment vertical="center" wrapText="1"/>
    </xf>
    <xf numFmtId="0" fontId="36" fillId="6" borderId="1" xfId="0" applyFont="1" applyFill="1" applyBorder="1" applyAlignment="1">
      <alignment vertical="center" wrapText="1"/>
    </xf>
    <xf numFmtId="168" fontId="36" fillId="6" borderId="1" xfId="1" applyNumberFormat="1" applyFont="1" applyFill="1" applyBorder="1" applyAlignment="1">
      <alignment vertical="center" wrapText="1"/>
    </xf>
    <xf numFmtId="168" fontId="36" fillId="15" borderId="1" xfId="1" applyNumberFormat="1" applyFont="1" applyFill="1" applyBorder="1" applyAlignment="1">
      <alignment vertical="center" wrapText="1"/>
    </xf>
    <xf numFmtId="168" fontId="26" fillId="15" borderId="1" xfId="1" applyNumberFormat="1" applyFont="1" applyFill="1" applyBorder="1" applyAlignment="1">
      <alignment vertical="center" wrapText="1"/>
    </xf>
    <xf numFmtId="0" fontId="26" fillId="7" borderId="0" xfId="0" applyFont="1" applyFill="1" applyAlignment="1">
      <alignment vertical="center" wrapText="1"/>
    </xf>
    <xf numFmtId="0" fontId="42" fillId="7" borderId="0" xfId="0" applyFont="1" applyFill="1" applyAlignment="1">
      <alignment horizontal="center" vertical="center" wrapText="1"/>
    </xf>
    <xf numFmtId="0" fontId="47" fillId="7" borderId="0" xfId="0" applyFont="1" applyFill="1" applyAlignment="1">
      <alignment vertical="center" wrapText="1"/>
    </xf>
    <xf numFmtId="0" fontId="46" fillId="7" borderId="0" xfId="0" applyFont="1" applyFill="1" applyAlignment="1">
      <alignment vertical="center" wrapText="1"/>
    </xf>
    <xf numFmtId="0" fontId="36" fillId="7" borderId="0" xfId="0" applyFont="1" applyFill="1" applyAlignment="1">
      <alignment vertical="center" wrapText="1"/>
    </xf>
    <xf numFmtId="167" fontId="8" fillId="7" borderId="1" xfId="1" applyFont="1" applyFill="1" applyBorder="1" applyAlignment="1">
      <alignment vertical="center" wrapText="1"/>
    </xf>
    <xf numFmtId="167" fontId="36" fillId="7" borderId="1" xfId="1" applyFont="1" applyFill="1" applyBorder="1" applyAlignment="1">
      <alignment vertical="center" wrapText="1"/>
    </xf>
    <xf numFmtId="0" fontId="0" fillId="0" borderId="30" xfId="0" applyBorder="1" applyAlignment="1">
      <alignment vertical="center" wrapText="1"/>
    </xf>
    <xf numFmtId="168" fontId="0" fillId="0" borderId="0" xfId="0" applyNumberFormat="1" applyAlignment="1">
      <alignment wrapText="1"/>
    </xf>
    <xf numFmtId="168" fontId="36" fillId="7" borderId="1" xfId="1" applyNumberFormat="1" applyFont="1" applyFill="1" applyBorder="1" applyAlignment="1">
      <alignment vertical="center" wrapText="1"/>
    </xf>
    <xf numFmtId="0" fontId="47" fillId="0" borderId="0" xfId="0" applyFont="1" applyAlignment="1">
      <alignment vertical="center" wrapText="1"/>
    </xf>
    <xf numFmtId="0" fontId="47" fillId="0" borderId="1" xfId="0" applyFont="1" applyBorder="1" applyAlignment="1">
      <alignment vertical="center" wrapText="1"/>
    </xf>
    <xf numFmtId="0" fontId="46" fillId="7" borderId="1" xfId="0" applyFont="1" applyFill="1" applyBorder="1" applyAlignment="1">
      <alignment horizontal="center" vertical="center" wrapText="1"/>
    </xf>
    <xf numFmtId="0" fontId="26" fillId="0" borderId="1" xfId="0" applyFont="1" applyBorder="1" applyAlignment="1">
      <alignment horizontal="center" vertical="center" wrapText="1"/>
    </xf>
    <xf numFmtId="168" fontId="26" fillId="0" borderId="1" xfId="1" applyNumberFormat="1" applyFont="1" applyBorder="1"/>
    <xf numFmtId="0" fontId="46" fillId="0" borderId="0" xfId="0" applyFont="1" applyAlignment="1">
      <alignment vertical="center" wrapText="1"/>
    </xf>
    <xf numFmtId="0" fontId="70" fillId="0" borderId="0" xfId="0" applyFont="1" applyAlignment="1">
      <alignment vertical="center" wrapText="1"/>
    </xf>
    <xf numFmtId="10" fontId="47" fillId="0" borderId="0" xfId="2" applyNumberFormat="1" applyFont="1"/>
    <xf numFmtId="0" fontId="47" fillId="15" borderId="1" xfId="0" applyFont="1" applyFill="1" applyBorder="1" applyAlignment="1">
      <alignment vertical="center" wrapText="1"/>
    </xf>
    <xf numFmtId="0" fontId="46" fillId="15" borderId="1" xfId="0" applyFont="1" applyFill="1" applyBorder="1" applyAlignment="1">
      <alignment horizontal="center" vertical="center" wrapText="1"/>
    </xf>
    <xf numFmtId="0" fontId="26" fillId="15" borderId="1" xfId="0" applyFont="1" applyFill="1" applyBorder="1" applyAlignment="1">
      <alignment horizontal="center" vertical="center" wrapText="1"/>
    </xf>
    <xf numFmtId="0" fontId="47" fillId="0" borderId="1" xfId="0" applyFont="1" applyBorder="1" applyAlignment="1">
      <alignment horizontal="center" vertical="center" wrapText="1"/>
    </xf>
    <xf numFmtId="0" fontId="46" fillId="0" borderId="0" xfId="0" applyFont="1" applyAlignment="1">
      <alignment horizontal="center" vertical="center" wrapText="1"/>
    </xf>
    <xf numFmtId="0" fontId="47" fillId="0" borderId="25" xfId="0" applyFont="1" applyBorder="1" applyAlignment="1">
      <alignment vertical="center" wrapText="1"/>
    </xf>
    <xf numFmtId="0" fontId="46" fillId="7" borderId="25" xfId="0" applyFont="1" applyFill="1" applyBorder="1" applyAlignment="1">
      <alignment horizontal="center" vertical="center" wrapText="1"/>
    </xf>
    <xf numFmtId="0" fontId="26" fillId="0" borderId="25" xfId="0" applyFont="1" applyBorder="1" applyAlignment="1">
      <alignment horizontal="center" vertical="center" wrapText="1"/>
    </xf>
    <xf numFmtId="0" fontId="26" fillId="0" borderId="25" xfId="1" applyNumberFormat="1" applyFont="1" applyBorder="1" applyAlignment="1">
      <alignment horizontal="center" vertical="center" wrapText="1"/>
    </xf>
    <xf numFmtId="0" fontId="26" fillId="0" borderId="3" xfId="0" applyFont="1" applyBorder="1" applyAlignment="1">
      <alignment vertical="center" wrapText="1"/>
    </xf>
    <xf numFmtId="0" fontId="39" fillId="7" borderId="3" xfId="0" applyFont="1" applyFill="1" applyBorder="1" applyAlignment="1">
      <alignment horizontal="center" vertical="center" wrapText="1"/>
    </xf>
    <xf numFmtId="0" fontId="26" fillId="0" borderId="3" xfId="0" applyFont="1" applyBorder="1" applyAlignment="1">
      <alignment horizontal="center" vertical="center" wrapText="1"/>
    </xf>
    <xf numFmtId="0" fontId="26" fillId="9" borderId="1" xfId="0" applyFont="1" applyFill="1" applyBorder="1" applyAlignment="1">
      <alignment vertical="center" wrapText="1"/>
    </xf>
    <xf numFmtId="167" fontId="26" fillId="9" borderId="1" xfId="1" applyFont="1" applyFill="1" applyBorder="1" applyAlignment="1">
      <alignment vertical="center" wrapText="1"/>
    </xf>
    <xf numFmtId="167" fontId="6" fillId="19" borderId="1" xfId="0" applyNumberFormat="1" applyFont="1" applyFill="1" applyBorder="1" applyAlignment="1">
      <alignment vertical="center" wrapText="1"/>
    </xf>
    <xf numFmtId="167" fontId="26" fillId="19" borderId="1" xfId="0" applyNumberFormat="1" applyFont="1" applyFill="1" applyBorder="1" applyAlignment="1">
      <alignment vertical="center" wrapText="1"/>
    </xf>
    <xf numFmtId="0" fontId="0" fillId="0" borderId="0" xfId="0" applyAlignment="1" applyProtection="1">
      <alignment vertical="center" wrapText="1"/>
      <protection locked="0"/>
    </xf>
    <xf numFmtId="0" fontId="50" fillId="31" borderId="1" xfId="0" applyFont="1" applyFill="1" applyBorder="1" applyAlignment="1" applyProtection="1">
      <alignment vertical="center" wrapText="1"/>
      <protection locked="0"/>
    </xf>
    <xf numFmtId="0" fontId="26" fillId="0" borderId="1" xfId="0" applyFont="1" applyBorder="1" applyAlignment="1" applyProtection="1">
      <alignment vertical="center"/>
      <protection locked="0"/>
    </xf>
    <xf numFmtId="168" fontId="36" fillId="15" borderId="1" xfId="1" applyNumberFormat="1" applyFont="1" applyFill="1" applyBorder="1" applyAlignment="1" applyProtection="1">
      <alignment vertical="center" wrapText="1"/>
      <protection locked="0"/>
    </xf>
    <xf numFmtId="168" fontId="26" fillId="15" borderId="1" xfId="1" applyNumberFormat="1" applyFont="1" applyFill="1" applyBorder="1" applyAlignment="1" applyProtection="1">
      <alignment vertical="center" wrapText="1"/>
      <protection locked="0"/>
    </xf>
    <xf numFmtId="10" fontId="26" fillId="15" borderId="1" xfId="2" applyNumberFormat="1" applyFont="1" applyFill="1" applyBorder="1" applyAlignment="1" applyProtection="1">
      <alignment horizontal="center" vertical="center" wrapText="1"/>
      <protection locked="0"/>
    </xf>
    <xf numFmtId="10" fontId="1" fillId="0" borderId="0" xfId="2" applyNumberFormat="1" applyProtection="1">
      <protection locked="0"/>
    </xf>
    <xf numFmtId="168" fontId="26" fillId="19" borderId="0" xfId="0" applyNumberFormat="1" applyFont="1" applyFill="1" applyAlignment="1">
      <alignment vertical="center" wrapText="1"/>
    </xf>
    <xf numFmtId="168" fontId="17" fillId="0" borderId="0" xfId="1" applyNumberFormat="1" applyFont="1" applyAlignment="1">
      <alignment wrapText="1"/>
    </xf>
    <xf numFmtId="168" fontId="30" fillId="0" borderId="25" xfId="1" applyNumberFormat="1" applyFont="1" applyBorder="1" applyAlignment="1">
      <alignment wrapText="1"/>
    </xf>
    <xf numFmtId="168" fontId="31" fillId="0" borderId="25" xfId="1" applyNumberFormat="1" applyFont="1" applyBorder="1" applyAlignment="1">
      <alignment vertical="center" wrapText="1"/>
    </xf>
    <xf numFmtId="168" fontId="31" fillId="21" borderId="1" xfId="1" applyNumberFormat="1" applyFont="1" applyFill="1" applyBorder="1" applyAlignment="1">
      <alignment horizontal="center" vertical="center" wrapText="1"/>
    </xf>
    <xf numFmtId="168" fontId="32" fillId="0" borderId="1" xfId="1" applyNumberFormat="1" applyFont="1" applyBorder="1" applyAlignment="1">
      <alignment vertical="center" wrapText="1"/>
    </xf>
    <xf numFmtId="168" fontId="32" fillId="0" borderId="9" xfId="1" applyNumberFormat="1" applyFont="1" applyBorder="1" applyAlignment="1">
      <alignment vertical="center" wrapText="1"/>
    </xf>
    <xf numFmtId="168" fontId="0" fillId="0" borderId="0" xfId="1" applyNumberFormat="1" applyFont="1" applyAlignment="1">
      <alignment vertical="center" wrapText="1"/>
    </xf>
    <xf numFmtId="166" fontId="17" fillId="0" borderId="0" xfId="0" applyNumberFormat="1" applyFont="1" applyAlignment="1">
      <alignment wrapText="1"/>
    </xf>
    <xf numFmtId="166" fontId="30" fillId="0" borderId="25" xfId="0" applyNumberFormat="1" applyFont="1" applyBorder="1" applyAlignment="1">
      <alignment wrapText="1"/>
    </xf>
    <xf numFmtId="166" fontId="31" fillId="0" borderId="25" xfId="0" applyNumberFormat="1" applyFont="1" applyBorder="1" applyAlignment="1">
      <alignment vertical="center" wrapText="1"/>
    </xf>
    <xf numFmtId="166" fontId="31" fillId="6" borderId="1" xfId="0" applyNumberFormat="1" applyFont="1" applyFill="1" applyBorder="1" applyAlignment="1">
      <alignment horizontal="center" vertical="center" wrapText="1"/>
    </xf>
    <xf numFmtId="166" fontId="17" fillId="0" borderId="1" xfId="0" applyNumberFormat="1" applyFont="1" applyBorder="1" applyAlignment="1" applyProtection="1">
      <alignment horizontal="center" vertical="center" wrapText="1"/>
      <protection locked="0"/>
    </xf>
    <xf numFmtId="166" fontId="17" fillId="0" borderId="1" xfId="0" applyNumberFormat="1" applyFont="1" applyBorder="1" applyAlignment="1" applyProtection="1">
      <alignment wrapText="1"/>
      <protection locked="0"/>
    </xf>
    <xf numFmtId="166" fontId="17" fillId="0" borderId="9" xfId="0" applyNumberFormat="1" applyFont="1" applyBorder="1" applyAlignment="1" applyProtection="1">
      <alignment horizontal="center" vertical="center" wrapText="1"/>
      <protection locked="0"/>
    </xf>
    <xf numFmtId="166" fontId="17" fillId="0" borderId="6" xfId="0" applyNumberFormat="1" applyFont="1" applyBorder="1" applyAlignment="1" applyProtection="1">
      <alignment wrapText="1"/>
      <protection locked="0"/>
    </xf>
    <xf numFmtId="166" fontId="17" fillId="20" borderId="9" xfId="0" applyNumberFormat="1" applyFont="1" applyFill="1" applyBorder="1" applyAlignment="1">
      <alignment wrapText="1"/>
    </xf>
    <xf numFmtId="166" fontId="17" fillId="20" borderId="6" xfId="0" applyNumberFormat="1" applyFont="1" applyFill="1" applyBorder="1" applyAlignment="1">
      <alignment wrapText="1"/>
    </xf>
    <xf numFmtId="171" fontId="17" fillId="0" borderId="0" xfId="0" applyNumberFormat="1" applyFont="1" applyAlignment="1">
      <alignment wrapText="1"/>
    </xf>
    <xf numFmtId="171" fontId="4" fillId="0" borderId="0" xfId="3" applyNumberFormat="1" applyFont="1" applyAlignment="1">
      <alignment horizontal="center" vertical="center" wrapText="1"/>
    </xf>
    <xf numFmtId="171" fontId="6" fillId="0" borderId="0" xfId="3" applyNumberFormat="1" applyFont="1" applyAlignment="1">
      <alignment horizontal="center" vertical="center" wrapText="1"/>
    </xf>
    <xf numFmtId="171" fontId="30" fillId="0" borderId="0" xfId="0" applyNumberFormat="1" applyFont="1" applyAlignment="1">
      <alignment wrapText="1"/>
    </xf>
    <xf numFmtId="171" fontId="31" fillId="22" borderId="1" xfId="0" applyNumberFormat="1" applyFont="1" applyFill="1" applyBorder="1" applyAlignment="1">
      <alignment horizontal="center" vertical="center" wrapText="1"/>
    </xf>
    <xf numFmtId="171" fontId="17" fillId="0" borderId="1" xfId="0" applyNumberFormat="1" applyFont="1" applyBorder="1" applyAlignment="1">
      <alignment wrapText="1"/>
    </xf>
    <xf numFmtId="171" fontId="17" fillId="0" borderId="9" xfId="0" applyNumberFormat="1" applyFont="1" applyBorder="1" applyAlignment="1">
      <alignment wrapText="1"/>
    </xf>
    <xf numFmtId="171" fontId="17" fillId="0" borderId="6" xfId="0" applyNumberFormat="1" applyFont="1" applyBorder="1" applyAlignment="1">
      <alignment wrapText="1"/>
    </xf>
    <xf numFmtId="0" fontId="45" fillId="0" borderId="0" xfId="0" applyFont="1" applyAlignment="1">
      <alignment wrapText="1"/>
    </xf>
    <xf numFmtId="0" fontId="0" fillId="0" borderId="1" xfId="0" applyBorder="1"/>
    <xf numFmtId="0" fontId="39" fillId="0" borderId="1" xfId="0" applyFont="1" applyBorder="1" applyAlignment="1" applyProtection="1">
      <alignment vertical="center" wrapText="1"/>
      <protection locked="0"/>
    </xf>
    <xf numFmtId="0" fontId="50" fillId="0" borderId="1" xfId="0" applyFont="1" applyBorder="1" applyAlignment="1">
      <alignment horizontal="center" vertical="center" wrapText="1"/>
    </xf>
    <xf numFmtId="0" fontId="38" fillId="23" borderId="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8" fontId="23" fillId="4" borderId="25" xfId="0" applyNumberFormat="1" applyFont="1" applyFill="1" applyBorder="1" applyAlignment="1">
      <alignment horizontal="center" vertical="center" wrapText="1"/>
    </xf>
    <xf numFmtId="168" fontId="23" fillId="4" borderId="27" xfId="0" applyNumberFormat="1" applyFont="1" applyFill="1" applyBorder="1" applyAlignment="1">
      <alignment horizontal="center" vertical="center" wrapText="1"/>
    </xf>
    <xf numFmtId="0" fontId="20" fillId="0" borderId="1" xfId="3" applyFont="1" applyBorder="1" applyAlignment="1">
      <alignment horizontal="center" vertical="center" wrapText="1"/>
    </xf>
    <xf numFmtId="0" fontId="8" fillId="0" borderId="1" xfId="0" applyFont="1" applyBorder="1" applyAlignment="1">
      <alignment horizontal="center" vertical="center" wrapText="1"/>
    </xf>
    <xf numFmtId="0" fontId="71" fillId="0" borderId="1" xfId="0" applyFont="1" applyBorder="1" applyAlignment="1">
      <alignment horizontal="center"/>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21" fillId="0" borderId="1" xfId="3" applyFont="1" applyBorder="1" applyAlignment="1">
      <alignment horizontal="center" vertical="center" wrapText="1"/>
    </xf>
    <xf numFmtId="0" fontId="25" fillId="0" borderId="0" xfId="3" applyFont="1" applyAlignment="1">
      <alignment horizontal="center" vertical="center" wrapText="1"/>
    </xf>
    <xf numFmtId="0" fontId="27" fillId="8" borderId="10" xfId="0" applyFont="1" applyFill="1" applyBorder="1" applyAlignment="1">
      <alignment horizontal="center" wrapText="1"/>
    </xf>
    <xf numFmtId="0" fontId="27" fillId="8" borderId="11" xfId="0" applyFont="1" applyFill="1" applyBorder="1" applyAlignment="1">
      <alignment horizontal="center" wrapText="1"/>
    </xf>
    <xf numFmtId="0" fontId="27" fillId="8" borderId="12" xfId="0" applyFont="1" applyFill="1" applyBorder="1" applyAlignment="1">
      <alignment horizontal="center" wrapText="1"/>
    </xf>
    <xf numFmtId="0" fontId="27" fillId="3" borderId="10" xfId="0" applyFont="1" applyFill="1" applyBorder="1" applyAlignment="1">
      <alignment horizontal="center" wrapText="1"/>
    </xf>
    <xf numFmtId="0" fontId="27" fillId="3" borderId="11" xfId="0" applyFont="1" applyFill="1" applyBorder="1" applyAlignment="1">
      <alignment horizontal="center" wrapText="1"/>
    </xf>
    <xf numFmtId="0" fontId="27" fillId="3" borderId="12" xfId="0" applyFont="1" applyFill="1" applyBorder="1" applyAlignment="1">
      <alignment horizontal="center" wrapText="1"/>
    </xf>
    <xf numFmtId="0" fontId="27" fillId="13" borderId="10" xfId="0" applyFont="1" applyFill="1" applyBorder="1" applyAlignment="1">
      <alignment horizontal="center" wrapText="1"/>
    </xf>
    <xf numFmtId="0" fontId="27" fillId="13" borderId="11" xfId="0" applyFont="1" applyFill="1" applyBorder="1" applyAlignment="1">
      <alignment horizontal="center" wrapText="1"/>
    </xf>
    <xf numFmtId="0" fontId="27" fillId="13"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5" fillId="0" borderId="2" xfId="3" applyFont="1" applyBorder="1" applyAlignment="1">
      <alignment horizontal="center" vertical="center" wrapText="1"/>
    </xf>
    <xf numFmtId="0" fontId="5" fillId="0" borderId="4" xfId="3" applyFont="1" applyBorder="1" applyAlignment="1">
      <alignment horizontal="center" vertical="center" wrapText="1"/>
    </xf>
    <xf numFmtId="0" fontId="5" fillId="0" borderId="7" xfId="3" applyFont="1" applyBorder="1" applyAlignment="1">
      <alignment horizontal="center" vertical="center" wrapText="1"/>
    </xf>
    <xf numFmtId="0" fontId="5" fillId="0" borderId="8" xfId="3" applyFont="1" applyBorder="1" applyAlignment="1">
      <alignment horizontal="center" vertical="center" wrapText="1"/>
    </xf>
    <xf numFmtId="0" fontId="5" fillId="0" borderId="10" xfId="3" applyFont="1" applyBorder="1" applyAlignment="1">
      <alignment horizontal="center" vertical="center" wrapText="1"/>
    </xf>
    <xf numFmtId="0" fontId="5" fillId="0" borderId="12" xfId="3" applyFont="1" applyBorder="1" applyAlignment="1">
      <alignment horizontal="center" vertical="center" wrapText="1"/>
    </xf>
    <xf numFmtId="0" fontId="10" fillId="0" borderId="0" xfId="0" applyFont="1" applyAlignment="1">
      <alignment horizontal="right" vertical="center" wrapText="1"/>
    </xf>
    <xf numFmtId="0" fontId="9" fillId="0" borderId="0" xfId="0" applyFont="1" applyAlignment="1">
      <alignment vertical="center" wrapText="1"/>
    </xf>
    <xf numFmtId="0" fontId="14" fillId="8" borderId="27" xfId="0" applyFont="1" applyFill="1" applyBorder="1" applyAlignment="1">
      <alignment horizontal="center" wrapText="1"/>
    </xf>
    <xf numFmtId="0" fontId="21" fillId="0" borderId="5" xfId="3" applyFont="1" applyBorder="1" applyAlignment="1">
      <alignment horizontal="center" vertical="center" wrapText="1"/>
    </xf>
    <xf numFmtId="0" fontId="6" fillId="0" borderId="0" xfId="3" applyFont="1" applyAlignment="1">
      <alignment horizontal="center" vertical="center" wrapText="1"/>
    </xf>
    <xf numFmtId="0" fontId="20" fillId="0" borderId="0" xfId="3" applyFont="1" applyAlignment="1">
      <alignment horizontal="center" vertical="center" wrapText="1"/>
    </xf>
    <xf numFmtId="0" fontId="14" fillId="3" borderId="27" xfId="0" applyFont="1" applyFill="1" applyBorder="1" applyAlignment="1">
      <alignment horizontal="center" wrapText="1"/>
    </xf>
    <xf numFmtId="167" fontId="12" fillId="4" borderId="1" xfId="0" applyNumberFormat="1" applyFont="1" applyFill="1" applyBorder="1" applyAlignment="1">
      <alignment horizontal="center" vertical="center" wrapText="1"/>
    </xf>
    <xf numFmtId="0" fontId="15" fillId="17" borderId="10" xfId="0" applyFont="1" applyFill="1" applyBorder="1" applyAlignment="1">
      <alignment horizontal="center" wrapText="1"/>
    </xf>
    <xf numFmtId="0" fontId="24" fillId="8" borderId="24" xfId="0" applyFont="1" applyFill="1" applyBorder="1" applyAlignment="1">
      <alignment horizontal="center" vertical="center" wrapText="1"/>
    </xf>
    <xf numFmtId="0" fontId="6" fillId="0" borderId="1" xfId="3" applyFont="1" applyBorder="1" applyAlignment="1">
      <alignment horizontal="center" vertical="center" wrapText="1"/>
    </xf>
    <xf numFmtId="0" fontId="23" fillId="20" borderId="1" xfId="0" applyFont="1" applyFill="1" applyBorder="1" applyAlignment="1">
      <alignment horizontal="center" vertical="center" wrapText="1"/>
    </xf>
    <xf numFmtId="0" fontId="0" fillId="20" borderId="3" xfId="0" applyFill="1" applyBorder="1" applyAlignment="1">
      <alignment horizontal="right" vertical="center" wrapText="1"/>
    </xf>
    <xf numFmtId="0" fontId="18" fillId="0" borderId="1" xfId="0" applyFont="1" applyBorder="1" applyAlignment="1">
      <alignment horizontal="center" vertical="center" wrapText="1"/>
    </xf>
    <xf numFmtId="0" fontId="0" fillId="0" borderId="0" xfId="0" applyAlignment="1">
      <alignment vertical="center" wrapText="1"/>
    </xf>
    <xf numFmtId="0" fontId="15" fillId="9" borderId="11" xfId="0" applyFont="1" applyFill="1" applyBorder="1" applyAlignment="1">
      <alignment horizontal="center" wrapText="1"/>
    </xf>
    <xf numFmtId="0" fontId="14" fillId="13" borderId="27" xfId="0" applyFont="1" applyFill="1" applyBorder="1" applyAlignment="1">
      <alignment horizontal="center" wrapText="1"/>
    </xf>
    <xf numFmtId="0" fontId="0" fillId="9" borderId="1" xfId="0" applyFill="1" applyBorder="1" applyAlignment="1">
      <alignment horizontal="center" vertical="center" wrapText="1"/>
    </xf>
    <xf numFmtId="167" fontId="23" fillId="4"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51" fillId="32" borderId="11" xfId="0" applyFont="1" applyFill="1" applyBorder="1" applyAlignment="1">
      <alignment horizontal="center" wrapText="1"/>
    </xf>
    <xf numFmtId="0" fontId="26" fillId="20" borderId="0" xfId="0" applyFont="1" applyFill="1" applyAlignment="1">
      <alignment horizontal="right" vertical="center" wrapText="1"/>
    </xf>
    <xf numFmtId="0" fontId="38" fillId="23" borderId="0" xfId="0" applyFont="1" applyFill="1" applyAlignment="1">
      <alignment horizontal="center" vertical="center" wrapText="1"/>
    </xf>
    <xf numFmtId="0" fontId="27" fillId="18" borderId="1" xfId="0" applyFont="1" applyFill="1" applyBorder="1" applyAlignment="1">
      <alignment horizontal="center" vertical="center" wrapText="1"/>
    </xf>
    <xf numFmtId="0" fontId="11" fillId="0" borderId="0" xfId="0" applyFont="1" applyAlignment="1">
      <alignment horizontal="center" vertical="center" wrapText="1"/>
    </xf>
    <xf numFmtId="0" fontId="26" fillId="20" borderId="3" xfId="0" applyFont="1" applyFill="1" applyBorder="1" applyAlignment="1">
      <alignment horizontal="center" vertical="center" wrapText="1"/>
    </xf>
    <xf numFmtId="0" fontId="45" fillId="0" borderId="3" xfId="0" applyFont="1" applyBorder="1" applyAlignment="1">
      <alignment horizontal="center" wrapText="1"/>
    </xf>
    <xf numFmtId="0" fontId="27" fillId="8" borderId="27" xfId="0" applyFont="1" applyFill="1" applyBorder="1" applyAlignment="1">
      <alignment horizontal="center" wrapText="1"/>
    </xf>
    <xf numFmtId="0" fontId="27" fillId="3" borderId="27" xfId="0" applyFont="1" applyFill="1" applyBorder="1" applyAlignment="1">
      <alignment horizontal="center" wrapText="1"/>
    </xf>
    <xf numFmtId="0" fontId="27" fillId="13" borderId="27" xfId="0" applyFont="1" applyFill="1" applyBorder="1" applyAlignment="1">
      <alignment horizontal="center" wrapText="1"/>
    </xf>
    <xf numFmtId="0" fontId="13" fillId="0" borderId="3" xfId="0" applyFont="1" applyBorder="1" applyAlignment="1">
      <alignment horizontal="center" vertical="center" wrapText="1"/>
    </xf>
    <xf numFmtId="166" fontId="17" fillId="20" borderId="1" xfId="0" applyNumberFormat="1" applyFont="1" applyFill="1" applyBorder="1" applyAlignment="1">
      <alignment horizontal="center" wrapText="1"/>
    </xf>
    <xf numFmtId="0" fontId="31" fillId="2" borderId="1" xfId="0" applyFont="1" applyFill="1" applyBorder="1" applyAlignment="1">
      <alignment horizontal="center" vertical="center" wrapText="1"/>
    </xf>
    <xf numFmtId="0" fontId="35" fillId="23" borderId="5" xfId="0" applyFont="1" applyFill="1" applyBorder="1" applyAlignment="1">
      <alignment horizontal="center" vertical="center" wrapText="1"/>
    </xf>
    <xf numFmtId="0" fontId="33" fillId="7" borderId="1" xfId="0" applyFont="1" applyFill="1" applyBorder="1" applyAlignment="1">
      <alignment horizontal="right" vertical="center" wrapText="1"/>
    </xf>
    <xf numFmtId="0" fontId="34" fillId="7" borderId="1" xfId="0" applyFont="1" applyFill="1" applyBorder="1" applyAlignment="1" applyProtection="1">
      <alignment horizontal="center" vertical="center" wrapText="1"/>
      <protection locked="0"/>
    </xf>
    <xf numFmtId="168" fontId="31" fillId="21" borderId="1" xfId="1" applyNumberFormat="1" applyFont="1" applyFill="1" applyBorder="1" applyAlignment="1">
      <alignment horizontal="center" vertical="center" wrapText="1"/>
    </xf>
    <xf numFmtId="0" fontId="17" fillId="20" borderId="9" xfId="0" applyFont="1" applyFill="1" applyBorder="1" applyAlignment="1">
      <alignment horizontal="center" wrapText="1"/>
    </xf>
    <xf numFmtId="0" fontId="4" fillId="0" borderId="1" xfId="3" applyFont="1" applyBorder="1" applyAlignment="1">
      <alignment horizontal="center" vertical="center" wrapText="1"/>
    </xf>
    <xf numFmtId="0" fontId="35" fillId="23" borderId="1" xfId="0" applyFont="1" applyFill="1" applyBorder="1" applyAlignment="1">
      <alignment horizontal="center" vertical="center" wrapText="1"/>
    </xf>
    <xf numFmtId="166" fontId="31" fillId="6" borderId="1" xfId="0" applyNumberFormat="1" applyFont="1" applyFill="1" applyBorder="1" applyAlignment="1">
      <alignment horizontal="center" vertical="center" wrapText="1"/>
    </xf>
    <xf numFmtId="0" fontId="31" fillId="22" borderId="1" xfId="0" applyFont="1" applyFill="1" applyBorder="1" applyAlignment="1">
      <alignment horizontal="center" vertical="center" wrapText="1"/>
    </xf>
    <xf numFmtId="0" fontId="29" fillId="0" borderId="25" xfId="0" applyFont="1" applyBorder="1" applyAlignment="1">
      <alignment horizontal="right" vertical="center" wrapText="1"/>
    </xf>
    <xf numFmtId="0" fontId="28" fillId="0" borderId="1" xfId="3" applyFont="1" applyBorder="1" applyAlignment="1">
      <alignment horizontal="center" vertical="center" wrapText="1"/>
    </xf>
    <xf numFmtId="0" fontId="0" fillId="0" borderId="9" xfId="0" applyBorder="1" applyAlignment="1"/>
    <xf numFmtId="0" fontId="0" fillId="0" borderId="6" xfId="0" applyBorder="1" applyAlignment="1"/>
    <xf numFmtId="0" fontId="0" fillId="0" borderId="3" xfId="0" applyBorder="1" applyAlignment="1"/>
    <xf numFmtId="0" fontId="0" fillId="0" borderId="4" xfId="0" applyBorder="1" applyAlignment="1"/>
    <xf numFmtId="0" fontId="0" fillId="0" borderId="7" xfId="0" applyBorder="1" applyAlignment="1"/>
    <xf numFmtId="0" fontId="0" fillId="0" borderId="8" xfId="0" applyBorder="1" applyAlignment="1"/>
    <xf numFmtId="0" fontId="0" fillId="0" borderId="10" xfId="0" applyBorder="1" applyAlignment="1"/>
    <xf numFmtId="0" fontId="0" fillId="0" borderId="12" xfId="0" applyBorder="1" applyAlignment="1"/>
    <xf numFmtId="0" fontId="0" fillId="0" borderId="11" xfId="0" applyBorder="1" applyAlignment="1"/>
    <xf numFmtId="0" fontId="0" fillId="0" borderId="24" xfId="0" applyBorder="1" applyAlignment="1"/>
    <xf numFmtId="0" fontId="0" fillId="0" borderId="26" xfId="0" applyBorder="1" applyAlignment="1"/>
    <xf numFmtId="0" fontId="0" fillId="0" borderId="27" xfId="0" applyBorder="1" applyAlignment="1"/>
    <xf numFmtId="0" fontId="50" fillId="6" borderId="5" xfId="0" applyFont="1" applyFill="1" applyBorder="1" applyAlignment="1" applyProtection="1">
      <alignment horizontal="center" vertical="center" wrapText="1"/>
      <protection locked="0"/>
    </xf>
    <xf numFmtId="0" fontId="50" fillId="6" borderId="9" xfId="0" applyFont="1" applyFill="1" applyBorder="1" applyAlignment="1" applyProtection="1">
      <alignment horizontal="center" vertical="center" wrapText="1"/>
      <protection locked="0"/>
    </xf>
    <xf numFmtId="0" fontId="50" fillId="6" borderId="6" xfId="0" applyFont="1" applyFill="1" applyBorder="1" applyAlignment="1" applyProtection="1">
      <alignment horizontal="center" vertical="center" wrapText="1"/>
      <protection locked="0"/>
    </xf>
    <xf numFmtId="0" fontId="39" fillId="0" borderId="25" xfId="0" applyFont="1" applyBorder="1" applyAlignment="1" applyProtection="1">
      <alignment vertical="center" wrapText="1"/>
      <protection locked="0"/>
    </xf>
    <xf numFmtId="0" fontId="39" fillId="0" borderId="31" xfId="0" applyFont="1" applyBorder="1" applyAlignment="1" applyProtection="1">
      <alignment vertical="center" wrapText="1"/>
      <protection locked="0"/>
    </xf>
    <xf numFmtId="0" fontId="26" fillId="0" borderId="32" xfId="0" applyFont="1" applyBorder="1" applyAlignment="1">
      <alignment vertical="center" wrapText="1"/>
    </xf>
    <xf numFmtId="0" fontId="26" fillId="0" borderId="32" xfId="0" applyFont="1" applyBorder="1" applyAlignment="1" applyProtection="1">
      <alignment vertical="center" wrapText="1"/>
      <protection locked="0"/>
    </xf>
    <xf numFmtId="0" fontId="26" fillId="0" borderId="6" xfId="0" applyFont="1" applyBorder="1" applyAlignment="1" applyProtection="1">
      <alignment vertical="center" wrapText="1"/>
      <protection locked="0"/>
    </xf>
    <xf numFmtId="0" fontId="26" fillId="0" borderId="6" xfId="0" applyFont="1" applyBorder="1" applyAlignment="1">
      <alignment vertical="center" wrapText="1"/>
    </xf>
    <xf numFmtId="0" fontId="26" fillId="0" borderId="28" xfId="0" applyFont="1" applyBorder="1" applyAlignment="1" applyProtection="1">
      <alignment vertical="center" wrapText="1"/>
      <protection locked="0"/>
    </xf>
    <xf numFmtId="0" fontId="26" fillId="48" borderId="1" xfId="0" applyFont="1" applyFill="1" applyBorder="1" applyAlignment="1">
      <alignment vertical="center" wrapText="1"/>
    </xf>
    <xf numFmtId="0" fontId="39" fillId="0" borderId="25" xfId="0" applyFont="1" applyBorder="1" applyAlignment="1">
      <alignment vertical="center" wrapText="1"/>
    </xf>
    <xf numFmtId="0" fontId="39" fillId="0" borderId="1" xfId="0" applyFont="1" applyBorder="1" applyAlignment="1">
      <alignment vertical="center" wrapText="1"/>
    </xf>
    <xf numFmtId="168" fontId="0" fillId="0" borderId="6" xfId="0" applyNumberFormat="1" applyBorder="1" applyAlignment="1"/>
    <xf numFmtId="166" fontId="0" fillId="0" borderId="6" xfId="0" applyNumberFormat="1" applyBorder="1" applyAlignment="1"/>
    <xf numFmtId="0" fontId="0" fillId="0" borderId="9" xfId="0" applyBorder="1" applyAlignment="1" applyProtection="1">
      <protection locked="0"/>
    </xf>
    <xf numFmtId="0" fontId="0" fillId="0" borderId="6" xfId="0" applyBorder="1" applyAlignment="1" applyProtection="1">
      <protection locked="0"/>
    </xf>
  </cellXfs>
  <cellStyles count="10">
    <cellStyle name="Hipervínculo" xfId="6" builtinId="8"/>
    <cellStyle name="Hyperlink" xfId="7" xr:uid="{00000000-0005-0000-0000-000007000000}"/>
    <cellStyle name="Moneda" xfId="1" builtinId="4"/>
    <cellStyle name="Moneda 2" xfId="5" xr:uid="{00000000-0005-0000-0000-000005000000}"/>
    <cellStyle name="Moneda 2 2" xfId="8" xr:uid="{00000000-0005-0000-0000-000008000000}"/>
    <cellStyle name="Moneda 3" xfId="9" xr:uid="{00000000-0005-0000-0000-000009000000}"/>
    <cellStyle name="Normal" xfId="0" builtinId="0"/>
    <cellStyle name="Normal 2" xfId="3" xr:uid="{00000000-0005-0000-0000-000003000000}"/>
    <cellStyle name="Normal 3" xfId="4" xr:uid="{00000000-0005-0000-0000-000004000000}"/>
    <cellStyle name="Porcentaje" xfId="2" builtinId="5"/>
  </cellStyles>
  <dxfs count="29">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theme="5" tint="-0.24994659260841701"/>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24994659260841701"/>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pivotCacheDefinition" Target="pivotCache/pivotCacheDefinition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49636" y="1233055"/>
          <a:ext cx="1627067" cy="1773381"/>
        </a:xfrm>
        <a:prstGeom prst="rect">
          <a:avLst/>
        </a:prstGeom>
        <a:noFill/>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EA879176-754A-4C17-9EAC-87B6B11AD9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9737" y="2270297"/>
          <a:ext cx="1698993" cy="2038814"/>
        </a:xfrm>
        <a:prstGeom prst="rect">
          <a:avLst/>
        </a:prstGeom>
        <a:noFill/>
        <a:ln>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9737" y="2110277"/>
          <a:ext cx="1698993" cy="2023574"/>
        </a:xfrm>
        <a:prstGeom prst="rect">
          <a:avLst/>
        </a:prstGeom>
        <a:noFill/>
        <a:ln>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645925</xdr:colOff>
      <xdr:row>3</xdr:row>
      <xdr:rowOff>95738</xdr:rowOff>
    </xdr:from>
    <xdr:to>
      <xdr:col>2</xdr:col>
      <xdr:colOff>2547938</xdr:colOff>
      <xdr:row>5</xdr:row>
      <xdr:rowOff>1411901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9B42BEE8-D482-4D93-867B-8859FDBD26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7925" y="2643676"/>
          <a:ext cx="3092638" cy="3697413"/>
        </a:xfrm>
        <a:prstGeom prst="rect">
          <a:avLst/>
        </a:prstGeom>
        <a:noFill/>
        <a:ln>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69696" y="1074964"/>
          <a:ext cx="1008016" cy="664029"/>
        </a:xfrm>
        <a:prstGeom prst="rect">
          <a:avLst/>
        </a:prstGeom>
        <a:noFill/>
        <a:ln>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00000000-0008-0000-0700-00000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00000000-0008-0000-0700-00000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00000000-0008-0000-0700-00001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00000000-0008-0000-0700-00001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00000000-0008-0000-0700-00001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0000000-0008-0000-0700-00001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00000000-0008-0000-0700-00001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00000000-0008-0000-0700-00001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00000000-0008-0000-0700-00001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00000000-0008-0000-0700-00001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00000000-0008-0000-0700-00001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00000000-0008-0000-0700-00001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00000000-0008-0000-0700-00001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0000000-0008-0000-0700-00001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00000000-0008-0000-0700-00001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0000000-0008-0000-0700-00001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00000000-0008-0000-0700-00002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00000000-0008-0000-0700-00002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00000000-0008-0000-0700-00002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00000000-0008-0000-0700-00002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00000000-0008-0000-0700-00002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00000000-0008-0000-0700-00002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00000000-0008-0000-0700-00002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00000000-0008-0000-0700-00002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00000000-0008-0000-0700-00002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00000000-0008-0000-0700-00002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00000000-0008-0000-0700-00002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00000000-0008-0000-0700-00002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00000000-0008-0000-0700-00002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00000000-0008-0000-0700-00002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00000000-0008-0000-0700-00002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00000000-0008-0000-0700-00002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00000000-0008-0000-0700-00003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0000000-0008-0000-0700-00003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00000000-0008-0000-0700-00003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00000000-0008-0000-0700-00003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00000000-0008-0000-0700-00003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00000000-0008-0000-0700-00003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00000000-0008-0000-0700-00003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00000000-0008-0000-0700-00003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0000000-0008-0000-0700-00003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00000000-0008-0000-0700-00003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00000000-0008-0000-0700-00003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00000000-0008-0000-0700-00003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00000000-0008-0000-0700-00003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0000000-0008-0000-0700-00003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00000000-0008-0000-0700-00003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00000000-0008-0000-0700-00003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00000000-0008-0000-0700-00004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00000000-0008-0000-0700-00004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00000000-0008-0000-0700-00004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00000000-0008-0000-0700-00004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0000000-0008-0000-0700-00004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00000000-0008-0000-0700-00004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00000000-0008-0000-0700-00004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00000000-0008-0000-0700-00004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00000000-0008-0000-0700-00004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00000000-0008-0000-0700-00004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00000000-0008-0000-0700-00004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00000000-0008-0000-0700-00004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00000000-0008-0000-0700-00004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00000000-0008-0000-0700-00004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00000000-0008-0000-0700-00004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00000000-0008-0000-0700-00004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00000000-0008-0000-0700-00005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00000000-0008-0000-0700-00005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00000000-0008-0000-0700-00005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00000000-0008-0000-0700-00005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00000000-0008-0000-0700-00005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00000000-0008-0000-0700-00005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00000000-0008-0000-0700-00005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0000000-0008-0000-0700-00005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00000000-0008-0000-0700-00005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00000000-0008-0000-0700-00005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00000000-0008-0000-0700-00005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00000000-0008-0000-0700-00005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00000000-0008-0000-0700-00005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00000000-0008-0000-0700-00005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00000000-0008-0000-0700-00005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00000000-0008-0000-0700-00005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00000000-0008-0000-0700-00006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00000000-0008-0000-0700-00006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00000000-0008-0000-0700-00006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00000000-0008-0000-0700-00006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00000000-0008-0000-0700-00006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00000000-0008-0000-0700-00006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00000000-0008-0000-0700-00006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00000000-0008-0000-0700-00006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00000000-0008-0000-0700-00006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00000000-0008-0000-0700-00006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00000000-0008-0000-0700-00006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00000000-0008-0000-0700-00006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00000000-0008-0000-0700-00006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000000-0008-0000-0700-00006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00000000-0008-0000-0700-00006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00000000-0008-0000-0700-00006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00000000-0008-0000-0700-00007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00000000-0008-0000-0700-00007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00000000-0008-0000-0700-00007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00000000-0008-0000-0700-00007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00000000-0008-0000-0700-00007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0000000-0008-0000-0700-00007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00000000-0008-0000-0700-00007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00000000-0008-0000-0700-00007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0000000-0008-0000-0700-00007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00000000-0008-0000-0700-00007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00000000-0008-0000-0700-00007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00000000-0008-0000-0700-00007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00000000-0008-0000-0700-00007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00000000-0008-0000-0700-00007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00000000-0008-0000-0700-00007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00000000-0008-0000-0700-00007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00000000-0008-0000-0700-00008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00000000-0008-0000-0700-00008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00000000-0008-0000-0700-00008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00000000-0008-0000-0700-00008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00000000-0008-0000-0700-00008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00000000-0008-0000-0700-00008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00000000-0008-0000-0700-00008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00000000-0008-0000-0700-00008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00000000-0008-0000-0700-00008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00000000-0008-0000-0700-00008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00000000-0008-0000-0700-00008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00000000-0008-0000-0700-00008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00000000-0008-0000-0700-00008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00000000-0008-0000-0700-00008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00000000-0008-0000-0700-00008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00000000-0008-0000-0700-00008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00000000-0008-0000-0700-00009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00000000-0008-0000-0700-00009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00000000-0008-0000-0700-00009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00000000-0008-0000-0700-00009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00000000-0008-0000-0700-00009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0000000-0008-0000-0700-00009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00000000-0008-0000-0700-00009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00000000-0008-0000-0700-00009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00000000-0008-0000-0700-00009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00000000-0008-0000-0700-00009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00000000-0008-0000-0700-00009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00000000-0008-0000-0700-00009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00000000-0008-0000-0700-00009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00000000-0008-0000-0700-00009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00000000-0008-0000-0700-00009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00000000-0008-0000-0700-00009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00000000-0008-0000-0700-0000A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00000000-0008-0000-0700-0000A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00000000-0008-0000-0700-0000A2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00000000-0008-0000-0700-0000A3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00000000-0008-0000-0700-0000A4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00000000-0008-0000-0700-0000A5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00000000-0008-0000-0700-0000A6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00000000-0008-0000-0700-0000A7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00000000-0008-0000-0700-0000A8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00000000-0008-0000-0700-0000A9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00000000-0008-0000-0700-0000AA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00000000-0008-0000-0700-0000AB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00000000-0008-0000-0700-0000AC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00000000-0008-0000-0700-0000AD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00000000-0008-0000-0700-0000AE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00000000-0008-0000-0700-0000AF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00000000-0008-0000-0700-0000B0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00000000-0008-0000-0700-0000B10000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a:ln>
          <a:prstDash val="solid"/>
        </a:ln>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V&#237;nculoExternoRecuperado1?670FE5FE" TargetMode="External"/><Relationship Id="rId1" Type="http://schemas.openxmlformats.org/officeDocument/2006/relationships/externalLinkPath" Target="file:///\\670FE5FE\V&#237;nculoExternoRecuperado1"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yudi.gonzalez/Downloads/Estudio_Mercado2025_Centro_Crecer.xlsm" TargetMode="External"/><Relationship Id="rId1" Type="http://schemas.openxmlformats.org/officeDocument/2006/relationships/externalLinkPath" Target="/Users/yudi.gonzalez/Downloads/Estudio_Mercado2025_Centro_Crece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SOLICITUDCOTIZACIONES"/>
      <sheetName val="Base_General"/>
    </sheetNames>
    <sheetDataSet>
      <sheetData sheetId="0" refreshError="1"/>
      <sheetData sheetId="1" refreshError="1">
        <row r="1">
          <cell r="D1" t="str">
            <v>Elemento</v>
          </cell>
          <cell r="E1" t="str">
            <v>Descripción del elemento y / o actividad</v>
          </cell>
          <cell r="F1" t="str">
            <v>Unidad de medida</v>
          </cell>
          <cell r="G1" t="str">
            <v>Cantidad establecida según anexo técnico</v>
          </cell>
          <cell r="H1" t="str">
            <v>Compra Alquiler
Prestación Servicio</v>
          </cell>
        </row>
        <row r="2">
          <cell r="D2" t="str">
            <v>Afiche Medio Pliego  (1.000)</v>
          </cell>
          <cell r="E2" t="str">
            <v>Tamaño Medio Pliego_x000D_
Papeles esmaltados C2S Gloss de 200 gr o Propalcote 200 gr, según las referencias o diseños que requiera la Alcaldía Local de Suba a 4 tintas full color y policromía, incluye logos.</v>
          </cell>
          <cell r="F2" t="str">
            <v>Millar</v>
          </cell>
          <cell r="G2">
            <v>1</v>
          </cell>
          <cell r="H2" t="str">
            <v>Compra</v>
          </cell>
        </row>
        <row r="3">
          <cell r="D3" t="str">
            <v>Afiche Medio Pliego  (100)</v>
          </cell>
          <cell r="E3" t="str">
            <v>Tamaño Medio Pliego
Papeles esmaltados C2S Gloss de 200 gr o Propalcote 200 gr, según las referencias o diseños que requiera la Alcaldía Local de Suba a 4 tintas full color y policromía, incluye logos.</v>
          </cell>
          <cell r="F3" t="str">
            <v>Unidad</v>
          </cell>
          <cell r="G3">
            <v>1</v>
          </cell>
          <cell r="H3" t="str">
            <v>Compra</v>
          </cell>
        </row>
        <row r="4">
          <cell r="D4" t="str">
            <v>Afiche Medio Pliego (1)</v>
          </cell>
          <cell r="E4" t="str">
            <v>Tamaño Medio Pliego_x000D_
Papeles esmaltados C2S Gloss de 200 gr o Propalcote 200 gr, según las referencias o diseños que requiera la Alcaldía Local de Suba a 4 tintas full color y policromía, incluye logos.</v>
          </cell>
          <cell r="F4" t="str">
            <v>Unidad</v>
          </cell>
          <cell r="G4">
            <v>1</v>
          </cell>
          <cell r="H4" t="str">
            <v>Compra</v>
          </cell>
        </row>
        <row r="5">
          <cell r="D5" t="str">
            <v>Afiche Pliego  (1)</v>
          </cell>
          <cell r="E5" t="str">
            <v>Tamaño Pliego
Papeles esmaltados C2S Gloss de 200 gr o Propalcote 200 gr, según las referencias o diseños que requiera la Alcaldía Local de Suba a 4 tintas full color y policromía, incluye logos.</v>
          </cell>
          <cell r="F5" t="str">
            <v>Unidad</v>
          </cell>
          <cell r="G5">
            <v>1</v>
          </cell>
          <cell r="H5" t="str">
            <v>Compra</v>
          </cell>
        </row>
        <row r="6">
          <cell r="D6" t="str">
            <v>Afiche Pliego  (100)</v>
          </cell>
          <cell r="E6" t="str">
            <v>Tamaño Pliego
Papeles esmaltados C2S Gloss de 200 gr o Propalcote 200 gr, según las referencias o diseños que requiera la Alcaldía Local de Suba a 4 tintas full color y policromía, incluye logos.</v>
          </cell>
          <cell r="F6" t="str">
            <v>Unidad</v>
          </cell>
          <cell r="G6">
            <v>1</v>
          </cell>
          <cell r="H6" t="str">
            <v>Compra</v>
          </cell>
        </row>
        <row r="7">
          <cell r="D7" t="str">
            <v>Afiche tabloide  (1)</v>
          </cell>
          <cell r="E7" t="str">
            <v>Tamaño Tabloide 27.9 cm ancho X 43.2 cm alto
Papeles esmaltados C2S Gloss de 200 gr o Propalcote 200 gr, según las referencias o diseños que requiera la Alcaldía Local de Suba a 4 tintas full color y policromía, incluye logos.</v>
          </cell>
          <cell r="F7" t="str">
            <v>Unidad</v>
          </cell>
          <cell r="G7">
            <v>1</v>
          </cell>
          <cell r="H7" t="str">
            <v>Compra</v>
          </cell>
        </row>
        <row r="8">
          <cell r="D8" t="str">
            <v>Afiche tabloide  (100)</v>
          </cell>
          <cell r="E8" t="str">
            <v>Tamaño Tabloide 27.9 cm ancho X 43.2 cm alto
Papeles esmaltados C2S Gloss de 200 gr o Propalcote 200 gr, según las referencias o diseños que requiera la Alcaldía Local de Suba a 4 tintas full color y policromía, incluye logos.</v>
          </cell>
          <cell r="F8" t="str">
            <v>Unidad</v>
          </cell>
          <cell r="G8">
            <v>1</v>
          </cell>
          <cell r="H8" t="str">
            <v>Compra</v>
          </cell>
        </row>
        <row r="9">
          <cell r="D9" t="str">
            <v>Afiche tabloide Tabloide (1.000)</v>
          </cell>
          <cell r="E9" t="str">
            <v>Tamaño Pliego_x000D_
Papeles esmaltados C2S Gloss de 200 gr o Propalcote 200 gr, según las referencias o diseños que requiera la Alcaldía Local de Suba a 4 tintas full color y policromía, incluye logos.</v>
          </cell>
          <cell r="F9" t="str">
            <v>Unidad</v>
          </cell>
          <cell r="G9">
            <v>1</v>
          </cell>
          <cell r="H9" t="str">
            <v>Compra</v>
          </cell>
        </row>
        <row r="10">
          <cell r="D10" t="str">
            <v>AfichePliego (1.000)</v>
          </cell>
          <cell r="E10" t="str">
            <v>Tamaño Pliego
Papeles esmaltados C2S Gloss de 200 gr o Propalcote 200 gr, según las referencias o diseños que requiera la Alcaldía Local de Suba a 4 tintas full color y policromía, incluye logos.</v>
          </cell>
          <cell r="F10" t="str">
            <v>Unidad</v>
          </cell>
          <cell r="G10">
            <v>1</v>
          </cell>
          <cell r="H10" t="str">
            <v>Compra</v>
          </cell>
        </row>
        <row r="11">
          <cell r="D11" t="str">
            <v>Agendas con esfero</v>
          </cell>
          <cell r="E11" t="e">
            <v>#VALUE!</v>
          </cell>
          <cell r="F11" t="str">
            <v>Unidad</v>
          </cell>
          <cell r="G11">
            <v>1</v>
          </cell>
          <cell r="H11" t="str">
            <v>Compra</v>
          </cell>
        </row>
        <row r="12">
          <cell r="D12" t="str">
            <v>Agendas con esfero con logos institucionales</v>
          </cell>
          <cell r="E12" t="e">
            <v>#VALUE!</v>
          </cell>
          <cell r="F12" t="str">
            <v>Unidad</v>
          </cell>
          <cell r="G12">
            <v>1</v>
          </cell>
          <cell r="H12" t="str">
            <v>Compra</v>
          </cell>
        </row>
        <row r="13">
          <cell r="D13" t="str">
            <v>Agua en botella x 24 unidades 300 ml</v>
          </cell>
          <cell r="E13" t="str">
            <v>Bandeja X 24 unidades de agua en botella por 300 ML.</v>
          </cell>
          <cell r="F13" t="str">
            <v>Paquete x 24</v>
          </cell>
          <cell r="G13">
            <v>1</v>
          </cell>
          <cell r="H13" t="str">
            <v>Compra</v>
          </cell>
        </row>
        <row r="14">
          <cell r="D14" t="str">
            <v>Almohadilla para sellos 12 x 8 cm</v>
          </cell>
          <cell r="E14" t="str">
            <v>Almohadilla para sellos 12 x 8 cm. Material esponja absorbente en estuche plástico con tapa.</v>
          </cell>
          <cell r="F14" t="str">
            <v>Unidad</v>
          </cell>
          <cell r="G14">
            <v>1</v>
          </cell>
          <cell r="H14" t="str">
            <v>Compra</v>
          </cell>
        </row>
        <row r="15">
          <cell r="D15" t="str">
            <v>Almuerzo Tipo 1</v>
          </cell>
          <cell r="E15" t="str">
            <v>Entrada, sopa o porción de fruta, 2 carnes (130 gr. c/u) + 1 carbohidrato 100 gramos + 1 ensalada 100 gramos + 1 acompañamiento 50 gramos postre 50 gramos + bebida 250 ml.Servicio de samovares y servido en cerámica</v>
          </cell>
          <cell r="F15" t="str">
            <v>Servicio</v>
          </cell>
          <cell r="G15">
            <v>1</v>
          </cell>
          <cell r="H15" t="str">
            <v>Compra</v>
          </cell>
        </row>
        <row r="16">
          <cell r="D16" t="str">
            <v>Almuerzo Tipo 2</v>
          </cell>
          <cell r="E16" t="str">
            <v>Entrada, sopa o porción de fruta, 2 carnes (130 gr. c/u) + 1 carbohidrato 100 gramos + 1 ensalada 100 gramos + 1 acompañamiento 50 gramos + postre 50 gramos + bebida 250 ml. Servicio de samovares y servido en desechables biodegradables</v>
          </cell>
          <cell r="F16" t="str">
            <v>Servicio</v>
          </cell>
          <cell r="G16">
            <v>1</v>
          </cell>
          <cell r="H16" t="str">
            <v>Compra</v>
          </cell>
        </row>
        <row r="17">
          <cell r="D17" t="str">
            <v>Almuerzo Tipo 3 - Vegano</v>
          </cell>
          <cell r="E17" t="str">
            <v>Entrada, sopa o porción de fruta, Proteína vegetal + 1 carbohidrato 100 gramos + 1 ensalada 100 gramos + 1 acompañamiento 50 gramos + postre 50 gramos + bebida 250 ml. Servicio de samovares y servido en desechables biodegradables</v>
          </cell>
          <cell r="F17" t="str">
            <v>Servicio</v>
          </cell>
          <cell r="G17">
            <v>1</v>
          </cell>
          <cell r="H17" t="str">
            <v>Compra</v>
          </cell>
        </row>
        <row r="18">
          <cell r="D18" t="str">
            <v>Almuerzo Tipo 4 -Vegetariano</v>
          </cell>
          <cell r="E18" t="str">
            <v>Entrada, sopa o porción de fruta, Proteína vegetal + 1 carbohidrato 100 gramos + 1 ensalada 100 gramos + 1 acompañamiento 50 gramos + postre 50 gramos + bebida 250 ml. Servicio de samovares y servido en cerámica</v>
          </cell>
          <cell r="F18" t="str">
            <v>Servicio</v>
          </cell>
          <cell r="G18">
            <v>1</v>
          </cell>
          <cell r="H18" t="str">
            <v>Compra</v>
          </cell>
        </row>
        <row r="19">
          <cell r="D19" t="str">
            <v>Alquiler ambulancia</v>
          </cell>
          <cell r="E19" t="str">
            <v>Alquiler de Ambulancia medicalizada durante una jornada de 6 a 8 horas</v>
          </cell>
          <cell r="F19" t="str">
            <v>Servicio</v>
          </cell>
          <cell r="G19">
            <v>1</v>
          </cell>
          <cell r="H19" t="str">
            <v>Alquiler</v>
          </cell>
        </row>
        <row r="20">
          <cell r="D20" t="str">
            <v>Alquiler manteles Cuadrados</v>
          </cell>
          <cell r="E20" t="str">
            <v>Alquiler mantel con tapa cuadrado de 75x75 tiempo por evento o día, incluye transporte, tela dacron color blanco.</v>
          </cell>
          <cell r="F20" t="str">
            <v>Unidad</v>
          </cell>
          <cell r="G20">
            <v>1</v>
          </cell>
          <cell r="H20" t="str">
            <v>Alquiler</v>
          </cell>
        </row>
        <row r="21">
          <cell r="D21" t="str">
            <v>Alquiler manteles Rectangulares</v>
          </cell>
          <cell r="E21" t="str">
            <v>Alquiler mantel con tapa cuadrado de 2x2 tiempo por evento o día, incluye transporte, tela dacron color blanco.</v>
          </cell>
          <cell r="F21" t="str">
            <v>Unidad</v>
          </cell>
          <cell r="G21">
            <v>1</v>
          </cell>
          <cell r="H21" t="str">
            <v>Alquiler</v>
          </cell>
        </row>
        <row r="22">
          <cell r="D22" t="str">
            <v>Alquiler planta electrica  25 KVA</v>
          </cell>
          <cell r="E22" t="str">
            <v>ALQUILER DE PLANTA ELÉCTRICA DE 25 KVA: PLANTA ELECTRICA DE 25 KVA INSONORIZADA, QUE INCLUYA TRANSPORTE, PARCIAL DE CORRIENTE DE 10 METROS, TRIFÁSICA, TIERRA Y NEUTRO CON OPERARIO DISPONIBLE JORNADA POR EVENTO O DÍA</v>
          </cell>
          <cell r="F22" t="str">
            <v>Servicio</v>
          </cell>
          <cell r="G22">
            <v>1</v>
          </cell>
          <cell r="H22" t="str">
            <v>Alquiler</v>
          </cell>
        </row>
        <row r="23">
          <cell r="D23" t="str">
            <v>Alquiler planta electrica 120 KVA</v>
          </cell>
          <cell r="E23" t="str">
            <v>ALQUILER DE PLANTA ELÉCTRICA DE 120 KVA: PLANTA ELECTRICA DE 120 KVA INSONORIZADA, QUE INCLUYA TRANSPORTE, PARCIAL DE CORRIENTE DE 10 METROS, TRIFÁSICA, TIERRA Y NEUTRO CON OPERARIO DISPONIBLE JORNADA POR EVENTO O DÍA.</v>
          </cell>
          <cell r="F23" t="str">
            <v>Servicio</v>
          </cell>
          <cell r="G23">
            <v>1</v>
          </cell>
          <cell r="H23" t="str">
            <v>Alquiler</v>
          </cell>
        </row>
        <row r="24">
          <cell r="D24" t="str">
            <v>Alquiler planta electrica 50 KVA</v>
          </cell>
          <cell r="E24" t="str">
            <v>ALQUILER DE PLANTA ELÉCTRICA DE 50 KVA: PLANTA ELECTRICA DE 50 KVA INSONORIZADA, QUE INCLUYA TRANSPORTE, PARCIAL DE CORRIENTE DE 10 METROS, TRIFÁSICA, TIERRA Y NEUTRO CON OPERARIO DISPONIBLE JORNADA POR EVENTO O DÍA</v>
          </cell>
          <cell r="F24" t="str">
            <v>Servicio</v>
          </cell>
          <cell r="G24">
            <v>1</v>
          </cell>
          <cell r="H24" t="str">
            <v>Alquiler</v>
          </cell>
        </row>
        <row r="25">
          <cell r="D25" t="str">
            <v>Alquiler sobretarima</v>
          </cell>
          <cell r="E25" t="str">
            <v>ALQUILER DE SOBRETARIMA DE 4X4 (ALTURA MODULAR ENTRE 0.20 Y 0.80) CON ALFOMBRA Y LAS ESCALERAS RESPECTIVAS   INCLUYE INSTALACIÓN, TRANSPORTE Y ENTREGA EN EL LUGAR REQUERIDO, MONTAJE Y DESMONTAJE DE LA MISMA  (JORNADA POR EVENTO O DÍA)</v>
          </cell>
          <cell r="F25" t="str">
            <v>Unidad</v>
          </cell>
          <cell r="G25">
            <v>1</v>
          </cell>
          <cell r="H25" t="str">
            <v>Alquiler</v>
          </cell>
        </row>
        <row r="26">
          <cell r="D26" t="str">
            <v>Alquiler sonido  4.000 WATTS</v>
          </cell>
          <cell r="E26" t="e">
            <v>#VALUE!</v>
          </cell>
          <cell r="F26" t="str">
            <v>Unidad</v>
          </cell>
          <cell r="G26">
            <v>1</v>
          </cell>
          <cell r="H26" t="str">
            <v>Alquiler</v>
          </cell>
        </row>
        <row r="27">
          <cell r="D27" t="str">
            <v>Alquiler sonido 13.000 WATTS</v>
          </cell>
          <cell r="E27" t="e">
            <v>#VALUE!</v>
          </cell>
          <cell r="F27" t="str">
            <v>Unidad</v>
          </cell>
          <cell r="G27">
            <v>1</v>
          </cell>
          <cell r="H27" t="str">
            <v>Alquiler</v>
          </cell>
        </row>
        <row r="28">
          <cell r="D28" t="str">
            <v>Arcilla por  libra</v>
          </cell>
          <cell r="E28" t="str">
            <v>Arcilla para modelar, paquete por libra, colores surtidos</v>
          </cell>
          <cell r="F28" t="str">
            <v>Unidad</v>
          </cell>
          <cell r="G28">
            <v>1</v>
          </cell>
          <cell r="H28" t="str">
            <v>Compra</v>
          </cell>
        </row>
        <row r="29">
          <cell r="D29" t="str">
            <v>Auditorio para 100 personas jornada completa</v>
          </cell>
          <cell r="E29" t="e">
            <v>#VALUE!</v>
          </cell>
          <cell r="F29" t="str">
            <v>Unidad</v>
          </cell>
          <cell r="G29">
            <v>1</v>
          </cell>
          <cell r="H29" t="str">
            <v>Alquiler</v>
          </cell>
        </row>
        <row r="30">
          <cell r="D30" t="str">
            <v>Auditorio para 100 personas media jornada</v>
          </cell>
          <cell r="E30" t="e">
            <v>#VALUE!</v>
          </cell>
          <cell r="F30" t="str">
            <v>Unidad</v>
          </cell>
          <cell r="G30">
            <v>1</v>
          </cell>
          <cell r="H30" t="str">
            <v>Alquiler</v>
          </cell>
        </row>
        <row r="31">
          <cell r="D31" t="str">
            <v>Auditorio para 50 personas jornada completa</v>
          </cell>
          <cell r="E31" t="e">
            <v>#VALUE!</v>
          </cell>
          <cell r="F31" t="str">
            <v>Unidad</v>
          </cell>
          <cell r="G31">
            <v>1</v>
          </cell>
          <cell r="H31" t="str">
            <v>Alquiler</v>
          </cell>
        </row>
        <row r="32">
          <cell r="D32" t="str">
            <v>Auditorio para 50 personas media jornada</v>
          </cell>
          <cell r="E32" t="e">
            <v>#VALUE!</v>
          </cell>
          <cell r="F32" t="str">
            <v>Unidad</v>
          </cell>
          <cell r="G32">
            <v>1</v>
          </cell>
          <cell r="H32" t="str">
            <v>Alquiler</v>
          </cell>
        </row>
        <row r="33">
          <cell r="D33" t="str">
            <v>Auditorio para 500 personas jornada completa</v>
          </cell>
          <cell r="E33" t="e">
            <v>#VALUE!</v>
          </cell>
          <cell r="F33" t="str">
            <v>Unidad</v>
          </cell>
          <cell r="G33">
            <v>1</v>
          </cell>
          <cell r="H33" t="str">
            <v>Alquiler</v>
          </cell>
        </row>
        <row r="34">
          <cell r="D34" t="str">
            <v>Bisturí mediano</v>
          </cell>
          <cell r="E34" t="e">
            <v>#VALUE!</v>
          </cell>
          <cell r="F34" t="str">
            <v>Unidad</v>
          </cell>
          <cell r="G34">
            <v>1</v>
          </cell>
          <cell r="H34" t="str">
            <v>Compra</v>
          </cell>
        </row>
        <row r="35">
          <cell r="D35" t="str">
            <v>Bitácora icopel ½ papel bond 50 hojas</v>
          </cell>
          <cell r="E35" t="str">
            <v>Bitácora icopel ½ papel bond 50 hojas. Papel bond blanco 75 g/m².</v>
          </cell>
          <cell r="F35" t="str">
            <v>Unidad</v>
          </cell>
          <cell r="G35">
            <v>1</v>
          </cell>
          <cell r="H35" t="str">
            <v>Compra</v>
          </cell>
        </row>
        <row r="36">
          <cell r="D36" t="str">
            <v>Block iris tamaño carta</v>
          </cell>
          <cell r="E36" t="str">
            <v>Block de papel Iris, con hojas de 125 g/m², tamaño carta (21.6 x 27.9 cm), x 50 hojas</v>
          </cell>
          <cell r="F36" t="str">
            <v>Unidad</v>
          </cell>
          <cell r="G36">
            <v>1</v>
          </cell>
          <cell r="H36" t="str">
            <v>Compra</v>
          </cell>
        </row>
        <row r="37">
          <cell r="D37" t="str">
            <v>Block iris tamaño oficio</v>
          </cell>
          <cell r="E37" t="str">
            <v>Block de papel Iris, con hojas de 125 g/m²,tamaño oficio (21.6 x 33 cm), x 50 hojas</v>
          </cell>
          <cell r="F37" t="str">
            <v>Unidad</v>
          </cell>
          <cell r="G37">
            <v>1</v>
          </cell>
          <cell r="H37" t="str">
            <v>Compra</v>
          </cell>
        </row>
        <row r="38">
          <cell r="D38" t="str">
            <v>Block papel acuarela tamaño carta</v>
          </cell>
          <cell r="E38" t="str">
            <v>Block papel acuarela tamaño carta (21.6 x 27.9 cm). prensado en frío (grano fino o medio). Libre de ácido, resistente al agua y pigmentos.</v>
          </cell>
          <cell r="F38" t="str">
            <v>Unidad</v>
          </cell>
          <cell r="G38">
            <v>1</v>
          </cell>
          <cell r="H38" t="str">
            <v>Compra</v>
          </cell>
        </row>
        <row r="39">
          <cell r="D39" t="str">
            <v>Block papel mantequilla tamaño carta (50 h)</v>
          </cell>
          <cell r="E39" t="str">
            <v>Papel mantequilla block tamaño carta  Gramaje: 40–60 g/m² aprox., 35 -40 hojas Translúcido, superficie lisa y semipermeable.</v>
          </cell>
          <cell r="F39" t="str">
            <v>Unidad</v>
          </cell>
          <cell r="G39">
            <v>1</v>
          </cell>
          <cell r="H39" t="str">
            <v>Compra</v>
          </cell>
        </row>
        <row r="40">
          <cell r="D40" t="str">
            <v>Block papel origami 15cm x 15cm</v>
          </cell>
          <cell r="E40" t="str">
            <v>Block de papel Origami, 50 hojas Medidas: 15 cm x 15 cm x 0.8 cm en empaque</v>
          </cell>
          <cell r="F40" t="str">
            <v>Unidad</v>
          </cell>
          <cell r="G40">
            <v>1</v>
          </cell>
          <cell r="H40" t="str">
            <v>Compra</v>
          </cell>
        </row>
        <row r="41">
          <cell r="D41" t="str">
            <v>Bloque de plastilina 250 gr.</v>
          </cell>
          <cell r="E41" t="str">
            <v>Plastilina en bloque x 250 gr, en colores surtidos</v>
          </cell>
          <cell r="F41" t="str">
            <v>Unidad</v>
          </cell>
          <cell r="G41">
            <v>1</v>
          </cell>
          <cell r="H41" t="str">
            <v>Compra</v>
          </cell>
        </row>
        <row r="42">
          <cell r="D42" t="str">
            <v>Bola de icopor diametro 10 cm</v>
          </cell>
          <cell r="E42" t="str">
            <v>Bolas de icopor diametro 10 cm</v>
          </cell>
          <cell r="F42" t="str">
            <v>Unidad</v>
          </cell>
          <cell r="G42">
            <v>1</v>
          </cell>
          <cell r="H42" t="str">
            <v>Compra</v>
          </cell>
        </row>
        <row r="43">
          <cell r="D43" t="str">
            <v>Bola de icopor diametro 15 cm</v>
          </cell>
          <cell r="E43" t="str">
            <v>Bolas de icopor diametro 15 cm</v>
          </cell>
          <cell r="F43" t="str">
            <v>Unidad</v>
          </cell>
          <cell r="G43">
            <v>1</v>
          </cell>
          <cell r="H43" t="str">
            <v>Compra</v>
          </cell>
        </row>
        <row r="44">
          <cell r="D44" t="str">
            <v>Borrador nata caja x20</v>
          </cell>
          <cell r="E44" t="str">
            <v>Borrador de nata caja x20 unidades, tamaño grande (Ref. WS 30), dimensiones 62 x 22 mm aprox.</v>
          </cell>
          <cell r="F44" t="str">
            <v>Unidad</v>
          </cell>
          <cell r="G44">
            <v>1</v>
          </cell>
          <cell r="H44" t="str">
            <v>Compra</v>
          </cell>
        </row>
        <row r="45">
          <cell r="D45" t="str">
            <v>Borrador negro caja x 20</v>
          </cell>
          <cell r="E45" t="e">
            <v>#VALUE!</v>
          </cell>
          <cell r="F45" t="str">
            <v>Unidad</v>
          </cell>
          <cell r="G45">
            <v>1</v>
          </cell>
          <cell r="H45" t="str">
            <v>Compra</v>
          </cell>
        </row>
        <row r="46">
          <cell r="D46" t="str">
            <v>Borrador Tablero</v>
          </cell>
          <cell r="E46" t="str">
            <v>Borrador de tablero de material del cuerpo:
Plástico, espuma rígida o madera ligera
Material de limpieza (base): Fieltro sintético o microfibra, Superficie suave para no rayar el tablero, Tamaño promedio: 10-15cm</v>
          </cell>
          <cell r="F46" t="str">
            <v>Unidad</v>
          </cell>
          <cell r="G46">
            <v>1</v>
          </cell>
          <cell r="H46" t="str">
            <v>Compra</v>
          </cell>
        </row>
        <row r="47">
          <cell r="D47" t="str">
            <v>Botella Aluminio 750 ml</v>
          </cell>
          <cell r="E47" t="str">
            <v>Botella en Aluminio Action 750ml / 25 Oz Tapa rosca con pitillo, libre de BPA, No retiene ni transmite sabores. Pintura exterior atóxica. • MATERIAL: Aluminio con tapa PP. • MEDIDAS: 24 x 7 cm. de diámetro</v>
          </cell>
          <cell r="F47" t="str">
            <v>Unidad</v>
          </cell>
          <cell r="G47">
            <v>1</v>
          </cell>
          <cell r="H47" t="str">
            <v>Compra</v>
          </cell>
        </row>
        <row r="48">
          <cell r="D48" t="str">
            <v>Botella Aluminio 750 ml con logos</v>
          </cell>
          <cell r="E48" t="e">
            <v>#VALUE!</v>
          </cell>
          <cell r="F48" t="str">
            <v>Unidad</v>
          </cell>
          <cell r="G48">
            <v>1</v>
          </cell>
          <cell r="H48" t="str">
            <v>Compra</v>
          </cell>
        </row>
        <row r="49">
          <cell r="D49" t="str">
            <v>Botellón de agua con soporte</v>
          </cell>
          <cell r="E49" t="str">
            <v>20 Litros</v>
          </cell>
          <cell r="F49" t="str">
            <v>Unidad</v>
          </cell>
          <cell r="G49">
            <v>1</v>
          </cell>
          <cell r="H49" t="str">
            <v>Compra</v>
          </cell>
        </row>
        <row r="50">
          <cell r="D50" t="str">
            <v>Botón publicitario</v>
          </cell>
          <cell r="E50" t="e">
            <v>#VALUE!</v>
          </cell>
          <cell r="F50" t="str">
            <v>Unidad</v>
          </cell>
          <cell r="G50">
            <v>1</v>
          </cell>
          <cell r="H50" t="str">
            <v>Compra</v>
          </cell>
        </row>
        <row r="51">
          <cell r="D51" t="str">
            <v>Cabina de sonido con base y micrófono</v>
          </cell>
          <cell r="E51" t="e">
            <v>#VALUE!</v>
          </cell>
          <cell r="F51" t="str">
            <v>Unidad</v>
          </cell>
          <cell r="G51">
            <v>1</v>
          </cell>
          <cell r="H51" t="str">
            <v>Compra</v>
          </cell>
        </row>
        <row r="52">
          <cell r="D52" t="str">
            <v>Camiseta</v>
          </cell>
          <cell r="E52" t="e">
            <v>#VALUE!</v>
          </cell>
          <cell r="F52" t="str">
            <v>Unidad</v>
          </cell>
          <cell r="G52">
            <v>1</v>
          </cell>
          <cell r="H52" t="str">
            <v>Compra</v>
          </cell>
        </row>
        <row r="53">
          <cell r="D53" t="str">
            <v>Camiseta t-shirt o Camiseta blanca</v>
          </cell>
          <cell r="E53" t="str">
            <v>100% en algodón de 185 gr. cuello redondo y/o en v, de diferentes tallas, marcadas en screen 4 tintas. fabricación y materiales nacionales</v>
          </cell>
          <cell r="F53" t="str">
            <v>Unidad</v>
          </cell>
          <cell r="G53">
            <v>1</v>
          </cell>
          <cell r="H53" t="str">
            <v>Compra</v>
          </cell>
        </row>
        <row r="54">
          <cell r="D54" t="str">
            <v>Carpa  Hangar 12x30</v>
          </cell>
          <cell r="E54" t="e">
            <v>#VALUE!</v>
          </cell>
          <cell r="F54" t="str">
            <v>Unidad</v>
          </cell>
          <cell r="G54">
            <v>1</v>
          </cell>
          <cell r="H54" t="str">
            <v>Alquiler</v>
          </cell>
        </row>
        <row r="55">
          <cell r="D55" t="str">
            <v>Carpa  Hangar 6x6</v>
          </cell>
          <cell r="E55" t="e">
            <v>#VALUE!</v>
          </cell>
          <cell r="F55" t="str">
            <v>Unidad</v>
          </cell>
          <cell r="G55">
            <v>1</v>
          </cell>
          <cell r="H55" t="str">
            <v>Alquiler</v>
          </cell>
        </row>
        <row r="56">
          <cell r="D56" t="str">
            <v>Carpa 2 x 2</v>
          </cell>
          <cell r="E56" t="str">
            <v>Alquiler Carpa 2X2 con laterales. Incluye transporte, instalación y entrega en el lugar requerido, montaje y desmontaje, alquiler por día.</v>
          </cell>
          <cell r="F56" t="str">
            <v>Unidad</v>
          </cell>
          <cell r="G56">
            <v>1</v>
          </cell>
          <cell r="H56" t="str">
            <v>Alquiler</v>
          </cell>
        </row>
        <row r="57">
          <cell r="D57" t="str">
            <v>Carpa 3 x 3</v>
          </cell>
          <cell r="E57" t="str">
            <v>Alquiler Carpa 3X3 con laterales. Incluye transporte, instalación y entrega en el lugar requerido, montaje y desmontaje, alquiler por día.</v>
          </cell>
          <cell r="F57" t="str">
            <v>Unidad</v>
          </cell>
          <cell r="G57">
            <v>1</v>
          </cell>
          <cell r="H57" t="str">
            <v>Alquiler</v>
          </cell>
        </row>
        <row r="58">
          <cell r="D58" t="str">
            <v>Carpa 3 x 3</v>
          </cell>
          <cell r="E58" t="str">
            <v>Compra Carpa 3X3 con laterales. Incluye transporte, y entrega en el lugar requerido.</v>
          </cell>
          <cell r="F58" t="str">
            <v>Unidad</v>
          </cell>
          <cell r="G58">
            <v>1</v>
          </cell>
          <cell r="H58" t="str">
            <v>Compra</v>
          </cell>
        </row>
        <row r="59">
          <cell r="D59" t="str">
            <v>Carpa 4 x 4</v>
          </cell>
          <cell r="E59" t="str">
            <v>Alquiler Carpa 4X4 con laterales. Incluye transporte, instalación y entrega en el lugar requerido, montaje y desmontaje, alquiler por día.</v>
          </cell>
          <cell r="F59" t="str">
            <v>Unidad</v>
          </cell>
          <cell r="G59">
            <v>1</v>
          </cell>
          <cell r="H59" t="str">
            <v>Alquiler</v>
          </cell>
        </row>
        <row r="60">
          <cell r="D60" t="str">
            <v>Carpa 4 x 4</v>
          </cell>
          <cell r="E60" t="str">
            <v>Compra  Carpa 4X4 con laterales. Incluye transporte, y entrega en el lugar requerido.</v>
          </cell>
          <cell r="F60" t="str">
            <v>Unidad</v>
          </cell>
          <cell r="G60">
            <v>1</v>
          </cell>
          <cell r="H60" t="str">
            <v>Compra</v>
          </cell>
        </row>
        <row r="61">
          <cell r="D61" t="str">
            <v>Carton Cartulina Blanco x pliego</v>
          </cell>
          <cell r="E61" t="str">
            <v>Cartulina blanca 70x100 cm: Pliego de alto gramaje con superficie lisa y acabado uniforme en ambas caras.</v>
          </cell>
          <cell r="F61" t="str">
            <v>Unidad</v>
          </cell>
          <cell r="G61">
            <v>1</v>
          </cell>
          <cell r="H61" t="str">
            <v>Compra</v>
          </cell>
        </row>
        <row r="62">
          <cell r="D62" t="str">
            <v>Cartón paja octavo paquete  x 10 unidades</v>
          </cell>
          <cell r="E62" t="str">
            <v>Paquete de 10 unidades de cartón paja tamaño 1/8 (25 x 35 cm aprox.), de superficie lisa y semirrígida en color crema natural.</v>
          </cell>
          <cell r="F62" t="str">
            <v>Unidad</v>
          </cell>
          <cell r="G62">
            <v>1</v>
          </cell>
          <cell r="H62" t="str">
            <v>Compra</v>
          </cell>
        </row>
        <row r="63">
          <cell r="D63" t="str">
            <v>Cartuchera</v>
          </cell>
          <cell r="E63" t="str">
            <v>Cartuchera en lona de alta resistencia, color neutro (unisex), con dimensiones de 23 cm de ancho x 11.5 cm de alto. Incluye cierre de cremallera reforzado y garantía de 12 meses por defectos de fabricación.</v>
          </cell>
          <cell r="F63" t="str">
            <v>Unidad</v>
          </cell>
          <cell r="G63">
            <v>1</v>
          </cell>
          <cell r="H63" t="str">
            <v>Compra</v>
          </cell>
        </row>
        <row r="64">
          <cell r="D64" t="str">
            <v>Cartulina durex octavo paquete x  20 unidades</v>
          </cell>
          <cell r="E64" t="str">
            <v>Paquete de 20 láminas de cartulina Durex tamaño 1/8 (25 x 35 cm), gramaje de 140 g/m². Textura rugosa de alta absorción, color blanco natural.</v>
          </cell>
          <cell r="F64" t="str">
            <v>Unidad</v>
          </cell>
          <cell r="G64">
            <v>1</v>
          </cell>
          <cell r="H64" t="str">
            <v>Compra</v>
          </cell>
        </row>
        <row r="65">
          <cell r="D65" t="str">
            <v>Cartulina Medio Pliego</v>
          </cell>
          <cell r="E65" t="str">
            <v>Lámina de cartulina de 50 x 70 cm (medio pliego), gramaje de 180g a 220g y acabado mate uniforme.</v>
          </cell>
          <cell r="F65" t="str">
            <v>Unidad</v>
          </cell>
          <cell r="G65">
            <v>1</v>
          </cell>
          <cell r="H65" t="str">
            <v>Compra</v>
          </cell>
        </row>
        <row r="66">
          <cell r="D66" t="str">
            <v>Cartulina Papel Iris Pliegos 70×100</v>
          </cell>
          <cell r="E66" t="str">
            <v>Paquete de 10 pliegos de papel Iris de 70 x 100 cm, gramaje de 125 g/m² y colores surtidos</v>
          </cell>
          <cell r="F66" t="str">
            <v>Unidad</v>
          </cell>
          <cell r="G66">
            <v>1</v>
          </cell>
          <cell r="H66" t="str">
            <v>Compra</v>
          </cell>
        </row>
        <row r="67">
          <cell r="D67" t="str">
            <v>Cartulina por octavos paquete 50 láminas</v>
          </cell>
          <cell r="E67" t="str">
            <v>Paquete de 50 láminas de cartulina de 25 x 35 cm (1/8 de pliego), gramaje de 180g, colores surtidos o color único según requerimiento.</v>
          </cell>
          <cell r="F67" t="str">
            <v>Unidad</v>
          </cell>
          <cell r="G67">
            <v>1</v>
          </cell>
          <cell r="H67" t="str">
            <v>Compra</v>
          </cell>
        </row>
        <row r="68">
          <cell r="D68" t="str">
            <v>Certificado de participación</v>
          </cell>
          <cell r="E68" t="str">
            <v xml:space="preserve">Impresión a media carta 4 tintas en papel _x000D_
propalcote o kimberly 200 gr, tamaño 22x28 cm con nombres individuales o espacio para el mismo, refilados._x000D_
</v>
          </cell>
          <cell r="F68" t="str">
            <v>Unidad</v>
          </cell>
          <cell r="G68">
            <v>1</v>
          </cell>
          <cell r="H68" t="str">
            <v>Compra</v>
          </cell>
        </row>
        <row r="69">
          <cell r="D69" t="str">
            <v>Cinta enmascarar 48 mm x40 mt</v>
          </cell>
          <cell r="E69" t="str">
            <v>Cinta de enmascarar de alta adherencia de 48 mm (2") x 20 m</v>
          </cell>
          <cell r="F69" t="str">
            <v>Unidad</v>
          </cell>
          <cell r="G69">
            <v>1</v>
          </cell>
          <cell r="H69" t="str">
            <v>Compra</v>
          </cell>
        </row>
        <row r="70">
          <cell r="D70" t="str">
            <v>Cinta transparente gruesa</v>
          </cell>
          <cell r="E70" t="str">
            <v>Cinta de polipropileno transparente de 48 mm de ancho x 160 m de longitud, con un espesor de 1143 µm y acabado brillante. Adhesivo de alta adherencia y película resistente a la tensión.</v>
          </cell>
          <cell r="F70" t="str">
            <v>Unidad</v>
          </cell>
          <cell r="G70">
            <v>1</v>
          </cell>
          <cell r="H70" t="str">
            <v>Compra</v>
          </cell>
        </row>
        <row r="71">
          <cell r="D71" t="str">
            <v>Colores  Caja x 12 doble punta</v>
          </cell>
          <cell r="E71" t="str">
            <v>Caja de lápices de colores x 12 unidades, doble punta, de minas suaves, resistentes y fácil de afilar</v>
          </cell>
          <cell r="F71" t="str">
            <v>Unidad</v>
          </cell>
          <cell r="G71">
            <v>1</v>
          </cell>
          <cell r="H71" t="str">
            <v>Compra</v>
          </cell>
        </row>
        <row r="72">
          <cell r="D72" t="str">
            <v>Colores  Caja x 12 punta sencilla</v>
          </cell>
          <cell r="E72" t="str">
            <v>Caja de lápices de colores x 12 unidades, única punta, de minas suaves, resistentes y fácil de afilar</v>
          </cell>
          <cell r="F72" t="str">
            <v>Unidad</v>
          </cell>
          <cell r="G72">
            <v>1</v>
          </cell>
          <cell r="H72" t="str">
            <v>Compra</v>
          </cell>
        </row>
        <row r="73">
          <cell r="D73" t="str">
            <v>Crayones extra gruesos caja x 18</v>
          </cell>
          <cell r="E73" t="str">
            <v>Caja de 18 crayones de cera extragruesos (tipo jumbo), diseñados para un agarre ergonómico y alta resistencia a la ruptura. Colores intensos de trazo suave, no tóxicos.</v>
          </cell>
          <cell r="F73" t="str">
            <v>Unidad</v>
          </cell>
          <cell r="G73">
            <v>1</v>
          </cell>
          <cell r="H73" t="str">
            <v>Compra</v>
          </cell>
        </row>
        <row r="74">
          <cell r="D74" t="str">
            <v>Cuaderno 100 hojas</v>
          </cell>
          <cell r="E74" t="str">
            <v>Cuaderno argollado de 100 hojas cuadriculadas, gramaje de 60g a 75g. Carátula en cartón rígido plastificado, espiral metálico sencillo o doble</v>
          </cell>
          <cell r="F74" t="str">
            <v>Unidad</v>
          </cell>
          <cell r="G74">
            <v>1</v>
          </cell>
          <cell r="H74" t="str">
            <v>Compra</v>
          </cell>
        </row>
        <row r="75">
          <cell r="D75" t="str">
            <v>Cuaderno 5 materias</v>
          </cell>
          <cell r="E75" t="str">
            <v>Cuaderno argollado de 5 materias con hojas cuadriculadas de alto gramaje. Carátula en cartón rígido plastificado.</v>
          </cell>
          <cell r="F75" t="str">
            <v>Unidad</v>
          </cell>
          <cell r="G75">
            <v>1</v>
          </cell>
          <cell r="H75" t="str">
            <v>Compra</v>
          </cell>
        </row>
        <row r="76">
          <cell r="D76" t="str">
            <v>Desayuno</v>
          </cell>
          <cell r="E76" t="e">
            <v>#VALUE!</v>
          </cell>
          <cell r="F76" t="str">
            <v>Unidad</v>
          </cell>
          <cell r="G76">
            <v>1</v>
          </cell>
          <cell r="H76" t="str">
            <v>Compra</v>
          </cell>
        </row>
        <row r="77">
          <cell r="D77" t="str">
            <v>Escarapela  (10)</v>
          </cell>
          <cell r="E77" t="str">
            <v>Escarapela a color, impresión 4x4 tintas full color policromía en propalcote de 200 gr, tamaño 10.5x11.5 cm. Con bolsillo portaescarapela y cordón</v>
          </cell>
          <cell r="F77" t="str">
            <v>Decena</v>
          </cell>
          <cell r="G77">
            <v>1</v>
          </cell>
          <cell r="H77" t="str">
            <v>Compra</v>
          </cell>
        </row>
        <row r="78">
          <cell r="D78" t="str">
            <v>Escarapela (100)</v>
          </cell>
          <cell r="E78" t="str">
            <v>Escarapela a color, impresión 4x4 tintas full color policromía en propalcote de 200 gr, tamaño 10.5x11.5 cm. Con bolsillo portaescarapela y cordón</v>
          </cell>
          <cell r="F78" t="str">
            <v>Unidad</v>
          </cell>
          <cell r="G78">
            <v>1</v>
          </cell>
          <cell r="H78" t="str">
            <v>Compra</v>
          </cell>
        </row>
        <row r="79">
          <cell r="D79" t="str">
            <v>Escarapela (50)</v>
          </cell>
          <cell r="E79" t="str">
            <v>Escarapela a color, impresión 4x4 tintas full color policromía en propalcote de 200 gr, tamaño 10.5x11.5 cm. Con bolsillo portaescarapela y cordón</v>
          </cell>
          <cell r="F79" t="str">
            <v>Unidad</v>
          </cell>
          <cell r="G79">
            <v>1</v>
          </cell>
          <cell r="H79" t="str">
            <v>Compra</v>
          </cell>
        </row>
        <row r="80">
          <cell r="D80" t="str">
            <v xml:space="preserve">Esfero cualquier color caja x 10 </v>
          </cell>
          <cell r="E80" t="str">
            <v>Caja de 10 bolígrafos con tinta suave de baja viscosidad en colores variados. Cuerpo ergonómico transparente para control de tinta, punta de tungsteno para trazos precisos y tapa de seguridad ventilada.</v>
          </cell>
          <cell r="F80" t="str">
            <v>Unidad</v>
          </cell>
          <cell r="G80">
            <v>1</v>
          </cell>
          <cell r="H80" t="str">
            <v>Compra</v>
          </cell>
        </row>
        <row r="81">
          <cell r="D81" t="str">
            <v>Espacio Apto para 100 personas   (jornada completa más equipos audiovisuales)</v>
          </cell>
          <cell r="E81" t="str">
            <v>Espacio físico para 100 personas con baño, sillas y mesas, ubicado en la localidad de Suba, con disponibilidad de espacio exterior para desarrollo de actividades_x000D_
Dotado con equipo de computo, video beam y sonido_x000D_
Jornada de 8 horas</v>
          </cell>
          <cell r="F81" t="str">
            <v>Unidad</v>
          </cell>
          <cell r="G81">
            <v>1</v>
          </cell>
          <cell r="H81" t="str">
            <v>Alquiler</v>
          </cell>
        </row>
        <row r="82">
          <cell r="D82" t="str">
            <v>Espacio Apto para 100 personas  (media jornada más equipos audiovisuales)</v>
          </cell>
          <cell r="E82" t="str">
            <v>Espacio físico para 100 personas con baño, sillas y mesas, ubicado en la localidad de Suba, con disponibilidad de espacio exterior para desarrollo de actividades_x000D_
Dotado con equipo de computo, video beam y sonido_x000D_
Jornada de 4 horas</v>
          </cell>
          <cell r="F82" t="str">
            <v>Unidad</v>
          </cell>
          <cell r="G82">
            <v>1</v>
          </cell>
          <cell r="H82" t="str">
            <v>Alquiler</v>
          </cell>
        </row>
        <row r="83">
          <cell r="D83" t="str">
            <v>Espacio Apto para 100 personas (jornada completa)</v>
          </cell>
          <cell r="E83" t="str">
            <v>Espacio físico para 100 personas con baño, sillas y mesas, ubicado en la localidad de Suba, con disponibilidad de espacio exterior para desarrollo de actividades_x000D_
Jornada de 8 horas</v>
          </cell>
          <cell r="F83" t="str">
            <v>Unidad</v>
          </cell>
          <cell r="G83">
            <v>1</v>
          </cell>
          <cell r="H83" t="str">
            <v>Alquiler</v>
          </cell>
        </row>
        <row r="84">
          <cell r="D84" t="str">
            <v>Espacio Apto para 100 personas (media jornada)</v>
          </cell>
          <cell r="E84" t="str">
            <v>Espacio físico para 100 personas con baño, sillas y mesas, ubicado en la localidad de Suba, con disponibilidad de espacio exterior para desarrollo de actividades_x000D_
Jornada de 4 horas</v>
          </cell>
          <cell r="F84" t="str">
            <v>Unidad</v>
          </cell>
          <cell r="G84">
            <v>1</v>
          </cell>
          <cell r="H84" t="str">
            <v>Alquiler</v>
          </cell>
        </row>
        <row r="85">
          <cell r="D85" t="str">
            <v>Espacio Apto para 50 personas  (media jornada más equipos audiovisuales)</v>
          </cell>
          <cell r="E85" t="str">
            <v>Espacio físico para 50 personas con baño, sillas y mesas, ubicado en la localidad de Suba, con disponibilidad de espacio exterior para desarrollo de actividades_x000D_
Dotado con equipo de computo, video beam y sonido_x000D_
Jornada de 4 horas</v>
          </cell>
          <cell r="F85" t="str">
            <v>Unidad</v>
          </cell>
          <cell r="G85">
            <v>1</v>
          </cell>
          <cell r="H85" t="str">
            <v>Alquiler</v>
          </cell>
        </row>
        <row r="86">
          <cell r="D86" t="str">
            <v>Espacio Apto para 50 personas (jornada completa más equipos audiovisuales)</v>
          </cell>
          <cell r="E86" t="str">
            <v>Espacio físico para 50 personas con baño, sillas y mesas, ubicado en la localidad de Suba, con disponibilidad de espacio exterior para desarrollo de actividades_x000D_
Dotado con equipo de computo, video beam y sonido_x000D_
Jornada de 8 horas</v>
          </cell>
          <cell r="F86" t="str">
            <v>Unidad</v>
          </cell>
          <cell r="G86">
            <v>1</v>
          </cell>
          <cell r="H86" t="str">
            <v>Alquiler</v>
          </cell>
        </row>
        <row r="87">
          <cell r="D87" t="str">
            <v>Espacio Apto para 50 personas (jornada completa)</v>
          </cell>
          <cell r="E87" t="str">
            <v>Espacio físico para 50 personas con baño, sillas y mesas, ubicado en la localidad de Suba, con disponibilidad de espacio exterior para desarrollo de actividades_x000D_
Jornada de 8 horas</v>
          </cell>
          <cell r="F87" t="str">
            <v>Unidad</v>
          </cell>
          <cell r="G87">
            <v>1</v>
          </cell>
          <cell r="H87" t="str">
            <v>Alquiler</v>
          </cell>
        </row>
        <row r="88">
          <cell r="D88" t="str">
            <v>Espacio Apto para 50 personas (media jornada)</v>
          </cell>
          <cell r="E88" t="str">
            <v>Espacio físico para 50 personas con baño, sillas y mesas, ubicado en la localidad de Suba, con disponibilidad de espacio exterior para desarrollo de actividades_x000D_
Jornada de 4 horas</v>
          </cell>
          <cell r="F88" t="str">
            <v>Unidad</v>
          </cell>
          <cell r="G88">
            <v>1</v>
          </cell>
          <cell r="H88" t="str">
            <v>Alquiler</v>
          </cell>
        </row>
        <row r="89">
          <cell r="D89" t="str">
            <v>Estación de café tipo 1</v>
          </cell>
          <cell r="E89" t="e">
            <v>#VALUE!</v>
          </cell>
          <cell r="F89" t="str">
            <v>Servicio</v>
          </cell>
          <cell r="G89">
            <v>1</v>
          </cell>
          <cell r="H89" t="str">
            <v>Compra</v>
          </cell>
        </row>
        <row r="90">
          <cell r="D90" t="str">
            <v>Estación de café tipo 2</v>
          </cell>
          <cell r="E90" t="e">
            <v>#VALUE!</v>
          </cell>
          <cell r="F90" t="str">
            <v>Servicio</v>
          </cell>
          <cell r="G90">
            <v>1</v>
          </cell>
          <cell r="H90" t="str">
            <v>Compra</v>
          </cell>
        </row>
        <row r="91">
          <cell r="D91" t="str">
            <v>Globos de colores paquetes x 50 unidades</v>
          </cell>
          <cell r="E91" t="str">
            <v>Paquete de globos fabricados en látex natural de alta calidad, biodegradables y de gran elasticidad, tamaño R12 x 50 unidades</v>
          </cell>
          <cell r="F91" t="str">
            <v>Unidad</v>
          </cell>
          <cell r="G91">
            <v>1</v>
          </cell>
          <cell r="H91" t="str">
            <v>Compra</v>
          </cell>
        </row>
        <row r="92">
          <cell r="D92" t="str">
            <v>Gorra tela</v>
          </cell>
          <cell r="E92" t="str">
            <v xml:space="preserve">Gorra de seis (6) paneles en dril con cierre de velcro, botón forrado, en dril liviano y víscera rígida, en plástico de polietileno. cierre en plástico o velcro. </v>
          </cell>
          <cell r="F92" t="str">
            <v>Unidad</v>
          </cell>
          <cell r="G92">
            <v>1</v>
          </cell>
          <cell r="H92" t="str">
            <v>Compra</v>
          </cell>
        </row>
        <row r="93">
          <cell r="D93" t="str">
            <v>Gorra tela bordada con logo</v>
          </cell>
          <cell r="E93" t="str">
            <v>Gorra de seis (6) paneles en dril con cierre de velcro, botón forrado, en dril liviano y víscera rígida, en plástico de polietileno. cierre en plástico o velcro. bordado 1 uno al frente. Logo impreso aprobado por Oficina de Prensa del FDLS.</v>
          </cell>
          <cell r="F93" t="str">
            <v>Unidad</v>
          </cell>
          <cell r="G93">
            <v>1</v>
          </cell>
          <cell r="H93" t="str">
            <v>Compra</v>
          </cell>
        </row>
        <row r="94">
          <cell r="D94" t="str">
            <v>Gorra tela bordada institucional FDLS</v>
          </cell>
          <cell r="E94" t="e">
            <v>#VALUE!</v>
          </cell>
          <cell r="F94" t="str">
            <v>Unidad</v>
          </cell>
          <cell r="G94">
            <v>1</v>
          </cell>
          <cell r="H94" t="str">
            <v>Compra</v>
          </cell>
        </row>
        <row r="95">
          <cell r="D95" t="str">
            <v>Kit de Pinceles Mixtos (Set x 10 unidades)</v>
          </cell>
          <cell r="E95" t="str">
            <v>Set de 10 pinceles de diferentes formas (redondos, planos y de detalle) y tamaños variados. Diseñados con cerdas sintéticas suaves y resistentes, mangos de mader,a para el uso de témperas, acrílicos y vinilos.</v>
          </cell>
          <cell r="F95" t="str">
            <v>Unidad</v>
          </cell>
          <cell r="G95">
            <v>1</v>
          </cell>
          <cell r="H95" t="str">
            <v>Compra</v>
          </cell>
        </row>
        <row r="96">
          <cell r="D96" t="str">
            <v>Kit de Pinceles Profesionales Mixtos (Set x 10 unidades)</v>
          </cell>
          <cell r="E96" t="e">
            <v>#VALUE!</v>
          </cell>
          <cell r="F96" t="str">
            <v>Unidad</v>
          </cell>
          <cell r="G96">
            <v>1</v>
          </cell>
          <cell r="H96" t="str">
            <v>Compra</v>
          </cell>
        </row>
        <row r="97">
          <cell r="D97" t="str">
            <v>Lana de colores 3.5 mm para aguja crochet</v>
          </cell>
          <cell r="E97" t="str">
            <v>Lana 3.5 mm antialérgica 100% algodón (200g) Madeja de fibra natural 100% algodón antialérgico de 6 mm de grosor y un peso de 200 gramos. Hebra de textura suave y composición transpirable, disponible en gama de colores variados, para Crochet.</v>
          </cell>
          <cell r="F97" t="str">
            <v>Unidad</v>
          </cell>
          <cell r="G97">
            <v>1</v>
          </cell>
          <cell r="H97" t="str">
            <v>Compra</v>
          </cell>
        </row>
        <row r="98">
          <cell r="D98" t="str">
            <v>Lana de colores 4.5 mm para palitos crochet</v>
          </cell>
          <cell r="E98" t="str">
            <v>Lana 4.5 mm antialérgica 100% algodón (200g) Madeja de fibra natural 100% algodón antialérgico de 6 mm de grosor y un peso de 200 gramos. Hebra de textura suave y composición transpirable, disponible en gama de colores variados, para tejer con palitos.</v>
          </cell>
          <cell r="F98" t="str">
            <v>Unidad</v>
          </cell>
          <cell r="G98">
            <v>1</v>
          </cell>
          <cell r="H98" t="str">
            <v>Compra</v>
          </cell>
        </row>
        <row r="99">
          <cell r="D99" t="str">
            <v>Lana de colores 6 mm</v>
          </cell>
          <cell r="E99" t="str">
            <v>Lana 6mm antialérgica 100% algodón (200g) Madeja de fibra natural 100% algodón antialérgico de 6 mm de grosor y un peso de 200 gramos. Hebra de textura suave y composición transpirable, disponible en gama de colores variados.</v>
          </cell>
          <cell r="F99" t="str">
            <v>Unidad</v>
          </cell>
          <cell r="G99">
            <v>1</v>
          </cell>
          <cell r="H99" t="str">
            <v>Compra</v>
          </cell>
        </row>
        <row r="100">
          <cell r="D100" t="str">
            <v>Lápiz caja x 12</v>
          </cell>
          <cell r="E100" t="str">
            <v>Caja de 12 lápices de grafito graduación HB (No. 2), mina de alta resistencia y trazo suave. Cuerpo de madera de alta calidad para un tajado fácil y uniforme, ideal para escritura general, dibujo básico y uso escolar.</v>
          </cell>
          <cell r="F100" t="str">
            <v>Unidad</v>
          </cell>
          <cell r="G100">
            <v>1</v>
          </cell>
          <cell r="H100" t="str">
            <v>Compra</v>
          </cell>
        </row>
        <row r="101">
          <cell r="D101" t="str">
            <v>Lápiz Carboncillo Charcoal con pita</v>
          </cell>
          <cell r="E101" t="str">
            <v>Lápices de carboncillo fabricados en madera con mina de carboncillo comprimido. Disponibles en colores negro y mate, con un surtido de durezas que incluye graduaciones suave, media y dura.</v>
          </cell>
          <cell r="F101" t="str">
            <v>Unidad</v>
          </cell>
          <cell r="G101">
            <v>1</v>
          </cell>
          <cell r="H101" t="str">
            <v>Compra</v>
          </cell>
        </row>
        <row r="102">
          <cell r="D102" t="str">
            <v>Lápiz triangular MAE Caja x 12</v>
          </cell>
          <cell r="E102" t="str">
            <v>Caja de 12 lápices con cuerpo de forma triangular ergonómica, mina de grafito graduación HB</v>
          </cell>
          <cell r="F102" t="str">
            <v>Unidad</v>
          </cell>
          <cell r="G102">
            <v>1</v>
          </cell>
          <cell r="H102" t="str">
            <v>Compra</v>
          </cell>
        </row>
        <row r="103">
          <cell r="D103" t="str">
            <v>Lienzo con Bastidor (30 x 20 cm)</v>
          </cell>
          <cell r="E103" t="str">
            <v>Bastidor de madera con tela de 100% algodón de 163 g/m². Superficie con imprimación universal apta para técnicas de óleo y acrílico. Dimensiones: 30 x 20 cm.</v>
          </cell>
          <cell r="F103" t="str">
            <v>Unidad</v>
          </cell>
          <cell r="G103">
            <v>1</v>
          </cell>
          <cell r="H103" t="str">
            <v>Compra</v>
          </cell>
        </row>
        <row r="104">
          <cell r="D104" t="str">
            <v>Lienzo Panel Blanco (20 x 20 cm)</v>
          </cell>
          <cell r="E104" t="str">
            <v>Panel de lienzo marca Basic Langer fabricado en 100% algodón. Diseño ultra delgado con medidas de 20 x 20 x 0.5 cm, ideal para bocetos y estudios en diversas técnicas pictóricas</v>
          </cell>
          <cell r="F104" t="str">
            <v>Unidad</v>
          </cell>
          <cell r="G104">
            <v>1</v>
          </cell>
          <cell r="H104" t="str">
            <v>Compra</v>
          </cell>
        </row>
        <row r="105">
          <cell r="D105" t="str">
            <v>Marcador borrable caja x 10</v>
          </cell>
          <cell r="E105" t="str">
            <v>Caja de 10 marcadores para tablero blanco con tinta de borrado en seco, colores intensos y bajo olor. Punta acrílica de alta resistencia (redonda o biselada)</v>
          </cell>
          <cell r="F105" t="str">
            <v>Unidad</v>
          </cell>
          <cell r="G105">
            <v>1</v>
          </cell>
          <cell r="H105" t="str">
            <v>Compra</v>
          </cell>
        </row>
        <row r="106">
          <cell r="D106" t="str">
            <v xml:space="preserve">Marcador permanente caja x 10 </v>
          </cell>
          <cell r="E106" t="e">
            <v>#VALUE!</v>
          </cell>
          <cell r="F106" t="str">
            <v>Unidad</v>
          </cell>
          <cell r="G106">
            <v>1</v>
          </cell>
          <cell r="H106" t="str">
            <v>Compra</v>
          </cell>
        </row>
        <row r="107">
          <cell r="D107" t="str">
            <v>Marcadores de Alcohol Caja x 80 colores doble punta</v>
          </cell>
          <cell r="E107" t="str">
            <v>Set de 80 marcadores artísticos de punta doble (fina y biselada) con tinta a base de alcohol de secado rápido y mezcla profesional. Incluye estuche de lona con organizador interno y tapas codificadas por color y número para identificación técnica.</v>
          </cell>
          <cell r="F107" t="str">
            <v>Unidad</v>
          </cell>
          <cell r="G107">
            <v>1</v>
          </cell>
          <cell r="H107" t="str">
            <v>Compra</v>
          </cell>
        </row>
        <row r="108">
          <cell r="D108" t="str">
            <v>Memoria USB 16 GB</v>
          </cell>
          <cell r="E108" t="str">
            <v>Dispositivo de almacenamiento flash con interfaz 2.0 y cuerpo de plástico resistente o metal. Posee tapa protectora o sistema retráctil y chip de memoria de alta velocidad para transferencia de archivos. Memoria USB 16 GB</v>
          </cell>
          <cell r="F108" t="str">
            <v>Unidad</v>
          </cell>
          <cell r="G108">
            <v>1</v>
          </cell>
          <cell r="H108" t="str">
            <v>Compra</v>
          </cell>
        </row>
        <row r="109">
          <cell r="D109" t="str">
            <v>Memoria USB 8 GB</v>
          </cell>
          <cell r="E109" t="str">
            <v>Dispositivo de almacenamiento flash con interfaz 2.0 y cuerpo de plástico resistente o metal. Posee tapa protectora o sistema retráctil y chip de memoria de alta velocidad para transferencia de archivos. Memoria USB 8 GB</v>
          </cell>
          <cell r="F109" t="str">
            <v>Unidad</v>
          </cell>
          <cell r="G109">
            <v>1</v>
          </cell>
          <cell r="H109" t="str">
            <v>Compra</v>
          </cell>
        </row>
        <row r="110">
          <cell r="D110" t="str">
            <v>Mesas cuadradas</v>
          </cell>
          <cell r="E110" t="str">
            <v>Alquiler de Mesas plásticas blancas, cuadrada de 75 cms de largo X 75 cms de ancho X 70,5 cms de alto Incluye transporte, instalación y entrega en el lugar requerido.</v>
          </cell>
          <cell r="F110" t="str">
            <v>Unidad</v>
          </cell>
          <cell r="G110">
            <v>1</v>
          </cell>
          <cell r="H110" t="str">
            <v>Alquiler</v>
          </cell>
        </row>
        <row r="111">
          <cell r="D111" t="str">
            <v>Mesas portafolio</v>
          </cell>
          <cell r="E111" t="str">
            <v>Alquiler de Mesa Portafolio Plegable 180cm  x 75 cm. Incluye transporte, instalación y entrega en el lugar requerido.</v>
          </cell>
          <cell r="F111" t="str">
            <v>Unidad</v>
          </cell>
          <cell r="G111">
            <v>1</v>
          </cell>
          <cell r="H111" t="str">
            <v>Alquiler</v>
          </cell>
        </row>
        <row r="112">
          <cell r="D112" t="str">
            <v>Notas Adhesivas (Post-it) - Tamaño Mini 3 x 5 cm</v>
          </cell>
          <cell r="E112" t="str">
            <v>Paquete de 100 hojas de notas adhesivas en colores surtidos. Dimensiones mínimas de 3 x 5 cm</v>
          </cell>
          <cell r="F112" t="str">
            <v>Unidad</v>
          </cell>
          <cell r="G112">
            <v>1</v>
          </cell>
          <cell r="H112" t="str">
            <v>Compra</v>
          </cell>
        </row>
        <row r="113">
          <cell r="D113" t="str">
            <v>Notas Adhesivas (Post-it) cuadradas 5x 5 cm</v>
          </cell>
          <cell r="E113" t="str">
            <v>Bloque de 100 notas adhesivas de 5 x 5 cm (2" x 2"), fabricadas en papel de alto gramaje con acabado mate.</v>
          </cell>
          <cell r="F113" t="str">
            <v>Unidad</v>
          </cell>
          <cell r="G113">
            <v>1</v>
          </cell>
          <cell r="H113" t="str">
            <v>Compra</v>
          </cell>
        </row>
        <row r="114">
          <cell r="D114" t="str">
            <v>Octavos cartulina paquete  x 50 unidades</v>
          </cell>
          <cell r="E114" t="str">
            <v>Paquete que contiene 50 unidades de cartulina de colores surtidos, o blanca cortadas en tamaño de octavo de pliego (aprox. 25 x 35 cm).</v>
          </cell>
          <cell r="F114" t="str">
            <v>Unidad</v>
          </cell>
          <cell r="G114">
            <v>1</v>
          </cell>
          <cell r="H114" t="str">
            <v>Compra</v>
          </cell>
        </row>
        <row r="115">
          <cell r="D115" t="str">
            <v>Ovillos de lana matizada 100 gr</v>
          </cell>
          <cell r="E115" t="str">
            <v>Ovillo de lana de 100 gramos con acabado matizado, colores variados</v>
          </cell>
          <cell r="F115" t="str">
            <v>Unidad</v>
          </cell>
          <cell r="G115">
            <v>1</v>
          </cell>
          <cell r="H115" t="str">
            <v>Compra</v>
          </cell>
        </row>
        <row r="116">
          <cell r="D116" t="str">
            <v>Paletas para pintar</v>
          </cell>
          <cell r="E116" t="str">
            <v>Paleta plástica para pintar. Plástico resistente, lavable y ligero. Redonda o rectangular con cavidades para mezclar. Aprox. 20 a 25 cm de diámetro/largo.</v>
          </cell>
          <cell r="F116" t="str">
            <v>Unidad</v>
          </cell>
          <cell r="G116">
            <v>1</v>
          </cell>
          <cell r="H116" t="str">
            <v>Compra</v>
          </cell>
        </row>
        <row r="117">
          <cell r="D117" t="str">
            <v>Palos de paleta paquetes x100 unidades</v>
          </cell>
          <cell r="E117" t="str">
            <v>Paquete de 100 unidades de palos de madera natural pulida de tamaño mediano. Dimensiones  11,5 cm de largo por 1 cm de ancho, diseñadas con bordes redondeados y una superficie lisa libre de astillas. Material seguro y biodegradable</v>
          </cell>
          <cell r="F117" t="str">
            <v>Unidad</v>
          </cell>
          <cell r="G117">
            <v>1</v>
          </cell>
          <cell r="H117" t="str">
            <v>Compra</v>
          </cell>
        </row>
        <row r="118">
          <cell r="D118" t="str">
            <v>Palos de pincho paquete x 100 unidades</v>
          </cell>
          <cell r="E118" t="str">
            <v>Palos de pincho 25 cm paquete x 100 unidades</v>
          </cell>
          <cell r="F118" t="str">
            <v>Unidad</v>
          </cell>
          <cell r="G118">
            <v>1</v>
          </cell>
          <cell r="H118" t="str">
            <v>Compra</v>
          </cell>
        </row>
        <row r="119">
          <cell r="D119" t="str">
            <v>Papel bifaz textil rollo</v>
          </cell>
          <cell r="E119" t="str">
            <v>Rollo de papel termoadhesivo bifaz para aplicaciones textiles, disponible en calibre 10 o 12. Dimensiones de 48 cm de ancho por 10 metros de largo.</v>
          </cell>
          <cell r="F119" t="str">
            <v>Unidad</v>
          </cell>
          <cell r="G119">
            <v>1</v>
          </cell>
          <cell r="H119" t="str">
            <v>Compra</v>
          </cell>
        </row>
        <row r="120">
          <cell r="D120" t="str">
            <v>Papel Crepe pliego</v>
          </cell>
          <cell r="E120" t="str">
            <v>Lámina de papel crepé de 50 x 70 cm (medida estándar de pliego).</v>
          </cell>
          <cell r="F120" t="str">
            <v>Unidad</v>
          </cell>
          <cell r="G120">
            <v>1</v>
          </cell>
          <cell r="H120" t="str">
            <v>Compra</v>
          </cell>
        </row>
        <row r="121">
          <cell r="D121" t="str">
            <v xml:space="preserve">Papel kraft  rollo </v>
          </cell>
          <cell r="E121" t="str">
            <v>Rollo de papel kraft con un ancho de 24 pulgadas (aprox. 61 cm) y una longitud de 150 metros. Con un gramaje de 60 g/m²</v>
          </cell>
          <cell r="F121" t="str">
            <v>Unidad</v>
          </cell>
          <cell r="G121">
            <v>1</v>
          </cell>
          <cell r="H121" t="str">
            <v>Compra</v>
          </cell>
        </row>
        <row r="122">
          <cell r="D122" t="str">
            <v>Papel Kraft (Paquete x 25 Pliegos)</v>
          </cell>
          <cell r="E122" t="str">
            <v>Paquete de papel kraft de alta resistencia y gramaje uniforme, que contiene 25 pliegos de 100 cm x 70 cm cada uno</v>
          </cell>
          <cell r="F122" t="str">
            <v>Unidad</v>
          </cell>
          <cell r="G122">
            <v>1</v>
          </cell>
          <cell r="H122" t="str">
            <v>Compra</v>
          </cell>
        </row>
        <row r="123">
          <cell r="D123" t="str">
            <v>Papel Kraft Pliego</v>
          </cell>
          <cell r="E123" t="str">
            <v>Paquete de papel kraft de alta resistencia y gramaje uniforme, medidas 100 cm x 70 cm cada uno</v>
          </cell>
          <cell r="F123" t="str">
            <v>Unidad</v>
          </cell>
          <cell r="G123">
            <v>1</v>
          </cell>
          <cell r="H123" t="str">
            <v>Compra</v>
          </cell>
        </row>
        <row r="124">
          <cell r="D124" t="str">
            <v>Papel periódico x pliego</v>
          </cell>
          <cell r="E124" t="str">
            <v>Papel Periódico 48 Gr Pliego De 70x100cm Acabado Mate *25</v>
          </cell>
          <cell r="F124" t="str">
            <v>Unidad</v>
          </cell>
          <cell r="G124">
            <v>1</v>
          </cell>
          <cell r="H124" t="str">
            <v>Compra</v>
          </cell>
        </row>
        <row r="125">
          <cell r="D125" t="str">
            <v>Pegante  en barra 40 gr.</v>
          </cell>
          <cell r="E125" t="str">
            <v>Adhesivo sólido en barra de 40 gramos, formulado para un secado rápido y limpio. Producto no tóxico, lavable y libre de solventes</v>
          </cell>
          <cell r="F125" t="str">
            <v>Unidad</v>
          </cell>
          <cell r="G125">
            <v>1</v>
          </cell>
          <cell r="H125" t="str">
            <v>Compra</v>
          </cell>
        </row>
        <row r="126">
          <cell r="D126" t="str">
            <v>Pegante liquido por 1.000 cc</v>
          </cell>
          <cell r="E126" t="str">
            <v>Colbon-Pegante-Liquido-UniversalVolumen de la unidad 1.000 cc Con Tapa dosificadora - esparcidora con  cierre anti secado, no deja arrugas, lavable e inofensivo a la piel.  Coloreable en cualquier pigmento</v>
          </cell>
          <cell r="F126" t="str">
            <v>Unidad</v>
          </cell>
          <cell r="G126">
            <v>1</v>
          </cell>
          <cell r="H126" t="str">
            <v>Compra</v>
          </cell>
        </row>
        <row r="127">
          <cell r="D127" t="str">
            <v>Pegante liquido por 225 cc</v>
          </cell>
          <cell r="E127" t="str">
            <v>Colbon-Pegante-Liquido-UniversalVolumen de la unidad 225 cc Con Tapa dosificadora - esparcidora con  cierre anti secado, no deja arrugas, lavable e inofensivo a la piel.  Coloreable en cualquier pigmento</v>
          </cell>
          <cell r="F127" t="str">
            <v>Unidad</v>
          </cell>
          <cell r="G127">
            <v>1</v>
          </cell>
          <cell r="H127" t="str">
            <v>Compra</v>
          </cell>
        </row>
        <row r="128">
          <cell r="D128" t="str">
            <v>Pendón Araña</v>
          </cell>
          <cell r="E128" t="str">
            <v>Gráfica impresa en gran formato 4x0 en lona o PVC con medidas de 1mt x 2 mts, con estructura en aluminio.</v>
          </cell>
          <cell r="F128" t="str">
            <v>Unidad</v>
          </cell>
          <cell r="G128">
            <v>1</v>
          </cell>
          <cell r="H128" t="str">
            <v>Compra</v>
          </cell>
        </row>
        <row r="129">
          <cell r="D129" t="str">
            <v>Pendón con tubos</v>
          </cell>
          <cell r="E129" t="str">
            <v>Gráfica impresa en gran formato 4x0 en lona o PVC con medidas de 1mt x 2 mts, con tubo superior e inferior</v>
          </cell>
          <cell r="F129" t="str">
            <v>Unidad</v>
          </cell>
          <cell r="G129">
            <v>1</v>
          </cell>
          <cell r="H129" t="str">
            <v>Compra</v>
          </cell>
        </row>
        <row r="130">
          <cell r="D130" t="str">
            <v>Pendón Enrollable o Roll -Up</v>
          </cell>
          <cell r="E130" t="str">
            <v>Gráfica impresa en gran formato 4x0 en lona o PVC con medidas de 1mt x 2 mts con base de aluminio y estuche que permite almacenarlo y transportarlo</v>
          </cell>
          <cell r="F130" t="str">
            <v>Unidad</v>
          </cell>
          <cell r="G130">
            <v>1</v>
          </cell>
          <cell r="H130" t="str">
            <v>Compra</v>
          </cell>
        </row>
        <row r="131">
          <cell r="D131" t="str">
            <v>Pin cuadrado</v>
          </cell>
          <cell r="E131" t="str">
            <v xml:space="preserve">Pin cuadrado 2cm x cm_x000D_
Material aluminio o acero inoxidable_x000D_
Cierre mariposa en el mismo material del pin_x000D_
Diseño personalizado 4x0 </v>
          </cell>
          <cell r="F131" t="str">
            <v>Unidad</v>
          </cell>
          <cell r="G131">
            <v>1</v>
          </cell>
          <cell r="H131" t="str">
            <v>Compra</v>
          </cell>
        </row>
        <row r="132">
          <cell r="D132" t="str">
            <v>Pin rectangular</v>
          </cell>
          <cell r="E132" t="str">
            <v xml:space="preserve">Pin rectangular 24mm x 18 mm
Material aluminio o acero inoxidable
Cierre mariposa en el mismo material del pin
Diseño personalizado 4x0 </v>
          </cell>
          <cell r="F132" t="str">
            <v>Unidad</v>
          </cell>
          <cell r="G132">
            <v>1</v>
          </cell>
          <cell r="H132" t="str">
            <v>Compra</v>
          </cell>
        </row>
        <row r="133">
          <cell r="D133" t="str">
            <v>Pin redondo</v>
          </cell>
          <cell r="E133" t="str">
            <v xml:space="preserve">Pin redondo diámetro 20 mm_x000D_
Material aluminio o acero inoxidable_x000D_
Cierre mariposa en el mismo material del pin_x000D_
Diseño personalizado 4x0 </v>
          </cell>
          <cell r="F133" t="str">
            <v>Unidad</v>
          </cell>
          <cell r="G133">
            <v>1</v>
          </cell>
          <cell r="H133" t="str">
            <v>Compra</v>
          </cell>
        </row>
        <row r="134">
          <cell r="D134" t="str">
            <v>Pinceles finger max</v>
          </cell>
          <cell r="E134" t="str">
            <v>Elemento de motricidad fina diseñado para incentivar la pinza y facilitar el proceso de dibujo y trazos.  Ideal para estimulación temprana y expresión artística inicial. Elaborado en caucho PVC resistente.Tallas: Small y Medium.</v>
          </cell>
          <cell r="F134" t="str">
            <v>Unidad</v>
          </cell>
          <cell r="G134">
            <v>1</v>
          </cell>
          <cell r="H134" t="str">
            <v>Compra</v>
          </cell>
        </row>
        <row r="135">
          <cell r="D135" t="str">
            <v>Pintura acrílica  de colores variados por  1.000 ml</v>
          </cell>
          <cell r="E135" t="str">
            <v>Pintura acrílica 1.000 ml: Presentación en frasco mediano con tapa de rosca, consistencia espesa y alta concentración de pigmento, colores variados</v>
          </cell>
          <cell r="F135" t="str">
            <v>Unidad</v>
          </cell>
          <cell r="G135">
            <v>1</v>
          </cell>
          <cell r="H135" t="str">
            <v>Compra</v>
          </cell>
        </row>
        <row r="136">
          <cell r="D136" t="str">
            <v>Pintura acrílica  de colores variados por  500 ml</v>
          </cell>
          <cell r="E136" t="str">
            <v>Pintura acrílica 500 ml: Presentación en frasco mediano con tapa de rosca, consistencia espesa y alta concentración de pigmento, colores variados</v>
          </cell>
          <cell r="F136" t="str">
            <v>Unidad</v>
          </cell>
          <cell r="G136">
            <v>1</v>
          </cell>
          <cell r="H136" t="str">
            <v>Compra</v>
          </cell>
        </row>
        <row r="137">
          <cell r="D137" t="str">
            <v>Plumones colores variados  x 12</v>
          </cell>
          <cell r="E137" t="str">
            <v>Plumones: Estuche de 12 unidades en colores surtidos con tapa ventilada antiasfixia. Tinta lavable a base de agua de larga duración y cuerpo redondo ergonómico</v>
          </cell>
          <cell r="F137" t="str">
            <v>Unidad</v>
          </cell>
          <cell r="G137">
            <v>1</v>
          </cell>
          <cell r="H137" t="str">
            <v>Compra</v>
          </cell>
        </row>
        <row r="138">
          <cell r="D138" t="str">
            <v>Porcelanicrón por 500 gr</v>
          </cell>
          <cell r="E138" t="str">
            <v>Masa de modelado 500 g: Paquete sellado al vacío con textura suave, flexible y color blanco translúcido. Composición homogénea de secado al aire sin necesidad de horneado</v>
          </cell>
          <cell r="F138" t="str">
            <v>Unidad</v>
          </cell>
          <cell r="G138">
            <v>1</v>
          </cell>
          <cell r="H138" t="str">
            <v>Compra</v>
          </cell>
        </row>
        <row r="139">
          <cell r="D139" t="str">
            <v>Refrigerio Especial</v>
          </cell>
          <cell r="E139" t="e">
            <v>#VALUE!</v>
          </cell>
          <cell r="F139" t="str">
            <v>Unidad</v>
          </cell>
          <cell r="G139">
            <v>1</v>
          </cell>
          <cell r="H139" t="str">
            <v>Compra</v>
          </cell>
        </row>
        <row r="140">
          <cell r="D140" t="str">
            <v>Refrigerio para deportista</v>
          </cell>
          <cell r="E140" t="e">
            <v>#VALUE!</v>
          </cell>
          <cell r="F140" t="str">
            <v>Unidad</v>
          </cell>
          <cell r="G140">
            <v>1</v>
          </cell>
          <cell r="H140" t="str">
            <v>Compra</v>
          </cell>
        </row>
        <row r="141">
          <cell r="D141" t="str">
            <v>Refrigerio Tipo 1</v>
          </cell>
          <cell r="E141" t="e">
            <v>#VALUE!</v>
          </cell>
          <cell r="F141" t="str">
            <v>Unidad</v>
          </cell>
          <cell r="G141">
            <v>1</v>
          </cell>
          <cell r="H141" t="str">
            <v>Compra</v>
          </cell>
        </row>
        <row r="142">
          <cell r="D142" t="str">
            <v>Resma hoja blanca tamaño carta</v>
          </cell>
          <cell r="E142" t="str">
            <v>Resma de papel bond tamaño carta: Paquete de 500 hojas de 75 gr</v>
          </cell>
          <cell r="F142" t="str">
            <v>Unidad</v>
          </cell>
          <cell r="G142">
            <v>1</v>
          </cell>
          <cell r="H142" t="str">
            <v>Compra</v>
          </cell>
        </row>
        <row r="143">
          <cell r="D143" t="str">
            <v>Resma hoja blanca tamaño oficio </v>
          </cell>
          <cell r="E143" t="str">
            <v>Resma de papel bond tamaño oficio: Paquete de 500 hojas de 75 g</v>
          </cell>
          <cell r="F143" t="str">
            <v>Unidad</v>
          </cell>
          <cell r="G143">
            <v>1</v>
          </cell>
          <cell r="H143" t="str">
            <v>Compra</v>
          </cell>
        </row>
        <row r="144">
          <cell r="D144" t="str">
            <v>Retablo de madera de 2mt x 1mt</v>
          </cell>
          <cell r="E144" t="str">
            <v>Retablo de madera de 2mt x 1mt. Madera aglomerada o triplex con superficie lisa.
Soporte en marco de madera resistente.</v>
          </cell>
          <cell r="F144" t="str">
            <v>Unidad</v>
          </cell>
          <cell r="G144">
            <v>1</v>
          </cell>
          <cell r="H144" t="str">
            <v>Compra</v>
          </cell>
        </row>
        <row r="145">
          <cell r="D145" t="str">
            <v xml:space="preserve">Sacapuntas caja x 12u </v>
          </cell>
          <cell r="E145" t="str">
            <v>Caja de 12 sacapuntas metálicos de alta resistencia con cuerpo de aleación de magnesio y cuchilla de acero al carbono.</v>
          </cell>
          <cell r="F145" t="str">
            <v>Unidad</v>
          </cell>
          <cell r="G145">
            <v>1</v>
          </cell>
          <cell r="H145" t="str">
            <v>Compra</v>
          </cell>
        </row>
        <row r="146">
          <cell r="D146" t="str">
            <v>Servicio de lechona para evento</v>
          </cell>
          <cell r="E146" t="e">
            <v>#VALUE!</v>
          </cell>
          <cell r="F146" t="str">
            <v>Servicio</v>
          </cell>
          <cell r="G146">
            <v>1</v>
          </cell>
          <cell r="H146" t="str">
            <v>Compra</v>
          </cell>
        </row>
        <row r="147">
          <cell r="D147" t="str">
            <v>Servicio de transporte zona Rural de la localidad de Suba para  10 personas por jornada</v>
          </cell>
          <cell r="E147" t="e">
            <v>#VALUE!</v>
          </cell>
          <cell r="F147" t="str">
            <v>Servicio</v>
          </cell>
          <cell r="G147">
            <v>1</v>
          </cell>
          <cell r="H147" t="str">
            <v>Alquiler</v>
          </cell>
        </row>
        <row r="148">
          <cell r="D148" t="str">
            <v>Servicio de transporte zona Rural de la localidad de Suba para  10 personas por trayecto</v>
          </cell>
          <cell r="E148" t="e">
            <v>#VALUE!</v>
          </cell>
          <cell r="F148" t="str">
            <v>Servicio</v>
          </cell>
          <cell r="G148">
            <v>1</v>
          </cell>
          <cell r="H148" t="str">
            <v>Alquiler</v>
          </cell>
        </row>
        <row r="149">
          <cell r="D149" t="str">
            <v>Servicio de transporte zona Rural de la localidad de Suba para  16 a 30 personas por jornada</v>
          </cell>
          <cell r="E149" t="e">
            <v>#VALUE!</v>
          </cell>
          <cell r="F149" t="str">
            <v>Servicio</v>
          </cell>
          <cell r="G149">
            <v>1</v>
          </cell>
          <cell r="H149" t="str">
            <v>Alquiler</v>
          </cell>
        </row>
        <row r="150">
          <cell r="D150" t="str">
            <v>Servicio de transporte zona Rural de la localidad de Suba para  16 a 30 personas por trayecto</v>
          </cell>
          <cell r="E150" t="e">
            <v>#VALUE!</v>
          </cell>
          <cell r="F150" t="str">
            <v>Servicio</v>
          </cell>
          <cell r="G150">
            <v>1</v>
          </cell>
          <cell r="H150" t="str">
            <v>Alquiler</v>
          </cell>
        </row>
        <row r="151">
          <cell r="D151" t="str">
            <v>Servicio de transporte zona Rural de la localidad de Suba para  40 personas por jornada</v>
          </cell>
          <cell r="E151" t="e">
            <v>#VALUE!</v>
          </cell>
          <cell r="F151" t="str">
            <v>Servicio</v>
          </cell>
          <cell r="G151">
            <v>1</v>
          </cell>
          <cell r="H151" t="str">
            <v>Alquiler</v>
          </cell>
        </row>
        <row r="152">
          <cell r="D152" t="str">
            <v>Servicio de transporte zona Rural de la localidad de Suba para  40 personas por trayecto</v>
          </cell>
          <cell r="E152" t="e">
            <v>#VALUE!</v>
          </cell>
          <cell r="F152" t="str">
            <v>Servicio</v>
          </cell>
          <cell r="G152">
            <v>1</v>
          </cell>
          <cell r="H152" t="str">
            <v>Alquiler</v>
          </cell>
        </row>
        <row r="153">
          <cell r="D153" t="str">
            <v>Servicio de transporte zona Urbana de la localidad de Suba para  10 personas por jornada</v>
          </cell>
          <cell r="E153" t="e">
            <v>#VALUE!</v>
          </cell>
          <cell r="F153" t="str">
            <v>Unidad</v>
          </cell>
          <cell r="G153">
            <v>1</v>
          </cell>
          <cell r="H153" t="str">
            <v>Compra</v>
          </cell>
        </row>
        <row r="154">
          <cell r="D154" t="str">
            <v>Servicio de transporte zona Urbana de la localidad de Suba para  10 personas por trayecto</v>
          </cell>
          <cell r="E154" t="e">
            <v>#VALUE!</v>
          </cell>
          <cell r="F154" t="str">
            <v>Servicio</v>
          </cell>
          <cell r="G154">
            <v>1</v>
          </cell>
          <cell r="H154" t="str">
            <v>Alquiler</v>
          </cell>
        </row>
        <row r="155">
          <cell r="D155" t="str">
            <v>Servicio de transporte zona Urbana de la localidad de Suba para  16  a 30 personas por trayecto</v>
          </cell>
          <cell r="E155" t="e">
            <v>#VALUE!</v>
          </cell>
          <cell r="F155" t="str">
            <v>Servicio</v>
          </cell>
          <cell r="G155">
            <v>1</v>
          </cell>
          <cell r="H155" t="str">
            <v>Alquiler</v>
          </cell>
        </row>
        <row r="156">
          <cell r="D156" t="str">
            <v>Servicio de transporte zona Urbana de la localidad de Suba para  16 a 30 personas por jornada</v>
          </cell>
          <cell r="E156" t="e">
            <v>#VALUE!</v>
          </cell>
          <cell r="F156" t="str">
            <v>Servicio</v>
          </cell>
          <cell r="G156">
            <v>1</v>
          </cell>
          <cell r="H156" t="str">
            <v>Alquiler</v>
          </cell>
        </row>
        <row r="157">
          <cell r="D157" t="str">
            <v>Servicio de transporte zona Urbana de la localidad de Suba para  40 personas por jornada</v>
          </cell>
          <cell r="E157" t="e">
            <v>#VALUE!</v>
          </cell>
          <cell r="F157" t="str">
            <v>Servicio</v>
          </cell>
          <cell r="G157">
            <v>1</v>
          </cell>
          <cell r="H157" t="str">
            <v>Alquiler</v>
          </cell>
        </row>
        <row r="158">
          <cell r="D158" t="str">
            <v>Servicio de transporte zona Urbana de la localidad de Suba para  40 personas por trayecto</v>
          </cell>
          <cell r="E158" t="e">
            <v>#VALUE!</v>
          </cell>
          <cell r="F158" t="str">
            <v>Servicio</v>
          </cell>
          <cell r="G158">
            <v>1</v>
          </cell>
          <cell r="H158" t="str">
            <v>Alquiler</v>
          </cell>
        </row>
        <row r="159">
          <cell r="D159" t="str">
            <v>Silicona en Barra Delgada (7 mm) paquete   x 12 unidades</v>
          </cell>
          <cell r="E159" t="str">
            <v>Paquete de barras de silicona de diámetro delgado (7 mm) y 20 cm de largo. Elaborada con resina de alta transparencia y adherencia rápida, diseñada para pistolas de calor estándar x 12 unidades</v>
          </cell>
          <cell r="F159" t="str">
            <v>Unidad</v>
          </cell>
          <cell r="G159">
            <v>1</v>
          </cell>
          <cell r="H159" t="str">
            <v>Compra</v>
          </cell>
        </row>
        <row r="160">
          <cell r="D160" t="str">
            <v>Silicona en Barra Gruesa  (12 mm) paquete x 12 unidades</v>
          </cell>
          <cell r="E160" t="str">
            <v>Paquete de barras de silicona de diámetro delgado (12 mm) y 20 cm de largo. Elaborada con resina de alta transparencia y adherencia rápida, diseñada para pistolas de calor estándar x 12 unidades</v>
          </cell>
          <cell r="F160" t="str">
            <v>Unidad</v>
          </cell>
          <cell r="G160">
            <v>1</v>
          </cell>
          <cell r="H160" t="str">
            <v>Compra</v>
          </cell>
        </row>
        <row r="161">
          <cell r="D161" t="str">
            <v>Sobres para carta</v>
          </cell>
          <cell r="E161" t="str">
            <v>Sobres para carta DL (110 x 220 mm) paquete x 100</v>
          </cell>
          <cell r="F161" t="str">
            <v>Unidad</v>
          </cell>
          <cell r="G161">
            <v>1</v>
          </cell>
          <cell r="H161" t="str">
            <v>Compra</v>
          </cell>
        </row>
        <row r="162">
          <cell r="D162" t="str">
            <v>Sonido 1000 w 6 a 8 horas</v>
          </cell>
          <cell r="E162" t="str">
            <v>Alquiler de Sonido de 1000 watios con operario por un periodo de 6 a 8 horas 2 cabinas de sonido, 2 trípodes para cabinas, sistema de monitoreo, set de micrófono, 1 consola de sonido.</v>
          </cell>
          <cell r="F162" t="str">
            <v>Unidad</v>
          </cell>
          <cell r="G162">
            <v>1</v>
          </cell>
          <cell r="H162" t="str">
            <v>Alquiler</v>
          </cell>
        </row>
        <row r="163">
          <cell r="D163" t="str">
            <v>Sonido 1000 w 8 a 12 horas</v>
          </cell>
          <cell r="E163" t="str">
            <v>Alquiler de Sonido de 1000 watios con operario por un periodo de 8 a 12 horas 2 cabinas de sonido, 2 trípodes para cabinas, sistema de monitoreo, set de micrófono, 1 consola de sonido.</v>
          </cell>
          <cell r="F163" t="str">
            <v>Unidad</v>
          </cell>
          <cell r="G163">
            <v>1</v>
          </cell>
          <cell r="H163" t="str">
            <v>Alquiler</v>
          </cell>
        </row>
        <row r="164">
          <cell r="D164" t="str">
            <v>Sonido 2000 w 6 a 8 horas</v>
          </cell>
          <cell r="E164" t="str">
            <v>Alquiler de Sonido de 2000 watios con operario por un periodo de 6 a 8 horas 2 cabinas de sonido, 2 trípodes para cabinas, sistema de monitoreo, set de micrófono, 1 consola de sonido.</v>
          </cell>
          <cell r="F164" t="str">
            <v>Unidad</v>
          </cell>
          <cell r="G164">
            <v>1</v>
          </cell>
          <cell r="H164" t="str">
            <v>Alquiler</v>
          </cell>
        </row>
        <row r="165">
          <cell r="D165" t="str">
            <v>Sonido 2000 w 8 a 12 horas</v>
          </cell>
          <cell r="E165" t="str">
            <v>Alquiler de Sonido de 2000 watios con operario por un periodo de 8 a 12 horas 2 cabinas de sonido, 2 trípodes para cabinas, sistema de monitoreo, set de micrófono, 1 consola de sonido.</v>
          </cell>
          <cell r="F165" t="str">
            <v>Unidad</v>
          </cell>
          <cell r="G165">
            <v>1</v>
          </cell>
          <cell r="H165" t="str">
            <v>Alquiler</v>
          </cell>
        </row>
        <row r="166">
          <cell r="D166" t="str">
            <v>Sonido 2000 w completo 8 a 12 horas</v>
          </cell>
          <cell r="E166" t="e">
            <v>#VALUE!</v>
          </cell>
          <cell r="F166" t="str">
            <v>Unidad</v>
          </cell>
          <cell r="G166">
            <v>1</v>
          </cell>
          <cell r="H166" t="str">
            <v>Alquiler</v>
          </cell>
        </row>
        <row r="167">
          <cell r="D167" t="str">
            <v>SUGA</v>
          </cell>
          <cell r="E167" t="str">
            <v>Tramite gestion interinstituciomnal suga de alta complejidad para plan de contingencia</v>
          </cell>
          <cell r="F167" t="str">
            <v>Servicio</v>
          </cell>
          <cell r="G167">
            <v>1</v>
          </cell>
          <cell r="H167" t="str">
            <v>Prestaión de Servicio</v>
          </cell>
        </row>
        <row r="168">
          <cell r="D168" t="str">
            <v>SUGA</v>
          </cell>
          <cell r="E168" t="str">
            <v>Tramite gestion interinstituciomnal suga de baja complejidad para plan de contingencia</v>
          </cell>
          <cell r="F168" t="str">
            <v>Servicio</v>
          </cell>
          <cell r="G168">
            <v>1</v>
          </cell>
          <cell r="H168" t="str">
            <v>Prestaión de Servicio</v>
          </cell>
        </row>
        <row r="169">
          <cell r="D169" t="str">
            <v>SUGA</v>
          </cell>
          <cell r="E169" t="str">
            <v>Tramite gestion interinstituciomnal suga de media complejidad complejidad para plan de contingencia</v>
          </cell>
          <cell r="F169" t="str">
            <v>Servicio</v>
          </cell>
          <cell r="G169">
            <v>1</v>
          </cell>
          <cell r="H169" t="str">
            <v>Prestaión de Servicio</v>
          </cell>
        </row>
        <row r="170">
          <cell r="D170" t="str">
            <v>Tabla de Apoyo o Portapapeles (Tamaño Oficio)</v>
          </cell>
          <cell r="E170" t="str">
            <v>Tabla de Apoyo o Portapapeles (Tamaño Oficio)</v>
          </cell>
          <cell r="F170" t="str">
            <v>Unidad</v>
          </cell>
          <cell r="G170">
            <v>1</v>
          </cell>
          <cell r="H170" t="str">
            <v>Compra</v>
          </cell>
        </row>
        <row r="171">
          <cell r="D171" t="str">
            <v>Tablero acrílico</v>
          </cell>
          <cell r="E171" t="str">
            <v>Tablero acrílico con base trípode caballete metálico medida trípode 150cm de alto , medidas tablero 120x80cm</v>
          </cell>
          <cell r="F171" t="str">
            <v>Unidad</v>
          </cell>
          <cell r="G171">
            <v>1</v>
          </cell>
          <cell r="H171" t="str">
            <v>Compra</v>
          </cell>
        </row>
        <row r="172">
          <cell r="D172" t="str">
            <v>Tarima 12 x 12 Jornada completa</v>
          </cell>
          <cell r="E172" t="e">
            <v>#VALUE!</v>
          </cell>
          <cell r="F172" t="str">
            <v>Unidad</v>
          </cell>
          <cell r="G172">
            <v>1</v>
          </cell>
          <cell r="H172" t="str">
            <v>Alquiler</v>
          </cell>
        </row>
        <row r="173">
          <cell r="D173" t="str">
            <v>Tarima 12 x 12 Media Jornada</v>
          </cell>
          <cell r="E173" t="e">
            <v>#VALUE!</v>
          </cell>
          <cell r="F173" t="str">
            <v>Unidad</v>
          </cell>
          <cell r="G173">
            <v>1</v>
          </cell>
          <cell r="H173" t="str">
            <v>Alquiler</v>
          </cell>
        </row>
        <row r="174">
          <cell r="D174" t="str">
            <v xml:space="preserve">Tarima 3 x 3 Jornada completa_x000D_
</v>
          </cell>
          <cell r="E174" t="e">
            <v>#VALUE!</v>
          </cell>
          <cell r="F174" t="str">
            <v>Unidad</v>
          </cell>
          <cell r="G174">
            <v>1</v>
          </cell>
          <cell r="H174" t="str">
            <v>Alquiler</v>
          </cell>
        </row>
        <row r="175">
          <cell r="D175" t="str">
            <v xml:space="preserve">Tarima 3 x 3 Media Jornada_x000D_
</v>
          </cell>
          <cell r="E175" t="e">
            <v>#VALUE!</v>
          </cell>
          <cell r="F175" t="str">
            <v>Unidad</v>
          </cell>
          <cell r="G175">
            <v>1</v>
          </cell>
          <cell r="H175" t="str">
            <v>Alquiler</v>
          </cell>
        </row>
        <row r="176">
          <cell r="D176" t="str">
            <v>Tarima 4 x 4  Media Jornada</v>
          </cell>
          <cell r="E176" t="e">
            <v>#VALUE!</v>
          </cell>
          <cell r="F176" t="str">
            <v>Unidad</v>
          </cell>
          <cell r="G176">
            <v>1</v>
          </cell>
          <cell r="H176" t="str">
            <v>Alquiler</v>
          </cell>
        </row>
        <row r="177">
          <cell r="D177" t="str">
            <v>Tarima 4 x 4 Jornada Completa</v>
          </cell>
          <cell r="E177" t="e">
            <v>#VALUE!</v>
          </cell>
          <cell r="F177" t="str">
            <v>Unidad</v>
          </cell>
          <cell r="G177">
            <v>1</v>
          </cell>
          <cell r="H177" t="str">
            <v>Alquiler</v>
          </cell>
        </row>
        <row r="178">
          <cell r="D178" t="str">
            <v xml:space="preserve">Tarima 6 x 6 Jornada completa_x000D_
</v>
          </cell>
          <cell r="E178" t="e">
            <v>#VALUE!</v>
          </cell>
          <cell r="F178" t="str">
            <v>Unidad</v>
          </cell>
          <cell r="G178">
            <v>1</v>
          </cell>
          <cell r="H178" t="str">
            <v>Alquiler</v>
          </cell>
        </row>
        <row r="179">
          <cell r="D179" t="str">
            <v xml:space="preserve">Tarima 6 x 6 Media Jornada_x000D_
</v>
          </cell>
          <cell r="E179" t="e">
            <v>#VALUE!</v>
          </cell>
          <cell r="F179" t="str">
            <v>Unidad</v>
          </cell>
          <cell r="G179">
            <v>1</v>
          </cell>
          <cell r="H179" t="str">
            <v>Alquiler</v>
          </cell>
        </row>
        <row r="180">
          <cell r="D180" t="str">
            <v>Tarima 9 x 9  Media Jornada</v>
          </cell>
          <cell r="E180" t="e">
            <v>#VALUE!</v>
          </cell>
          <cell r="F180" t="str">
            <v>Unidad</v>
          </cell>
          <cell r="G180">
            <v>1</v>
          </cell>
          <cell r="H180" t="str">
            <v>Alquiler</v>
          </cell>
        </row>
        <row r="181">
          <cell r="D181" t="str">
            <v>Tarima 9 x 9 Jornada completa</v>
          </cell>
          <cell r="E181" t="e">
            <v>#VALUE!</v>
          </cell>
          <cell r="F181" t="str">
            <v>Unidad</v>
          </cell>
          <cell r="G181">
            <v>1</v>
          </cell>
          <cell r="H181" t="str">
            <v>Alquiler</v>
          </cell>
        </row>
        <row r="182">
          <cell r="D182" t="str">
            <v>Témperas x 50 ml</v>
          </cell>
          <cell r="E182" t="str">
            <v>Pintura témpera 50 ml: Frasco individual en colores surtidos con tapa rosca y sello de seguridad. Fórmula a base de agua, diferentes colores</v>
          </cell>
          <cell r="F182" t="str">
            <v>Unidad</v>
          </cell>
          <cell r="G182">
            <v>1</v>
          </cell>
          <cell r="H182" t="str">
            <v>Compra</v>
          </cell>
        </row>
        <row r="183">
          <cell r="D183" t="str">
            <v>Témperas x 50 ml en caja x 6</v>
          </cell>
          <cell r="E183" t="str">
            <v>Caja x 6 unidades de pintura témpera 50 ml : Estuche de frascos individuales en colores surtidos con tapa rosca. Fórmula a base de agua con pigmentos.</v>
          </cell>
          <cell r="F183" t="str">
            <v>Unidad</v>
          </cell>
          <cell r="G183">
            <v>1</v>
          </cell>
          <cell r="H183" t="str">
            <v>Compra</v>
          </cell>
        </row>
        <row r="184">
          <cell r="D184" t="str">
            <v>Tijera Doble Matu</v>
          </cell>
          <cell r="E184" t="str">
            <v>Tijera doble mango (Matu): Herramienta pedagógica. Longitud total de 17 cm a 18 cm (aprox. 7 pulgadas), con hojas metálicas de 5 cm a 6 cm de largo.</v>
          </cell>
          <cell r="F184" t="str">
            <v>Unidad</v>
          </cell>
          <cell r="G184">
            <v>1</v>
          </cell>
          <cell r="H184" t="str">
            <v>Compra</v>
          </cell>
        </row>
        <row r="185">
          <cell r="D185" t="str">
            <v>Tijera para cortar tela (tipo modista)</v>
          </cell>
          <cell r="E185" t="str">
            <v>Tijera de modistería 7.5": Herramienta de corte con hojas de acero forjado de alta resistencia y filo rectificado. Cuenta con mango ergonómico recubierto en silicona o polímero de alto impacto.</v>
          </cell>
          <cell r="F185" t="str">
            <v>Unidad</v>
          </cell>
          <cell r="G185">
            <v>1</v>
          </cell>
          <cell r="H185" t="str">
            <v>Compra</v>
          </cell>
        </row>
        <row r="186">
          <cell r="D186" t="str">
            <v>Tijera punta roma</v>
          </cell>
          <cell r="E186" t="str">
            <v>Tijera punta roma: Herramienta de corte con hojas de acero inoxidable y puntas redondeadas para mayor seguridad. Mango ergonómico de polímero de alta resistencia. Tamaño entre 5 y 5.5 pulgadas</v>
          </cell>
          <cell r="F186" t="str">
            <v>Unidad</v>
          </cell>
          <cell r="G186">
            <v>1</v>
          </cell>
          <cell r="H186" t="str">
            <v>Compra</v>
          </cell>
        </row>
        <row r="187">
          <cell r="D187" t="str">
            <v>Tinta para sellos (azul, roja y negra) 30ml</v>
          </cell>
          <cell r="E187" t="str">
            <v>Tinta para sellos 30 ml: Frasco plástico con boquilla aplicadora, disponible en colores básicos (azul, rojo y negro). Fórmula base agua de secado rápido y alta capilaridad para un entintado uniforme de almohadillas.</v>
          </cell>
          <cell r="F187" t="str">
            <v>Unidad</v>
          </cell>
          <cell r="G187">
            <v>1</v>
          </cell>
          <cell r="H187" t="str">
            <v>Compra</v>
          </cell>
        </row>
        <row r="188">
          <cell r="D188" t="str">
            <v>Tizas para marcar tela</v>
          </cell>
          <cell r="E188" t="str">
            <v>Marcador sólido de forma triangular o rectangular con bordes afilados para trazos finos. Textura compacta de alta transferencia, fácil de remover sin dejar residuos ni manchar las fibras textiles.</v>
          </cell>
          <cell r="F188" t="str">
            <v>Unidad</v>
          </cell>
          <cell r="G188">
            <v>1</v>
          </cell>
          <cell r="H188" t="str">
            <v>Compra</v>
          </cell>
        </row>
        <row r="189">
          <cell r="D189" t="str">
            <v>Tula Deportiva</v>
          </cell>
          <cell r="E189" t="str">
            <v xml:space="preserve">Color: unisex, Poliester 210d, con cordón para ajustar y cargar, con bolsillo delantero y cremallera, con refuerzo en las esquinas_x000D_
Características:_x000D_
Alto: 45 cm _x000D_
Ancho: 35 cm_x000D_
Profundidad: 20 garantía: 12 Meses </v>
          </cell>
          <cell r="F189" t="str">
            <v>Unidad</v>
          </cell>
          <cell r="G189">
            <v>1</v>
          </cell>
          <cell r="H189" t="str">
            <v>Compra</v>
          </cell>
        </row>
        <row r="190">
          <cell r="D190" t="str">
            <v>Tula Deportiva con logos</v>
          </cell>
          <cell r="E190" t="e">
            <v>#VALUE!</v>
          </cell>
          <cell r="F190" t="str">
            <v>Unidad</v>
          </cell>
          <cell r="G190">
            <v>1</v>
          </cell>
          <cell r="H190" t="str">
            <v>Compra</v>
          </cell>
        </row>
        <row r="191">
          <cell r="D191" t="str">
            <v>Volantes media carta (100)</v>
          </cell>
          <cell r="E191" t="str">
            <v>Tamaño: media carta, tintas: 4 x 4, full color policromía en propalcote 115 gr, refilados y/o materiales similares, con diseño aprobado por la oficina de prensa del FDLS</v>
          </cell>
          <cell r="F191" t="str">
            <v>100 unidades</v>
          </cell>
          <cell r="G191">
            <v>1</v>
          </cell>
          <cell r="H191" t="str">
            <v>Compra</v>
          </cell>
        </row>
        <row r="192">
          <cell r="D192" t="str">
            <v>Volantes media carta (1000)</v>
          </cell>
          <cell r="E192" t="str">
            <v>Tamaño: media carta, tintas: 4 x 4, full color policromía en propalcote 115 gr, refilados y/o materiales similares, con diseño aprobado por la oficina de prensa del FDLS</v>
          </cell>
          <cell r="F192" t="str">
            <v>Unidad</v>
          </cell>
          <cell r="G192">
            <v>1</v>
          </cell>
          <cell r="H192" t="str">
            <v>Compra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es_Proveedores"/>
      <sheetName val="Tres_Proveedores (2) Caro_"/>
      <sheetName val="Tres_Proveedores_VF"/>
      <sheetName val="TablaD_3Provedores"/>
      <sheetName val="FORMATO DE OFERTA ECONÓMICA"/>
      <sheetName val="Tres_Entidad"/>
      <sheetName val="TablaDinamicaTres_Entidad"/>
      <sheetName val="Lista"/>
    </sheetNames>
    <sheetDataSet>
      <sheetData sheetId="0"/>
      <sheetData sheetId="1"/>
      <sheetData sheetId="2">
        <row r="11">
          <cell r="C11" t="str">
            <v xml:space="preserve">BIPEDESTADOR ADULTO HIDRAULICO </v>
          </cell>
        </row>
      </sheetData>
      <sheetData sheetId="3"/>
      <sheetData sheetId="4"/>
      <sheetData sheetId="5"/>
      <sheetData sheetId="6"/>
      <sheetData sheetId="7"/>
    </sheetDataSet>
  </externalBook>
</externalLink>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20260713_ESTUDIO%20DE%20MERCADO%20PROCEDAS%20Y%20HUERTAS%20-%20copia.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microsoft.com/office/2006/relationships/xlExternalLinkPath/xlPathMissing" Target="20260713_ESTUDIO%20DE%20MERCADO%20PROCEDAS%20Y%20HUERTAS%20-%20copia.xlsm" TargetMode="External"/><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2" Type="http://schemas.microsoft.com/office/2006/relationships/xlExternalLinkPath/xlPathMissing" Target="20260713_ESTUDIO%20DE%20MERCADO%20PROCEDAS%20Y%20HUERTAS%20-%20copia.xlsm"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00000000-000A-0000-FFFF-FFFF05000000}">
  <cacheSource type="worksheet">
    <worksheetSource ref="AH11:AS130" sheet="Estudio_Mercado_REV" r:id="rId2"/>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7">
      <sharedItems containsNonDate="0" containsString="0" containsBlank="1"/>
    </cacheField>
    <cacheField name="Valor total que el proponente no podrá modificar en su oferta" numFmtId="167">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7">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00000000-000A-0000-FFFF-FFFF04000000}">
  <cacheSource type="worksheet">
    <worksheetSource ref="A11:AD130" sheet="Estudio_Mercado_REV" r:id="rId2"/>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7">
      <sharedItems containsNonDate="0" containsString="0" containsBlank="1"/>
    </cacheField>
    <cacheField name="Valor IVA" numFmtId="168">
      <sharedItems containsSemiMixedTypes="0" containsString="0" containsNumber="1" containsInteger="1" minValue="0" maxValue="0"/>
    </cacheField>
    <cacheField name="Valor unitario con IVA" numFmtId="168">
      <sharedItems containsSemiMixedTypes="0" containsString="0" containsNumber="1" containsInteger="1" minValue="0" maxValue="0"/>
    </cacheField>
    <cacheField name="Valor total Sin IVA" numFmtId="168">
      <sharedItems/>
    </cacheField>
    <cacheField name="Valor total con IVA" numFmtId="168">
      <sharedItems/>
    </cacheField>
    <cacheField name="Empresa Cotizante cotización 2" numFmtId="0">
      <sharedItems containsNonDate="0" containsString="0" containsBlank="1"/>
    </cacheField>
    <cacheField name="Valor unitario sin IVA2" numFmtId="167">
      <sharedItems containsNonDate="0" containsString="0" containsBlank="1"/>
    </cacheField>
    <cacheField name="Valor IVA2" numFmtId="167">
      <sharedItems containsSemiMixedTypes="0" containsString="0" containsNumber="1" containsInteger="1" minValue="0" maxValue="0"/>
    </cacheField>
    <cacheField name="Valor unitario con IVA2" numFmtId="167">
      <sharedItems containsSemiMixedTypes="0" containsString="0" containsNumber="1" containsInteger="1" minValue="0" maxValue="0"/>
    </cacheField>
    <cacheField name="Valor total Sin IVA2" numFmtId="167">
      <sharedItems/>
    </cacheField>
    <cacheField name="Valor total con IVA2" numFmtId="167">
      <sharedItems/>
    </cacheField>
    <cacheField name="Empresa Cotizante cotización 3" numFmtId="0">
      <sharedItems containsNonDate="0" containsString="0" containsBlank="1"/>
    </cacheField>
    <cacheField name="Valor unitario sin IVA3" numFmtId="167">
      <sharedItems containsNonDate="0" containsString="0" containsBlank="1"/>
    </cacheField>
    <cacheField name="Valor IVA3" numFmtId="167">
      <sharedItems containsSemiMixedTypes="0" containsString="0" containsNumber="1" containsInteger="1" minValue="0" maxValue="0"/>
    </cacheField>
    <cacheField name="Valor unitario con IVA3" numFmtId="167">
      <sharedItems containsSemiMixedTypes="0" containsString="0" containsNumber="1" containsInteger="1" minValue="0" maxValue="0"/>
    </cacheField>
    <cacheField name="Valor total Sin IVA3" numFmtId="167">
      <sharedItems/>
    </cacheField>
    <cacheField name="Valor total con IVA3" numFmtId="167">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7">
      <sharedItems containsSemiMixedTypes="0" containsString="0" containsNumber="1" containsInteger="1" minValue="0" maxValue="0"/>
    </cacheField>
    <cacheField name="Valor unitario con IVA4" numFmtId="167">
      <sharedItems containsSemiMixedTypes="0" containsString="0" containsNumber="1" containsInteger="1" minValue="0" maxValue="0"/>
    </cacheField>
    <cacheField name="Valor total Sin IVA4" numFmtId="167">
      <sharedItems/>
    </cacheField>
    <cacheField name="Valor total con IVA4" numFmtId="167">
      <sharedItems/>
    </cacheField>
    <cacheField name="Promedio valor unitario con IVA" numFmtId="167">
      <sharedItems/>
    </cacheField>
    <cacheField name="Promedio valor total con IVA" numFmtId="167">
      <sharedItems/>
    </cacheField>
    <cacheField name="Desviación estandar " numFmtId="167">
      <sharedItems/>
    </cacheField>
    <cacheField name="Coeficiente de variación" numFmtId="9">
      <sharedItems/>
    </cacheField>
    <cacheField name="Promedio valor unitario con IVA2" numFmtId="167">
      <sharedItems/>
    </cacheField>
    <cacheField name="Promedio valor total con IVA2" numFmtId="167">
      <sharedItems/>
    </cacheField>
    <cacheField name="Límite menor" numFmtId="167">
      <sharedItems/>
    </cacheField>
    <cacheField name="Límite mayor" numFmtId="167">
      <sharedItems/>
    </cacheField>
    <cacheField name="Valor Unitario Techo (IVA incluído)" numFmtId="167">
      <sharedItems/>
    </cacheField>
    <cacheField name="Valor Total Techo (IVA incluído)" numFmtId="167">
      <sharedItems/>
    </cacheField>
    <cacheField name="Promedio valor unitario con IVA3" numFmtId="167">
      <sharedItems/>
    </cacheField>
    <cacheField name="Promedio valor total con IVA3" numFmtId="167">
      <sharedItems/>
    </cacheField>
    <cacheField name="Desviación estandar 2" numFmtId="167">
      <sharedItems/>
    </cacheField>
    <cacheField name="Coeficiente de variación2" numFmtId="9">
      <sharedItems/>
    </cacheField>
    <cacheField name="Promedio valor unitario con IVA4" numFmtId="167">
      <sharedItems/>
    </cacheField>
    <cacheField name="Promedio valor total con IVA4" numFmtId="167">
      <sharedItems/>
    </cacheField>
    <cacheField name="Límite menor2" numFmtId="167">
      <sharedItems/>
    </cacheField>
    <cacheField name="Límite mayor2" numFmtId="167">
      <sharedItems/>
    </cacheField>
    <cacheField name="Valor Unitario Techo (IVA incluído)2" numFmtId="167">
      <sharedItems containsSemiMixedTypes="0" containsString="0" containsNumber="1" containsInteger="1" minValue="0" maxValue="0"/>
    </cacheField>
    <cacheField name="Valor Total Techo (IVA incluído)2" numFmtId="167">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603" createdVersion="6" refreshedVersion="6" minRefreshableVersion="3" recordCount="88" xr:uid="{00000000-000A-0000-FFFF-FFFF03000000}">
  <cacheSource type="worksheet">
    <worksheetSource ref="A11:AD261" sheet="Estudio_Mercado_REV" r:id="rId2"/>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7">
      <sharedItems containsMixedTypes="1" containsNumber="1" containsInteger="1" minValue="0" maxValue="0"/>
    </cacheField>
    <cacheField name="Desviación estandar " numFmtId="167">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7">
      <sharedItems containsMixedTypes="1" containsNumber="1" containsInteger="1" minValue="0" maxValue="0"/>
    </cacheField>
    <cacheField name="Promedio valor total con IVA2" numFmtId="167">
      <sharedItems containsMixedTypes="1" containsNumber="1" containsInteger="1" minValue="0" maxValue="0"/>
    </cacheField>
    <cacheField name="Desviación estandar 2" numFmtId="167">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Cache/pivotCacheRecords2.xml><?xml version="1.0" encoding="utf-8"?>
<pivotCacheRecords xmlns="http://schemas.openxmlformats.org/spreadsheetml/2006/main"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Cache/pivotCacheRecords3.xml><?xml version="1.0" encoding="utf-8"?>
<pivotCacheRecords xmlns="http://schemas.openxmlformats.org/spreadsheetml/2006/main"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TablaDinámica3" cacheId="326"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Recurso Humano" cacheId="32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TablaDinámica2" cacheId="327"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1" Type="http://schemas.openxmlformats.org/officeDocument/2006/relationships/hyperlink" Target="https://gobiernobogota-my.sharepoint.com/:b:/g/personal/planeacion_suba_gobiernobogota_gov_co/IQBAqpMZnJhaR4fzT69c6XO1AbvWvNOvoX7VQHbjdvg1aOg?e=HmkiGy" TargetMode="External"/><Relationship Id="rId170" Type="http://schemas.openxmlformats.org/officeDocument/2006/relationships/hyperlink" Target="https://gobiernobogota-my.sharepoint.com/:b:/g/personal/sandra_tamayo_gobiernobogota_gov_co/IQBjTkxVaG7tSZ2JdDfsvt53AUgI_XCQNVZqd3ocKvLkekA?e=JwWv1Q" TargetMode="External"/><Relationship Id="rId268" Type="http://schemas.openxmlformats.org/officeDocument/2006/relationships/hyperlink" Target="https://gobiernobogota-my.sharepoint.com/:b:/g/personal/planeacion_suba_gobiernobogota_gov_co/IQCLmMa5ieS1TpLinchRAu0LAYXabk58kyZQJSjELmvzmQk?e=Q9Rf7e" TargetMode="External"/><Relationship Id="rId475" Type="http://schemas.openxmlformats.org/officeDocument/2006/relationships/hyperlink" Target="https://gobiernobogota-my.sharepoint.com/:b:/g/personal/planeacion_suba_gobiernobogota_gov_co/IQDqOKpgrYrGSq3GJFQIEw_-AcVM9Vpo3yWJCmW65rG5C7Q?e=fioPWL" TargetMode="External"/><Relationship Id="rId682" Type="http://schemas.openxmlformats.org/officeDocument/2006/relationships/hyperlink" Target="https://gobiernobogota-my.sharepoint.com/:b:/g/personal/planeacion_suba_gobiernobogota_gov_co/IQAbSLyAFh2xRJr0NhbYbKk2ATKbPTcKyEeZatQ-G_R5UiE?e=uolpOb" TargetMode="External"/><Relationship Id="rId128" Type="http://schemas.openxmlformats.org/officeDocument/2006/relationships/hyperlink" Target="https://gobiernobogota-my.sharepoint.com/:b:/g/personal/planeacion_suba_gobiernobogota_gov_co/IQC3n1-3qJZ2SKpVvajWPoLpAeMYPbBWFvEmTo3r_WNO_U0?e=9gXu3A" TargetMode="External"/><Relationship Id="rId335" Type="http://schemas.openxmlformats.org/officeDocument/2006/relationships/hyperlink" Target="https://gobiernobogota-my.sharepoint.com/:b:/g/personal/planeacion_suba_gobiernobogota_gov_co/IQAdy-rJ0tjISa5i30jFu1k8AZRtQl9JohRXyI4j9ajYCNY?e=zOUkap" TargetMode="External"/><Relationship Id="rId542" Type="http://schemas.openxmlformats.org/officeDocument/2006/relationships/hyperlink" Target="https://gobiernobogota-my.sharepoint.com/:b:/g/personal/planeacion_suba_gobiernobogota_gov_co/IQBQP5HmS_y7SrlbWlh1Pg_4AZVh27YYn1fC29fncYbWCKo?e=LBRB4b" TargetMode="External"/><Relationship Id="rId987" Type="http://schemas.openxmlformats.org/officeDocument/2006/relationships/hyperlink" Target="https://gobiernobogota-my.sharepoint.com/:b:/g/personal/planeacion_suba_gobiernobogota_gov_co/IQCX5R01gnI3QLPk49hsK0lpAXaK-OSVtPGApsy1wuJ-x1s?e=X6CBQ2" TargetMode="External"/><Relationship Id="rId402" Type="http://schemas.openxmlformats.org/officeDocument/2006/relationships/hyperlink" Target="https://gobiernobogota-my.sharepoint.com/:b:/g/personal/planeacion_suba_gobiernobogota_gov_co/IQC8aZx2NnlWQJELsizfgLSjAd7eqfeZXr7cjHi5SHEC9sI?e=UN3jEI" TargetMode="External"/><Relationship Id="rId847" Type="http://schemas.openxmlformats.org/officeDocument/2006/relationships/hyperlink" Target="https://gobiernobogota-my.sharepoint.com/:b:/g/personal/planeacion_suba_gobiernobogota_gov_co/IQBIL4G_UgZgQJDcH_3zFLWwAX7CJDd1xXlPy2ZGThX_EqU?e=xsFw1k" TargetMode="External"/><Relationship Id="rId1032" Type="http://schemas.openxmlformats.org/officeDocument/2006/relationships/hyperlink" Target="https://gobiernobogota-my.sharepoint.com/:b:/g/personal/planeacion_suba_gobiernobogota_gov_co/IQAQwRzvwyOGRoadzOfEJbYbAZHcIaYsTNJAlIt0BpMGmxY?e=uCEeS6" TargetMode="External"/><Relationship Id="rId707" Type="http://schemas.openxmlformats.org/officeDocument/2006/relationships/hyperlink" Target="https://gobiernobogota-my.sharepoint.com/:b:/g/personal/planeacion_suba_gobiernobogota_gov_co/IQBLOKQZI52RRYzlMc0IDcUfAfaPvHWc84l4wynUf1J19ZA?e=g0rO3c" TargetMode="External"/><Relationship Id="rId914" Type="http://schemas.openxmlformats.org/officeDocument/2006/relationships/hyperlink" Target="https://gobiernobogota-my.sharepoint.com/:b:/g/personal/planeacion_suba_gobiernobogota_gov_co/IQAS7srwl2vyRYV8Bky-c8mbAe_iDdTkPPFWUGSbBPkgSBo?e=Mg9bWT" TargetMode="External"/><Relationship Id="rId43" Type="http://schemas.openxmlformats.org/officeDocument/2006/relationships/hyperlink" Target="https://gobiernobogota-my.sharepoint.com/:b:/g/personal/planeacion_suba_gobiernobogota_gov_co/IQCOgtbqCSx4Rr-blaLs427EAd_hHwOcNPXV2dYA1FgLp_w?e=hY77WV" TargetMode="External"/><Relationship Id="rId192" Type="http://schemas.openxmlformats.org/officeDocument/2006/relationships/hyperlink" Target="https://gobiernobogota-my.sharepoint.com/:b:/g/personal/planeacion_suba_gobiernobogota_gov_co/IQC3n1-3qJZ2SKpVvajWPoLpAeMYPbBWFvEmTo3r_WNO_U0?e=NnpG6D" TargetMode="External"/><Relationship Id="rId497" Type="http://schemas.openxmlformats.org/officeDocument/2006/relationships/hyperlink" Target="https://gobiernobogota-my.sharepoint.com/:b:/g/personal/planeacion_suba_gobiernobogota_gov_co/IQAxGcROPvYSSYOIFsagJNhQAdsINeCfPX3ZktLrFglGmPI?e=0a7uxb" TargetMode="External"/><Relationship Id="rId357" Type="http://schemas.openxmlformats.org/officeDocument/2006/relationships/hyperlink" Target="https://gobiernobogota-my.sharepoint.com/:b:/g/personal/planeacion_suba_gobiernobogota_gov_co/IQDuE0DvxIVbQ5eTLpYcjpjUASKI4Uhee9DLHs9JZ0-d67U?e=gNxnFM" TargetMode="External"/><Relationship Id="rId217" Type="http://schemas.openxmlformats.org/officeDocument/2006/relationships/hyperlink" Target="https://gobiernobogota-my.sharepoint.com/:b:/g/personal/planeacion_suba_gobiernobogota_gov_co/IQC-xpAF_xjTSqJXHH9UJBcfASp1I0t3P7gr4qP7q8Dfh64?e=918dnk" TargetMode="External"/><Relationship Id="rId564" Type="http://schemas.openxmlformats.org/officeDocument/2006/relationships/hyperlink" Target="https://gobiernobogota-my.sharepoint.com/:b:/g/personal/planeacion_suba_gobiernobogota_gov_co/IQBLOKQZI52RRYzlMc0IDcUfAfaPvHWc84l4wynUf1J19ZA?e=g0rO3c" TargetMode="External"/><Relationship Id="rId771" Type="http://schemas.openxmlformats.org/officeDocument/2006/relationships/hyperlink" Target="https://gobiernobogota-my.sharepoint.com/:b:/g/personal/planeacion_suba_gobiernobogota_gov_co/IQDH1WpR3Q8nSbgIi7mnFWnmAXrtDhNyUNs5hxrPWhPaNic?e=EaXpVq" TargetMode="External"/><Relationship Id="rId869" Type="http://schemas.openxmlformats.org/officeDocument/2006/relationships/hyperlink" Target="https://gobiernobogota-my.sharepoint.com/:b:/g/personal/planeacion_suba_gobiernobogota_gov_co/IQCX5R01gnI3QLPk49hsK0lpAXaK-OSVtPGApsy1wuJ-x1s?e=X6CBQ2" TargetMode="External"/><Relationship Id="rId424" Type="http://schemas.openxmlformats.org/officeDocument/2006/relationships/hyperlink" Target="https://gobiernobogota-my.sharepoint.com/:b:/g/personal/planeacion_suba_gobiernobogota_gov_co/IQDMZ0T9mSVxRKfzq21QstZzAUDlBRHMMr71r81ynqwr9wc?e=GwTjSx" TargetMode="External"/><Relationship Id="rId631" Type="http://schemas.openxmlformats.org/officeDocument/2006/relationships/hyperlink" Target="https://gobiernobogota-my.sharepoint.com/:b:/g/personal/planeacion_suba_gobiernobogota_gov_co/IQC2aoS-774JRpPED_zBrnZHAeux-NYlq_Fn6h9fUc4ncPw?e=xUAuxP" TargetMode="External"/><Relationship Id="rId729" Type="http://schemas.openxmlformats.org/officeDocument/2006/relationships/hyperlink" Target="https://gobiernobogota-my.sharepoint.com/:b:/g/personal/planeacion_suba_gobiernobogota_gov_co/IQAbSLyAFh2xRJr0NhbYbKk2ATKbPTcKyEeZatQ-G_R5UiE?e=uolpOb" TargetMode="External"/><Relationship Id="rId1054" Type="http://schemas.openxmlformats.org/officeDocument/2006/relationships/hyperlink" Target="https://gobiernobogota-my.sharepoint.com/:b:/g/personal/planeacion_suba_gobiernobogota_gov_co/IQCok6SIWdA3R5RQoMNCzBIRAetPIxe1IjK9foAFX01Hg1E?e=Oxmd9y" TargetMode="External"/><Relationship Id="rId936" Type="http://schemas.openxmlformats.org/officeDocument/2006/relationships/hyperlink" Target="https://gobiernobogota-my.sharepoint.com/:b:/g/personal/planeacion_suba_gobiernobogota_gov_co/IQADC9knk6nNRKJljIOhwk2qAdShpXZmNMX3rXF25hMw_UA?e=dsCZMM" TargetMode="External"/><Relationship Id="rId1121" Type="http://schemas.openxmlformats.org/officeDocument/2006/relationships/hyperlink" Target="https://gobiernobogota-my.sharepoint.com/:b:/g/personal/planeacion_suba_gobiernobogota_gov_co/IQDNXVO_gpYlSL_t44zNb1ewAeVvPcDLk2VlL0EkSTf1I7s?e=EbEtX6" TargetMode="External"/><Relationship Id="rId65" Type="http://schemas.openxmlformats.org/officeDocument/2006/relationships/hyperlink" Target="https://gobiernobogota-my.sharepoint.com/:b:/g/personal/planeacion_suba_gobiernobogota_gov_co/IQCdkMR8tqp8Q69vbzhAH616AQ_61I5Y1Hm_kEo8HVOdGQ0?e=PORaoV" TargetMode="External"/><Relationship Id="rId281" Type="http://schemas.openxmlformats.org/officeDocument/2006/relationships/hyperlink" Target="https://gobiernobogota-my.sharepoint.com/:b:/g/personal/planeacion_suba_gobiernobogota_gov_co/IQDMZ0T9mSVxRKfzq21QstZzAUDlBRHMMr71r81ynqwr9wc?e=GwTjSx" TargetMode="External"/><Relationship Id="rId141" Type="http://schemas.openxmlformats.org/officeDocument/2006/relationships/hyperlink" Target="https://gobiernobogota-my.sharepoint.com/:b:/g/personal/sandra_tamayo_gobiernobogota_gov_co/IQBjTkxVaG7tSZ2JdDfsvt53AUgI_XCQNVZqd3ocKvLkekA?e=JwWv1Q" TargetMode="External"/><Relationship Id="rId379" Type="http://schemas.openxmlformats.org/officeDocument/2006/relationships/hyperlink" Target="https://gobiernobogota-my.sharepoint.com/:b:/g/personal/planeacion_suba_gobiernobogota_gov_co/IQBXh6io_0RcTbJer9rD27dvAftEALhK5PU3b2V9PYJePN4?e=ISxCKc" TargetMode="External"/><Relationship Id="rId586" Type="http://schemas.openxmlformats.org/officeDocument/2006/relationships/hyperlink" Target="https://gobiernobogota-my.sharepoint.com/:b:/g/personal/planeacion_suba_gobiernobogota_gov_co/IQAQwRzvwyOGRoadzOfEJbYbAZHcIaYsTNJAlIt0BpMGmxY?e=uCEeS6" TargetMode="External"/><Relationship Id="rId793" Type="http://schemas.openxmlformats.org/officeDocument/2006/relationships/hyperlink" Target="https://gobiernobogota-my.sharepoint.com/:b:/g/personal/planeacion_suba_gobiernobogota_gov_co/IQADC9knk6nNRKJljIOhwk2qAdShpXZmNMX3rXF25hMw_UA?e=dsCZMM" TargetMode="External"/><Relationship Id="rId7" Type="http://schemas.openxmlformats.org/officeDocument/2006/relationships/hyperlink" Target="https://gobiernobogota-my.sharepoint.com/:b:/g/personal/planeacion_suba_gobiernobogota_gov_co/IQAdy-rJ0tjISa5i30jFu1k8AeEdsiKBTVP5Silw_u8tCu8?e=Z53ign" TargetMode="External"/><Relationship Id="rId239" Type="http://schemas.openxmlformats.org/officeDocument/2006/relationships/hyperlink" Target="https://gobiernobogota-my.sharepoint.com/:b:/g/personal/planeacion_suba_gobiernobogota_gov_co/IQDYfz7BCezNT5jcCSdluleDAY3bI6UPbxERGDBiY4eb9dI?e=nMk8kc" TargetMode="External"/><Relationship Id="rId446" Type="http://schemas.openxmlformats.org/officeDocument/2006/relationships/hyperlink" Target="https://gobiernobogota-my.sharepoint.com/:b:/g/personal/sandra_tamayo_gobiernobogota_gov_co/IQBboUH-x_DMR5jlMAI_JhmDAbHhJVk0HlgTiGy6i7qrCdk?e=EqzFbo" TargetMode="External"/><Relationship Id="rId653" Type="http://schemas.openxmlformats.org/officeDocument/2006/relationships/hyperlink" Target="https://gobiernobogota-my.sharepoint.com/:b:/g/personal/planeacion_suba_gobiernobogota_gov_co/IQCwdFSHwnHqSLeeK38ofE8rAYD9evJGtU1TpbK6qozOIpM?e=CcVnH3" TargetMode="External"/><Relationship Id="rId1076" Type="http://schemas.openxmlformats.org/officeDocument/2006/relationships/hyperlink" Target="https://gobiernobogota-my.sharepoint.com/:b:/g/personal/planeacion_suba_gobiernobogota_gov_co/IQAbSLyAFh2xRJr0NhbYbKk2ATKbPTcKyEeZatQ-G_R5UiE?e=uolpOb" TargetMode="External"/><Relationship Id="rId306" Type="http://schemas.openxmlformats.org/officeDocument/2006/relationships/hyperlink" Target="https://gobiernobogota-my.sharepoint.com/:b:/g/personal/planeacion_suba_gobiernobogota_gov_co/IQCf6-Em0y4kSqEBLQSfYPFBAZW0TddCTO7KGIyk8cKLtwM?e=nCW31u" TargetMode="External"/><Relationship Id="rId860" Type="http://schemas.openxmlformats.org/officeDocument/2006/relationships/hyperlink" Target="https://gobiernobogota-my.sharepoint.com/:b:/g/personal/planeacion_suba_gobiernobogota_gov_co/IQCX5R01gnI3QLPk49hsK0lpAXaK-OSVtPGApsy1wuJ-x1s?e=X6CBQ2" TargetMode="External"/><Relationship Id="rId958" Type="http://schemas.openxmlformats.org/officeDocument/2006/relationships/hyperlink" Target="https://gobiernobogota-my.sharepoint.com/:b:/g/personal/planeacion_suba_gobiernobogota_gov_co/IQAQwRzvwyOGRoadzOfEJbYbAZHcIaYsTNJAlIt0BpMGmxY?e=uCEeS6" TargetMode="External"/><Relationship Id="rId87" Type="http://schemas.openxmlformats.org/officeDocument/2006/relationships/hyperlink" Target="https://gobiernobogota-my.sharepoint.com/:b:/g/personal/planeacion_suba_gobiernobogota_gov_co/IQCdkMR8tqp8Q69vbzhAH616AQ_61I5Y1Hm_kEo8HVOdGQ0?e=PORaoV" TargetMode="External"/><Relationship Id="rId513" Type="http://schemas.openxmlformats.org/officeDocument/2006/relationships/hyperlink" Target="https://gobiernobogota-my.sharepoint.com/:b:/g/personal/planeacion_suba_gobiernobogota_gov_co/IQBLOKQZI52RRYzlMc0IDcUfAfaPvHWc84l4wynUf1J19ZA?e=g0rO3c" TargetMode="External"/><Relationship Id="rId720" Type="http://schemas.openxmlformats.org/officeDocument/2006/relationships/hyperlink" Target="https://gobiernobogota-my.sharepoint.com/:b:/g/personal/planeacion_suba_gobiernobogota_gov_co/IQB-rTxPUC5_RqPU_7Bza3h1AWBKX6r-q_JwlzKgq6jY9o8?e=94UQHt" TargetMode="External"/><Relationship Id="rId818" Type="http://schemas.openxmlformats.org/officeDocument/2006/relationships/hyperlink" Target="https://gobiernobogota-my.sharepoint.com/:b:/g/personal/planeacion_suba_gobiernobogota_gov_co/IQAQwRzvwyOGRoadzOfEJbYbAZHcIaYsTNJAlIt0BpMGmxY?e=uCEeS6" TargetMode="External"/><Relationship Id="rId1003" Type="http://schemas.openxmlformats.org/officeDocument/2006/relationships/hyperlink" Target="https://gobiernobogota-my.sharepoint.com/:b:/g/personal/planeacion_suba_gobiernobogota_gov_co/IQAbSLyAFh2xRJr0NhbYbKk2ATKbPTcKyEeZatQ-G_R5UiE?e=uolpOb" TargetMode="External"/><Relationship Id="rId14" Type="http://schemas.openxmlformats.org/officeDocument/2006/relationships/hyperlink" Target="https://gobiernobogota-my.sharepoint.com/:b:/g/personal/planeacion_suba_gobiernobogota_gov_co/IQA0TAxhTdESQaWyokxkYiYrAUbT3V5pPD-WeH61XsXHSR4?e=trenfi" TargetMode="External"/><Relationship Id="rId163" Type="http://schemas.openxmlformats.org/officeDocument/2006/relationships/hyperlink" Target="https://gobiernobogota-my.sharepoint.com/:b:/g/personal/planeacion_suba_gobiernobogota_gov_co/IQA0TAxhTdESQaWyokxkYiYrAUbT3V5pPD-WeH61XsXHSR4?e=trenfi" TargetMode="External"/><Relationship Id="rId370" Type="http://schemas.openxmlformats.org/officeDocument/2006/relationships/hyperlink" Target="https://gobiernobogota-my.sharepoint.com/:b:/g/personal/planeacion_suba_gobiernobogota_gov_co/IQC3n1-3qJZ2SKpVvajWPoLpAeMYPbBWFvEmTo3r_WNO_U0?e=OrkinL" TargetMode="External"/><Relationship Id="rId230" Type="http://schemas.openxmlformats.org/officeDocument/2006/relationships/hyperlink" Target="https://gobiernobogota-my.sharepoint.com/:b:/g/personal/planeacion_suba_gobiernobogota_gov_co/IQAPRkPrZAKvTLtcG25cEzViAeS6mFIuwdNuXQQ4Dk8pWGY?e=5nrRxu" TargetMode="External"/><Relationship Id="rId468" Type="http://schemas.openxmlformats.org/officeDocument/2006/relationships/hyperlink" Target="https://gobiernobogota-my.sharepoint.com/:b:/g/personal/planeacion_suba_gobiernobogota_gov_co/IQAQwRzvwyOGRoadzOfEJbYbAZHcIaYsTNJAlIt0BpMGmxY?e=uCEeS6" TargetMode="External"/><Relationship Id="rId675" Type="http://schemas.openxmlformats.org/officeDocument/2006/relationships/hyperlink" Target="https://gobiernobogota-my.sharepoint.com/:b:/g/personal/planeacion_suba_gobiernobogota_gov_co/IQAQwRzvwyOGRoadzOfEJbYbAZHcIaYsTNJAlIt0BpMGmxY?e=uCEeS6" TargetMode="External"/><Relationship Id="rId882" Type="http://schemas.openxmlformats.org/officeDocument/2006/relationships/hyperlink" Target="https://gobiernobogota-my.sharepoint.com/:b:/g/personal/planeacion_suba_gobiernobogota_gov_co/IQAbSLyAFh2xRJr0NhbYbKk2ATKbPTcKyEeZatQ-G_R5UiE?e=uolpOb" TargetMode="External"/><Relationship Id="rId1098" Type="http://schemas.openxmlformats.org/officeDocument/2006/relationships/hyperlink" Target="https://gobiernobogota-my.sharepoint.com/:b:/g/personal/planeacion_suba_gobiernobogota_gov_co/IQADC9knk6nNRKJljIOhwk2qAdShpXZmNMX3rXF25hMw_UA?e=dsCZMM" TargetMode="External"/><Relationship Id="rId25" Type="http://schemas.openxmlformats.org/officeDocument/2006/relationships/hyperlink" Target="https://gobiernobogota-my.sharepoint.com/:b:/g/personal/planeacion_suba_gobiernobogota_gov_co/IQBQhQEJ73TWTZbL6J9z5LSKAS3GX70b7VJh0PyiiiLHOF4?e=Gw6MUq" TargetMode="External"/><Relationship Id="rId328" Type="http://schemas.openxmlformats.org/officeDocument/2006/relationships/hyperlink" Target="https://gobiernobogota-my.sharepoint.com/:b:/g/personal/planeacion_suba_gobiernobogota_gov_co/IQC3n1-3qJZ2SKpVvajWPoLpAeMYPbBWFvEmTo3r_WNO_U0?e=wT4zs3" TargetMode="External"/><Relationship Id="rId535" Type="http://schemas.openxmlformats.org/officeDocument/2006/relationships/hyperlink" Target="https://gobiernobogota-my.sharepoint.com/:b:/g/personal/planeacion_suba_gobiernobogota_gov_co/IQDjD7bBieS3SI_CmaX7sIEMAYegoMBRRXy1TLyynCfRsAU?e=pVNUPE" TargetMode="External"/><Relationship Id="rId742" Type="http://schemas.openxmlformats.org/officeDocument/2006/relationships/hyperlink" Target="https://gobiernobogota-my.sharepoint.com/:b:/g/personal/planeacion_suba_gobiernobogota_gov_co/IQADC9knk6nNRKJljIOhwk2qAdShpXZmNMX3rXF25hMw_UA?e=dsCZMM" TargetMode="External"/><Relationship Id="rId174" Type="http://schemas.openxmlformats.org/officeDocument/2006/relationships/hyperlink" Target="https://gobiernobogota-my.sharepoint.com/:b:/g/personal/planeacion_suba_gobiernobogota_gov_co/IQAKDWS7fj-uTqSk59tfkjFLAWmeDKroqT_PSquQk6_5AZI?e=jAtoPx" TargetMode="External"/><Relationship Id="rId381" Type="http://schemas.openxmlformats.org/officeDocument/2006/relationships/hyperlink" Target="https://gobiernobogota-my.sharepoint.com/:b:/g/personal/planeacion_suba_gobiernobogota_gov_co/IQBXh6io_0RcTbJer9rD27dvAftEALhK5PU3b2V9PYJePN4?e=ISxCKc" TargetMode="External"/><Relationship Id="rId602" Type="http://schemas.openxmlformats.org/officeDocument/2006/relationships/hyperlink" Target="https://gobiernobogota-my.sharepoint.com/:b:/g/personal/planeacion_suba_gobiernobogota_gov_co/IQADC9knk6nNRKJljIOhwk2qAdShpXZmNMX3rXF25hMw_UA?e=dsCZMM" TargetMode="External"/><Relationship Id="rId1025" Type="http://schemas.openxmlformats.org/officeDocument/2006/relationships/hyperlink" Target="https://gobiernobogota-my.sharepoint.com/:b:/g/personal/planeacion_suba_gobiernobogota_gov_co/IQADC9knk6nNRKJljIOhwk2qAdShpXZmNMX3rXF25hMw_UA?e=dsCZMM" TargetMode="External"/><Relationship Id="rId241" Type="http://schemas.openxmlformats.org/officeDocument/2006/relationships/hyperlink" Target="https://gobiernobogota-my.sharepoint.com/:b:/g/personal/planeacion_suba_gobiernobogota_gov_co/IQAuAowRPerdTIwFvp-OhFIjAZceyqXL9D5_eNXYPuUjFwA?e=CQ6swF" TargetMode="External"/><Relationship Id="rId479" Type="http://schemas.openxmlformats.org/officeDocument/2006/relationships/hyperlink" Target="https://gobiernobogota-my.sharepoint.com/:b:/g/personal/planeacion_suba_gobiernobogota_gov_co/IQDMP1N6Ven0RIRjMU0RJ9uMAbzK4cgqKc_nx8nCwp8WBrE?e=Ey9H0H" TargetMode="External"/><Relationship Id="rId686" Type="http://schemas.openxmlformats.org/officeDocument/2006/relationships/hyperlink" Target="https://gobiernobogota-my.sharepoint.com/:b:/g/personal/planeacion_suba_gobiernobogota_gov_co/IQADC9knk6nNRKJljIOhwk2qAdShpXZmNMX3rXF25hMw_UA?e=dsCZMM" TargetMode="External"/><Relationship Id="rId893" Type="http://schemas.openxmlformats.org/officeDocument/2006/relationships/hyperlink" Target="https://gobiernobogota-my.sharepoint.com/:b:/g/personal/planeacion_suba_gobiernobogota_gov_co/IQAS7srwl2vyRYV8Bky-c8mbAe_iDdTkPPFWUGSbBPkgSBo?e=Mg9bWT" TargetMode="External"/><Relationship Id="rId907" Type="http://schemas.openxmlformats.org/officeDocument/2006/relationships/hyperlink" Target="https://gobiernobogota-my.sharepoint.com/:b:/g/personal/planeacion_suba_gobiernobogota_gov_co/IQDlqzdXfQeLTa5Xuy0CUzWcAQQEqWX4MS3xw2Xp3y6XGA4?e=1cztVx" TargetMode="External"/><Relationship Id="rId36" Type="http://schemas.openxmlformats.org/officeDocument/2006/relationships/hyperlink" Target="https://gobiernobogota-my.sharepoint.com/:b:/g/personal/planeacion_suba_gobiernobogota_gov_co/IQC0Zr6QeDVcT6uXSsvLXYzTASI49d9b4wN6s18ujelqB2U?e=OHYGKx" TargetMode="External"/><Relationship Id="rId339" Type="http://schemas.openxmlformats.org/officeDocument/2006/relationships/hyperlink" Target="https://gobiernobogota-my.sharepoint.com/:b:/g/personal/planeacion_suba_gobiernobogota_gov_co/IQDMb7zDnZvgSIT6O8TvxCnaAXhviGQRNqirZ9TaiX8MtJA?e=JOwCpk" TargetMode="External"/><Relationship Id="rId546" Type="http://schemas.openxmlformats.org/officeDocument/2006/relationships/hyperlink" Target="https://gobiernobogota-my.sharepoint.com/:b:/g/personal/planeacion_suba_gobiernobogota_gov_co/IQDGa2wWkAiyTpg568QaxMpdAS8tS-XnGhKUeOmkYsFMwpY?e=fQhlEp" TargetMode="External"/><Relationship Id="rId753" Type="http://schemas.openxmlformats.org/officeDocument/2006/relationships/hyperlink" Target="https://gobiernobogota-my.sharepoint.com/:b:/g/personal/planeacion_suba_gobiernobogota_gov_co/IQAbSLyAFh2xRJr0NhbYbKk2ATKbPTcKyEeZatQ-G_R5UiE?e=uolpOb" TargetMode="External"/><Relationship Id="rId101" Type="http://schemas.openxmlformats.org/officeDocument/2006/relationships/hyperlink" Target="https://gobiernobogota-my.sharepoint.com/:b:/g/personal/sandra_tamayo_gobiernobogota_gov_co/IQA0E0FNBmhFSoYzdZx72ppWAYSYFjCMAYDOHjW2FrXQpD8?e=ctwQeR" TargetMode="External"/><Relationship Id="rId185" Type="http://schemas.openxmlformats.org/officeDocument/2006/relationships/hyperlink" Target="https://gobiernobogota-my.sharepoint.com/:b:/g/personal/planeacion_suba_gobiernobogota_gov_co/IQCgm5YiE5_kQ5TMDogZTJv7AV1RW44CV7mB7C1aXXqSRvs?e=mzaRhj" TargetMode="External"/><Relationship Id="rId406" Type="http://schemas.openxmlformats.org/officeDocument/2006/relationships/hyperlink" Target="https://gobiernobogota-my.sharepoint.com/:b:/g/personal/planeacion_suba_gobiernobogota_gov_co/IQBBu4dnf9PkSYwhrQsa2XYcASFuORQjOSLHBBlK7dsYuzY?e=odT6R7" TargetMode="External"/><Relationship Id="rId960" Type="http://schemas.openxmlformats.org/officeDocument/2006/relationships/hyperlink" Target="https://gobiernobogota-my.sharepoint.com/:b:/g/personal/planeacion_suba_gobiernobogota_gov_co/IQADC9knk6nNRKJljIOhwk2qAdShpXZmNMX3rXF25hMw_UA?e=dsCZMM" TargetMode="External"/><Relationship Id="rId1036" Type="http://schemas.openxmlformats.org/officeDocument/2006/relationships/hyperlink" Target="https://gobiernobogota-my.sharepoint.com/:b:/g/personal/planeacion_suba_gobiernobogota_gov_co/IQADC9knk6nNRKJljIOhwk2qAdShpXZmNMX3rXF25hMw_UA?e=dsCZMM" TargetMode="External"/><Relationship Id="rId392" Type="http://schemas.openxmlformats.org/officeDocument/2006/relationships/hyperlink" Target="https://gobiernobogota-my.sharepoint.com/:b:/g/personal/planeacion_suba_gobiernobogota_gov_co/IQBXh6io_0RcTbJer9rD27dvAftEALhK5PU3b2V9PYJePN4?e=ISxCKc" TargetMode="External"/><Relationship Id="rId613" Type="http://schemas.openxmlformats.org/officeDocument/2006/relationships/hyperlink" Target="https://gobiernobogota-my.sharepoint.com/:b:/g/personal/planeacion_suba_gobiernobogota_gov_co/IQAbSLyAFh2xRJr0NhbYbKk2ATKbPTcKyEeZatQ-G_R5UiE?e=uolpOb" TargetMode="External"/><Relationship Id="rId697" Type="http://schemas.openxmlformats.org/officeDocument/2006/relationships/hyperlink" Target="https://gobiernobogota-my.sharepoint.com/:b:/g/personal/planeacion_suba_gobiernobogota_gov_co/IQAbSLyAFh2xRJr0NhbYbKk2ATKbPTcKyEeZatQ-G_R5UiE?e=uolpOb" TargetMode="External"/><Relationship Id="rId820" Type="http://schemas.openxmlformats.org/officeDocument/2006/relationships/hyperlink" Target="https://gobiernobogota-my.sharepoint.com/:b:/g/personal/planeacion_suba_gobiernobogota_gov_co/IQADC9knk6nNRKJljIOhwk2qAdShpXZmNMX3rXF25hMw_UA?e=dsCZMM" TargetMode="External"/><Relationship Id="rId918" Type="http://schemas.openxmlformats.org/officeDocument/2006/relationships/hyperlink" Target="https://gobiernobogota-my.sharepoint.com/:b:/g/personal/planeacion_suba_gobiernobogota_gov_co/IQADC9knk6nNRKJljIOhwk2qAdShpXZmNMX3rXF25hMw_UA?e=dsCZMM" TargetMode="External"/><Relationship Id="rId252" Type="http://schemas.openxmlformats.org/officeDocument/2006/relationships/hyperlink" Target="https://gobiernobogota-my.sharepoint.com/:b:/g/personal/planeacion_suba_gobiernobogota_gov_co/IQDEsI6V2WLnQrISAauBjFUqATkn7I799CZW1pXmMSZKdiY?e=Ka36sk" TargetMode="External"/><Relationship Id="rId1103" Type="http://schemas.openxmlformats.org/officeDocument/2006/relationships/hyperlink" Target="https://gobiernobogota-my.sharepoint.com/:b:/g/personal/planeacion_suba_gobiernobogota_gov_co/IQDjuJ06lmR1QKZnhmt36vv5AbmmT8Ig9glLEnx-FaqAswc?e=WNfcqx" TargetMode="External"/><Relationship Id="rId47" Type="http://schemas.openxmlformats.org/officeDocument/2006/relationships/hyperlink" Target="https://gobiernobogota-my.sharepoint.com/:b:/g/personal/planeacion_suba_gobiernobogota_gov_co/IQCdev2Dvkl-RYuOHPJCpzVMAed_Q2BCu1MIfqedG9rb4d4?e=KtIU3P" TargetMode="External"/><Relationship Id="rId112" Type="http://schemas.openxmlformats.org/officeDocument/2006/relationships/hyperlink" Target="https://gobiernobogota-my.sharepoint.com/:b:/g/personal/sandra_tamayo_gobiernobogota_gov_co/IQA3E8DYd_5eQpOCLt-dIdaDAciGCWoPLul-uF8X9QJvaWY?e=b1ac6Z" TargetMode="External"/><Relationship Id="rId557" Type="http://schemas.openxmlformats.org/officeDocument/2006/relationships/hyperlink" Target="https://gobiernobogota-my.sharepoint.com/:b:/g/personal/planeacion_suba_gobiernobogota_gov_co/IQAbSLyAFh2xRJr0NhbYbKk2ATKbPTcKyEeZatQ-G_R5UiE?e=uolpOb" TargetMode="External"/><Relationship Id="rId764" Type="http://schemas.openxmlformats.org/officeDocument/2006/relationships/hyperlink" Target="https://gobiernobogota-my.sharepoint.com/:b:/g/personal/planeacion_suba_gobiernobogota_gov_co/IQAQwRzvwyOGRoadzOfEJbYbAZHcIaYsTNJAlIt0BpMGmxY?e=uCEeS6" TargetMode="External"/><Relationship Id="rId971" Type="http://schemas.openxmlformats.org/officeDocument/2006/relationships/hyperlink" Target="https://gobiernobogota-my.sharepoint.com/:b:/g/personal/planeacion_suba_gobiernobogota_gov_co/IQAQwRzvwyOGRoadzOfEJbYbAZHcIaYsTNJAlIt0BpMGmxY?e=uCEeS6" TargetMode="External"/><Relationship Id="rId196" Type="http://schemas.openxmlformats.org/officeDocument/2006/relationships/hyperlink" Target="https://gobiernobogota-my.sharepoint.com/:b:/g/personal/planeacion_suba_gobiernobogota_gov_co/IQCBQKq8b2bPRpPLx1asbELQAXqD9L5l2_XiRn-TM01JFys?e=SE5ITT" TargetMode="External"/><Relationship Id="rId417" Type="http://schemas.openxmlformats.org/officeDocument/2006/relationships/hyperlink" Target="https://gobiernobogota-my.sharepoint.com/:b:/g/personal/planeacion_suba_gobiernobogota_gov_co/IQCyA10LkQHjRbpaxdAnmhPDAXpC1OcuVN3A6MnbV1GIUkM?e=YE4SyR" TargetMode="External"/><Relationship Id="rId624" Type="http://schemas.openxmlformats.org/officeDocument/2006/relationships/hyperlink" Target="https://gobiernobogota-my.sharepoint.com/:b:/g/personal/planeacion_suba_gobiernobogota_gov_co/IQAQwRzvwyOGRoadzOfEJbYbAZHcIaYsTNJAlIt0BpMGmxY?e=uCEeS6" TargetMode="External"/><Relationship Id="rId831" Type="http://schemas.openxmlformats.org/officeDocument/2006/relationships/hyperlink" Target="https://gobiernobogota-my.sharepoint.com/:b:/g/personal/planeacion_suba_gobiernobogota_gov_co/IQCEpvS4o5b7TJoF6dRFCbmQAUxq-_zkfqchxC_cm0z7ayI?e=MxztFD" TargetMode="External"/><Relationship Id="rId1047" Type="http://schemas.openxmlformats.org/officeDocument/2006/relationships/hyperlink" Target="https://gobiernobogota-my.sharepoint.com/:b:/g/personal/planeacion_suba_gobiernobogota_gov_co/IQCok6SIWdA3R5RQoMNCzBIRAetPIxe1IjK9foAFX01Hg1E?e=Oxmd9y" TargetMode="External"/><Relationship Id="rId263" Type="http://schemas.openxmlformats.org/officeDocument/2006/relationships/hyperlink" Target="https://gobiernobogota-my.sharepoint.com/:b:/g/personal/planeacion_suba_gobiernobogota_gov_co/IQDnTTIqL0gdQ7M8lQvxgVsVAYTNutLLXrKc3Xz5mT4xVhM?e=VeVmF5" TargetMode="External"/><Relationship Id="rId470" Type="http://schemas.openxmlformats.org/officeDocument/2006/relationships/hyperlink" Target="https://gobiernobogota-my.sharepoint.com/:b:/g/personal/planeacion_suba_gobiernobogota_gov_co/IQD2gR1TRoxhT6Vy3rrV9ZlTAYIvKAQ-mngGWq3c69ZyyKU?e=wvMSrf" TargetMode="External"/><Relationship Id="rId929" Type="http://schemas.openxmlformats.org/officeDocument/2006/relationships/hyperlink" Target="https://gobiernobogota-my.sharepoint.com/:b:/g/personal/planeacion_suba_gobiernobogota_gov_co/IQAbSLyAFh2xRJr0NhbYbKk2ATKbPTcKyEeZatQ-G_R5UiE?e=uolpOb" TargetMode="External"/><Relationship Id="rId1114" Type="http://schemas.openxmlformats.org/officeDocument/2006/relationships/hyperlink" Target="https://gobiernobogota-my.sharepoint.com/:b:/g/personal/planeacion_suba_gobiernobogota_gov_co/IQAQwRzvwyOGRoadzOfEJbYbAZHcIaYsTNJAlIt0BpMGmxY?e=uCEeS6" TargetMode="External"/><Relationship Id="rId58" Type="http://schemas.openxmlformats.org/officeDocument/2006/relationships/hyperlink" Target="https://gobiernobogota-my.sharepoint.com/:b:/g/personal/planeacion_suba_gobiernobogota_gov_co/IQAPRkPrZAKvTLtcG25cEzViAeS6mFIuwdNuXQQ4Dk8pWGY?e=5nrRxu" TargetMode="External"/><Relationship Id="rId123" Type="http://schemas.openxmlformats.org/officeDocument/2006/relationships/hyperlink" Target="https://gobiernobogota-my.sharepoint.com/:b:/g/personal/planeacion_suba_gobiernobogota_gov_co/IQCgm5YiE5_kQ5TMDogZTJv7AV1RW44CV7mB7C1aXXqSRvs?e=pGD3LR" TargetMode="External"/><Relationship Id="rId330" Type="http://schemas.openxmlformats.org/officeDocument/2006/relationships/hyperlink" Target="https://gobiernobogota-my.sharepoint.com/:b:/g/personal/planeacion_suba_gobiernobogota_gov_co/IQCSi3_B967MQbru-6hZOvJMAQDB68MbX0Q08DRkLtqGuB0?e=DxXbZe" TargetMode="External"/><Relationship Id="rId568" Type="http://schemas.openxmlformats.org/officeDocument/2006/relationships/hyperlink" Target="https://gobiernobogota-my.sharepoint.com/:b:/g/personal/planeacion_suba_gobiernobogota_gov_co/IQCok6SIWdA3R5RQoMNCzBIRAetPIxe1IjK9foAFX01Hg1E?e=Oxmd9y" TargetMode="External"/><Relationship Id="rId775" Type="http://schemas.openxmlformats.org/officeDocument/2006/relationships/hyperlink" Target="https://gobiernobogota-my.sharepoint.com/:b:/g/personal/planeacion_suba_gobiernobogota_gov_co/IQBLOKQZI52RRYzlMc0IDcUfAfaPvHWc84l4wynUf1J19ZA?e=g0rO3c" TargetMode="External"/><Relationship Id="rId982" Type="http://schemas.openxmlformats.org/officeDocument/2006/relationships/hyperlink" Target="https://gobiernobogota-my.sharepoint.com/:b:/g/personal/planeacion_suba_gobiernobogota_gov_co/IQCZlc-VbsgXR4Rn8EID1ofSAXAWIc31ZsrOm33MRJUP3fc?e=Ggv7af" TargetMode="External"/><Relationship Id="rId428" Type="http://schemas.openxmlformats.org/officeDocument/2006/relationships/hyperlink" Target="https://gobiernobogota-my.sharepoint.com/:b:/g/personal/planeacion_suba_gobiernobogota_gov_co/IQDf44K_e-byQbI4bgT9lM9AAQvRsujJ9Omyjb1eLxMqujs?e=yCC9hN" TargetMode="External"/><Relationship Id="rId635" Type="http://schemas.openxmlformats.org/officeDocument/2006/relationships/hyperlink" Target="https://gobiernobogota-my.sharepoint.com/:b:/g/personal/planeacion_suba_gobiernobogota_gov_co/IQBLOKQZI52RRYzlMc0IDcUfAfaPvHWc84l4wynUf1J19ZA?e=g0rO3c" TargetMode="External"/><Relationship Id="rId842" Type="http://schemas.openxmlformats.org/officeDocument/2006/relationships/hyperlink" Target="https://gobiernobogota-my.sharepoint.com/:b:/g/personal/planeacion_suba_gobiernobogota_gov_co/IQAQwRzvwyOGRoadzOfEJbYbAZHcIaYsTNJAlIt0BpMGmxY?e=uCEeS6" TargetMode="External"/><Relationship Id="rId1058" Type="http://schemas.openxmlformats.org/officeDocument/2006/relationships/hyperlink" Target="https://gobiernobogota-my.sharepoint.com/:b:/g/personal/planeacion_suba_gobiernobogota_gov_co/IQBEZ3cUTYE-Qq8lvonSdbkfAU3X2X_gpNuXWSlY5mZwrcg?e=0JC0aj" TargetMode="External"/><Relationship Id="rId274" Type="http://schemas.openxmlformats.org/officeDocument/2006/relationships/hyperlink" Target="https://gobiernobogota-my.sharepoint.com/:b:/g/personal/planeacion_suba_gobiernobogota_gov_co/IQCtkKtR9zUuQLc24otJYdSiAR5f4mPxHD9SwAhnbxprb1I?e=FqJEGO" TargetMode="External"/><Relationship Id="rId481" Type="http://schemas.openxmlformats.org/officeDocument/2006/relationships/hyperlink" Target="https://gobiernobogota-my.sharepoint.com/:b:/g/personal/planeacion_suba_gobiernobogota_gov_co/IQChthCu6jRQRKiBHfkua-WjAe9OIeoe0qNoAAK9KUpQTvI?e=NgDqCZ" TargetMode="External"/><Relationship Id="rId702" Type="http://schemas.openxmlformats.org/officeDocument/2006/relationships/hyperlink" Target="https://gobiernobogota-my.sharepoint.com/:b:/g/personal/planeacion_suba_gobiernobogota_gov_co/IQAQwRzvwyOGRoadzOfEJbYbAZHcIaYsTNJAlIt0BpMGmxY?e=uCEeS6" TargetMode="External"/><Relationship Id="rId69" Type="http://schemas.openxmlformats.org/officeDocument/2006/relationships/hyperlink" Target="https://gobiernobogota-my.sharepoint.com/:b:/g/personal/planeacion_suba_gobiernobogota_gov_co/IQAPRkPrZAKvTLtcG25cEzViAeS6mFIuwdNuXQQ4Dk8pWGY?e=5nrRxu" TargetMode="External"/><Relationship Id="rId134" Type="http://schemas.openxmlformats.org/officeDocument/2006/relationships/hyperlink" Target="https://gobiernobogota-my.sharepoint.com/:b:/g/personal/planeacion_suba_gobiernobogota_gov_co/IQCBQKq8b2bPRpPLx1asbELQAXqD9L5l2_XiRn-TM01JFys?e=SE5ITT" TargetMode="External"/><Relationship Id="rId579" Type="http://schemas.openxmlformats.org/officeDocument/2006/relationships/hyperlink" Target="https://gobiernobogota-my.sharepoint.com/:b:/g/personal/planeacion_suba_gobiernobogota_gov_co/IQAYaI3jqNj4SqabS_CgJTM-AXdjuJYBMiLOc5h2bqKMmSo?e=pTLwO6" TargetMode="External"/><Relationship Id="rId786" Type="http://schemas.openxmlformats.org/officeDocument/2006/relationships/hyperlink" Target="https://gobiernobogota-my.sharepoint.com/:b:/g/personal/planeacion_suba_gobiernobogota_gov_co/IQCBKMJeIPh4QIwY7ZRCqdJZAZr-Dfe2L-gvMk0haiqWMBo?e=lFNTTp" TargetMode="External"/><Relationship Id="rId993" Type="http://schemas.openxmlformats.org/officeDocument/2006/relationships/hyperlink" Target="https://gobiernobogota-my.sharepoint.com/:b:/g/personal/planeacion_suba_gobiernobogota_gov_co/IQAQwRzvwyOGRoadzOfEJbYbAZHcIaYsTNJAlIt0BpMGmxY?e=uCEeS6" TargetMode="External"/><Relationship Id="rId341" Type="http://schemas.openxmlformats.org/officeDocument/2006/relationships/hyperlink" Target="https://gobiernobogota-my.sharepoint.com/:b:/g/personal/planeacion_suba_gobiernobogota_gov_co/IQDMb7zDnZvgSIT6O8TvxCnaAXhviGQRNqirZ9TaiX8MtJA?e=JOwCpk" TargetMode="External"/><Relationship Id="rId439" Type="http://schemas.openxmlformats.org/officeDocument/2006/relationships/hyperlink" Target="https://gobiernobogota-my.sharepoint.com/:b:/g/personal/planeacion_suba_gobiernobogota_gov_co/IQDkX-uGpikbSrK-LPccB8RDAbedi1ofneUYaqewJDQCJiU?e=aF4aPv" TargetMode="External"/><Relationship Id="rId646" Type="http://schemas.openxmlformats.org/officeDocument/2006/relationships/hyperlink" Target="https://gobiernobogota-my.sharepoint.com/:b:/g/personal/planeacion_suba_gobiernobogota_gov_co/IQAJY2I56kJWQLfQr7jENZyJAXvxIhZp6keKJrMXWDWt76o?e=qvMiXa" TargetMode="External"/><Relationship Id="rId1069" Type="http://schemas.openxmlformats.org/officeDocument/2006/relationships/hyperlink" Target="https://gobiernobogota-my.sharepoint.com/:b:/g/personal/planeacion_suba_gobiernobogota_gov_co/IQCok6SIWdA3R5RQoMNCzBIRAetPIxe1IjK9foAFX01Hg1E?e=Oxmd9y" TargetMode="External"/><Relationship Id="rId201" Type="http://schemas.openxmlformats.org/officeDocument/2006/relationships/hyperlink" Target="https://gobiernobogota-my.sharepoint.com/:b:/g/personal/planeacion_suba_gobiernobogota_gov_co/IQDMZ0T9mSVxRKfzq21QstZzAUDlBRHMMr71r81ynqwr9wc?e=GwTjSx" TargetMode="External"/><Relationship Id="rId285" Type="http://schemas.openxmlformats.org/officeDocument/2006/relationships/hyperlink" Target="https://gobiernobogota-my.sharepoint.com/:b:/g/personal/planeacion_suba_gobiernobogota_gov_co/IQAZT8YyqxYgR7M5F3YJE4NIAWuImHi4bITybfrgn99gOi4?e=1upZIc" TargetMode="External"/><Relationship Id="rId506" Type="http://schemas.openxmlformats.org/officeDocument/2006/relationships/hyperlink" Target="https://gobiernobogota-my.sharepoint.com/:b:/g/personal/planeacion_suba_gobiernobogota_gov_co/IQBP6yHmaA9qTpv_pqjdHytAAW4h6MX95QlYJt-JRvYDfcU?e=pBpfT7" TargetMode="External"/><Relationship Id="rId853" Type="http://schemas.openxmlformats.org/officeDocument/2006/relationships/hyperlink" Target="https://gobiernobogota-my.sharepoint.com/:b:/g/personal/planeacion_suba_gobiernobogota_gov_co/IQADC9knk6nNRKJljIOhwk2qAdShpXZmNMX3rXF25hMw_UA?e=dsCZMM" TargetMode="External"/><Relationship Id="rId492" Type="http://schemas.openxmlformats.org/officeDocument/2006/relationships/hyperlink" Target="https://gobiernobogota-my.sharepoint.com/:b:/g/personal/planeacion_suba_gobiernobogota_gov_co/IQBLOKQZI52RRYzlMc0IDcUfAfaPvHWc84l4wynUf1J19ZA?e=g0rO3c" TargetMode="External"/><Relationship Id="rId713" Type="http://schemas.openxmlformats.org/officeDocument/2006/relationships/hyperlink" Target="https://gobiernobogota-my.sharepoint.com/:b:/g/personal/planeacion_suba_gobiernobogota_gov_co/IQBLOKQZI52RRYzlMc0IDcUfAfaPvHWc84l4wynUf1J19ZA?e=g0rO3c" TargetMode="External"/><Relationship Id="rId797" Type="http://schemas.openxmlformats.org/officeDocument/2006/relationships/hyperlink" Target="https://gobiernobogota-my.sharepoint.com/:b:/g/personal/planeacion_suba_gobiernobogota_gov_co/IQAQwRzvwyOGRoadzOfEJbYbAZHcIaYsTNJAlIt0BpMGmxY?e=uCEeS6" TargetMode="External"/><Relationship Id="rId920" Type="http://schemas.openxmlformats.org/officeDocument/2006/relationships/hyperlink" Target="https://gobiernobogota-my.sharepoint.com/:b:/g/personal/planeacion_suba_gobiernobogota_gov_co/IQAQwRzvwyOGRoadzOfEJbYbAZHcIaYsTNJAlIt0BpMGmxY?e=uCEeS6" TargetMode="External"/><Relationship Id="rId145" Type="http://schemas.openxmlformats.org/officeDocument/2006/relationships/hyperlink" Target="https://gobiernobogota-my.sharepoint.com/:b:/g/personal/planeacion_suba_gobiernobogota_gov_co/IQCBQKq8b2bPRpPLx1asbELQAXqD9L5l2_XiRn-TM01JFys?e=53UdJy" TargetMode="External"/><Relationship Id="rId352" Type="http://schemas.openxmlformats.org/officeDocument/2006/relationships/hyperlink" Target="https://gobiernobogota-my.sharepoint.com/:b:/g/personal/sandra_tamayo_gobiernobogota_gov_co/IQAjeafpPcQsSqiUSz8-bKSxAScepYFngBvK7GMyKKTm4SM?e=nsbc9S" TargetMode="External"/><Relationship Id="rId212" Type="http://schemas.openxmlformats.org/officeDocument/2006/relationships/hyperlink" Target="https://gobiernobogota-my.sharepoint.com/:b:/g/personal/planeacion_suba_gobiernobogota_gov_co/IQB24XpPPvNeS6lpefEPbt8MAeqBHop4wmdSSioUcu_uZg0?e=5oPwjb" TargetMode="External"/><Relationship Id="rId657" Type="http://schemas.openxmlformats.org/officeDocument/2006/relationships/hyperlink" Target="https://gobiernobogota-my.sharepoint.com/:b:/g/personal/planeacion_suba_gobiernobogota_gov_co/IQC8CxV0RN7mTYVk1ymaF1yVAZr9O2JpF-azOIh6cQPSRI8?e=9D1mDk" TargetMode="External"/><Relationship Id="rId864" Type="http://schemas.openxmlformats.org/officeDocument/2006/relationships/hyperlink" Target="https://gobiernobogota-my.sharepoint.com/:b:/g/personal/planeacion_suba_gobiernobogota_gov_co/IQC7nmJDVIWjQJ810KF9AsOpAReaWEIH_ti1nj-EoHsdWVU?e=gmtagm" TargetMode="External"/><Relationship Id="rId296" Type="http://schemas.openxmlformats.org/officeDocument/2006/relationships/hyperlink" Target="https://gobiernobogota-my.sharepoint.com/:b:/g/personal/planeacion_suba_gobiernobogota_gov_co/IQAGMEJdVebBSbbW_iWD3OKhASMtWz38ngGhEFjJBxQWGT8?e=0Ohqjg" TargetMode="External"/><Relationship Id="rId517" Type="http://schemas.openxmlformats.org/officeDocument/2006/relationships/hyperlink" Target="https://gobiernobogota-my.sharepoint.com/:b:/g/personal/planeacion_suba_gobiernobogota_gov_co/IQAqIVV5pao1Q6rVakcljApJAfqK2OODsEAZqmXq_1rwE0k?e=VEqp2o" TargetMode="External"/><Relationship Id="rId724" Type="http://schemas.openxmlformats.org/officeDocument/2006/relationships/hyperlink" Target="https://gobiernobogota-my.sharepoint.com/:b:/g/personal/planeacion_suba_gobiernobogota_gov_co/IQADC9knk6nNRKJljIOhwk2qAdShpXZmNMX3rXF25hMw_UA?e=dsCZMM" TargetMode="External"/><Relationship Id="rId931" Type="http://schemas.openxmlformats.org/officeDocument/2006/relationships/hyperlink" Target="https://gobiernobogota-my.sharepoint.com/:b:/g/personal/planeacion_suba_gobiernobogota_gov_co/IQAQwRzvwyOGRoadzOfEJbYbAZHcIaYsTNJAlIt0BpMGmxY?e=uCEeS6" TargetMode="External"/><Relationship Id="rId60" Type="http://schemas.openxmlformats.org/officeDocument/2006/relationships/hyperlink" Target="https://gobiernobogota-my.sharepoint.com/:b:/g/personal/planeacion_suba_gobiernobogota_gov_co/IQBcwJuRCc4cTL--ocd3-APOAZKkil9qoTQfoGSndWaIEFM?e=IfTvme" TargetMode="External"/><Relationship Id="rId156" Type="http://schemas.openxmlformats.org/officeDocument/2006/relationships/hyperlink" Target="https://gobiernobogota-my.sharepoint.com/:b:/g/personal/planeacion_suba_gobiernobogota_gov_co/IQBWDY3dVrpcSqj40rTqHYUqAQ_wi3xchctE_LU1NyI0Rxo?e=vWQNgY" TargetMode="External"/><Relationship Id="rId363" Type="http://schemas.openxmlformats.org/officeDocument/2006/relationships/hyperlink" Target="https://gobiernobogota-my.sharepoint.com/:b:/g/personal/planeacion_suba_gobiernobogota_gov_co/IQAPRkPrZAKvTLtcG25cEzViAeS6mFIuwdNuXQQ4Dk8pWGY?e=5nrRxu" TargetMode="External"/><Relationship Id="rId570" Type="http://schemas.openxmlformats.org/officeDocument/2006/relationships/hyperlink" Target="https://gobiernobogota-my.sharepoint.com/:b:/g/personal/planeacion_suba_gobiernobogota_gov_co/IQBLOKQZI52RRYzlMc0IDcUfAfaPvHWc84l4wynUf1J19ZA?e=g0rO3c" TargetMode="External"/><Relationship Id="rId1007" Type="http://schemas.openxmlformats.org/officeDocument/2006/relationships/hyperlink" Target="https://gobiernobogota-my.sharepoint.com/:b:/g/personal/planeacion_suba_gobiernobogota_gov_co/IQBLOKQZI52RRYzlMc0IDcUfAfaPvHWc84l4wynUf1J19ZA?e=g0rO3c" TargetMode="External"/><Relationship Id="rId223" Type="http://schemas.openxmlformats.org/officeDocument/2006/relationships/hyperlink" Target="https://gobiernobogota-my.sharepoint.com/:b:/g/personal/planeacion_suba_gobiernobogota_gov_co/IQBI0yEyQXgwQ6mCSOWe2EEQAbsvr7zDXzRyghixX0dftHE?e=gYQKRY" TargetMode="External"/><Relationship Id="rId430" Type="http://schemas.openxmlformats.org/officeDocument/2006/relationships/hyperlink" Target="https://gobiernobogota-my.sharepoint.com/:b:/g/personal/planeacion_suba_gobiernobogota_gov_co/IQC3n1-3qJZ2SKpVvajWPoLpAeMYPbBWFvEmTo3r_WNO_U0?e=w0AYhT" TargetMode="External"/><Relationship Id="rId668" Type="http://schemas.openxmlformats.org/officeDocument/2006/relationships/hyperlink" Target="https://gobiernobogota-my.sharepoint.com/:b:/g/personal/planeacion_suba_gobiernobogota_gov_co/IQADC9knk6nNRKJljIOhwk2qAdShpXZmNMX3rXF25hMw_UA?e=dsCZMM" TargetMode="External"/><Relationship Id="rId875" Type="http://schemas.openxmlformats.org/officeDocument/2006/relationships/hyperlink" Target="https://gobiernobogota-my.sharepoint.com/:b:/g/personal/planeacion_suba_gobiernobogota_gov_co/IQBSQhRERsTORY6pE1BfV9ERAY3cy2mnv54Kg-pdU4NzBao?e=rIlcb3" TargetMode="External"/><Relationship Id="rId1060" Type="http://schemas.openxmlformats.org/officeDocument/2006/relationships/hyperlink" Target="https://gobiernobogota-my.sharepoint.com/:b:/g/personal/planeacion_suba_gobiernobogota_gov_co/IQAA1EJqhmdKRqfk1q9QGXNoAco6igvsKOuuuDTdujpVL1I?e=rq1wOt" TargetMode="External"/><Relationship Id="rId18" Type="http://schemas.openxmlformats.org/officeDocument/2006/relationships/hyperlink" Target="https://gobiernobogota-my.sharepoint.com/:b:/g/personal/planeacion_suba_gobiernobogota_gov_co/IQDYfz7BCezNT5jcCSdluleDAY3bI6UPbxERGDBiY4eb9dI?e=jqyMZZ" TargetMode="External"/><Relationship Id="rId528" Type="http://schemas.openxmlformats.org/officeDocument/2006/relationships/hyperlink" Target="https://gobiernobogota-my.sharepoint.com/:b:/g/personal/planeacion_suba_gobiernobogota_gov_co/IQDncx0XzykTSIi5GRAcyQu3AS-1hSMvXeWLM2PICSTljyI?e=BPVFDa" TargetMode="External"/><Relationship Id="rId735" Type="http://schemas.openxmlformats.org/officeDocument/2006/relationships/hyperlink" Target="https://gobiernobogota-my.sharepoint.com/:b:/g/personal/planeacion_suba_gobiernobogota_gov_co/IQAbSLyAFh2xRJr0NhbYbKk2ATKbPTcKyEeZatQ-G_R5UiE?e=uolpOb" TargetMode="External"/><Relationship Id="rId942" Type="http://schemas.openxmlformats.org/officeDocument/2006/relationships/hyperlink" Target="https://gobiernobogota-my.sharepoint.com/:b:/g/personal/planeacion_suba_gobiernobogota_gov_co/IQADC9knk6nNRKJljIOhwk2qAdShpXZmNMX3rXF25hMw_UA?e=dsCZMM" TargetMode="External"/><Relationship Id="rId167" Type="http://schemas.openxmlformats.org/officeDocument/2006/relationships/hyperlink" Target="https://gobiernobogota-my.sharepoint.com/:b:/g/personal/planeacion_suba_gobiernobogota_gov_co/IQCgm5YiE5_kQ5TMDogZTJv7AV1RW44CV7mB7C1aXXqSRvs?e=Yn6uJW" TargetMode="External"/><Relationship Id="rId374" Type="http://schemas.openxmlformats.org/officeDocument/2006/relationships/hyperlink" Target="https://gobiernobogota-my.sharepoint.com/:b:/g/personal/planeacion_suba_gobiernobogota_gov_co/IQC3n1-3qJZ2SKpVvajWPoLpAeMYPbBWFvEmTo3r_WNO_U0?e=OrkinL" TargetMode="External"/><Relationship Id="rId581" Type="http://schemas.openxmlformats.org/officeDocument/2006/relationships/hyperlink" Target="https://gobiernobogota-my.sharepoint.com/:b:/g/personal/planeacion_suba_gobiernobogota_gov_co/IQCQ6Lu7DpY5Ra99aEHQs9c6ATJEsxMMMowiFvVdqyG6vf4?e=dKxr0I" TargetMode="External"/><Relationship Id="rId1018" Type="http://schemas.openxmlformats.org/officeDocument/2006/relationships/hyperlink" Target="https://gobiernobogota-my.sharepoint.com/:b:/g/personal/planeacion_suba_gobiernobogota_gov_co/IQAbSLyAFh2xRJr0NhbYbKk2ATKbPTcKyEeZatQ-G_R5UiE?e=uolpOb" TargetMode="External"/><Relationship Id="rId71" Type="http://schemas.openxmlformats.org/officeDocument/2006/relationships/hyperlink" Target="https://gobiernobogota-my.sharepoint.com/:b:/g/personal/planeacion_suba_gobiernobogota_gov_co/IQDCo5nBdqHcSYwPwwp8sizdAWH0Tt2nODZUFrKlcfV2Rsc?e=MIgUNA" TargetMode="External"/><Relationship Id="rId234" Type="http://schemas.openxmlformats.org/officeDocument/2006/relationships/hyperlink" Target="https://gobiernobogota-my.sharepoint.com/:b:/g/personal/planeacion_suba_gobiernobogota_gov_co/IQBuOzStr3VOSrJVUh9Xj5TjAQ0tYcBuK8ryjmQQPMTnx0g?e=Lm4UKW" TargetMode="External"/><Relationship Id="rId679" Type="http://schemas.openxmlformats.org/officeDocument/2006/relationships/hyperlink" Target="https://gobiernobogota-my.sharepoint.com/:b:/g/personal/planeacion_suba_gobiernobogota_gov_co/IQCyDcYwOd5_RKf-vjsa3Bd5AeAiAtLtSVc3GjQfDeKyh_M?e=KfJYjZ" TargetMode="External"/><Relationship Id="rId802" Type="http://schemas.openxmlformats.org/officeDocument/2006/relationships/hyperlink" Target="https://gobiernobogota-my.sharepoint.com/:b:/g/personal/planeacion_suba_gobiernobogota_gov_co/IQADC9knk6nNRKJljIOhwk2qAdShpXZmNMX3rXF25hMw_UA?e=dsCZMM" TargetMode="External"/><Relationship Id="rId886" Type="http://schemas.openxmlformats.org/officeDocument/2006/relationships/hyperlink" Target="https://gobiernobogota-my.sharepoint.com/:b:/g/personal/planeacion_suba_gobiernobogota_gov_co/IQApp1JHMlK5Rps6m3EljI-NARevX55YVfE28Zsyj3h0Yy0?e=vdQnGN" TargetMode="External"/><Relationship Id="rId2" Type="http://schemas.openxmlformats.org/officeDocument/2006/relationships/hyperlink" Target="https://gobiernobogota-my.sharepoint.com/:b:/g/personal/planeacion_suba_gobiernobogota_gov_co/IQAdy-rJ0tjISa5i30jFu1k8AZRtQl9JohRXyI4j9ajYCNY?e=qk6Pss" TargetMode="External"/><Relationship Id="rId29" Type="http://schemas.openxmlformats.org/officeDocument/2006/relationships/hyperlink" Target="https://gobiernobogota-my.sharepoint.com/:b:/g/personal/planeacion_suba_gobiernobogota_gov_co/IQAku0nFTROwTrms-XUliKXoAUFPxwtN__PTUm_ZjjXMSws?e=9DeJ1d" TargetMode="External"/><Relationship Id="rId441" Type="http://schemas.openxmlformats.org/officeDocument/2006/relationships/hyperlink" Target="https://gobiernobogota-my.sharepoint.com/:b:/g/personal/planeacion_suba_gobiernobogota_gov_co/IQC5CtxfCWIsQpUu4WY13aIXAU54JlntZtjaCeLrUikEN6I?e=o4mm5s" TargetMode="External"/><Relationship Id="rId539" Type="http://schemas.openxmlformats.org/officeDocument/2006/relationships/hyperlink" Target="https://gobiernobogota-my.sharepoint.com/:b:/g/personal/planeacion_suba_gobiernobogota_gov_co/IQAbxPjJliSEQLL04aZuAbmeAVXN10vO2MjODvRnD35hSbA?e=GcYwH5" TargetMode="External"/><Relationship Id="rId746" Type="http://schemas.openxmlformats.org/officeDocument/2006/relationships/hyperlink" Target="https://gobiernobogota-my.sharepoint.com/:b:/g/personal/planeacion_suba_gobiernobogota_gov_co/IQDR7F2eHMr1RL3XnQd--C2gAVGIOJDeph3AalNjuQPBQAA?e=1eULUI" TargetMode="External"/><Relationship Id="rId1071" Type="http://schemas.openxmlformats.org/officeDocument/2006/relationships/hyperlink" Target="https://gobiernobogota-my.sharepoint.com/:b:/g/personal/planeacion_suba_gobiernobogota_gov_co/IQBLOKQZI52RRYzlMc0IDcUfAfaPvHWc84l4wynUf1J19ZA?e=g0rO3c" TargetMode="External"/><Relationship Id="rId178" Type="http://schemas.openxmlformats.org/officeDocument/2006/relationships/hyperlink" Target="https://gobiernobogota-my.sharepoint.com/:b:/g/personal/planeacion_suba_gobiernobogota_gov_co/IQBJIYVnehCWQpL1M14Zy6vBAZXN8HXrV-9IPYx-1Xd4IZY?e=2LlJiH" TargetMode="External"/><Relationship Id="rId301" Type="http://schemas.openxmlformats.org/officeDocument/2006/relationships/hyperlink" Target="https://gobiernobogota-my.sharepoint.com/:b:/g/personal/planeacion_suba_gobiernobogota_gov_co/IQC_fa-4iUW7Q7Vk1-HPz6wfAXJU7_OFuH1222cXQncKp0g?e=TuqQch" TargetMode="External"/><Relationship Id="rId953" Type="http://schemas.openxmlformats.org/officeDocument/2006/relationships/hyperlink" Target="https://gobiernobogota-my.sharepoint.com/:b:/g/personal/planeacion_suba_gobiernobogota_gov_co/IQAbSLyAFh2xRJr0NhbYbKk2ATKbPTcKyEeZatQ-G_R5UiE?e=uolpOb" TargetMode="External"/><Relationship Id="rId1029" Type="http://schemas.openxmlformats.org/officeDocument/2006/relationships/hyperlink" Target="https://gobiernobogota-my.sharepoint.com/:b:/g/personal/planeacion_suba_gobiernobogota_gov_co/IQAQwRzvwyOGRoadzOfEJbYbAZHcIaYsTNJAlIt0BpMGmxY?e=uCEeS6" TargetMode="External"/><Relationship Id="rId82" Type="http://schemas.openxmlformats.org/officeDocument/2006/relationships/hyperlink" Target="https://gobiernobogota-my.sharepoint.com/:b:/g/personal/planeacion_suba_gobiernobogota_gov_co/IQCdev2Dvkl-RYuOHPJCpzVMAed_Q2BCu1MIfqedG9rb4d4?e=KtIU3P" TargetMode="External"/><Relationship Id="rId385" Type="http://schemas.openxmlformats.org/officeDocument/2006/relationships/hyperlink" Target="https://gobiernobogota-my.sharepoint.com/:b:/g/personal/planeacion_suba_gobiernobogota_gov_co/IQBXh6io_0RcTbJer9rD27dvAftEALhK5PU3b2V9PYJePN4?e=ISxCKc" TargetMode="External"/><Relationship Id="rId592" Type="http://schemas.openxmlformats.org/officeDocument/2006/relationships/hyperlink" Target="https://gobiernobogota-my.sharepoint.com/:b:/g/personal/planeacion_suba_gobiernobogota_gov_co/IQAbSLyAFh2xRJr0NhbYbKk2ATKbPTcKyEeZatQ-G_R5UiE?e=uolpOb" TargetMode="External"/><Relationship Id="rId606" Type="http://schemas.openxmlformats.org/officeDocument/2006/relationships/hyperlink" Target="https://gobiernobogota-my.sharepoint.com/:b:/g/personal/planeacion_suba_gobiernobogota_gov_co/IQAQwRzvwyOGRoadzOfEJbYbAZHcIaYsTNJAlIt0BpMGmxY?e=uCEeS6" TargetMode="External"/><Relationship Id="rId813" Type="http://schemas.openxmlformats.org/officeDocument/2006/relationships/hyperlink" Target="https://gobiernobogota-my.sharepoint.com/:b:/g/personal/planeacion_suba_gobiernobogota_gov_co/IQAbSLyAFh2xRJr0NhbYbKk2ATKbPTcKyEeZatQ-G_R5UiE?e=uolpOb" TargetMode="External"/><Relationship Id="rId245" Type="http://schemas.openxmlformats.org/officeDocument/2006/relationships/hyperlink" Target="https://gobiernobogota-my.sharepoint.com/:b:/g/personal/planeacion_suba_gobiernobogota_gov_co/IQC3n1-3qJZ2SKpVvajWPoLpAeMYPbBWFvEmTo3r_WNO_U0?e=Urzw69" TargetMode="External"/><Relationship Id="rId452" Type="http://schemas.openxmlformats.org/officeDocument/2006/relationships/hyperlink" Target="https://gobiernobogota-my.sharepoint.com/:b:/g/personal/planeacion_suba_gobiernobogota_gov_co/IQB5yOy8N2u7T51cYUJ3LHp_AS-TD99CbP63ClCyJK5fRqs?e=QJ7V3Y" TargetMode="External"/><Relationship Id="rId897" Type="http://schemas.openxmlformats.org/officeDocument/2006/relationships/hyperlink" Target="https://gobiernobogota-my.sharepoint.com/:b:/g/personal/planeacion_suba_gobiernobogota_gov_co/IQAbSLyAFh2xRJr0NhbYbKk2ATKbPTcKyEeZatQ-G_R5UiE?e=uolpOb" TargetMode="External"/><Relationship Id="rId1082" Type="http://schemas.openxmlformats.org/officeDocument/2006/relationships/hyperlink" Target="https://gobiernobogota-my.sharepoint.com/:b:/g/personal/planeacion_suba_gobiernobogota_gov_co/IQAbSLyAFh2xRJr0NhbYbKk2ATKbPTcKyEeZatQ-G_R5UiE?e=uolpOb" TargetMode="External"/><Relationship Id="rId105" Type="http://schemas.openxmlformats.org/officeDocument/2006/relationships/hyperlink" Target="https://gobiernobogota-my.sharepoint.com/:b:/g/personal/planeacion_suba_gobiernobogota_gov_co/IQCmOM4sNIyeQKVfRR7RaucBAaGUGbdhVKj7dWPCRqpVErQ?e=k107Ci" TargetMode="External"/><Relationship Id="rId312" Type="http://schemas.openxmlformats.org/officeDocument/2006/relationships/hyperlink" Target="https://gobiernobogota-my.sharepoint.com/:b:/g/personal/planeacion_suba_gobiernobogota_gov_co/IQC3n1-3qJZ2SKpVvajWPoLpAeMYPbBWFvEmTo3r_WNO_U0?e=vxhXg6" TargetMode="External"/><Relationship Id="rId757" Type="http://schemas.openxmlformats.org/officeDocument/2006/relationships/hyperlink" Target="https://gobiernobogota-my.sharepoint.com/:b:/g/personal/planeacion_suba_gobiernobogota_gov_co/IQADC9knk6nNRKJljIOhwk2qAdShpXZmNMX3rXF25hMw_UA?e=dsCZMM" TargetMode="External"/><Relationship Id="rId964" Type="http://schemas.openxmlformats.org/officeDocument/2006/relationships/hyperlink" Target="https://gobiernobogota-my.sharepoint.com/:b:/g/personal/planeacion_suba_gobiernobogota_gov_co/IQAQwRzvwyOGRoadzOfEJbYbAZHcIaYsTNJAlIt0BpMGmxY?e=uCEeS6" TargetMode="External"/><Relationship Id="rId93" Type="http://schemas.openxmlformats.org/officeDocument/2006/relationships/hyperlink" Target="https://gobiernobogota-my.sharepoint.com/:b:/g/personal/planeacion_suba_gobiernobogota_gov_co/IQBWOzfWvY2qR5XeKQ78dAVuAVSzA7TEHZaFqKchYbEhyqU?e=gPP2uO" TargetMode="External"/><Relationship Id="rId189" Type="http://schemas.openxmlformats.org/officeDocument/2006/relationships/hyperlink" Target="https://gobiernobogota-my.sharepoint.com/:b:/g/personal/planeacion_suba_gobiernobogota_gov_co/IQAdy-rJ0tjISa5i30jFu1k8AeEdsiKBTVP5Silw_u8tCu8?e=Z53ign" TargetMode="External"/><Relationship Id="rId396" Type="http://schemas.openxmlformats.org/officeDocument/2006/relationships/hyperlink" Target="https://gobiernobogota-my.sharepoint.com/:b:/g/personal/planeacion_suba_gobiernobogota_gov_co/IQCyA10LkQHjRbpaxdAnmhPDAXpC1OcuVN3A6MnbV1GIUkM?e=vordTy" TargetMode="External"/><Relationship Id="rId617" Type="http://schemas.openxmlformats.org/officeDocument/2006/relationships/hyperlink" Target="https://gobiernobogota-my.sharepoint.com/:b:/g/personal/planeacion_suba_gobiernobogota_gov_co/IQADC9knk6nNRKJljIOhwk2qAdShpXZmNMX3rXF25hMw_UA?e=dsCZMM" TargetMode="External"/><Relationship Id="rId824" Type="http://schemas.openxmlformats.org/officeDocument/2006/relationships/hyperlink" Target="https://gobiernobogota-my.sharepoint.com/:b:/g/personal/planeacion_suba_gobiernobogota_gov_co/IQAOCAl_WAfYSKpXy1n0HPCnAb9Z04q1j96N-kojuTnNgVU?e=dRdqF9" TargetMode="External"/><Relationship Id="rId256" Type="http://schemas.openxmlformats.org/officeDocument/2006/relationships/hyperlink" Target="https://gobiernobogota-my.sharepoint.com/:b:/g/personal/planeacion_suba_gobiernobogota_gov_co/IQBwQ84Pt1EWTq-mp_kaIaN4AaLKDfMh145LCZUWvJ1lKyY?e=cpPmqC" TargetMode="External"/><Relationship Id="rId463" Type="http://schemas.openxmlformats.org/officeDocument/2006/relationships/hyperlink" Target="https://gobiernobogota-my.sharepoint.com/:b:/g/personal/planeacion_suba_gobiernobogota_gov_co/IQBN1y_X_06gQY0vKgXY6PMAATITBv1H4vVRMDBKkVIOM_M?e=4BoYde" TargetMode="External"/><Relationship Id="rId670" Type="http://schemas.openxmlformats.org/officeDocument/2006/relationships/hyperlink" Target="https://gobiernobogota-my.sharepoint.com/:b:/g/personal/planeacion_suba_gobiernobogota_gov_co/IQAbSLyAFh2xRJr0NhbYbKk2ATKbPTcKyEeZatQ-G_R5UiE?e=uolpOb" TargetMode="External"/><Relationship Id="rId1093" Type="http://schemas.openxmlformats.org/officeDocument/2006/relationships/hyperlink" Target="https://gobiernobogota-my.sharepoint.com/:b:/g/personal/planeacion_suba_gobiernobogota_gov_co/IQAQwRzvwyOGRoadzOfEJbYbAZHcIaYsTNJAlIt0BpMGmxY?e=uCEeS6" TargetMode="External"/><Relationship Id="rId1107" Type="http://schemas.openxmlformats.org/officeDocument/2006/relationships/hyperlink" Target="https://gobiernobogota-my.sharepoint.com/:b:/g/personal/planeacion_suba_gobiernobogota_gov_co/IQADC9knk6nNRKJljIOhwk2qAdShpXZmNMX3rXF25hMw_UA?e=dsCZMM" TargetMode="External"/><Relationship Id="rId116" Type="http://schemas.openxmlformats.org/officeDocument/2006/relationships/hyperlink" Target="https://gobiernobogota-my.sharepoint.com/:b:/g/personal/planeacion_suba_gobiernobogota_gov_co/IQAWlUe1Zsd-Qr2-nlTKJjGmAfzC9tnrAgEEfIE29MerGE8?e=dwbNfT" TargetMode="External"/><Relationship Id="rId323" Type="http://schemas.openxmlformats.org/officeDocument/2006/relationships/hyperlink" Target="https://gobiernobogota-my.sharepoint.com/:b:/g/personal/planeacion_suba_gobiernobogota_gov_co/IQC3n1-3qJZ2SKpVvajWPoLpAeMYPbBWFvEmTo3r_WNO_U0?e=hs3Cd0" TargetMode="External"/><Relationship Id="rId530" Type="http://schemas.openxmlformats.org/officeDocument/2006/relationships/hyperlink" Target="https://gobiernobogota-my.sharepoint.com/:b:/g/personal/planeacion_suba_gobiernobogota_gov_co/IQBNS2JUquMBQK50uPJZYMeiAcO9rFMklkk0NPxtEYzwt6w?e=9ythbo" TargetMode="External"/><Relationship Id="rId768" Type="http://schemas.openxmlformats.org/officeDocument/2006/relationships/hyperlink" Target="https://gobiernobogota-my.sharepoint.com/:b:/g/personal/planeacion_suba_gobiernobogota_gov_co/IQAbSLyAFh2xRJr0NhbYbKk2ATKbPTcKyEeZatQ-G_R5UiE?e=uolpOb" TargetMode="External"/><Relationship Id="rId975" Type="http://schemas.openxmlformats.org/officeDocument/2006/relationships/hyperlink" Target="https://gobiernobogota-my.sharepoint.com/:b:/g/personal/planeacion_suba_gobiernobogota_gov_co/IQADC9knk6nNRKJljIOhwk2qAdShpXZmNMX3rXF25hMw_UA?e=dsCZMM" TargetMode="External"/><Relationship Id="rId20" Type="http://schemas.openxmlformats.org/officeDocument/2006/relationships/hyperlink" Target="https://gobiernobogota-my.sharepoint.com/:b:/g/personal/planeacion_suba_gobiernobogota_gov_co/IQAJXjAvIajwQ68bvEjj43HpASA8Zb06zOXwxqocktk2OQM?e=wUbrQE" TargetMode="External"/><Relationship Id="rId628" Type="http://schemas.openxmlformats.org/officeDocument/2006/relationships/hyperlink" Target="https://gobiernobogota-my.sharepoint.com/:b:/g/personal/planeacion_suba_gobiernobogota_gov_co/IQADC9knk6nNRKJljIOhwk2qAdShpXZmNMX3rXF25hMw_UA?e=dsCZMM" TargetMode="External"/><Relationship Id="rId835" Type="http://schemas.openxmlformats.org/officeDocument/2006/relationships/hyperlink" Target="https://gobiernobogota-my.sharepoint.com/:b:/g/personal/planeacion_suba_gobiernobogota_gov_co/IQBLOKQZI52RRYzlMc0IDcUfAfaPvHWc84l4wynUf1J19ZA?e=g0rO3c" TargetMode="External"/><Relationship Id="rId267" Type="http://schemas.openxmlformats.org/officeDocument/2006/relationships/hyperlink" Target="https://gobiernobogota-my.sharepoint.com/:b:/g/personal/planeacion_suba_gobiernobogota_gov_co/IQCM__IxPAvnSKmMzXKkkhm4AZU_rA7ln4xSwWpMfodRTOI?e=0RGQNe" TargetMode="External"/><Relationship Id="rId474" Type="http://schemas.openxmlformats.org/officeDocument/2006/relationships/hyperlink" Target="https://gobiernobogota-my.sharepoint.com/:b:/g/personal/planeacion_suba_gobiernobogota_gov_co/IQAK8oPZv71bRqa8Zu9ueTZAAfJmd2xNleHIP0ce43niqE8?e=J6yOLz" TargetMode="External"/><Relationship Id="rId1020" Type="http://schemas.openxmlformats.org/officeDocument/2006/relationships/hyperlink" Target="https://gobiernobogota-my.sharepoint.com/:b:/g/personal/planeacion_suba_gobiernobogota_gov_co/IQAQwRzvwyOGRoadzOfEJbYbAZHcIaYsTNJAlIt0BpMGmxY?e=uCEeS6" TargetMode="External"/><Relationship Id="rId1118" Type="http://schemas.openxmlformats.org/officeDocument/2006/relationships/hyperlink" Target="https://gobiernobogota-my.sharepoint.com/:b:/g/personal/planeacion_suba_gobiernobogota_gov_co/IQD8AXUm2Qg7Sb9VFOW-_OAoAerWbz9Y5P0EmclX9dVb6Xo?e=IaIwyz" TargetMode="External"/><Relationship Id="rId127" Type="http://schemas.openxmlformats.org/officeDocument/2006/relationships/hyperlink" Target="https://gobiernobogota-my.sharepoint.com/:b:/g/personal/planeacion_suba_gobiernobogota_gov_co/IQBLJ1tp1fdzSL9E0QwjjNUSAS7hmaX-o2ET4sUI1GqHxqY?e=jxOD27" TargetMode="External"/><Relationship Id="rId681" Type="http://schemas.openxmlformats.org/officeDocument/2006/relationships/hyperlink" Target="https://gobiernobogota-my.sharepoint.com/:b:/g/personal/planeacion_suba_gobiernobogota_gov_co/IQAQwRzvwyOGRoadzOfEJbYbAZHcIaYsTNJAlIt0BpMGmxY?e=uCEeS6" TargetMode="External"/><Relationship Id="rId779" Type="http://schemas.openxmlformats.org/officeDocument/2006/relationships/hyperlink" Target="https://gobiernobogota-my.sharepoint.com/:b:/g/personal/planeacion_suba_gobiernobogota_gov_co/IQAQwRzvwyOGRoadzOfEJbYbAZHcIaYsTNJAlIt0BpMGmxY?e=uCEeS6" TargetMode="External"/><Relationship Id="rId902" Type="http://schemas.openxmlformats.org/officeDocument/2006/relationships/hyperlink" Target="https://gobiernobogota-my.sharepoint.com/:b:/g/personal/planeacion_suba_gobiernobogota_gov_co/IQAQwRzvwyOGRoadzOfEJbYbAZHcIaYsTNJAlIt0BpMGmxY?e=uCEeS6" TargetMode="External"/><Relationship Id="rId986" Type="http://schemas.openxmlformats.org/officeDocument/2006/relationships/hyperlink" Target="https://gobiernobogota-my.sharepoint.com/:b:/g/personal/planeacion_suba_gobiernobogota_gov_co/IQCok6SIWdA3R5RQoMNCzBIRAetPIxe1IjK9foAFX01Hg1E?e=Oxmd9y" TargetMode="External"/><Relationship Id="rId31" Type="http://schemas.openxmlformats.org/officeDocument/2006/relationships/hyperlink" Target="https://gobiernobogota-my.sharepoint.com/:b:/g/personal/planeacion_suba_gobiernobogota_gov_co/IQADbHMAMcCGRao4tVezbPEsAYJSbRNVoGLbVasgjE7QFQ0?e=Avz2I1" TargetMode="External"/><Relationship Id="rId334" Type="http://schemas.openxmlformats.org/officeDocument/2006/relationships/hyperlink" Target="https://gobiernobogota-my.sharepoint.com/:b:/g/personal/planeacion_suba_gobiernobogota_gov_co/IQDYfz7BCezNT5jcCSdluleDAY3bI6UPbxERGDBiY4eb9dI?e=nMk8kc" TargetMode="External"/><Relationship Id="rId541" Type="http://schemas.openxmlformats.org/officeDocument/2006/relationships/hyperlink" Target="https://gobiernobogota-my.sharepoint.com/:b:/g/personal/planeacion_suba_gobiernobogota_gov_co/IQB2SLiHx-9tQo-DBl0HXt7sAY2vcuiQByZuhwkOkWRguQE?e=M02dfQ" TargetMode="External"/><Relationship Id="rId639" Type="http://schemas.openxmlformats.org/officeDocument/2006/relationships/hyperlink" Target="https://gobiernobogota-my.sharepoint.com/:b:/g/personal/planeacion_suba_gobiernobogota_gov_co/IQDJG4E-UfPwT4ttDWhHFiAJAUaUrQx0zWNcfNoVbca0SIY?e=RrzoUc" TargetMode="External"/><Relationship Id="rId180" Type="http://schemas.openxmlformats.org/officeDocument/2006/relationships/hyperlink" Target="https://gobiernobogota-my.sharepoint.com/:b:/g/personal/planeacion_suba_gobiernobogota_gov_co/IQC3n1-3qJZ2SKpVvajWPoLpAeMYPbBWFvEmTo3r_WNO_U0?e=cu2ka2" TargetMode="External"/><Relationship Id="rId278" Type="http://schemas.openxmlformats.org/officeDocument/2006/relationships/hyperlink" Target="https://gobiernobogota-my.sharepoint.com/:b:/g/personal/planeacion_suba_gobiernobogota_gov_co/IQAAJNBs6uMeS6mV_BLxT9hXAXeAFzGz3FMXDCmtoZ_JG0E?e=Zmg5Jn" TargetMode="External"/><Relationship Id="rId401" Type="http://schemas.openxmlformats.org/officeDocument/2006/relationships/hyperlink" Target="https://gobiernobogota-my.sharepoint.com/:b:/g/personal/planeacion_suba_gobiernobogota_gov_co/IQBBu4dnf9PkSYwhrQsa2XYcASFuORQjOSLHBBlK7dsYuzY?e=odT6R7" TargetMode="External"/><Relationship Id="rId846" Type="http://schemas.openxmlformats.org/officeDocument/2006/relationships/hyperlink" Target="https://gobiernobogota-my.sharepoint.com/:b:/g/personal/planeacion_suba_gobiernobogota_gov_co/IQBwV-syZLzpSI8JFM3rWDm_AfKDN_rZVYhiip5SChaGHQU?e=KgycHb" TargetMode="External"/><Relationship Id="rId1031" Type="http://schemas.openxmlformats.org/officeDocument/2006/relationships/hyperlink" Target="https://gobiernobogota-my.sharepoint.com/:b:/g/personal/planeacion_suba_gobiernobogota_gov_co/IQADC9knk6nNRKJljIOhwk2qAdShpXZmNMX3rXF25hMw_UA?e=dsCZMM" TargetMode="External"/><Relationship Id="rId485" Type="http://schemas.openxmlformats.org/officeDocument/2006/relationships/hyperlink" Target="https://gobiernobogota-my.sharepoint.com/:b:/g/personal/planeacion_suba_gobiernobogota_gov_co/IQCN_YdvMHbBSKnagGd96QACAehjck5xNvOtIUR_doWO5QM?e=YrDZiW" TargetMode="External"/><Relationship Id="rId692" Type="http://schemas.openxmlformats.org/officeDocument/2006/relationships/hyperlink" Target="https://gobiernobogota-my.sharepoint.com/:b:/g/personal/planeacion_suba_gobiernobogota_gov_co/IQADC9knk6nNRKJljIOhwk2qAdShpXZmNMX3rXF25hMw_UA?e=dsCZMM" TargetMode="External"/><Relationship Id="rId706" Type="http://schemas.openxmlformats.org/officeDocument/2006/relationships/hyperlink" Target="https://gobiernobogota-my.sharepoint.com/:b:/g/personal/planeacion_suba_gobiernobogota_gov_co/IQAbSLyAFh2xRJr0NhbYbKk2ATKbPTcKyEeZatQ-G_R5UiE?e=uolpOb" TargetMode="External"/><Relationship Id="rId913" Type="http://schemas.openxmlformats.org/officeDocument/2006/relationships/hyperlink" Target="https://gobiernobogota-my.sharepoint.com/:b:/g/personal/planeacion_suba_gobiernobogota_gov_co/IQApp1JHMlK5Rps6m3EljI-NARevX55YVfE28Zsyj3h0Yy0?e=FUhEB7" TargetMode="External"/><Relationship Id="rId42" Type="http://schemas.openxmlformats.org/officeDocument/2006/relationships/hyperlink" Target="https://gobiernobogota-my.sharepoint.com/:b:/g/personal/planeacion_suba_gobiernobogota_gov_co/IQAPRkPrZAKvTLtcG25cEzViAeS6mFIuwdNuXQQ4Dk8pWGY?e=5nrRxu" TargetMode="External"/><Relationship Id="rId138" Type="http://schemas.openxmlformats.org/officeDocument/2006/relationships/hyperlink" Target="https://gobiernobogota-my.sharepoint.com/:b:/g/personal/planeacion_suba_gobiernobogota_gov_co/IQC3n1-3qJZ2SKpVvajWPoLpAeMYPbBWFvEmTo3r_WNO_U0?e=yl9BKD" TargetMode="External"/><Relationship Id="rId345" Type="http://schemas.openxmlformats.org/officeDocument/2006/relationships/hyperlink" Target="https://gobiernobogota-my.sharepoint.com/:b:/g/personal/planeacion_suba_gobiernobogota_gov_co/IQDMZ0T9mSVxRKfzq21QstZzAUDlBRHMMr71r81ynqwr9wc?e=GwTjSx" TargetMode="External"/><Relationship Id="rId552" Type="http://schemas.openxmlformats.org/officeDocument/2006/relationships/hyperlink" Target="https://gobiernobogota-my.sharepoint.com/:b:/g/personal/planeacion_suba_gobiernobogota_gov_co/IQADC9knk6nNRKJljIOhwk2qAdShpXZmNMX3rXF25hMw_UA?e=dsCZMM" TargetMode="External"/><Relationship Id="rId997" Type="http://schemas.openxmlformats.org/officeDocument/2006/relationships/hyperlink" Target="https://gobiernobogota-my.sharepoint.com/:b:/g/personal/planeacion_suba_gobiernobogota_gov_co/IQAbSLyAFh2xRJr0NhbYbKk2ATKbPTcKyEeZatQ-G_R5UiE?e=uolpOb" TargetMode="External"/><Relationship Id="rId191" Type="http://schemas.openxmlformats.org/officeDocument/2006/relationships/hyperlink" Target="https://gobiernobogota-my.sharepoint.com/:b:/g/personal/planeacion_suba_gobiernobogota_gov_co/IQCgm5YiE5_kQ5TMDogZTJv7AV1RW44CV7mB7C1aXXqSRvs?e=mRjgdq" TargetMode="External"/><Relationship Id="rId205" Type="http://schemas.openxmlformats.org/officeDocument/2006/relationships/hyperlink" Target="https://gobiernobogota-my.sharepoint.com/:b:/g/personal/planeacion_suba_gobiernobogota_gov_co/IQA8acw4gv6QTqasbHqdDju2AQ8OsKaDPoc143yMijZ2y20?e=wXxAQg" TargetMode="External"/><Relationship Id="rId412" Type="http://schemas.openxmlformats.org/officeDocument/2006/relationships/hyperlink" Target="https://gobiernobogota-my.sharepoint.com/:b:/g/personal/planeacion_suba_gobiernobogota_gov_co/IQC8aZx2NnlWQJELsizfgLSjAd7eqfeZXr7cjHi5SHEC9sI?e=UN3jEI" TargetMode="External"/><Relationship Id="rId857" Type="http://schemas.openxmlformats.org/officeDocument/2006/relationships/hyperlink" Target="https://gobiernobogota-my.sharepoint.com/:b:/g/personal/planeacion_suba_gobiernobogota_gov_co/IQCX5R01gnI3QLPk49hsK0lpAXaK-OSVtPGApsy1wuJ-x1s?e=X6CBQ2" TargetMode="External"/><Relationship Id="rId1042" Type="http://schemas.openxmlformats.org/officeDocument/2006/relationships/hyperlink" Target="https://gobiernobogota-my.sharepoint.com/:b:/g/personal/planeacion_suba_gobiernobogota_gov_co/IQBLOKQZI52RRYzlMc0IDcUfAfaPvHWc84l4wynUf1J19ZA?e=g0rO3c" TargetMode="External"/><Relationship Id="rId289" Type="http://schemas.openxmlformats.org/officeDocument/2006/relationships/hyperlink" Target="https://gobiernobogota-my.sharepoint.com/:b:/g/personal/planeacion_suba_gobiernobogota_gov_co/IQC5CY_jOGqsQLT9INpMFPAkAVz5LxNifQJVtXy6KkQoHSg?e=k7dvXx" TargetMode="External"/><Relationship Id="rId496" Type="http://schemas.openxmlformats.org/officeDocument/2006/relationships/hyperlink" Target="https://gobiernobogota-my.sharepoint.com/:b:/g/personal/planeacion_suba_gobiernobogota_gov_co/IQA4EZz4OwahRZ4EhlnVBw4VAenr7Dc57923trsiZ2RB2YI?e=EwUlJe" TargetMode="External"/><Relationship Id="rId717" Type="http://schemas.openxmlformats.org/officeDocument/2006/relationships/hyperlink" Target="https://gobiernobogota-my.sharepoint.com/:b:/g/personal/planeacion_suba_gobiernobogota_gov_co/IQCok6SIWdA3R5RQoMNCzBIRAetPIxe1IjK9foAFX01Hg1E?e=Oxmd9y" TargetMode="External"/><Relationship Id="rId924" Type="http://schemas.openxmlformats.org/officeDocument/2006/relationships/hyperlink" Target="https://gobiernobogota-my.sharepoint.com/:b:/g/personal/planeacion_suba_gobiernobogota_gov_co/IQADC9knk6nNRKJljIOhwk2qAdShpXZmNMX3rXF25hMw_UA?e=dsCZMM" TargetMode="External"/><Relationship Id="rId53" Type="http://schemas.openxmlformats.org/officeDocument/2006/relationships/hyperlink" Target="https://gobiernobogota-my.sharepoint.com/:b:/g/personal/planeacion_suba_gobiernobogota_gov_co/IQAPRkPrZAKvTLtcG25cEzViAeS6mFIuwdNuXQQ4Dk8pWGY?e=5nrRxu" TargetMode="External"/><Relationship Id="rId149" Type="http://schemas.openxmlformats.org/officeDocument/2006/relationships/hyperlink" Target="https://gobiernobogota-my.sharepoint.com/:b:/g/personal/planeacion_suba_gobiernobogota_gov_co/IQCBQKq8b2bPRpPLx1asbELQAXqD9L5l2_XiRn-TM01JFys?e=SE5ITT" TargetMode="External"/><Relationship Id="rId356" Type="http://schemas.openxmlformats.org/officeDocument/2006/relationships/hyperlink" Target="https://gobiernobogota-my.sharepoint.com/:b:/g/personal/planeacion_suba_gobiernobogota_gov_co/IQDHNA2Vi9cvSqxdRihYGw2kAbqj1U2Wv9CED4Hax9ePqI8?e=OaXPmP" TargetMode="External"/><Relationship Id="rId563" Type="http://schemas.openxmlformats.org/officeDocument/2006/relationships/hyperlink" Target="https://gobiernobogota-my.sharepoint.com/:b:/g/personal/planeacion_suba_gobiernobogota_gov_co/IQDGKEaWccZ6Q7laAg5m8pVDAZMhKQ3jPoXUoHpyIRHko04?e=4NKbXp" TargetMode="External"/><Relationship Id="rId770" Type="http://schemas.openxmlformats.org/officeDocument/2006/relationships/hyperlink" Target="https://gobiernobogota-my.sharepoint.com/:b:/g/personal/planeacion_suba_gobiernobogota_gov_co/IQCX5R01gnI3QLPk49hsK0lpAXaK-OSVtPGApsy1wuJ-x1s?e=X6CBQ2" TargetMode="External"/><Relationship Id="rId216" Type="http://schemas.openxmlformats.org/officeDocument/2006/relationships/hyperlink" Target="https://gobiernobogota-my.sharepoint.com/:b:/g/personal/planeacion_suba_gobiernobogota_gov_co/IQC3n1-3qJZ2SKpVvajWPoLpAeMYPbBWFvEmTo3r_WNO_U0?e=aokUhQ" TargetMode="External"/><Relationship Id="rId423" Type="http://schemas.openxmlformats.org/officeDocument/2006/relationships/hyperlink" Target="https://gobiernobogota-my.sharepoint.com/:b:/g/personal/planeacion_suba_gobiernobogota_gov_co/IQCyA10LkQHjRbpaxdAnmhPDAXpC1OcuVN3A6MnbV1GIUkM?e=vw2qy6" TargetMode="External"/><Relationship Id="rId868" Type="http://schemas.openxmlformats.org/officeDocument/2006/relationships/hyperlink" Target="https://gobiernobogota-my.sharepoint.com/:b:/g/personal/planeacion_suba_gobiernobogota_gov_co/IQBLOKQZI52RRYzlMc0IDcUfAfaPvHWc84l4wynUf1J19ZA?e=g0rO3c" TargetMode="External"/><Relationship Id="rId1053" Type="http://schemas.openxmlformats.org/officeDocument/2006/relationships/hyperlink" Target="https://gobiernobogota-my.sharepoint.com/:b:/g/personal/planeacion_suba_gobiernobogota_gov_co/IQAbSLyAFh2xRJr0NhbYbKk2ATKbPTcKyEeZatQ-G_R5UiE?e=uolpOb" TargetMode="External"/><Relationship Id="rId630" Type="http://schemas.openxmlformats.org/officeDocument/2006/relationships/hyperlink" Target="https://gobiernobogota-my.sharepoint.com/:b:/g/personal/planeacion_suba_gobiernobogota_gov_co/IQCok6SIWdA3R5RQoMNCzBIRAetPIxe1IjK9foAFX01Hg1E?e=Oxmd9y" TargetMode="External"/><Relationship Id="rId728" Type="http://schemas.openxmlformats.org/officeDocument/2006/relationships/hyperlink" Target="https://gobiernobogota-my.sharepoint.com/:b:/g/personal/planeacion_suba_gobiernobogota_gov_co/IQAQwRzvwyOGRoadzOfEJbYbAZHcIaYsTNJAlIt0BpMGmxY?e=uCEeS6" TargetMode="External"/><Relationship Id="rId935" Type="http://schemas.openxmlformats.org/officeDocument/2006/relationships/hyperlink" Target="https://gobiernobogota-my.sharepoint.com/:b:/g/personal/planeacion_suba_gobiernobogota_gov_co/IQAqNk9OH4YqRYrGpQFTz-mQAUJEcH9bcRIaZjAS9CMXGqQ?e=atqHG4" TargetMode="External"/><Relationship Id="rId64" Type="http://schemas.openxmlformats.org/officeDocument/2006/relationships/hyperlink" Target="https://gobiernobogota-my.sharepoint.com/:b:/g/personal/planeacion_suba_gobiernobogota_gov_co/IQBz2CKObcGQQ7tlyKeMS_LyAYgcIzBGx3HfmbaEMW7eKes?e=Y32qrI" TargetMode="External"/><Relationship Id="rId367" Type="http://schemas.openxmlformats.org/officeDocument/2006/relationships/hyperlink" Target="https://gobiernobogota-my.sharepoint.com/:b:/g/personal/planeacion_suba_gobiernobogota_gov_co/IQCOgtbqCSx4Rr-blaLs427EAd_hHwOcNPXV2dYA1FgLp_w?e=hY77WV" TargetMode="External"/><Relationship Id="rId574" Type="http://schemas.openxmlformats.org/officeDocument/2006/relationships/hyperlink" Target="https://gobiernobogota-my.sharepoint.com/:b:/g/personal/planeacion_suba_gobiernobogota_gov_co/IQCok6SIWdA3R5RQoMNCzBIRAetPIxe1IjK9foAFX01Hg1E?e=Oxmd9y" TargetMode="External"/><Relationship Id="rId1120" Type="http://schemas.openxmlformats.org/officeDocument/2006/relationships/hyperlink" Target="https://gobiernobogota-my.sharepoint.com/:b:/g/personal/planeacion_suba_gobiernobogota_gov_co/IQCok6SIWdA3R5RQoMNCzBIRAetPIxe1IjK9foAFX01Hg1E?e=Oxmd9y" TargetMode="External"/><Relationship Id="rId227" Type="http://schemas.openxmlformats.org/officeDocument/2006/relationships/hyperlink" Target="https://gobiernobogota-my.sharepoint.com/:b:/g/personal/planeacion_suba_gobiernobogota_gov_co/IQCOPM8ldyOlTZ80CqEXwIn8AX-cx7kMMoFydOa39O_PZRY?e=shXGF0" TargetMode="External"/><Relationship Id="rId781" Type="http://schemas.openxmlformats.org/officeDocument/2006/relationships/hyperlink" Target="https://gobiernobogota-my.sharepoint.com/:b:/g/personal/planeacion_suba_gobiernobogota_gov_co/IQADC9knk6nNRKJljIOhwk2qAdShpXZmNMX3rXF25hMw_UA?e=dsCZMM" TargetMode="External"/><Relationship Id="rId879" Type="http://schemas.openxmlformats.org/officeDocument/2006/relationships/hyperlink" Target="https://gobiernobogota-my.sharepoint.com/:b:/g/personal/planeacion_suba_gobiernobogota_gov_co/IQAqNk9OH4YqRYrGpQFTz-mQAUJEcH9bcRIaZjAS9CMXGqQ?e=gqzBOS" TargetMode="External"/><Relationship Id="rId434" Type="http://schemas.openxmlformats.org/officeDocument/2006/relationships/hyperlink" Target="https://gobiernobogota-my.sharepoint.com/:b:/g/personal/planeacion_suba_gobiernobogota_gov_co/IQDMZ0T9mSVxRKfzq21QstZzAUDlBRHMMr71r81ynqwr9wc?e=GwTjSx" TargetMode="External"/><Relationship Id="rId641" Type="http://schemas.openxmlformats.org/officeDocument/2006/relationships/hyperlink" Target="https://gobiernobogota-my.sharepoint.com/:b:/g/personal/planeacion_suba_gobiernobogota_gov_co/IQADC9knk6nNRKJljIOhwk2qAdShpXZmNMX3rXF25hMw_UA?e=dsCZMM" TargetMode="External"/><Relationship Id="rId739" Type="http://schemas.openxmlformats.org/officeDocument/2006/relationships/hyperlink" Target="https://gobiernobogota-my.sharepoint.com/:b:/g/personal/planeacion_suba_gobiernobogota_gov_co/IQAE5d6a77_NQIMYhCjaxwHsARnlhb-nHncG2gZ-xqKh3ZU?e=zZ5gXI" TargetMode="External"/><Relationship Id="rId1064" Type="http://schemas.openxmlformats.org/officeDocument/2006/relationships/hyperlink" Target="https://gobiernobogota-my.sharepoint.com/:b:/g/personal/planeacion_suba_gobiernobogota_gov_co/IQC-S_3wQcLvSpqFZ4W45ecpAepz5CxhePHE4SdPiee1bDk?e=HBOjxI" TargetMode="External"/><Relationship Id="rId280" Type="http://schemas.openxmlformats.org/officeDocument/2006/relationships/hyperlink" Target="https://gobiernobogota-my.sharepoint.com/:b:/g/personal/planeacion_suba_gobiernobogota_gov_co/IQCzIfdU-35TT6hjtk2-WEEyAbZ-6SvCcX004e1GRHemm50?e=NpQncd" TargetMode="External"/><Relationship Id="rId501" Type="http://schemas.openxmlformats.org/officeDocument/2006/relationships/hyperlink" Target="https://gobiernobogota-my.sharepoint.com/:b:/g/personal/planeacion_suba_gobiernobogota_gov_co/IQCfcE7FzhJkSYdflJOifbagAfKKdH5WWUroBfjYwCtq128?e=F0srer" TargetMode="External"/><Relationship Id="rId946" Type="http://schemas.openxmlformats.org/officeDocument/2006/relationships/hyperlink" Target="https://gobiernobogota-my.sharepoint.com/:b:/g/personal/planeacion_suba_gobiernobogota_gov_co/IQAQwRzvwyOGRoadzOfEJbYbAZHcIaYsTNJAlIt0BpMGmxY?e=uCEeS6" TargetMode="External"/><Relationship Id="rId75" Type="http://schemas.openxmlformats.org/officeDocument/2006/relationships/hyperlink" Target="https://gobiernobogota-my.sharepoint.com/:b:/g/personal/planeacion_suba_gobiernobogota_gov_co/IQBz2CKObcGQQ7tlyKeMS_LyAYgcIzBGx3HfmbaEMW7eKes?e=Y32qrI" TargetMode="External"/><Relationship Id="rId140" Type="http://schemas.openxmlformats.org/officeDocument/2006/relationships/hyperlink" Target="https://gobiernobogota-my.sharepoint.com/:b:/g/personal/planeacion_suba_gobiernobogota_gov_co/IQBuOzStr3VOSrJVUh9Xj5TjAQ0tYcBuK8ryjmQQPMTnx0g?e=6FDv7W" TargetMode="External"/><Relationship Id="rId378" Type="http://schemas.openxmlformats.org/officeDocument/2006/relationships/hyperlink" Target="https://gobiernobogota-my.sharepoint.com/:b:/g/personal/planeacion_suba_gobiernobogota_gov_co/IQA6XZ-gkoxiSKnk6aiVgSCEAawLKwlfM0IroQr3uACmZ9k?e=HVYTcl" TargetMode="External"/><Relationship Id="rId585" Type="http://schemas.openxmlformats.org/officeDocument/2006/relationships/hyperlink" Target="https://gobiernobogota-my.sharepoint.com/:b:/g/personal/planeacion_suba_gobiernobogota_gov_co/IQAbSLyAFh2xRJr0NhbYbKk2ATKbPTcKyEeZatQ-G_R5UiE?e=uolpOb" TargetMode="External"/><Relationship Id="rId792" Type="http://schemas.openxmlformats.org/officeDocument/2006/relationships/hyperlink" Target="https://gobiernobogota-my.sharepoint.com/:b:/g/personal/planeacion_suba_gobiernobogota_gov_co/IQAbSLyAFh2xRJr0NhbYbKk2ATKbPTcKyEeZatQ-G_R5UiE?e=uolpOb" TargetMode="External"/><Relationship Id="rId806" Type="http://schemas.openxmlformats.org/officeDocument/2006/relationships/hyperlink" Target="https://gobiernobogota-my.sharepoint.com/:b:/g/personal/planeacion_suba_gobiernobogota_gov_co/IQDr4js5_FEOQqU2PPA0ptheAcUlcmBzq5exh-W-dfZGuD0?e=qydTKM" TargetMode="External"/><Relationship Id="rId6" Type="http://schemas.openxmlformats.org/officeDocument/2006/relationships/hyperlink" Target="https://gobiernobogota-my.sharepoint.com/:b:/g/personal/planeacion_suba_gobiernobogota_gov_co/IQAdy-rJ0tjISa5i30jFu1k8AZRtQl9JohRXyI4j9ajYCNY?e=RLilQd" TargetMode="External"/><Relationship Id="rId238" Type="http://schemas.openxmlformats.org/officeDocument/2006/relationships/hyperlink" Target="https://gobiernobogota-my.sharepoint.com/:b:/g/personal/planeacion_suba_gobiernobogota_gov_co/IQBN1y_X_06gQY0vKgXY6PMAATITBv1H4vVRMDBKkVIOM_M?e=4BoYde" TargetMode="External"/><Relationship Id="rId445" Type="http://schemas.openxmlformats.org/officeDocument/2006/relationships/hyperlink" Target="https://gobiernobogota-my.sharepoint.com/:b:/g/personal/sandra_tamayo_gobiernobogota_gov_co/IQDDlTdQWxUqQpr89G1iHV7OATWXUfhcWF9LQLUdMMifc6s?e=N3M36B" TargetMode="External"/><Relationship Id="rId652" Type="http://schemas.openxmlformats.org/officeDocument/2006/relationships/hyperlink" Target="https://gobiernobogota-my.sharepoint.com/:b:/g/personal/planeacion_suba_gobiernobogota_gov_co/IQA9jx7Yay92SZwkIY2qbHUqAXc2z8kRtNCZiSfJQBatRHk?e=HmQejn" TargetMode="External"/><Relationship Id="rId1075" Type="http://schemas.openxmlformats.org/officeDocument/2006/relationships/hyperlink" Target="https://gobiernobogota-my.sharepoint.com/:b:/g/personal/planeacion_suba_gobiernobogota_gov_co/IQAQwRzvwyOGRoadzOfEJbYbAZHcIaYsTNJAlIt0BpMGmxY?e=uCEeS6" TargetMode="External"/><Relationship Id="rId291" Type="http://schemas.openxmlformats.org/officeDocument/2006/relationships/hyperlink" Target="https://gobiernobogota-my.sharepoint.com/:b:/g/personal/planeacion_suba_gobiernobogota_gov_co/IQDMZ0T9mSVxRKfzq21QstZzAUDlBRHMMr71r81ynqwr9wc?e=GwTjSx" TargetMode="External"/><Relationship Id="rId305" Type="http://schemas.openxmlformats.org/officeDocument/2006/relationships/hyperlink" Target="https://gobiernobogota-my.sharepoint.com/:b:/g/personal/planeacion_suba_gobiernobogota_gov_co/IQC3n1-3qJZ2SKpVvajWPoLpAeMYPbBWFvEmTo3r_WNO_U0?e=HNOkrp" TargetMode="External"/><Relationship Id="rId512" Type="http://schemas.openxmlformats.org/officeDocument/2006/relationships/hyperlink" Target="https://gobiernobogota-my.sharepoint.com/:b:/g/personal/planeacion_suba_gobiernobogota_gov_co/IQCok6SIWdA3R5RQoMNCzBIRAetPIxe1IjK9foAFX01Hg1E?e=Oxmd9y" TargetMode="External"/><Relationship Id="rId957" Type="http://schemas.openxmlformats.org/officeDocument/2006/relationships/hyperlink" Target="https://gobiernobogota-my.sharepoint.com/:b:/g/personal/planeacion_suba_gobiernobogota_gov_co/IQADC9knk6nNRKJljIOhwk2qAdShpXZmNMX3rXF25hMw_UA?e=dsCZMM" TargetMode="External"/><Relationship Id="rId86" Type="http://schemas.openxmlformats.org/officeDocument/2006/relationships/hyperlink" Target="https://gobiernobogota-my.sharepoint.com/:b:/g/personal/planeacion_suba_gobiernobogota_gov_co/IQDCo5nBdqHcSYwPwwp8sizdAWH0Tt2nODZUFrKlcfV2Rsc?e=MIgUNA" TargetMode="External"/><Relationship Id="rId151" Type="http://schemas.openxmlformats.org/officeDocument/2006/relationships/hyperlink" Target="https://gobiernobogota-my.sharepoint.com/:b:/g/personal/planeacion_suba_gobiernobogota_gov_co/IQAnvGnQjEV5T6XN7wqnVhvuATezCgcBSQu9gROapXkOtK0?e=MxV7r1" TargetMode="External"/><Relationship Id="rId389" Type="http://schemas.openxmlformats.org/officeDocument/2006/relationships/hyperlink" Target="https://gobiernobogota-my.sharepoint.com/:b:/g/personal/planeacion_suba_gobiernobogota_gov_co/IQBXh6io_0RcTbJer9rD27dvAftEALhK5PU3b2V9PYJePN4?e=ISxCKc" TargetMode="External"/><Relationship Id="rId596" Type="http://schemas.openxmlformats.org/officeDocument/2006/relationships/hyperlink" Target="https://gobiernobogota-my.sharepoint.com/:b:/g/personal/planeacion_suba_gobiernobogota_gov_co/IQAbSLyAFh2xRJr0NhbYbKk2ATKbPTcKyEeZatQ-G_R5UiE?e=uolpOb" TargetMode="External"/><Relationship Id="rId817" Type="http://schemas.openxmlformats.org/officeDocument/2006/relationships/hyperlink" Target="https://gobiernobogota-my.sharepoint.com/:b:/g/personal/planeacion_suba_gobiernobogota_gov_co/IQADC9knk6nNRKJljIOhwk2qAdShpXZmNMX3rXF25hMw_UA?e=dsCZMM" TargetMode="External"/><Relationship Id="rId1002" Type="http://schemas.openxmlformats.org/officeDocument/2006/relationships/hyperlink" Target="https://gobiernobogota-my.sharepoint.com/:b:/g/personal/planeacion_suba_gobiernobogota_gov_co/IQAQwRzvwyOGRoadzOfEJbYbAZHcIaYsTNJAlIt0BpMGmxY?e=uCEeS6" TargetMode="External"/><Relationship Id="rId249" Type="http://schemas.openxmlformats.org/officeDocument/2006/relationships/hyperlink" Target="https://gobiernobogota-my.sharepoint.com/:b:/g/personal/planeacion_suba_gobiernobogota_gov_co/IQCaU44KMphTTrg93Xh8ug1KAa6gwYdbqq7NfhXTpI5hVBI?e=EocOkc" TargetMode="External"/><Relationship Id="rId456" Type="http://schemas.openxmlformats.org/officeDocument/2006/relationships/hyperlink" Target="https://gobiernobogota-my.sharepoint.com/:b:/g/personal/planeacion_suba_gobiernobogota_gov_co/IQDmyGracKteS6Vm1_fdOwZ5Ab_PkCvygcBkbr5uLdVhIBQ?e=mesxdc" TargetMode="External"/><Relationship Id="rId663" Type="http://schemas.openxmlformats.org/officeDocument/2006/relationships/hyperlink" Target="https://gobiernobogota-my.sharepoint.com/:b:/g/personal/planeacion_suba_gobiernobogota_gov_co/IQCok6SIWdA3R5RQoMNCzBIRAetPIxe1IjK9foAFX01Hg1E?e=Oxmd9y" TargetMode="External"/><Relationship Id="rId870" Type="http://schemas.openxmlformats.org/officeDocument/2006/relationships/hyperlink" Target="https://gobiernobogota-my.sharepoint.com/:b:/g/personal/planeacion_suba_gobiernobogota_gov_co/IQCok6SIWdA3R5RQoMNCzBIRAetPIxe1IjK9foAFX01Hg1E?e=Oxmd9y" TargetMode="External"/><Relationship Id="rId1086" Type="http://schemas.openxmlformats.org/officeDocument/2006/relationships/hyperlink" Target="https://gobiernobogota-my.sharepoint.com/:b:/g/personal/planeacion_suba_gobiernobogota_gov_co/IQBLOKQZI52RRYzlMc0IDcUfAfaPvHWc84l4wynUf1J19ZA?e=g0rO3c" TargetMode="External"/><Relationship Id="rId13" Type="http://schemas.openxmlformats.org/officeDocument/2006/relationships/hyperlink" Target="https://gobiernobogota-my.sharepoint.com/:b:/g/personal/planeacion_suba_gobiernobogota_gov_co/IQAdy-rJ0tjISa5i30jFu1k8AeEdsiKBTVP5Silw_u8tCu8?e=Z53ign" TargetMode="External"/><Relationship Id="rId109" Type="http://schemas.openxmlformats.org/officeDocument/2006/relationships/hyperlink" Target="https://gobiernobogota-my.sharepoint.com/:b:/g/personal/sandra_tamayo_gobiernobogota_gov_co/IQAM8r63uIZnT5tRcP2mHZsFAWaGEdK-hI3o_OoHipb11qI?e=TFePgq" TargetMode="External"/><Relationship Id="rId316" Type="http://schemas.openxmlformats.org/officeDocument/2006/relationships/hyperlink" Target="https://gobiernobogota-my.sharepoint.com/:b:/g/personal/planeacion_suba_gobiernobogota_gov_co/IQDf44K_e-byQbI4bgT9lM9AAQvRsujJ9Omyjb1eLxMqujs?e=yCC9hN" TargetMode="External"/><Relationship Id="rId523" Type="http://schemas.openxmlformats.org/officeDocument/2006/relationships/hyperlink" Target="https://gobiernobogota-my.sharepoint.com/:b:/g/personal/planeacion_suba_gobiernobogota_gov_co/IQB8FW0_zDxKSbayOg21zlpCASBlU4v55dyd1unaLN6K4GU?e=EZjkpI" TargetMode="External"/><Relationship Id="rId968" Type="http://schemas.openxmlformats.org/officeDocument/2006/relationships/hyperlink" Target="https://gobiernobogota-my.sharepoint.com/:b:/g/personal/planeacion_suba_gobiernobogota_gov_co/IQAbSLyAFh2xRJr0NhbYbKk2ATKbPTcKyEeZatQ-G_R5UiE?e=uolpOb" TargetMode="External"/><Relationship Id="rId97" Type="http://schemas.openxmlformats.org/officeDocument/2006/relationships/hyperlink" Target="https://gobiernobogota-my.sharepoint.com/:b:/g/personal/planeacion_suba_gobiernobogota_gov_co/IQCdkMR8tqp8Q69vbzhAH616AQ_61I5Y1Hm_kEo8HVOdGQ0?e=PORaoV" TargetMode="External"/><Relationship Id="rId730" Type="http://schemas.openxmlformats.org/officeDocument/2006/relationships/hyperlink" Target="https://gobiernobogota-my.sharepoint.com/:b:/g/personal/planeacion_suba_gobiernobogota_gov_co/IQADC9knk6nNRKJljIOhwk2qAdShpXZmNMX3rXF25hMw_UA?e=dsCZMM" TargetMode="External"/><Relationship Id="rId828" Type="http://schemas.openxmlformats.org/officeDocument/2006/relationships/hyperlink" Target="https://gobiernobogota-my.sharepoint.com/:b:/g/personal/planeacion_suba_gobiernobogota_gov_co/IQAbSLyAFh2xRJr0NhbYbKk2ATKbPTcKyEeZatQ-G_R5UiE?e=uolpOb" TargetMode="External"/><Relationship Id="rId1013" Type="http://schemas.openxmlformats.org/officeDocument/2006/relationships/hyperlink" Target="https://gobiernobogota-my.sharepoint.com/:b:/g/personal/planeacion_suba_gobiernobogota_gov_co/IQBLOKQZI52RRYzlMc0IDcUfAfaPvHWc84l4wynUf1J19ZA?e=g0rO3c" TargetMode="External"/><Relationship Id="rId162" Type="http://schemas.openxmlformats.org/officeDocument/2006/relationships/hyperlink" Target="https://gobiernobogota-my.sharepoint.com/:b:/g/personal/planeacion_suba_gobiernobogota_gov_co/IQBI0yEyQXgwQ6mCSOWe2EEQAbsvr7zDXzRyghixX0dftHE?e=fojtoe" TargetMode="External"/><Relationship Id="rId467" Type="http://schemas.openxmlformats.org/officeDocument/2006/relationships/hyperlink" Target="https://gobiernobogota-my.sharepoint.com/:b:/g/personal/planeacion_suba_gobiernobogota_gov_co/IQADC9knk6nNRKJljIOhwk2qAdShpXZmNMX3rXF25hMw_UA?e=dsCZMM" TargetMode="External"/><Relationship Id="rId1097" Type="http://schemas.openxmlformats.org/officeDocument/2006/relationships/hyperlink" Target="https://gobiernobogota-my.sharepoint.com/:b:/g/personal/planeacion_suba_gobiernobogota_gov_co/IQAbSLyAFh2xRJr0NhbYbKk2ATKbPTcKyEeZatQ-G_R5UiE?e=uolpOb" TargetMode="External"/><Relationship Id="rId674" Type="http://schemas.openxmlformats.org/officeDocument/2006/relationships/hyperlink" Target="https://gobiernobogota-my.sharepoint.com/:b:/g/personal/planeacion_suba_gobiernobogota_gov_co/IQADC9knk6nNRKJljIOhwk2qAdShpXZmNMX3rXF25hMw_UA?e=dsCZMM" TargetMode="External"/><Relationship Id="rId881" Type="http://schemas.openxmlformats.org/officeDocument/2006/relationships/hyperlink" Target="https://gobiernobogota-my.sharepoint.com/:b:/g/personal/planeacion_suba_gobiernobogota_gov_co/IQAQwRzvwyOGRoadzOfEJbYbAZHcIaYsTNJAlIt0BpMGmxY?e=uCEeS6" TargetMode="External"/><Relationship Id="rId979" Type="http://schemas.openxmlformats.org/officeDocument/2006/relationships/hyperlink" Target="https://gobiernobogota-my.sharepoint.com/:b:/g/personal/planeacion_suba_gobiernobogota_gov_co/IQBHXpb8-WmcQqwdZbmyNsmWAZHzXvVQOJgu37uahqcNFXY?e=TcztNa" TargetMode="External"/><Relationship Id="rId24" Type="http://schemas.openxmlformats.org/officeDocument/2006/relationships/hyperlink" Target="https://gobiernobogota-my.sharepoint.com/:b:/g/personal/planeacion_suba_gobiernobogota_gov_co/IQBN1y_X_06gQY0vKgXY6PMAATITBv1H4vVRMDBKkVIOM_M?e=4BoYde" TargetMode="External"/><Relationship Id="rId327" Type="http://schemas.openxmlformats.org/officeDocument/2006/relationships/hyperlink" Target="https://gobiernobogota-my.sharepoint.com/:b:/g/personal/planeacion_suba_gobiernobogota_gov_co/IQDMZ0T9mSVxRKfzq21QstZzAUDlBRHMMr71r81ynqwr9wc?e=GwTjSx" TargetMode="External"/><Relationship Id="rId534" Type="http://schemas.openxmlformats.org/officeDocument/2006/relationships/hyperlink" Target="https://gobiernobogota-my.sharepoint.com/:b:/g/personal/planeacion_suba_gobiernobogota_gov_co/IQA65tu4OwUbS6zwvzRCetERAU0dmpl_NpSNwecJyulVWkA?e=RAEYXX" TargetMode="External"/><Relationship Id="rId741" Type="http://schemas.openxmlformats.org/officeDocument/2006/relationships/hyperlink" Target="https://gobiernobogota-my.sharepoint.com/:b:/g/personal/planeacion_suba_gobiernobogota_gov_co/IQAgIF-QpAnaQLUhlIyprBpKAequVyoOjww_BTalNgCgnwE?e=ihkApT" TargetMode="External"/><Relationship Id="rId839" Type="http://schemas.openxmlformats.org/officeDocument/2006/relationships/hyperlink" Target="https://gobiernobogota-my.sharepoint.com/:b:/g/personal/planeacion_suba_gobiernobogota_gov_co/IQBg5-ltg1DbR7OvlapQYEIkASHBeNVh7RKRKde6qvzpTNo?e=KsY9Xi" TargetMode="External"/><Relationship Id="rId173" Type="http://schemas.openxmlformats.org/officeDocument/2006/relationships/hyperlink" Target="https://gobiernobogota-my.sharepoint.com/:b:/g/personal/planeacion_suba_gobiernobogota_gov_co/IQCBQKq8b2bPRpPLx1asbELQAXqD9L5l2_XiRn-TM01JFys?e=lOYRFL" TargetMode="External"/><Relationship Id="rId380" Type="http://schemas.openxmlformats.org/officeDocument/2006/relationships/hyperlink" Target="https://gobiernobogota-my.sharepoint.com/:b:/g/personal/planeacion_suba_gobiernobogota_gov_co/IQA6XZ-gkoxiSKnk6aiVgSCEAawLKwlfM0IroQr3uACmZ9k?e=HVYTcl" TargetMode="External"/><Relationship Id="rId601" Type="http://schemas.openxmlformats.org/officeDocument/2006/relationships/hyperlink" Target="https://gobiernobogota-my.sharepoint.com/:b:/g/personal/planeacion_suba_gobiernobogota_gov_co/IQCjLcmDz8z5TJOAp9FGmeLfAf4B2sW9CIkhdGTO8f80x-Q?e=92J0Ch" TargetMode="External"/><Relationship Id="rId1024" Type="http://schemas.openxmlformats.org/officeDocument/2006/relationships/hyperlink" Target="https://gobiernobogota-my.sharepoint.com/:b:/g/personal/planeacion_suba_gobiernobogota_gov_co/IQAbSLyAFh2xRJr0NhbYbKk2ATKbPTcKyEeZatQ-G_R5UiE?e=uolpOb" TargetMode="External"/><Relationship Id="rId240" Type="http://schemas.openxmlformats.org/officeDocument/2006/relationships/hyperlink" Target="https://gobiernobogota-my.sharepoint.com/:b:/g/personal/planeacion_suba_gobiernobogota_gov_co/IQAJXjAvIajwQ68bvEjj43HpASA8Zb06zOXwxqocktk2OQM?e=gZIkKk" TargetMode="External"/><Relationship Id="rId478" Type="http://schemas.openxmlformats.org/officeDocument/2006/relationships/hyperlink" Target="https://gobiernobogota-my.sharepoint.com/:b:/g/personal/planeacion_suba_gobiernobogota_gov_co/IQCwOUCQp32eRoF2CBBRKptSATAzTBFHeKSI2QO_Vam7bo8?e=BxYm4W" TargetMode="External"/><Relationship Id="rId685" Type="http://schemas.openxmlformats.org/officeDocument/2006/relationships/hyperlink" Target="https://gobiernobogota-my.sharepoint.com/:b:/g/personal/planeacion_suba_gobiernobogota_gov_co/IQAbSLyAFh2xRJr0NhbYbKk2ATKbPTcKyEeZatQ-G_R5UiE?e=uolpOb" TargetMode="External"/><Relationship Id="rId892" Type="http://schemas.openxmlformats.org/officeDocument/2006/relationships/hyperlink" Target="https://gobiernobogota-my.sharepoint.com/:b:/g/personal/planeacion_suba_gobiernobogota_gov_co/IQApp1JHMlK5Rps6m3EljI-NARevX55YVfE28Zsyj3h0Yy0?e=vdQnGN" TargetMode="External"/><Relationship Id="rId906" Type="http://schemas.openxmlformats.org/officeDocument/2006/relationships/hyperlink" Target="https://gobiernobogota-my.sharepoint.com/:b:/g/personal/planeacion_suba_gobiernobogota_gov_co/IQAqNk9OH4YqRYrGpQFTz-mQAUJEcH9bcRIaZjAS9CMXGqQ?e=atqHG4" TargetMode="External"/><Relationship Id="rId35" Type="http://schemas.openxmlformats.org/officeDocument/2006/relationships/hyperlink" Target="https://gobiernobogota-my.sharepoint.com/:b:/g/personal/planeacion_suba_gobiernobogota_gov_co/IQCOgtbqCSx4Rr-blaLs427EAd_hHwOcNPXV2dYA1FgLp_w?e=hY77WV" TargetMode="External"/><Relationship Id="rId100" Type="http://schemas.openxmlformats.org/officeDocument/2006/relationships/hyperlink" Target="https://gobiernobogota-my.sharepoint.com/:b:/g/personal/sandra_tamayo_gobiernobogota_gov_co/IQAjeafpPcQsSqiUSz8-bKSxAScepYFngBvK7GMyKKTm4SM?e=nsbc9S" TargetMode="External"/><Relationship Id="rId338" Type="http://schemas.openxmlformats.org/officeDocument/2006/relationships/hyperlink" Target="https://gobiernobogota-my.sharepoint.com/:b:/g/personal/planeacion_suba_gobiernobogota_gov_co/IQBI0yEyQXgwQ6mCSOWe2EEQAbsvr7zDXzRyghixX0dftHE?e=fojtoe" TargetMode="External"/><Relationship Id="rId545" Type="http://schemas.openxmlformats.org/officeDocument/2006/relationships/hyperlink" Target="https://gobiernobogota-my.sharepoint.com/:b:/g/personal/planeacion_suba_gobiernobogota_gov_co/IQAQwRzvwyOGRoadzOfEJbYbAZHcIaYsTNJAlIt0BpMGmxY?e=uCEeS6" TargetMode="External"/><Relationship Id="rId752" Type="http://schemas.openxmlformats.org/officeDocument/2006/relationships/hyperlink" Target="https://gobiernobogota-my.sharepoint.com/:b:/g/personal/planeacion_suba_gobiernobogota_gov_co/IQAQwRzvwyOGRoadzOfEJbYbAZHcIaYsTNJAlIt0BpMGmxY?e=uCEeS6" TargetMode="External"/><Relationship Id="rId184" Type="http://schemas.openxmlformats.org/officeDocument/2006/relationships/hyperlink" Target="https://gobiernobogota-my.sharepoint.com/:b:/g/personal/planeacion_suba_gobiernobogota_gov_co/IQCgm5YiE5_kQ5TMDogZTJv7AV1RW44CV7mB7C1aXXqSRvs?e=ZGEC5l" TargetMode="External"/><Relationship Id="rId391" Type="http://schemas.openxmlformats.org/officeDocument/2006/relationships/hyperlink" Target="https://gobiernobogota-my.sharepoint.com/:b:/g/personal/planeacion_suba_gobiernobogota_gov_co/IQA6XZ-gkoxiSKnk6aiVgSCEAawLKwlfM0IroQr3uACmZ9k?e=HVYTcl" TargetMode="External"/><Relationship Id="rId405" Type="http://schemas.openxmlformats.org/officeDocument/2006/relationships/hyperlink" Target="https://gobiernobogota-my.sharepoint.com/:b:/g/personal/planeacion_suba_gobiernobogota_gov_co/IQBBu4dnf9PkSYwhrQsa2XYcASFuORQjOSLHBBlK7dsYuzY?e=odT6R7" TargetMode="External"/><Relationship Id="rId612" Type="http://schemas.openxmlformats.org/officeDocument/2006/relationships/hyperlink" Target="https://gobiernobogota-my.sharepoint.com/:b:/g/personal/planeacion_suba_gobiernobogota_gov_co/IQAQwRzvwyOGRoadzOfEJbYbAZHcIaYsTNJAlIt0BpMGmxY?e=uCEeS6" TargetMode="External"/><Relationship Id="rId1035" Type="http://schemas.openxmlformats.org/officeDocument/2006/relationships/hyperlink" Target="https://gobiernobogota-my.sharepoint.com/:b:/g/personal/planeacion_suba_gobiernobogota_gov_co/IQA1iiv153o2Q6l5_usXyFsCAYHt_LS9dfXBjnQwF6LoSvM?e=ihMccB" TargetMode="External"/><Relationship Id="rId251" Type="http://schemas.openxmlformats.org/officeDocument/2006/relationships/hyperlink" Target="https://gobiernobogota-my.sharepoint.com/:b:/g/personal/planeacion_suba_gobiernobogota_gov_co/IQB9TJ9LFrtBRIcDp2ursCPGARARotkDjW_x1KjxCXhvHuM?e=MJ2eUJ" TargetMode="External"/><Relationship Id="rId489" Type="http://schemas.openxmlformats.org/officeDocument/2006/relationships/hyperlink" Target="https://gobiernobogota-my.sharepoint.com/:b:/g/personal/planeacion_suba_gobiernobogota_gov_co/IQCT5I6DFD24Spd8CBN8anE_AX-Yyf7grP-NfjkUsq5C-S0?e=BnMnx7" TargetMode="External"/><Relationship Id="rId696" Type="http://schemas.openxmlformats.org/officeDocument/2006/relationships/hyperlink" Target="https://gobiernobogota-my.sharepoint.com/:b:/g/personal/planeacion_suba_gobiernobogota_gov_co/IQAQwRzvwyOGRoadzOfEJbYbAZHcIaYsTNJAlIt0BpMGmxY?e=uCEeS6" TargetMode="External"/><Relationship Id="rId917" Type="http://schemas.openxmlformats.org/officeDocument/2006/relationships/hyperlink" Target="https://gobiernobogota-my.sharepoint.com/:b:/g/personal/planeacion_suba_gobiernobogota_gov_co/IQAqNk9OH4YqRYrGpQFTz-mQAUJEcH9bcRIaZjAS9CMXGqQ?e=atqHG4" TargetMode="External"/><Relationship Id="rId1102" Type="http://schemas.openxmlformats.org/officeDocument/2006/relationships/hyperlink" Target="https://gobiernobogota-my.sharepoint.com/:b:/g/personal/planeacion_suba_gobiernobogota_gov_co/IQAhYJOtVszjQ6T4hFU81DsoAY5h2E0E--X4sLpiMBLzopE?e=XsBKdE" TargetMode="External"/><Relationship Id="rId46" Type="http://schemas.openxmlformats.org/officeDocument/2006/relationships/hyperlink" Target="https://gobiernobogota-my.sharepoint.com/:b:/g/personal/planeacion_suba_gobiernobogota_gov_co/IQBcwJuRCc4cTL--ocd3-APOAZKkil9qoTQfoGSndWaIEFM?e=IfTvme" TargetMode="External"/><Relationship Id="rId349" Type="http://schemas.openxmlformats.org/officeDocument/2006/relationships/hyperlink" Target="https://gobiernobogota-my.sharepoint.com/:b:/g/personal/planeacion_suba_gobiernobogota_gov_co/IQAIzhY_hzIcRb1tcXTTxwnOAZgX9SCU5HaQURydNieQ9n0?e=DydyGo" TargetMode="External"/><Relationship Id="rId556" Type="http://schemas.openxmlformats.org/officeDocument/2006/relationships/hyperlink" Target="https://gobiernobogota-my.sharepoint.com/:b:/g/personal/planeacion_suba_gobiernobogota_gov_co/IQAQwRzvwyOGRoadzOfEJbYbAZHcIaYsTNJAlIt0BpMGmxY?e=uCEeS6" TargetMode="External"/><Relationship Id="rId763" Type="http://schemas.openxmlformats.org/officeDocument/2006/relationships/hyperlink" Target="https://gobiernobogota-my.sharepoint.com/:b:/g/personal/planeacion_suba_gobiernobogota_gov_co/IQADC9knk6nNRKJljIOhwk2qAdShpXZmNMX3rXF25hMw_UA?e=dsCZMM" TargetMode="External"/><Relationship Id="rId111" Type="http://schemas.openxmlformats.org/officeDocument/2006/relationships/hyperlink" Target="https://gobiernobogota-my.sharepoint.com/:b:/g/personal/sandra_tamayo_gobiernobogota_gov_co/IQA3E8DYd_5eQpOCLt-dIdaDAciGCWoPLul-uF8X9QJvaWY?e=b1ac6Z" TargetMode="External"/><Relationship Id="rId195" Type="http://schemas.openxmlformats.org/officeDocument/2006/relationships/hyperlink" Target="https://gobiernobogota-my.sharepoint.com/:b:/g/personal/planeacion_suba_gobiernobogota_gov_co/IQC3n1-3qJZ2SKpVvajWPoLpAeMYPbBWFvEmTo3r_WNO_U0?e=F3bvOM" TargetMode="External"/><Relationship Id="rId209" Type="http://schemas.openxmlformats.org/officeDocument/2006/relationships/hyperlink" Target="https://gobiernobogota-my.sharepoint.com/:b:/g/personal/sandra_tamayo_gobiernobogota_gov_co/IQAjeafpPcQsSqiUSz8-bKSxAScepYFngBvK7GMyKKTm4SM?e=nsbc9S" TargetMode="External"/><Relationship Id="rId416" Type="http://schemas.openxmlformats.org/officeDocument/2006/relationships/hyperlink" Target="https://gobiernobogota-my.sharepoint.com/:b:/g/personal/planeacion_suba_gobiernobogota_gov_co/IQBBu4dnf9PkSYwhrQsa2XYcASFuORQjOSLHBBlK7dsYuzY?e=odT6R7" TargetMode="External"/><Relationship Id="rId970" Type="http://schemas.openxmlformats.org/officeDocument/2006/relationships/hyperlink" Target="https://gobiernobogota-my.sharepoint.com/:b:/g/personal/planeacion_suba_gobiernobogota_gov_co/IQAbSLyAFh2xRJr0NhbYbKk2ATKbPTcKyEeZatQ-G_R5UiE?e=uolpOb" TargetMode="External"/><Relationship Id="rId1046" Type="http://schemas.openxmlformats.org/officeDocument/2006/relationships/hyperlink" Target="https://gobiernobogota-my.sharepoint.com/:b:/g/personal/planeacion_suba_gobiernobogota_gov_co/IQCX5R01gnI3QLPk49hsK0lpAXaK-OSVtPGApsy1wuJ-x1s?e=X6CBQ2" TargetMode="External"/><Relationship Id="rId623" Type="http://schemas.openxmlformats.org/officeDocument/2006/relationships/hyperlink" Target="https://gobiernobogota-my.sharepoint.com/:b:/g/personal/planeacion_suba_gobiernobogota_gov_co/IQADC9knk6nNRKJljIOhwk2qAdShpXZmNMX3rXF25hMw_UA?e=dsCZMM" TargetMode="External"/><Relationship Id="rId830" Type="http://schemas.openxmlformats.org/officeDocument/2006/relationships/hyperlink" Target="https://gobiernobogota-my.sharepoint.com/:b:/g/personal/planeacion_suba_gobiernobogota_gov_co/IQCok6SIWdA3R5RQoMNCzBIRAetPIxe1IjK9foAFX01Hg1E?e=Oxmd9y" TargetMode="External"/><Relationship Id="rId928" Type="http://schemas.openxmlformats.org/officeDocument/2006/relationships/hyperlink" Target="https://gobiernobogota-my.sharepoint.com/:b:/g/personal/planeacion_suba_gobiernobogota_gov_co/IQAQwRzvwyOGRoadzOfEJbYbAZHcIaYsTNJAlIt0BpMGmxY?e=uCEeS6" TargetMode="External"/><Relationship Id="rId57" Type="http://schemas.openxmlformats.org/officeDocument/2006/relationships/hyperlink" Target="https://gobiernobogota-my.sharepoint.com/:b:/g/personal/planeacion_suba_gobiernobogota_gov_co/IQABjT_ROPyZRbrNxD7VH92xAa7L7D1ZsZ6fwKopEKnX08A?e=BCxpZh" TargetMode="External"/><Relationship Id="rId262" Type="http://schemas.openxmlformats.org/officeDocument/2006/relationships/hyperlink" Target="https://gobiernobogota-my.sharepoint.com/:b:/g/personal/planeacion_suba_gobiernobogota_gov_co/IQAnccDT0C7bSbjHL-RW6wEjAbsjkSpFIUH00w_2LDufKwI?e=sEokP1" TargetMode="External"/><Relationship Id="rId567" Type="http://schemas.openxmlformats.org/officeDocument/2006/relationships/hyperlink" Target="https://gobiernobogota-my.sharepoint.com/:b:/g/personal/planeacion_suba_gobiernobogota_gov_co/IQBLOKQZI52RRYzlMc0IDcUfAfaPvHWc84l4wynUf1J19ZA?e=g0rO3c" TargetMode="External"/><Relationship Id="rId1113" Type="http://schemas.openxmlformats.org/officeDocument/2006/relationships/hyperlink" Target="https://gobiernobogota-my.sharepoint.com/:b:/g/personal/planeacion_suba_gobiernobogota_gov_co/IQADC9knk6nNRKJljIOhwk2qAdShpXZmNMX3rXF25hMw_UA?e=dsCZMM" TargetMode="External"/><Relationship Id="rId122" Type="http://schemas.openxmlformats.org/officeDocument/2006/relationships/hyperlink" Target="https://gobiernobogota-my.sharepoint.com/:b:/g/personal/planeacion_suba_gobiernobogota_gov_co/IQBuOzStr3VOSrJVUh9Xj5TjAQ0tYcBuK8ryjmQQPMTnx0g?e=qcwvCv" TargetMode="External"/><Relationship Id="rId774" Type="http://schemas.openxmlformats.org/officeDocument/2006/relationships/hyperlink" Target="https://gobiernobogota-my.sharepoint.com/:b:/g/personal/planeacion_suba_gobiernobogota_gov_co/IQD_Vx4C-EHhS6cRqy0mAazUAUQCw7Z6lom4ktNaeAQMFd8?e=IA1amm" TargetMode="External"/><Relationship Id="rId981" Type="http://schemas.openxmlformats.org/officeDocument/2006/relationships/hyperlink" Target="https://gobiernobogota-my.sharepoint.com/:b:/g/personal/planeacion_suba_gobiernobogota_gov_co/IQBLOKQZI52RRYzlMc0IDcUfAfaPvHWc84l4wynUf1J19ZA?e=g0rO3c" TargetMode="External"/><Relationship Id="rId1057" Type="http://schemas.openxmlformats.org/officeDocument/2006/relationships/hyperlink" Target="https://gobiernobogota-my.sharepoint.com/:b:/g/personal/planeacion_suba_gobiernobogota_gov_co/IQDHlS4wjBsyTonf6eQEkHw5AaWVV8b7TrBlkVjAdyY4Dy0?e=9a6vOW" TargetMode="External"/><Relationship Id="rId427" Type="http://schemas.openxmlformats.org/officeDocument/2006/relationships/hyperlink" Target="https://gobiernobogota-my.sharepoint.com/:b:/g/personal/planeacion_suba_gobiernobogota_gov_co/IQDMZ0T9mSVxRKfzq21QstZzAUDlBRHMMr71r81ynqwr9wc?e=GwTjSx" TargetMode="External"/><Relationship Id="rId634" Type="http://schemas.openxmlformats.org/officeDocument/2006/relationships/hyperlink" Target="https://gobiernobogota-my.sharepoint.com/:b:/g/personal/planeacion_suba_gobiernobogota_gov_co/IQAbSLyAFh2xRJr0NhbYbKk2ATKbPTcKyEeZatQ-G_R5UiE?e=uolpOb" TargetMode="External"/><Relationship Id="rId841" Type="http://schemas.openxmlformats.org/officeDocument/2006/relationships/hyperlink" Target="https://gobiernobogota-my.sharepoint.com/:b:/g/personal/planeacion_suba_gobiernobogota_gov_co/IQADC9knk6nNRKJljIOhwk2qAdShpXZmNMX3rXF25hMw_UA?e=dsCZMM" TargetMode="External"/><Relationship Id="rId273" Type="http://schemas.openxmlformats.org/officeDocument/2006/relationships/hyperlink" Target="https://gobiernobogota-my.sharepoint.com/:b:/g/personal/planeacion_suba_gobiernobogota_gov_co/IQC3n1-3qJZ2SKpVvajWPoLpAeMYPbBWFvEmTo3r_WNO_U0?e=tFZoMb" TargetMode="External"/><Relationship Id="rId480" Type="http://schemas.openxmlformats.org/officeDocument/2006/relationships/hyperlink" Target="https://gobiernobogota-my.sharepoint.com/:b:/g/personal/planeacion_suba_gobiernobogota_gov_co/IQB8dQ5BbzvPSbdN-EFwKvQRARiu7z_crciWRcbVnovpBQs?e=ozcU1D" TargetMode="External"/><Relationship Id="rId701" Type="http://schemas.openxmlformats.org/officeDocument/2006/relationships/hyperlink" Target="https://gobiernobogota-my.sharepoint.com/:b:/g/personal/planeacion_suba_gobiernobogota_gov_co/IQADC9knk6nNRKJljIOhwk2qAdShpXZmNMX3rXF25hMw_UA?e=dsCZMM" TargetMode="External"/><Relationship Id="rId939" Type="http://schemas.openxmlformats.org/officeDocument/2006/relationships/hyperlink" Target="https://gobiernobogota-my.sharepoint.com/:b:/g/personal/planeacion_suba_gobiernobogota_gov_co/IQADC9knk6nNRKJljIOhwk2qAdShpXZmNMX3rXF25hMw_UA?e=dsCZMM" TargetMode="External"/><Relationship Id="rId68" Type="http://schemas.openxmlformats.org/officeDocument/2006/relationships/hyperlink" Target="https://gobiernobogota-my.sharepoint.com/:b:/g/personal/planeacion_suba_gobiernobogota_gov_co/IQCdkMR8tqp8Q69vbzhAH616AQ_61I5Y1Hm_kEo8HVOdGQ0?e=PORaoV" TargetMode="External"/><Relationship Id="rId133" Type="http://schemas.openxmlformats.org/officeDocument/2006/relationships/hyperlink" Target="https://gobiernobogota-my.sharepoint.com/:b:/g/personal/planeacion_suba_gobiernobogota_gov_co/IQC3n1-3qJZ2SKpVvajWPoLpAeMYPbBWFvEmTo3r_WNO_U0?e=j8mp6k" TargetMode="External"/><Relationship Id="rId340" Type="http://schemas.openxmlformats.org/officeDocument/2006/relationships/hyperlink" Target="https://gobiernobogota-my.sharepoint.com/:b:/g/personal/planeacion_suba_gobiernobogota_gov_co/IQAdy-rJ0tjISa5i30jFu1k8AZRtQl9JohRXyI4j9ajYCNY?e=RLilQd" TargetMode="External"/><Relationship Id="rId578" Type="http://schemas.openxmlformats.org/officeDocument/2006/relationships/hyperlink" Target="https://gobiernobogota-my.sharepoint.com/:b:/g/personal/planeacion_suba_gobiernobogota_gov_co/IQCyY3ZMohzHS7FzJp-ri0fyAQcKYCfpCGokgNlEhga7V5Q?e=Q2Uzzb" TargetMode="External"/><Relationship Id="rId785" Type="http://schemas.openxmlformats.org/officeDocument/2006/relationships/hyperlink" Target="https://gobiernobogota-my.sharepoint.com/:b:/g/personal/planeacion_suba_gobiernobogota_gov_co/IQCok6SIWdA3R5RQoMNCzBIRAetPIxe1IjK9foAFX01Hg1E?e=Oxmd9y" TargetMode="External"/><Relationship Id="rId992" Type="http://schemas.openxmlformats.org/officeDocument/2006/relationships/hyperlink" Target="https://gobiernobogota-my.sharepoint.com/:b:/g/personal/planeacion_suba_gobiernobogota_gov_co/IQADC9knk6nNRKJljIOhwk2qAdShpXZmNMX3rXF25hMw_UA?e=dsCZMM" TargetMode="External"/><Relationship Id="rId200" Type="http://schemas.openxmlformats.org/officeDocument/2006/relationships/hyperlink" Target="https://gobiernobogota-my.sharepoint.com/:b:/g/personal/planeacion_suba_gobiernobogota_gov_co/IQBuOzStr3VOSrJVUh9Xj5TjAQ0tYcBuK8ryjmQQPMTnx0g?e=JE5ZeO" TargetMode="External"/><Relationship Id="rId438" Type="http://schemas.openxmlformats.org/officeDocument/2006/relationships/hyperlink" Target="https://gobiernobogota-my.sharepoint.com/:b:/g/personal/planeacion_suba_gobiernobogota_gov_co/IQClr3MnnLhZT5TdR_-_YTVVAWt3PtNOy2D9RaYWDwZrqBA?e=HU0wNc" TargetMode="External"/><Relationship Id="rId645" Type="http://schemas.openxmlformats.org/officeDocument/2006/relationships/hyperlink" Target="https://gobiernobogota-my.sharepoint.com/:b:/g/personal/planeacion_suba_gobiernobogota_gov_co/IQAxgaU7SxW9Rro8Hy7VpJTJAToHKwj4AvsLo3R3IrsWqK0?e=aU5rRD" TargetMode="External"/><Relationship Id="rId852" Type="http://schemas.openxmlformats.org/officeDocument/2006/relationships/hyperlink" Target="https://gobiernobogota-my.sharepoint.com/:b:/g/personal/planeacion_suba_gobiernobogota_gov_co/IQCVr12wt0-XQ4D_zYx6guBwAU0UyW1Fas7E3fU0YeWzQXg?e=ZMLLWJ" TargetMode="External"/><Relationship Id="rId1068" Type="http://schemas.openxmlformats.org/officeDocument/2006/relationships/hyperlink" Target="https://gobiernobogota-my.sharepoint.com/:b:/g/personal/planeacion_suba_gobiernobogota_gov_co/IQBLOKQZI52RRYzlMc0IDcUfAfaPvHWc84l4wynUf1J19ZA?e=g0rO3c" TargetMode="External"/><Relationship Id="rId284" Type="http://schemas.openxmlformats.org/officeDocument/2006/relationships/hyperlink" Target="https://gobiernobogota-my.sharepoint.com/:b:/g/personal/planeacion_suba_gobiernobogota_gov_co/IQDXXjy-5aqlQrLhtW2xd7zVAQR76NnvRF-BgbXuQf_hugs?e=A7W88w" TargetMode="External"/><Relationship Id="rId491" Type="http://schemas.openxmlformats.org/officeDocument/2006/relationships/hyperlink" Target="https://gobiernobogota-my.sharepoint.com/:b:/g/personal/planeacion_suba_gobiernobogota_gov_co/IQAQwRzvwyOGRoadzOfEJbYbAZHcIaYsTNJAlIt0BpMGmxY?e=uCEeS6" TargetMode="External"/><Relationship Id="rId505" Type="http://schemas.openxmlformats.org/officeDocument/2006/relationships/hyperlink" Target="https://gobiernobogota-my.sharepoint.com/:b:/g/personal/planeacion_suba_gobiernobogota_gov_co/IQCX5R01gnI3QLPk49hsK0lpAXaK-OSVtPGApsy1wuJ-x1s?e=X6CBQ2" TargetMode="External"/><Relationship Id="rId712" Type="http://schemas.openxmlformats.org/officeDocument/2006/relationships/hyperlink" Target="https://gobiernobogota-my.sharepoint.com/:b:/g/personal/planeacion_suba_gobiernobogota_gov_co/IQBiSF_o8zcxTL5ArZEJJyajARFSwvZPuym3WN1imwXhAXI?e=up9f48" TargetMode="External"/><Relationship Id="rId79" Type="http://schemas.openxmlformats.org/officeDocument/2006/relationships/hyperlink" Target="https://gobiernobogota-my.sharepoint.com/:b:/g/personal/planeacion_suba_gobiernobogota_gov_co/IQCdkMR8tqp8Q69vbzhAH616AQ_61I5Y1Hm_kEo8HVOdGQ0?e=PORaoV" TargetMode="External"/><Relationship Id="rId144" Type="http://schemas.openxmlformats.org/officeDocument/2006/relationships/hyperlink" Target="https://gobiernobogota-my.sharepoint.com/:b:/g/personal/sandra_tamayo_gobiernobogota_gov_co/IQAjeafpPcQsSqiUSz8-bKSxAScepYFngBvK7GMyKKTm4SM?e=nsbc9S" TargetMode="External"/><Relationship Id="rId589" Type="http://schemas.openxmlformats.org/officeDocument/2006/relationships/hyperlink" Target="https://gobiernobogota-my.sharepoint.com/:b:/g/personal/planeacion_suba_gobiernobogota_gov_co/IQAbSLyAFh2xRJr0NhbYbKk2ATKbPTcKyEeZatQ-G_R5UiE?e=uolpOb" TargetMode="External"/><Relationship Id="rId796" Type="http://schemas.openxmlformats.org/officeDocument/2006/relationships/hyperlink" Target="https://gobiernobogota-my.sharepoint.com/:b:/g/personal/planeacion_suba_gobiernobogota_gov_co/IQADC9knk6nNRKJljIOhwk2qAdShpXZmNMX3rXF25hMw_UA?e=dsCZMM" TargetMode="External"/><Relationship Id="rId351" Type="http://schemas.openxmlformats.org/officeDocument/2006/relationships/hyperlink" Target="https://gobiernobogota-my.sharepoint.com/:b:/g/personal/planeacion_suba_gobiernobogota_gov_co/IQB88U3Vz7gkToJIB7ic-wEmASj_InxGScZG8CupILITlIA?e=WdDChx" TargetMode="External"/><Relationship Id="rId449" Type="http://schemas.openxmlformats.org/officeDocument/2006/relationships/hyperlink" Target="https://gobiernobogota-my.sharepoint.com/:b:/g/personal/planeacion_suba_gobiernobogota_gov_co/IQD70PYGw7ksT6B9YVFNkPmkAXSBXAKNRze8CJjzcJoGAHI?e=4otwka" TargetMode="External"/><Relationship Id="rId656" Type="http://schemas.openxmlformats.org/officeDocument/2006/relationships/hyperlink" Target="https://gobiernobogota-my.sharepoint.com/:b:/g/personal/planeacion_suba_gobiernobogota_gov_co/IQBLOKQZI52RRYzlMc0IDcUfAfaPvHWc84l4wynUf1J19ZA?e=g0rO3c" TargetMode="External"/><Relationship Id="rId863" Type="http://schemas.openxmlformats.org/officeDocument/2006/relationships/hyperlink" Target="https://gobiernobogota-my.sharepoint.com/:b:/g/personal/planeacion_suba_gobiernobogota_gov_co/IQCok6SIWdA3R5RQoMNCzBIRAetPIxe1IjK9foAFX01Hg1E?e=Oxmd9y" TargetMode="External"/><Relationship Id="rId1079" Type="http://schemas.openxmlformats.org/officeDocument/2006/relationships/hyperlink" Target="https://gobiernobogota-my.sharepoint.com/:b:/g/personal/planeacion_suba_gobiernobogota_gov_co/IQAbSLyAFh2xRJr0NhbYbKk2ATKbPTcKyEeZatQ-G_R5UiE?e=uolpOb" TargetMode="External"/><Relationship Id="rId211" Type="http://schemas.openxmlformats.org/officeDocument/2006/relationships/hyperlink" Target="https://gobiernobogota-my.sharepoint.com/:b:/g/personal/planeacion_suba_gobiernobogota_gov_co/IQBuOzStr3VOSrJVUh9Xj5TjAQ0tYcBuK8ryjmQQPMTnx0g?e=mgMccd" TargetMode="External"/><Relationship Id="rId295" Type="http://schemas.openxmlformats.org/officeDocument/2006/relationships/hyperlink" Target="https://gobiernobogota-my.sharepoint.com/:b:/g/personal/planeacion_suba_gobiernobogota_gov_co/IQA7D704FzeQQY_-J0VeSiTJAeAwRQ5KuhgACOR4kng5ugY?e=jZqcLb" TargetMode="External"/><Relationship Id="rId309" Type="http://schemas.openxmlformats.org/officeDocument/2006/relationships/hyperlink" Target="https://gobiernobogota-my.sharepoint.com/:b:/g/personal/planeacion_suba_gobiernobogota_gov_co/IQDEJ-gBvOShQ59xrEjvGzE-AW_nuIAlfyclyCdUlbxu4hc?e=5ByG1x" TargetMode="External"/><Relationship Id="rId516" Type="http://schemas.openxmlformats.org/officeDocument/2006/relationships/hyperlink" Target="https://gobiernobogota-my.sharepoint.com/:b:/g/personal/planeacion_suba_gobiernobogota_gov_co/IQCok6SIWdA3R5RQoMNCzBIRAetPIxe1IjK9foAFX01Hg1E?e=Oxmd9y" TargetMode="External"/><Relationship Id="rId723" Type="http://schemas.openxmlformats.org/officeDocument/2006/relationships/hyperlink" Target="https://gobiernobogota-my.sharepoint.com/:b:/g/personal/planeacion_suba_gobiernobogota_gov_co/IQAbSLyAFh2xRJr0NhbYbKk2ATKbPTcKyEeZatQ-G_R5UiE?e=uolpOb" TargetMode="External"/><Relationship Id="rId930" Type="http://schemas.openxmlformats.org/officeDocument/2006/relationships/hyperlink" Target="https://gobiernobogota-my.sharepoint.com/:b:/g/personal/planeacion_suba_gobiernobogota_gov_co/IQADC9knk6nNRKJljIOhwk2qAdShpXZmNMX3rXF25hMw_UA?e=dsCZMM" TargetMode="External"/><Relationship Id="rId1006" Type="http://schemas.openxmlformats.org/officeDocument/2006/relationships/hyperlink" Target="https://gobiernobogota-my.sharepoint.com/:b:/g/personal/planeacion_suba_gobiernobogota_gov_co/IQBI3JyPjpUwTISjCJIooeQWARn5mkqcmqOFvi-pO5e4f_s?e=V1ypoX" TargetMode="External"/><Relationship Id="rId155" Type="http://schemas.openxmlformats.org/officeDocument/2006/relationships/hyperlink" Target="https://gobiernobogota-my.sharepoint.com/:b:/g/personal/planeacion_suba_gobiernobogota_gov_co/IQBrylcLj_26QooEcMLvNHsqAdzsz1eJcy0EdzJJGhWWdzs?e=8SfFq1" TargetMode="External"/><Relationship Id="rId362" Type="http://schemas.openxmlformats.org/officeDocument/2006/relationships/hyperlink" Target="https://gobiernobogota-my.sharepoint.com/:b:/g/personal/planeacion_suba_gobiernobogota_gov_co/IQC0Zr6QeDVcT6uXSsvLXYzTASI49d9b4wN6s18ujelqB2U?e=OHYGKx" TargetMode="External"/><Relationship Id="rId222" Type="http://schemas.openxmlformats.org/officeDocument/2006/relationships/hyperlink" Target="https://gobiernobogota-my.sharepoint.com/:b:/g/personal/planeacion_suba_gobiernobogota_gov_co/IQBNsYMpaducRJZiEioICRgqAY4EdQFfHQsumh5haK9ape0?e=fwF8JT" TargetMode="External"/><Relationship Id="rId667" Type="http://schemas.openxmlformats.org/officeDocument/2006/relationships/hyperlink" Target="https://gobiernobogota-my.sharepoint.com/:b:/g/personal/planeacion_suba_gobiernobogota_gov_co/IQAbSLyAFh2xRJr0NhbYbKk2ATKbPTcKyEeZatQ-G_R5UiE?e=uolpOb" TargetMode="External"/><Relationship Id="rId874" Type="http://schemas.openxmlformats.org/officeDocument/2006/relationships/hyperlink" Target="https://gobiernobogota-my.sharepoint.com/:b:/g/personal/planeacion_suba_gobiernobogota_gov_co/IQCjdjmMuuaGRqyl1GD63gxfAXetD0gPlYfxvdJF6jy1hgs?e=BArnSX" TargetMode="External"/><Relationship Id="rId17" Type="http://schemas.openxmlformats.org/officeDocument/2006/relationships/hyperlink" Target="https://gobiernobogota-my.sharepoint.com/:b:/g/personal/planeacion_suba_gobiernobogota_gov_co/IQBI0yEyQXgwQ6mCSOWe2EEQAbsvr7zDXzRyghixX0dftHE?e=hTSX7c" TargetMode="External"/><Relationship Id="rId527" Type="http://schemas.openxmlformats.org/officeDocument/2006/relationships/hyperlink" Target="https://gobiernobogota-my.sharepoint.com/:b:/g/personal/planeacion_suba_gobiernobogota_gov_co/IQCRK2NTdt7STIR4yP3tjK81AfbTWUx9ykB_Ty3qeZcimMM?e=BEUr7Q" TargetMode="External"/><Relationship Id="rId734" Type="http://schemas.openxmlformats.org/officeDocument/2006/relationships/hyperlink" Target="https://gobiernobogota-my.sharepoint.com/:b:/g/personal/planeacion_suba_gobiernobogota_gov_co/IQAQwRzvwyOGRoadzOfEJbYbAZHcIaYsTNJAlIt0BpMGmxY?e=uCEeS6" TargetMode="External"/><Relationship Id="rId941" Type="http://schemas.openxmlformats.org/officeDocument/2006/relationships/hyperlink" Target="https://gobiernobogota-my.sharepoint.com/:b:/g/personal/planeacion_suba_gobiernobogota_gov_co/IQAgF3gdua3vS6hxDfGAXPKoAV1KN8u-7uKEpI8LBBEwa3s?e=BZSBef" TargetMode="External"/><Relationship Id="rId70" Type="http://schemas.openxmlformats.org/officeDocument/2006/relationships/hyperlink" Target="https://gobiernobogota-my.sharepoint.com/:b:/g/personal/planeacion_suba_gobiernobogota_gov_co/IQDXXjy-5aqlQrLhtW2xd7zVAQR76NnvRF-BgbXuQf_hugs?e=A7W88w" TargetMode="External"/><Relationship Id="rId166" Type="http://schemas.openxmlformats.org/officeDocument/2006/relationships/hyperlink" Target="https://gobiernobogota-my.sharepoint.com/:b:/g/personal/planeacion_suba_gobiernobogota_gov_co/IQDYfz7BCezNT5jcCSdluleDAY3bI6UPbxERGDBiY4eb9dI?e=nMk8kc" TargetMode="External"/><Relationship Id="rId373" Type="http://schemas.openxmlformats.org/officeDocument/2006/relationships/hyperlink" Target="https://gobiernobogota-my.sharepoint.com/:b:/g/personal/planeacion_suba_gobiernobogota_gov_co/IQDf44K_e-byQbI4bgT9lM9AAQvRsujJ9Omyjb1eLxMqujs?e=yCC9hN" TargetMode="External"/><Relationship Id="rId580" Type="http://schemas.openxmlformats.org/officeDocument/2006/relationships/hyperlink" Target="https://gobiernobogota-my.sharepoint.com/:b:/g/personal/planeacion_suba_gobiernobogota_gov_co/IQCFhkWgiUdPTJnyARkIx-i_ASef0pFTWbqMkMNNQAnV9sM?e=9CRZ4d" TargetMode="External"/><Relationship Id="rId801" Type="http://schemas.openxmlformats.org/officeDocument/2006/relationships/hyperlink" Target="https://gobiernobogota-my.sharepoint.com/:b:/g/personal/planeacion_suba_gobiernobogota_gov_co/IQDgt8LzOVg5RLYpizM2qKekAXP0zCbSCCYyTOfUD2bK3W0?e=4sULYm" TargetMode="External"/><Relationship Id="rId1017" Type="http://schemas.openxmlformats.org/officeDocument/2006/relationships/hyperlink" Target="https://gobiernobogota-my.sharepoint.com/:b:/g/personal/planeacion_suba_gobiernobogota_gov_co/IQAQwRzvwyOGRoadzOfEJbYbAZHcIaYsTNJAlIt0BpMGmxY?e=uCEeS6" TargetMode="External"/><Relationship Id="rId1" Type="http://schemas.openxmlformats.org/officeDocument/2006/relationships/hyperlink" Target="https://gobiernobogota-my.sharepoint.com/:b:/g/personal/planeacion_suba_gobiernobogota_gov_co/IQAJXjAvIajwQ68bvEjj43HpASA8Zb06zOXwxqocktk2OQM?e=UTKHx0" TargetMode="External"/><Relationship Id="rId233" Type="http://schemas.openxmlformats.org/officeDocument/2006/relationships/hyperlink" Target="https://gobiernobogota-my.sharepoint.com/:b:/g/personal/planeacion_suba_gobiernobogota_gov_co/IQC3n1-3qJZ2SKpVvajWPoLpAeMYPbBWFvEmTo3r_WNO_U0?e=fhhfId" TargetMode="External"/><Relationship Id="rId440" Type="http://schemas.openxmlformats.org/officeDocument/2006/relationships/hyperlink" Target="https://gobiernobogota-my.sharepoint.com/:b:/g/personal/planeacion_suba_gobiernobogota_gov_co/IQCybqQ1H-HySK56wgXCEW51Af_tPuXKtWaIv22d3cZL6Y8?e=zKaZmc" TargetMode="External"/><Relationship Id="rId678" Type="http://schemas.openxmlformats.org/officeDocument/2006/relationships/hyperlink" Target="https://gobiernobogota-my.sharepoint.com/:b:/g/personal/planeacion_suba_gobiernobogota_gov_co/IQAFIyOouQ6tR7AKy9s43lnWAUB6aQ-6IHz9Kqgf1Y8vzCE?e=y6Jktp" TargetMode="External"/><Relationship Id="rId885" Type="http://schemas.openxmlformats.org/officeDocument/2006/relationships/hyperlink" Target="https://gobiernobogota-my.sharepoint.com/:b:/g/personal/planeacion_suba_gobiernobogota_gov_co/IQA7K-c7ho-gSL8rW2WJHSwgAbSaGdB1X6E-RzP8psxPrCQ?e=N1yzVY" TargetMode="External"/><Relationship Id="rId1070" Type="http://schemas.openxmlformats.org/officeDocument/2006/relationships/hyperlink" Target="https://gobiernobogota-my.sharepoint.com/:b:/g/personal/planeacion_suba_gobiernobogota_gov_co/IQBL1twoYgkNSqUeS2Ub8S8MAc6UU0mtDPNZjlJPHH1f-_A?e=DXVeOi" TargetMode="External"/><Relationship Id="rId28" Type="http://schemas.openxmlformats.org/officeDocument/2006/relationships/hyperlink" Target="https://gobiernobogota-my.sharepoint.com/:b:/g/personal/planeacion_suba_gobiernobogota_gov_co/IQA0TAxhTdESQaWyokxkYiYrAUbT3V5pPD-WeH61XsXHSR4?e=trenfi" TargetMode="External"/><Relationship Id="rId300" Type="http://schemas.openxmlformats.org/officeDocument/2006/relationships/hyperlink" Target="https://gobiernobogota-my.sharepoint.com/:b:/g/personal/planeacion_suba_gobiernobogota_gov_co/IQDMZ0T9mSVxRKfzq21QstZzAUDlBRHMMr71r81ynqwr9wc?e=GwTjSx" TargetMode="External"/><Relationship Id="rId538" Type="http://schemas.openxmlformats.org/officeDocument/2006/relationships/hyperlink" Target="https://gobiernobogota-my.sharepoint.com/:b:/g/personal/planeacion_suba_gobiernobogota_gov_co/IQAQwRzvwyOGRoadzOfEJbYbAZHcIaYsTNJAlIt0BpMGmxY?e=uCEeS6" TargetMode="External"/><Relationship Id="rId745" Type="http://schemas.openxmlformats.org/officeDocument/2006/relationships/hyperlink" Target="https://gobiernobogota-my.sharepoint.com/:b:/g/personal/planeacion_suba_gobiernobogota_gov_co/IQA8bR1PUuIKSK3qOpXhm5niAVg-xiY_Yvtp9ok3V9-V1ho?e=uZ4Plh" TargetMode="External"/><Relationship Id="rId952" Type="http://schemas.openxmlformats.org/officeDocument/2006/relationships/hyperlink" Target="https://gobiernobogota-my.sharepoint.com/:b:/g/personal/planeacion_suba_gobiernobogota_gov_co/IQAQwRzvwyOGRoadzOfEJbYbAZHcIaYsTNJAlIt0BpMGmxY?e=uCEeS6" TargetMode="External"/><Relationship Id="rId81" Type="http://schemas.openxmlformats.org/officeDocument/2006/relationships/hyperlink" Target="https://gobiernobogota-my.sharepoint.com/:b:/g/personal/planeacion_suba_gobiernobogota_gov_co/IQBcwJuRCc4cTL--ocd3-APOAZKkil9qoTQfoGSndWaIEFM?e=IfTvme" TargetMode="External"/><Relationship Id="rId177" Type="http://schemas.openxmlformats.org/officeDocument/2006/relationships/hyperlink" Target="https://gobiernobogota-my.sharepoint.com/:b:/g/personal/planeacion_suba_gobiernobogota_gov_co/IQBLJ1tp1fdzSL9E0QwjjNUSAS7hmaX-o2ET4sUI1GqHxqY?e=qJJewS" TargetMode="External"/><Relationship Id="rId384" Type="http://schemas.openxmlformats.org/officeDocument/2006/relationships/hyperlink" Target="https://gobiernobogota-my.sharepoint.com/:b:/g/personal/planeacion_suba_gobiernobogota_gov_co/IQA6XZ-gkoxiSKnk6aiVgSCEAawLKwlfM0IroQr3uACmZ9k?e=HVYTcl" TargetMode="External"/><Relationship Id="rId591" Type="http://schemas.openxmlformats.org/officeDocument/2006/relationships/hyperlink" Target="https://gobiernobogota-my.sharepoint.com/:b:/g/personal/planeacion_suba_gobiernobogota_gov_co/IQAQwRzvwyOGRoadzOfEJbYbAZHcIaYsTNJAlIt0BpMGmxY?e=uCEeS6" TargetMode="External"/><Relationship Id="rId605" Type="http://schemas.openxmlformats.org/officeDocument/2006/relationships/hyperlink" Target="https://gobiernobogota-my.sharepoint.com/:b:/g/personal/planeacion_suba_gobiernobogota_gov_co/IQADC9knk6nNRKJljIOhwk2qAdShpXZmNMX3rXF25hMw_UA?e=dsCZMM" TargetMode="External"/><Relationship Id="rId812" Type="http://schemas.openxmlformats.org/officeDocument/2006/relationships/hyperlink" Target="https://gobiernobogota-my.sharepoint.com/:b:/g/personal/planeacion_suba_gobiernobogota_gov_co/IQAQwRzvwyOGRoadzOfEJbYbAZHcIaYsTNJAlIt0BpMGmxY?e=uCEeS6" TargetMode="External"/><Relationship Id="rId1028" Type="http://schemas.openxmlformats.org/officeDocument/2006/relationships/hyperlink" Target="https://gobiernobogota-my.sharepoint.com/:b:/g/personal/planeacion_suba_gobiernobogota_gov_co/IQADC9knk6nNRKJljIOhwk2qAdShpXZmNMX3rXF25hMw_UA?e=dsCZMM" TargetMode="External"/><Relationship Id="rId244" Type="http://schemas.openxmlformats.org/officeDocument/2006/relationships/hyperlink" Target="https://gobiernobogota-my.sharepoint.com/:b:/g/personal/planeacion_suba_gobiernobogota_gov_co/IQBuOzStr3VOSrJVUh9Xj5TjAQ0tYcBuK8ryjmQQPMTnx0g?e=cWC2jY" TargetMode="External"/><Relationship Id="rId689" Type="http://schemas.openxmlformats.org/officeDocument/2006/relationships/hyperlink" Target="https://gobiernobogota-my.sharepoint.com/:b:/g/personal/planeacion_suba_gobiernobogota_gov_co/IQADC9knk6nNRKJljIOhwk2qAdShpXZmNMX3rXF25hMw_UA?e=dsCZMM" TargetMode="External"/><Relationship Id="rId896" Type="http://schemas.openxmlformats.org/officeDocument/2006/relationships/hyperlink" Target="https://gobiernobogota-my.sharepoint.com/:b:/g/personal/planeacion_suba_gobiernobogota_gov_co/IQAQwRzvwyOGRoadzOfEJbYbAZHcIaYsTNJAlIt0BpMGmxY?e=uCEeS6" TargetMode="External"/><Relationship Id="rId1081" Type="http://schemas.openxmlformats.org/officeDocument/2006/relationships/hyperlink" Target="https://gobiernobogota-my.sharepoint.com/:b:/g/personal/planeacion_suba_gobiernobogota_gov_co/IQAQwRzvwyOGRoadzOfEJbYbAZHcIaYsTNJAlIt0BpMGmxY?e=uCEeS6" TargetMode="External"/><Relationship Id="rId39" Type="http://schemas.openxmlformats.org/officeDocument/2006/relationships/hyperlink" Target="https://gobiernobogota-my.sharepoint.com/:b:/g/personal/planeacion_suba_gobiernobogota_gov_co/IQC0Zr6QeDVcT6uXSsvLXYzTASI49d9b4wN6s18ujelqB2U?e=OHYGKx" TargetMode="External"/><Relationship Id="rId451" Type="http://schemas.openxmlformats.org/officeDocument/2006/relationships/hyperlink" Target="https://gobiernobogota-my.sharepoint.com/:b:/g/personal/planeacion_suba_gobiernobogota_gov_co/IQCT78HmPs1tS46HtrvzcoINATHrZVKIQtUfSpyziHXk51I?e=3gpoGn" TargetMode="External"/><Relationship Id="rId549" Type="http://schemas.openxmlformats.org/officeDocument/2006/relationships/hyperlink" Target="https://gobiernobogota-my.sharepoint.com/:b:/g/personal/planeacion_suba_gobiernobogota_gov_co/IQADC9knk6nNRKJljIOhwk2qAdShpXZmNMX3rXF25hMw_UA?e=dsCZMM" TargetMode="External"/><Relationship Id="rId756" Type="http://schemas.openxmlformats.org/officeDocument/2006/relationships/hyperlink" Target="https://gobiernobogota-my.sharepoint.com/:b:/g/personal/planeacion_suba_gobiernobogota_gov_co/IQBGAIftjl27S7GVdbVc0h6ZAVBNFH7PPTLm3jSrrMOyg1s?e=MvDfVy" TargetMode="External"/><Relationship Id="rId104" Type="http://schemas.openxmlformats.org/officeDocument/2006/relationships/hyperlink" Target="https://gobiernobogota-my.sharepoint.com/:b:/g/personal/planeacion_suba_gobiernobogota_gov_co/IQC0Aw6i8SjGT4T1jc88hMLNAQi8jqW1tDdDHbMVnfsu87Y?e=YhSSyY" TargetMode="External"/><Relationship Id="rId188" Type="http://schemas.openxmlformats.org/officeDocument/2006/relationships/hyperlink" Target="https://gobiernobogota-my.sharepoint.com/:b:/g/personal/planeacion_suba_gobiernobogota_gov_co/IQCOPM8ldyOlTZ80CqEXwIn8AX-cx7kMMoFydOa39O_PZRY?e=PBOXJw" TargetMode="External"/><Relationship Id="rId311" Type="http://schemas.openxmlformats.org/officeDocument/2006/relationships/hyperlink" Target="https://gobiernobogota-my.sharepoint.com/:b:/g/personal/planeacion_suba_gobiernobogota_gov_co/IQC3n1-3qJZ2SKpVvajWPoLpAeMYPbBWFvEmTo3r_WNO_U0?e=cbiuGk" TargetMode="External"/><Relationship Id="rId395" Type="http://schemas.openxmlformats.org/officeDocument/2006/relationships/hyperlink" Target="https://gobiernobogota-my.sharepoint.com/:b:/g/personal/planeacion_suba_gobiernobogota_gov_co/IQBBu4dnf9PkSYwhrQsa2XYcASFuORQjOSLHBBlK7dsYuzY?e=RnOy2g" TargetMode="External"/><Relationship Id="rId409" Type="http://schemas.openxmlformats.org/officeDocument/2006/relationships/hyperlink" Target="https://gobiernobogota-my.sharepoint.com/:b:/g/personal/planeacion_suba_gobiernobogota_gov_co/IQC8aZx2NnlWQJELsizfgLSjAd7eqfeZXr7cjHi5SHEC9sI?e=UN3jEI" TargetMode="External"/><Relationship Id="rId963" Type="http://schemas.openxmlformats.org/officeDocument/2006/relationships/hyperlink" Target="https://gobiernobogota-my.sharepoint.com/:b:/g/personal/planeacion_suba_gobiernobogota_gov_co/IQADC9knk6nNRKJljIOhwk2qAdShpXZmNMX3rXF25hMw_UA?e=dsCZMM" TargetMode="External"/><Relationship Id="rId1039" Type="http://schemas.openxmlformats.org/officeDocument/2006/relationships/hyperlink" Target="https://gobiernobogota-my.sharepoint.com/:b:/g/personal/planeacion_suba_gobiernobogota_gov_co/IQADC9knk6nNRKJljIOhwk2qAdShpXZmNMX3rXF25hMw_UA?e=dsCZMM" TargetMode="External"/><Relationship Id="rId92" Type="http://schemas.openxmlformats.org/officeDocument/2006/relationships/hyperlink" Target="https://gobiernobogota-my.sharepoint.com/:b:/g/personal/planeacion_suba_gobiernobogota_gov_co/IQCdkMR8tqp8Q69vbzhAH616AQ_61I5Y1Hm_kEo8HVOdGQ0?e=PORaoV" TargetMode="External"/><Relationship Id="rId616" Type="http://schemas.openxmlformats.org/officeDocument/2006/relationships/hyperlink" Target="https://gobiernobogota-my.sharepoint.com/:b:/g/personal/planeacion_suba_gobiernobogota_gov_co/IQAbSLyAFh2xRJr0NhbYbKk2ATKbPTcKyEeZatQ-G_R5UiE?e=uolpOb" TargetMode="External"/><Relationship Id="rId823" Type="http://schemas.openxmlformats.org/officeDocument/2006/relationships/hyperlink" Target="https://gobiernobogota-my.sharepoint.com/:b:/g/personal/planeacion_suba_gobiernobogota_gov_co/IQBfLTTWgG7MS7FkaJGonFOTATyeVV6QJ5_vrZDKHLlwFjc?e=Schauj" TargetMode="External"/><Relationship Id="rId255" Type="http://schemas.openxmlformats.org/officeDocument/2006/relationships/hyperlink" Target="https://gobiernobogota-my.sharepoint.com/:b:/g/personal/planeacion_suba_gobiernobogota_gov_co/IQDMZ0T9mSVxRKfzq21QstZzAUDlBRHMMr71r81ynqwr9wc?e=a3MYdn" TargetMode="External"/><Relationship Id="rId462" Type="http://schemas.openxmlformats.org/officeDocument/2006/relationships/hyperlink" Target="https://gobiernobogota-my.sharepoint.com/:b:/g/personal/planeacion_suba_gobiernobogota_gov_co/IQDYfz7BCezNT5jcCSdluleDAY3bI6UPbxERGDBiY4eb9dI?e=nMk8kc" TargetMode="External"/><Relationship Id="rId1092" Type="http://schemas.openxmlformats.org/officeDocument/2006/relationships/hyperlink" Target="https://gobiernobogota-my.sharepoint.com/:b:/g/personal/planeacion_suba_gobiernobogota_gov_co/IQADC9knk6nNRKJljIOhwk2qAdShpXZmNMX3rXF25hMw_UA?e=dsCZMM" TargetMode="External"/><Relationship Id="rId1106" Type="http://schemas.openxmlformats.org/officeDocument/2006/relationships/hyperlink" Target="https://gobiernobogota-my.sharepoint.com/:b:/g/personal/planeacion_suba_gobiernobogota_gov_co/IQBtJ9LGsTApRbY4LsKiB80NAZCa3v_txaA5IakW4HQ-Db4?e=Vlp1Tq" TargetMode="External"/><Relationship Id="rId115" Type="http://schemas.openxmlformats.org/officeDocument/2006/relationships/hyperlink" Target="https://gobiernobogota-my.sharepoint.com/:b:/g/personal/sandra_tamayo_gobiernobogota_gov_co/IQA0E0FNBmhFSoYzdZx72ppWAYSYFjCMAYDOHjW2FrXQpD8?e=ctwQeR" TargetMode="External"/><Relationship Id="rId322" Type="http://schemas.openxmlformats.org/officeDocument/2006/relationships/hyperlink" Target="https://gobiernobogota-my.sharepoint.com/:b:/g/personal/planeacion_suba_gobiernobogota_gov_co/IQAjum7arGvMTp5k9Bj2xjX-AbBy6QP8CTEz-OYWdgRNPI8?e=fSreDt" TargetMode="External"/><Relationship Id="rId767" Type="http://schemas.openxmlformats.org/officeDocument/2006/relationships/hyperlink" Target="https://gobiernobogota-my.sharepoint.com/:b:/g/personal/planeacion_suba_gobiernobogota_gov_co/IQAQwRzvwyOGRoadzOfEJbYbAZHcIaYsTNJAlIt0BpMGmxY?e=uCEeS6" TargetMode="External"/><Relationship Id="rId974" Type="http://schemas.openxmlformats.org/officeDocument/2006/relationships/hyperlink" Target="https://gobiernobogota-my.sharepoint.com/:b:/g/personal/planeacion_suba_gobiernobogota_gov_co/IQAbSLyAFh2xRJr0NhbYbKk2ATKbPTcKyEeZatQ-G_R5UiE?e=uolpOb" TargetMode="External"/><Relationship Id="rId199" Type="http://schemas.openxmlformats.org/officeDocument/2006/relationships/hyperlink" Target="https://gobiernobogota-my.sharepoint.com/:b:/g/personal/planeacion_suba_gobiernobogota_gov_co/IQBuOzStr3VOSrJVUh9Xj5TjAQ0tYcBuK8ryjmQQPMTnx0g?e=KJPFpc" TargetMode="External"/><Relationship Id="rId627" Type="http://schemas.openxmlformats.org/officeDocument/2006/relationships/hyperlink" Target="https://gobiernobogota-my.sharepoint.com/:b:/g/personal/planeacion_suba_gobiernobogota_gov_co/IQAbSLyAFh2xRJr0NhbYbKk2ATKbPTcKyEeZatQ-G_R5UiE?e=uolpOb" TargetMode="External"/><Relationship Id="rId834" Type="http://schemas.openxmlformats.org/officeDocument/2006/relationships/hyperlink" Target="https://gobiernobogota-my.sharepoint.com/:b:/g/personal/planeacion_suba_gobiernobogota_gov_co/IQAbSLyAFh2xRJr0NhbYbKk2ATKbPTcKyEeZatQ-G_R5UiE?e=uolpOb" TargetMode="External"/><Relationship Id="rId266" Type="http://schemas.openxmlformats.org/officeDocument/2006/relationships/hyperlink" Target="https://gobiernobogota-my.sharepoint.com/:b:/g/personal/planeacion_suba_gobiernobogota_gov_co/IQDn0jOHnyFxRbQtCLnKsAM8AR3q7j3V5tRnqd0_pPlii9A?e=yS9noV" TargetMode="External"/><Relationship Id="rId473" Type="http://schemas.openxmlformats.org/officeDocument/2006/relationships/hyperlink" Target="https://gobiernobogota-my.sharepoint.com/:b:/g/personal/planeacion_suba_gobiernobogota_gov_co/IQAIOSWAEr44R7CaaJbG2hwUAcAq6myfQKaHTW1BXvNLUWg?e=fOahLt" TargetMode="External"/><Relationship Id="rId680" Type="http://schemas.openxmlformats.org/officeDocument/2006/relationships/hyperlink" Target="https://gobiernobogota-my.sharepoint.com/:b:/g/personal/planeacion_suba_gobiernobogota_gov_co/IQADC9knk6nNRKJljIOhwk2qAdShpXZmNMX3rXF25hMw_UA?e=dsCZMM" TargetMode="External"/><Relationship Id="rId901" Type="http://schemas.openxmlformats.org/officeDocument/2006/relationships/hyperlink" Target="https://gobiernobogota-my.sharepoint.com/:b:/g/personal/planeacion_suba_gobiernobogota_gov_co/IQADC9knk6nNRKJljIOhwk2qAdShpXZmNMX3rXF25hMw_UA?e=dsCZMM" TargetMode="External"/><Relationship Id="rId1117" Type="http://schemas.openxmlformats.org/officeDocument/2006/relationships/hyperlink" Target="https://gobiernobogota-my.sharepoint.com/:b:/g/personal/planeacion_suba_gobiernobogota_gov_co/IQAV59uaIYqVT6QPqWoNgSO4AdhGeTaqgHa20I7Ug1k-2tw?e=L2MhPP" TargetMode="External"/><Relationship Id="rId30" Type="http://schemas.openxmlformats.org/officeDocument/2006/relationships/hyperlink" Target="https://gobiernobogota-my.sharepoint.com/:b:/g/personal/planeacion_suba_gobiernobogota_gov_co/IQACefroHToSQYN2wBuKmoUFAebB37ele3HRMBlevK_Hgdc?e=0b4Owj" TargetMode="External"/><Relationship Id="rId126" Type="http://schemas.openxmlformats.org/officeDocument/2006/relationships/hyperlink" Target="https://gobiernobogota-my.sharepoint.com/:b:/g/personal/sandra_tamayo_gobiernobogota_gov_co/IQBjTkxVaG7tSZ2JdDfsvt53AUgI_XCQNVZqd3ocKvLkekA?e=JwWv1Q" TargetMode="External"/><Relationship Id="rId333" Type="http://schemas.openxmlformats.org/officeDocument/2006/relationships/hyperlink" Target="https://gobiernobogota-my.sharepoint.com/:b:/g/personal/planeacion_suba_gobiernobogota_gov_co/IQBQhQEJ73TWTZbL6J9z5LSKAS3GX70b7VJh0PyiiiLHOF4?e=Gw6MUq" TargetMode="External"/><Relationship Id="rId540" Type="http://schemas.openxmlformats.org/officeDocument/2006/relationships/hyperlink" Target="https://gobiernobogota-my.sharepoint.com/:b:/g/personal/planeacion_suba_gobiernobogota_gov_co/IQAbxPjJliSEQLL04aZuAbmeAVXN10vO2MjODvRnD35hSbA?e=GcYwH5" TargetMode="External"/><Relationship Id="rId778" Type="http://schemas.openxmlformats.org/officeDocument/2006/relationships/hyperlink" Target="https://gobiernobogota-my.sharepoint.com/:b:/g/personal/planeacion_suba_gobiernobogota_gov_co/IQADC9knk6nNRKJljIOhwk2qAdShpXZmNMX3rXF25hMw_UA?e=dsCZMM" TargetMode="External"/><Relationship Id="rId985" Type="http://schemas.openxmlformats.org/officeDocument/2006/relationships/hyperlink" Target="https://gobiernobogota-my.sharepoint.com/:b:/g/personal/planeacion_suba_gobiernobogota_gov_co/IQCX5R01gnI3QLPk49hsK0lpAXaK-OSVtPGApsy1wuJ-x1s?e=X6CBQ2" TargetMode="External"/><Relationship Id="rId638" Type="http://schemas.openxmlformats.org/officeDocument/2006/relationships/hyperlink" Target="https://gobiernobogota-my.sharepoint.com/:b:/g/personal/planeacion_suba_gobiernobogota_gov_co/IQBLOKQZI52RRYzlMc0IDcUfAfaPvHWc84l4wynUf1J19ZA?e=g0rO3c" TargetMode="External"/><Relationship Id="rId845" Type="http://schemas.openxmlformats.org/officeDocument/2006/relationships/hyperlink" Target="https://gobiernobogota-my.sharepoint.com/:b:/g/personal/planeacion_suba_gobiernobogota_gov_co/IQCKYeWfxpUVTbHMSKsXqWIwAanNksrHd8nSE6ZXZEauuUk?e=kMWPpq" TargetMode="External"/><Relationship Id="rId1030" Type="http://schemas.openxmlformats.org/officeDocument/2006/relationships/hyperlink" Target="https://gobiernobogota-my.sharepoint.com/:b:/g/personal/planeacion_suba_gobiernobogota_gov_co/IQAbSLyAFh2xRJr0NhbYbKk2ATKbPTcKyEeZatQ-G_R5UiE?e=uolpOb" TargetMode="External"/><Relationship Id="rId277" Type="http://schemas.openxmlformats.org/officeDocument/2006/relationships/hyperlink" Target="https://gobiernobogota-my.sharepoint.com/:b:/g/personal/sandra_tamayo_gobiernobogota_gov_co/IQBjTkxVaG7tSZ2JdDfsvt53AUgI_XCQNVZqd3ocKvLkekA?e=JwWv1Q" TargetMode="External"/><Relationship Id="rId400" Type="http://schemas.openxmlformats.org/officeDocument/2006/relationships/hyperlink" Target="https://gobiernobogota-my.sharepoint.com/:b:/g/personal/planeacion_suba_gobiernobogota_gov_co/IQC8aZx2NnlWQJELsizfgLSjAd7eqfeZXr7cjHi5SHEC9sI?e=UN3jEI" TargetMode="External"/><Relationship Id="rId484" Type="http://schemas.openxmlformats.org/officeDocument/2006/relationships/hyperlink" Target="https://gobiernobogota-my.sharepoint.com/:b:/g/personal/planeacion_suba_gobiernobogota_gov_co/IQCX5R01gnI3QLPk49hsK0lpAXaK-OSVtPGApsy1wuJ-x1s?e=voRrXy" TargetMode="External"/><Relationship Id="rId705" Type="http://schemas.openxmlformats.org/officeDocument/2006/relationships/hyperlink" Target="https://gobiernobogota-my.sharepoint.com/:b:/g/personal/planeacion_suba_gobiernobogota_gov_co/IQAQwRzvwyOGRoadzOfEJbYbAZHcIaYsTNJAlIt0BpMGmxY?e=uCEeS6" TargetMode="External"/><Relationship Id="rId137" Type="http://schemas.openxmlformats.org/officeDocument/2006/relationships/hyperlink" Target="https://gobiernobogota-my.sharepoint.com/:b:/g/personal/sandra_tamayo_gobiernobogota_gov_co/IQA0E0FNBmhFSoYzdZx72ppWAYSYFjCMAYDOHjW2FrXQpD8?e=69EhDf" TargetMode="External"/><Relationship Id="rId344" Type="http://schemas.openxmlformats.org/officeDocument/2006/relationships/hyperlink" Target="https://gobiernobogota-my.sharepoint.com/:b:/g/personal/planeacion_suba_gobiernobogota_gov_co/IQDMb7zDnZvgSIT6O8TvxCnaAXhviGQRNqirZ9TaiX8MtJA?e=JOwCpk" TargetMode="External"/><Relationship Id="rId691" Type="http://schemas.openxmlformats.org/officeDocument/2006/relationships/hyperlink" Target="https://gobiernobogota-my.sharepoint.com/:b:/g/personal/planeacion_suba_gobiernobogota_gov_co/IQAbSLyAFh2xRJr0NhbYbKk2ATKbPTcKyEeZatQ-G_R5UiE?e=uolpOb" TargetMode="External"/><Relationship Id="rId789" Type="http://schemas.openxmlformats.org/officeDocument/2006/relationships/hyperlink" Target="https://gobiernobogota-my.sharepoint.com/:b:/g/personal/planeacion_suba_gobiernobogota_gov_co/IQDwXWOOhw65Q7c8JDUtutORAYNl6uB-D32l9kTad4YKVU4?e=MPMM5G" TargetMode="External"/><Relationship Id="rId912" Type="http://schemas.openxmlformats.org/officeDocument/2006/relationships/hyperlink" Target="https://gobiernobogota-my.sharepoint.com/:b:/g/personal/planeacion_suba_gobiernobogota_gov_co/IQAqNk9OH4YqRYrGpQFTz-mQAUJEcH9bcRIaZjAS9CMXGqQ?e=atqHG4" TargetMode="External"/><Relationship Id="rId996" Type="http://schemas.openxmlformats.org/officeDocument/2006/relationships/hyperlink" Target="https://gobiernobogota-my.sharepoint.com/:b:/g/personal/planeacion_suba_gobiernobogota_gov_co/IQAQwRzvwyOGRoadzOfEJbYbAZHcIaYsTNJAlIt0BpMGmxY?e=uCEeS6" TargetMode="External"/><Relationship Id="rId41" Type="http://schemas.openxmlformats.org/officeDocument/2006/relationships/hyperlink" Target="https://gobiernobogota-my.sharepoint.com/:b:/g/personal/planeacion_suba_gobiernobogota_gov_co/IQC0Zr6QeDVcT6uXSsvLXYzTASI49d9b4wN6s18ujelqB2U?e=OHYGKx" TargetMode="External"/><Relationship Id="rId551" Type="http://schemas.openxmlformats.org/officeDocument/2006/relationships/hyperlink" Target="https://gobiernobogota-my.sharepoint.com/:b:/g/personal/planeacion_suba_gobiernobogota_gov_co/IQAbSLyAFh2xRJr0NhbYbKk2ATKbPTcKyEeZatQ-G_R5UiE?e=uolpOb" TargetMode="External"/><Relationship Id="rId649" Type="http://schemas.openxmlformats.org/officeDocument/2006/relationships/hyperlink" Target="https://gobiernobogota-my.sharepoint.com/:b:/g/personal/planeacion_suba_gobiernobogota_gov_co/IQAbSLyAFh2xRJr0NhbYbKk2ATKbPTcKyEeZatQ-G_R5UiE?e=uolpOb" TargetMode="External"/><Relationship Id="rId856" Type="http://schemas.openxmlformats.org/officeDocument/2006/relationships/hyperlink" Target="https://gobiernobogota-my.sharepoint.com/:b:/g/personal/planeacion_suba_gobiernobogota_gov_co/IQBLOKQZI52RRYzlMc0IDcUfAfaPvHWc84l4wynUf1J19ZA?e=g0rO3c" TargetMode="External"/><Relationship Id="rId190" Type="http://schemas.openxmlformats.org/officeDocument/2006/relationships/hyperlink" Target="https://gobiernobogota-my.sharepoint.com/:b:/g/personal/planeacion_suba_gobiernobogota_gov_co/IQAJXjAvIajwQ68bvEjj43HpASA8Zb06zOXwxqocktk2OQM?e=fHOLTc" TargetMode="External"/><Relationship Id="rId204" Type="http://schemas.openxmlformats.org/officeDocument/2006/relationships/hyperlink" Target="https://gobiernobogota-my.sharepoint.com/:b:/g/personal/planeacion_suba_gobiernobogota_gov_co/IQBqOuaLBCc3T4MKG__QKWsuAXYDOg04CxhquyOEnMb-IfE?e=EAmoGZ" TargetMode="External"/><Relationship Id="rId288" Type="http://schemas.openxmlformats.org/officeDocument/2006/relationships/hyperlink" Target="https://gobiernobogota-my.sharepoint.com/:b:/g/personal/planeacion_suba_gobiernobogota_gov_co/IQCqj9iNHEsST5oVFZ5WT9zgASyArQ_yBvzjK3YgWZ_XYTE?e=RqEctE" TargetMode="External"/><Relationship Id="rId411" Type="http://schemas.openxmlformats.org/officeDocument/2006/relationships/hyperlink" Target="https://gobiernobogota-my.sharepoint.com/:b:/g/personal/planeacion_suba_gobiernobogota_gov_co/IQCyA10LkQHjRbpaxdAnmhPDAXpC1OcuVN3A6MnbV1GIUkM?e=2ZIhyU" TargetMode="External"/><Relationship Id="rId509" Type="http://schemas.openxmlformats.org/officeDocument/2006/relationships/hyperlink" Target="https://gobiernobogota-my.sharepoint.com/:b:/g/personal/planeacion_suba_gobiernobogota_gov_co/IQBP6yHmaA9qTpv_pqjdHytAAW4h6MX95QlYJt-JRvYDfcU?e=4qxO3S" TargetMode="External"/><Relationship Id="rId1041" Type="http://schemas.openxmlformats.org/officeDocument/2006/relationships/hyperlink" Target="https://gobiernobogota-my.sharepoint.com/:b:/g/personal/planeacion_suba_gobiernobogota_gov_co/IQAbSLyAFh2xRJr0NhbYbKk2ATKbPTcKyEeZatQ-G_R5UiE?e=uolpOb" TargetMode="External"/><Relationship Id="rId495" Type="http://schemas.openxmlformats.org/officeDocument/2006/relationships/hyperlink" Target="https://gobiernobogota-my.sharepoint.com/:b:/g/personal/planeacion_suba_gobiernobogota_gov_co/IQANEf4mrsr-SrAQycodCDvbAY5mkIGZ6UEpZoahrLBg8SU?e=vMho0z" TargetMode="External"/><Relationship Id="rId716" Type="http://schemas.openxmlformats.org/officeDocument/2006/relationships/hyperlink" Target="https://gobiernobogota-my.sharepoint.com/:b:/g/personal/planeacion_suba_gobiernobogota_gov_co/IQBLOKQZI52RRYzlMc0IDcUfAfaPvHWc84l4wynUf1J19ZA?e=g0rO3c" TargetMode="External"/><Relationship Id="rId923" Type="http://schemas.openxmlformats.org/officeDocument/2006/relationships/hyperlink" Target="https://gobiernobogota-my.sharepoint.com/:b:/g/personal/planeacion_suba_gobiernobogota_gov_co/IQAbSLyAFh2xRJr0NhbYbKk2ATKbPTcKyEeZatQ-G_R5UiE?e=uolpOb" TargetMode="External"/><Relationship Id="rId52" Type="http://schemas.openxmlformats.org/officeDocument/2006/relationships/hyperlink" Target="https://gobiernobogota-my.sharepoint.com/:b:/g/personal/planeacion_suba_gobiernobogota_gov_co/IQBAm65oxyc0T6t-hkwmZdHRASZSGbvU_iS39qtovXnWWb0?e=plUu2y" TargetMode="External"/><Relationship Id="rId148" Type="http://schemas.openxmlformats.org/officeDocument/2006/relationships/hyperlink" Target="https://gobiernobogota-my.sharepoint.com/:b:/g/personal/planeacion_suba_gobiernobogota_gov_co/IQCgm5YiE5_kQ5TMDogZTJv7AV1RW44CV7mB7C1aXXqSRvs?e=GwZ2D1" TargetMode="External"/><Relationship Id="rId355" Type="http://schemas.openxmlformats.org/officeDocument/2006/relationships/hyperlink" Target="https://gobiernobogota-my.sharepoint.com/:b:/g/personal/planeacion_suba_gobiernobogota_gov_co/IQDf44K_e-byQbI4bgT9lM9AAQvRsujJ9Omyjb1eLxMqujs?e=yCC9hN" TargetMode="External"/><Relationship Id="rId562" Type="http://schemas.openxmlformats.org/officeDocument/2006/relationships/hyperlink" Target="https://gobiernobogota-my.sharepoint.com/:b:/g/personal/planeacion_suba_gobiernobogota_gov_co/IQBolZJaUuzaTqLfyaUnhhNcAcpQTRB0QiVeOFv0cL7mhXQ?e=INN128" TargetMode="External"/><Relationship Id="rId215" Type="http://schemas.openxmlformats.org/officeDocument/2006/relationships/hyperlink" Target="https://gobiernobogota-my.sharepoint.com/:b:/g/personal/planeacion_suba_gobiernobogota_gov_co/IQCgm5YiE5_kQ5TMDogZTJv7AV1RW44CV7mB7C1aXXqSRvs?e=r83Mm1" TargetMode="External"/><Relationship Id="rId422" Type="http://schemas.openxmlformats.org/officeDocument/2006/relationships/hyperlink" Target="https://gobiernobogota-my.sharepoint.com/:b:/g/personal/planeacion_suba_gobiernobogota_gov_co/IQC8aZx2NnlWQJELsizfgLSjAd7eqfeZXr7cjHi5SHEC9sI?e=UN3jEI" TargetMode="External"/><Relationship Id="rId867" Type="http://schemas.openxmlformats.org/officeDocument/2006/relationships/hyperlink" Target="https://gobiernobogota-my.sharepoint.com/:b:/g/personal/planeacion_suba_gobiernobogota_gov_co/IQCok6SIWdA3R5RQoMNCzBIRAetPIxe1IjK9foAFX01Hg1E?e=Oxmd9y" TargetMode="External"/><Relationship Id="rId1052" Type="http://schemas.openxmlformats.org/officeDocument/2006/relationships/hyperlink" Target="https://gobiernobogota-my.sharepoint.com/:b:/g/personal/planeacion_suba_gobiernobogota_gov_co/IQAQwRzvwyOGRoadzOfEJbYbAZHcIaYsTNJAlIt0BpMGmxY?e=uCEeS6" TargetMode="External"/><Relationship Id="rId299" Type="http://schemas.openxmlformats.org/officeDocument/2006/relationships/hyperlink" Target="https://gobiernobogota-my.sharepoint.com/:b:/g/personal/planeacion_suba_gobiernobogota_gov_co/IQDH8FI9eB9pSZ--KnOcwuY4AVbnK6zDXFnrQuxLiDYZIl8?e=ghRviZ" TargetMode="External"/><Relationship Id="rId727" Type="http://schemas.openxmlformats.org/officeDocument/2006/relationships/hyperlink" Target="https://gobiernobogota-my.sharepoint.com/:b:/g/personal/planeacion_suba_gobiernobogota_gov_co/IQADC9knk6nNRKJljIOhwk2qAdShpXZmNMX3rXF25hMw_UA?e=dsCZMM" TargetMode="External"/><Relationship Id="rId934" Type="http://schemas.openxmlformats.org/officeDocument/2006/relationships/hyperlink" Target="https://gobiernobogota-my.sharepoint.com/:b:/g/personal/planeacion_suba_gobiernobogota_gov_co/IQAS7srwl2vyRYV8Bky-c8mbAe_iDdTkPPFWUGSbBPkgSBo?e=DACjNK" TargetMode="External"/><Relationship Id="rId63" Type="http://schemas.openxmlformats.org/officeDocument/2006/relationships/hyperlink" Target="https://gobiernobogota-my.sharepoint.com/:b:/g/personal/planeacion_suba_gobiernobogota_gov_co/IQDCo5nBdqHcSYwPwwp8sizdAWH0Tt2nODZUFrKlcfV2Rsc?e=MIgUNA" TargetMode="External"/><Relationship Id="rId159" Type="http://schemas.openxmlformats.org/officeDocument/2006/relationships/hyperlink" Target="https://gobiernobogota-my.sharepoint.com/:b:/g/personal/planeacion_suba_gobiernobogota_gov_co/IQDYfz7BCezNT5jcCSdluleDAY3bI6UPbxERGDBiY4eb9dI?e=nMk8kc" TargetMode="External"/><Relationship Id="rId366" Type="http://schemas.openxmlformats.org/officeDocument/2006/relationships/hyperlink" Target="https://gobiernobogota-my.sharepoint.com/:b:/g/personal/planeacion_suba_gobiernobogota_gov_co/IQATel0JLv3TSJb3_vnr0pNqAdKu3fSwhyq9e0PqL-wYsZY?e=YSVuht" TargetMode="External"/><Relationship Id="rId573" Type="http://schemas.openxmlformats.org/officeDocument/2006/relationships/hyperlink" Target="https://gobiernobogota-my.sharepoint.com/:b:/g/personal/planeacion_suba_gobiernobogota_gov_co/IQBLOKQZI52RRYzlMc0IDcUfAfaPvHWc84l4wynUf1J19ZA?e=g0rO3c" TargetMode="External"/><Relationship Id="rId780" Type="http://schemas.openxmlformats.org/officeDocument/2006/relationships/hyperlink" Target="https://gobiernobogota-my.sharepoint.com/:b:/g/personal/planeacion_suba_gobiernobogota_gov_co/IQAbSLyAFh2xRJr0NhbYbKk2ATKbPTcKyEeZatQ-G_R5UiE?e=uolpOb" TargetMode="External"/><Relationship Id="rId226" Type="http://schemas.openxmlformats.org/officeDocument/2006/relationships/hyperlink" Target="https://gobiernobogota-my.sharepoint.com/:b:/g/personal/planeacion_suba_gobiernobogota_gov_co/IQBN1y_X_06gQY0vKgXY6PMAATITBv1H4vVRMDBKkVIOM_M?e=2rbPP8" TargetMode="External"/><Relationship Id="rId433" Type="http://schemas.openxmlformats.org/officeDocument/2006/relationships/hyperlink" Target="https://gobiernobogota-my.sharepoint.com/:b:/g/personal/planeacion_suba_gobiernobogota_gov_co/IQAR8jlkE3RTQKNeBSUyTP2BAfiee3Lt36Y91cAc34otiQI?e=YoJw7G" TargetMode="External"/><Relationship Id="rId878" Type="http://schemas.openxmlformats.org/officeDocument/2006/relationships/hyperlink" Target="https://gobiernobogota-my.sharepoint.com/:b:/g/personal/planeacion_suba_gobiernobogota_gov_co/IQAS7srwl2vyRYV8Bky-c8mbAe_iDdTkPPFWUGSbBPkgSBo?e=2Gr1K8" TargetMode="External"/><Relationship Id="rId1063" Type="http://schemas.openxmlformats.org/officeDocument/2006/relationships/hyperlink" Target="https://gobiernobogota-my.sharepoint.com/:b:/g/personal/planeacion_suba_gobiernobogota_gov_co/IQCok6SIWdA3R5RQoMNCzBIRAetPIxe1IjK9foAFX01Hg1E?e=Oxmd9y" TargetMode="External"/><Relationship Id="rId640" Type="http://schemas.openxmlformats.org/officeDocument/2006/relationships/hyperlink" Target="https://gobiernobogota-my.sharepoint.com/:b:/g/personal/planeacion_suba_gobiernobogota_gov_co/IQDRZUD-UXqwQI0aljPapQEHATZceTl-Ovg4DLMLctyokVs?e=HelUZk" TargetMode="External"/><Relationship Id="rId738" Type="http://schemas.openxmlformats.org/officeDocument/2006/relationships/hyperlink" Target="https://gobiernobogota-my.sharepoint.com/:b:/g/personal/planeacion_suba_gobiernobogota_gov_co/IQCOvJGFqcl-RJVHUMbUdfbsAValGWXjy1xZdrCdjIzQm-4?e=gK4hCI" TargetMode="External"/><Relationship Id="rId945" Type="http://schemas.openxmlformats.org/officeDocument/2006/relationships/hyperlink" Target="https://gobiernobogota-my.sharepoint.com/:b:/g/personal/planeacion_suba_gobiernobogota_gov_co/IQADC9knk6nNRKJljIOhwk2qAdShpXZmNMX3rXF25hMw_UA?e=dsCZMM" TargetMode="External"/><Relationship Id="rId74" Type="http://schemas.openxmlformats.org/officeDocument/2006/relationships/hyperlink" Target="https://gobiernobogota-my.sharepoint.com/:b:/g/personal/planeacion_suba_gobiernobogota_gov_co/IQDCo5nBdqHcSYwPwwp8sizdAWH0Tt2nODZUFrKlcfV2Rsc?e=MIgUNA" TargetMode="External"/><Relationship Id="rId377" Type="http://schemas.openxmlformats.org/officeDocument/2006/relationships/hyperlink" Target="https://gobiernobogota-my.sharepoint.com/:b:/g/personal/planeacion_suba_gobiernobogota_gov_co/IQC5qwGuIQjST41OSwx-hFIzAQ3VxJT0lJUuovidVAODsF0?e=PLid6a" TargetMode="External"/><Relationship Id="rId500" Type="http://schemas.openxmlformats.org/officeDocument/2006/relationships/hyperlink" Target="https://gobiernobogota-my.sharepoint.com/:b:/g/personal/planeacion_suba_gobiernobogota_gov_co/IQDa6XoPNYw8S61xN-LVOZTqASr5BEubR5SMJ-1QwCSC4oc?e=fvg7YI" TargetMode="External"/><Relationship Id="rId584" Type="http://schemas.openxmlformats.org/officeDocument/2006/relationships/hyperlink" Target="https://gobiernobogota-my.sharepoint.com/:b:/g/personal/planeacion_suba_gobiernobogota_gov_co/IQADC9knk6nNRKJljIOhwk2qAdShpXZmNMX3rXF25hMw_UA?e=dsCZMM" TargetMode="External"/><Relationship Id="rId805" Type="http://schemas.openxmlformats.org/officeDocument/2006/relationships/hyperlink" Target="https://gobiernobogota-my.sharepoint.com/:b:/g/personal/planeacion_suba_gobiernobogota_gov_co/IQA7VqllgZNNTqVMepK5198CAVfBjzUGcK0Cw-FGc2v2uAY?e=cgPy1R" TargetMode="External"/><Relationship Id="rId5" Type="http://schemas.openxmlformats.org/officeDocument/2006/relationships/hyperlink" Target="https://gobiernobogota-my.sharepoint.com/:b:/g/personal/planeacion_suba_gobiernobogota_gov_co/IQDMb7zDnZvgSIT6O8TvxCnaAXhviGQRNqirZ9TaiX8MtJA?e=JKBlsN" TargetMode="External"/><Relationship Id="rId237" Type="http://schemas.openxmlformats.org/officeDocument/2006/relationships/hyperlink" Target="https://gobiernobogota-my.sharepoint.com/:b:/g/personal/planeacion_suba_gobiernobogota_gov_co/IQDYfz7BCezNT5jcCSdluleDAY3bI6UPbxERGDBiY4eb9dI?e=nMk8kc" TargetMode="External"/><Relationship Id="rId791" Type="http://schemas.openxmlformats.org/officeDocument/2006/relationships/hyperlink" Target="https://gobiernobogota-my.sharepoint.com/:b:/g/personal/planeacion_suba_gobiernobogota_gov_co/IQAQwRzvwyOGRoadzOfEJbYbAZHcIaYsTNJAlIt0BpMGmxY?e=uCEeS6" TargetMode="External"/><Relationship Id="rId889" Type="http://schemas.openxmlformats.org/officeDocument/2006/relationships/hyperlink" Target="https://gobiernobogota-my.sharepoint.com/:b:/g/personal/planeacion_suba_gobiernobogota_gov_co/IQADC9knk6nNRKJljIOhwk2qAdShpXZmNMX3rXF25hMw_UA?e=dsCZMM" TargetMode="External"/><Relationship Id="rId1074" Type="http://schemas.openxmlformats.org/officeDocument/2006/relationships/hyperlink" Target="https://gobiernobogota-my.sharepoint.com/:b:/g/personal/planeacion_suba_gobiernobogota_gov_co/IQADC9knk6nNRKJljIOhwk2qAdShpXZmNMX3rXF25hMw_UA?e=dsCZMM" TargetMode="External"/><Relationship Id="rId444" Type="http://schemas.openxmlformats.org/officeDocument/2006/relationships/hyperlink" Target="https://gobiernobogota-my.sharepoint.com/:b:/g/personal/planeacion_suba_gobiernobogota_gov_co/IQDf44K_e-byQbI4bgT9lM9AAQvRsujJ9Omyjb1eLxMqujs?e=yCC9hN" TargetMode="External"/><Relationship Id="rId651" Type="http://schemas.openxmlformats.org/officeDocument/2006/relationships/hyperlink" Target="https://gobiernobogota-my.sharepoint.com/:b:/g/personal/planeacion_suba_gobiernobogota_gov_co/IQCok6SIWdA3R5RQoMNCzBIRAetPIxe1IjK9foAFX01Hg1E?e=Oxmd9y" TargetMode="External"/><Relationship Id="rId749" Type="http://schemas.openxmlformats.org/officeDocument/2006/relationships/hyperlink" Target="https://gobiernobogota-my.sharepoint.com/:b:/g/personal/planeacion_suba_gobiernobogota_gov_co/IQCX5R01gnI3QLPk49hsK0lpAXaK-OSVtPGApsy1wuJ-x1s?e=X6CBQ2" TargetMode="External"/><Relationship Id="rId290" Type="http://schemas.openxmlformats.org/officeDocument/2006/relationships/hyperlink" Target="https://gobiernobogota-my.sharepoint.com/:b:/g/personal/planeacion_suba_gobiernobogota_gov_co/IQAwQc2gpQQcR4dmtpkPmttuARUuMLXv5sKIR07_cCwNikc?e=TvYYe5" TargetMode="External"/><Relationship Id="rId304" Type="http://schemas.openxmlformats.org/officeDocument/2006/relationships/hyperlink" Target="https://gobiernobogota-my.sharepoint.com/:b:/g/personal/planeacion_suba_gobiernobogota_gov_co/IQDf44K_e-byQbI4bgT9lM9AAQvRsujJ9Omyjb1eLxMqujs?e=yCC9hN" TargetMode="External"/><Relationship Id="rId388" Type="http://schemas.openxmlformats.org/officeDocument/2006/relationships/hyperlink" Target="https://gobiernobogota-my.sharepoint.com/:b:/g/personal/planeacion_suba_gobiernobogota_gov_co/IQA6XZ-gkoxiSKnk6aiVgSCEAawLKwlfM0IroQr3uACmZ9k?e=HVYTcl" TargetMode="External"/><Relationship Id="rId511" Type="http://schemas.openxmlformats.org/officeDocument/2006/relationships/hyperlink" Target="https://gobiernobogota-my.sharepoint.com/:b:/g/personal/planeacion_suba_gobiernobogota_gov_co/IQCX5R01gnI3QLPk49hsK0lpAXaK-OSVtPGApsy1wuJ-x1s?e=X6CBQ2" TargetMode="External"/><Relationship Id="rId609" Type="http://schemas.openxmlformats.org/officeDocument/2006/relationships/hyperlink" Target="https://gobiernobogota-my.sharepoint.com/:b:/g/personal/planeacion_suba_gobiernobogota_gov_co/IQAQwRzvwyOGRoadzOfEJbYbAZHcIaYsTNJAlIt0BpMGmxY?e=uCEeS6" TargetMode="External"/><Relationship Id="rId956" Type="http://schemas.openxmlformats.org/officeDocument/2006/relationships/hyperlink" Target="https://gobiernobogota-my.sharepoint.com/:b:/g/personal/planeacion_suba_gobiernobogota_gov_co/IQAbSLyAFh2xRJr0NhbYbKk2ATKbPTcKyEeZatQ-G_R5UiE?e=uolpOb" TargetMode="External"/><Relationship Id="rId85" Type="http://schemas.openxmlformats.org/officeDocument/2006/relationships/hyperlink" Target="https://gobiernobogota-my.sharepoint.com/:b:/g/personal/planeacion_suba_gobiernobogota_gov_co/IQDCo5nBdqHcSYwPwwp8sizdAWH0Tt2nODZUFrKlcfV2Rsc?e=MIgUNA" TargetMode="External"/><Relationship Id="rId150" Type="http://schemas.openxmlformats.org/officeDocument/2006/relationships/hyperlink" Target="https://gobiernobogota-my.sharepoint.com/:b:/g/personal/planeacion_suba_gobiernobogota_gov_co/IQCItwYI8a2aS5UaLCDDm4GuAa6rwfvtjAzDJsqMRx6dDDY?e=IYbKQW" TargetMode="External"/><Relationship Id="rId595" Type="http://schemas.openxmlformats.org/officeDocument/2006/relationships/hyperlink" Target="https://gobiernobogota-my.sharepoint.com/:b:/g/personal/planeacion_suba_gobiernobogota_gov_co/IQCmz0Hw3PvgQ72JNk_z86umAX_gGyrHV7XZPk7vtbjsq1k?e=FcHBCs" TargetMode="External"/><Relationship Id="rId816" Type="http://schemas.openxmlformats.org/officeDocument/2006/relationships/hyperlink" Target="https://gobiernobogota-my.sharepoint.com/:b:/g/personal/planeacion_suba_gobiernobogota_gov_co/IQAiUdTA8xruSbrPTUkoRfaXAUYJ7RoPMyl5qB7z3hcdhZo?e=o5S0Sm" TargetMode="External"/><Relationship Id="rId1001" Type="http://schemas.openxmlformats.org/officeDocument/2006/relationships/hyperlink" Target="https://gobiernobogota-my.sharepoint.com/:b:/g/personal/planeacion_suba_gobiernobogota_gov_co/IQADC9knk6nNRKJljIOhwk2qAdShpXZmNMX3rXF25hMw_UA?e=dsCZMM" TargetMode="External"/><Relationship Id="rId248" Type="http://schemas.openxmlformats.org/officeDocument/2006/relationships/hyperlink" Target="https://gobiernobogota-my.sharepoint.com/:b:/g/personal/planeacion_suba_gobiernobogota_gov_co/IQDNiKxBvxYNQJaonigY1IM5AazdaLE0wfm_W942x2Gpcwk?e=35N1vE" TargetMode="External"/><Relationship Id="rId455" Type="http://schemas.openxmlformats.org/officeDocument/2006/relationships/hyperlink" Target="https://gobiernobogota-my.sharepoint.com/:b:/g/personal/planeacion_suba_gobiernobogota_gov_co/IQAJoXMxcosTQYdLKSivJRLVAQC0WrcB2x8Y5F7HtXLZESw?e=bvLVPd" TargetMode="External"/><Relationship Id="rId662" Type="http://schemas.openxmlformats.org/officeDocument/2006/relationships/hyperlink" Target="https://gobiernobogota-my.sharepoint.com/:b:/g/personal/planeacion_suba_gobiernobogota_gov_co/IQBLOKQZI52RRYzlMc0IDcUfAfaPvHWc84l4wynUf1J19ZA?e=g0rO3c" TargetMode="External"/><Relationship Id="rId1085" Type="http://schemas.openxmlformats.org/officeDocument/2006/relationships/hyperlink" Target="https://gobiernobogota-my.sharepoint.com/:b:/g/personal/planeacion_suba_gobiernobogota_gov_co/IQAbSLyAFh2xRJr0NhbYbKk2ATKbPTcKyEeZatQ-G_R5UiE?e=uolpOb" TargetMode="External"/><Relationship Id="rId12" Type="http://schemas.openxmlformats.org/officeDocument/2006/relationships/hyperlink" Target="https://gobiernobogota-my.sharepoint.com/:b:/g/personal/planeacion_suba_gobiernobogota_gov_co/IQBI0yEyQXgwQ6mCSOWe2EEQAbsvr7zDXzRyghixX0dftHE?e=mKUbhs" TargetMode="External"/><Relationship Id="rId108" Type="http://schemas.openxmlformats.org/officeDocument/2006/relationships/hyperlink" Target="https://gobiernobogota-my.sharepoint.com/:b:/g/personal/planeacion_suba_gobiernobogota_gov_co/IQA0tBpXZvWLQ61lCZLtwVQMATUkSvs70MDNcfI20NNj_rA?e=a1wRLN" TargetMode="External"/><Relationship Id="rId315" Type="http://schemas.openxmlformats.org/officeDocument/2006/relationships/hyperlink" Target="https://gobiernobogota-my.sharepoint.com/:b:/g/personal/planeacion_suba_gobiernobogota_gov_co/IQDMZ0T9mSVxRKfzq21QstZzAUDlBRHMMr71r81ynqwr9wc?e=GwTjSx" TargetMode="External"/><Relationship Id="rId522" Type="http://schemas.openxmlformats.org/officeDocument/2006/relationships/hyperlink" Target="https://gobiernobogota-my.sharepoint.com/:b:/g/personal/planeacion_suba_gobiernobogota_gov_co/IQCok6SIWdA3R5RQoMNCzBIRAetPIxe1IjK9foAFX01Hg1E?e=Oxmd9y" TargetMode="External"/><Relationship Id="rId967" Type="http://schemas.openxmlformats.org/officeDocument/2006/relationships/hyperlink" Target="https://gobiernobogota-my.sharepoint.com/:b:/g/personal/planeacion_suba_gobiernobogota_gov_co/IQAQwRzvwyOGRoadzOfEJbYbAZHcIaYsTNJAlIt0BpMGmxY?e=uCEeS6" TargetMode="External"/><Relationship Id="rId96" Type="http://schemas.openxmlformats.org/officeDocument/2006/relationships/hyperlink" Target="https://gobiernobogota-my.sharepoint.com/:b:/g/personal/planeacion_suba_gobiernobogota_gov_co/IQBz2CKObcGQQ7tlyKeMS_LyAYgcIzBGx3HfmbaEMW7eKes?e=Y32qrI" TargetMode="External"/><Relationship Id="rId161" Type="http://schemas.openxmlformats.org/officeDocument/2006/relationships/hyperlink" Target="https://gobiernobogota-my.sharepoint.com/:b:/g/personal/planeacion_suba_gobiernobogota_gov_co/IQBQhQEJ73TWTZbL6J9z5LSKAS3GX70b7VJh0PyiiiLHOF4?e=Gw6MUq" TargetMode="External"/><Relationship Id="rId399" Type="http://schemas.openxmlformats.org/officeDocument/2006/relationships/hyperlink" Target="https://gobiernobogota-my.sharepoint.com/:b:/g/personal/planeacion_suba_gobiernobogota_gov_co/IQC8aZx2NnlWQJELsizfgLSjAd7eqfeZXr7cjHi5SHEC9sI?e=UN3jEI" TargetMode="External"/><Relationship Id="rId827" Type="http://schemas.openxmlformats.org/officeDocument/2006/relationships/hyperlink" Target="https://gobiernobogota-my.sharepoint.com/:b:/g/personal/planeacion_suba_gobiernobogota_gov_co/IQAQwRzvwyOGRoadzOfEJbYbAZHcIaYsTNJAlIt0BpMGmxY?e=uCEeS6" TargetMode="External"/><Relationship Id="rId1012" Type="http://schemas.openxmlformats.org/officeDocument/2006/relationships/hyperlink" Target="https://gobiernobogota-my.sharepoint.com/:b:/g/personal/planeacion_suba_gobiernobogota_gov_co/IQDQ0P06vQEWTIOf20c3X9m1ASCGCvAOimofYKs8LerKKDY?e=YpKcO2" TargetMode="External"/><Relationship Id="rId259" Type="http://schemas.openxmlformats.org/officeDocument/2006/relationships/hyperlink" Target="https://gobiernobogota-my.sharepoint.com/:b:/g/personal/planeacion_suba_gobiernobogota_gov_co/IQDnTTIqL0gdQ7M8lQvxgVsVAYTNutLLXrKc3Xz5mT4xVhM?e=VeVmF5" TargetMode="External"/><Relationship Id="rId466" Type="http://schemas.openxmlformats.org/officeDocument/2006/relationships/hyperlink" Target="https://gobiernobogota-my.sharepoint.com/:b:/g/personal/planeacion_suba_gobiernobogota_gov_co/IQBAqpMZnJhaR4fzT69c6XO1ATJ6Nu3jeOiXo-U-xzU-7u8?e=Whah3p" TargetMode="External"/><Relationship Id="rId673" Type="http://schemas.openxmlformats.org/officeDocument/2006/relationships/hyperlink" Target="https://gobiernobogota-my.sharepoint.com/:b:/g/personal/planeacion_suba_gobiernobogota_gov_co/IQAbSLyAFh2xRJr0NhbYbKk2ATKbPTcKyEeZatQ-G_R5UiE?e=uolpOb" TargetMode="External"/><Relationship Id="rId880" Type="http://schemas.openxmlformats.org/officeDocument/2006/relationships/hyperlink" Target="https://gobiernobogota-my.sharepoint.com/:b:/g/personal/planeacion_suba_gobiernobogota_gov_co/IQADC9knk6nNRKJljIOhwk2qAdShpXZmNMX3rXF25hMw_UA?e=dsCZMM" TargetMode="External"/><Relationship Id="rId1096" Type="http://schemas.openxmlformats.org/officeDocument/2006/relationships/hyperlink" Target="https://gobiernobogota-my.sharepoint.com/:b:/g/personal/planeacion_suba_gobiernobogota_gov_co/IQAQwRzvwyOGRoadzOfEJbYbAZHcIaYsTNJAlIt0BpMGmxY?e=uCEeS6" TargetMode="External"/><Relationship Id="rId23" Type="http://schemas.openxmlformats.org/officeDocument/2006/relationships/hyperlink" Target="https://gobiernobogota-my.sharepoint.com/:b:/g/personal/planeacion_suba_gobiernobogota_gov_co/IQA0TAxhTdESQaWyokxkYiYrAUbT3V5pPD-WeH61XsXHSR4?e=trenfi" TargetMode="External"/><Relationship Id="rId119" Type="http://schemas.openxmlformats.org/officeDocument/2006/relationships/hyperlink" Target="https://gobiernobogota-my.sharepoint.com/:b:/g/personal/planeacion_suba_gobiernobogota_gov_co/IQBuOzStr3VOSrJVUh9Xj5TjAQ0tYcBuK8ryjmQQPMTnx0g?e=GbZqJC" TargetMode="External"/><Relationship Id="rId326" Type="http://schemas.openxmlformats.org/officeDocument/2006/relationships/hyperlink" Target="https://gobiernobogota-my.sharepoint.com/:b:/g/personal/planeacion_suba_gobiernobogota_gov_co/IQDdhi804BBAQ5UdFM9KQ5EJAeq608vCKeinsyCsq0bUZ7M?e=O5Uyva" TargetMode="External"/><Relationship Id="rId533" Type="http://schemas.openxmlformats.org/officeDocument/2006/relationships/hyperlink" Target="https://gobiernobogota-my.sharepoint.com/:b:/g/personal/planeacion_suba_gobiernobogota_gov_co/IQBOyF6riMVjQJZAJ9lSvn4tAfHCWPPgqw5ArXsNZluljO0?e=pzZvXT" TargetMode="External"/><Relationship Id="rId978" Type="http://schemas.openxmlformats.org/officeDocument/2006/relationships/hyperlink" Target="https://gobiernobogota-my.sharepoint.com/:b:/g/personal/planeacion_suba_gobiernobogota_gov_co/IQAfXzMA_4XnTa1B6xj-Aus0Aa3qNM2zo_wbgPdupwGCrss?e=fdoxSg" TargetMode="External"/><Relationship Id="rId740" Type="http://schemas.openxmlformats.org/officeDocument/2006/relationships/hyperlink" Target="https://gobiernobogota-my.sharepoint.com/:b:/g/personal/planeacion_suba_gobiernobogota_gov_co/IQBIkjZj1KjRTKxH5GtJk2O6AetJTqy5XgcwtFnnHqx4tT4?e=BdzLqq" TargetMode="External"/><Relationship Id="rId838" Type="http://schemas.openxmlformats.org/officeDocument/2006/relationships/hyperlink" Target="https://gobiernobogota-my.sharepoint.com/:b:/g/personal/planeacion_suba_gobiernobogota_gov_co/IQBg5-ltg1DbR7OvlapQYEIkASHBeNVh7RKRKde6qvzpTNo?e=KsY9Xi" TargetMode="External"/><Relationship Id="rId1023" Type="http://schemas.openxmlformats.org/officeDocument/2006/relationships/hyperlink" Target="https://gobiernobogota-my.sharepoint.com/:b:/g/personal/planeacion_suba_gobiernobogota_gov_co/IQAQwRzvwyOGRoadzOfEJbYbAZHcIaYsTNJAlIt0BpMGmxY?e=uCEeS6" TargetMode="External"/><Relationship Id="rId172" Type="http://schemas.openxmlformats.org/officeDocument/2006/relationships/hyperlink" Target="https://gobiernobogota-my.sharepoint.com/:b:/g/personal/sandra_tamayo_gobiernobogota_gov_co/IQA0E0FNBmhFSoYzdZx72ppWAYSYFjCMAYDOHjW2FrXQpD8?e=69EhDf" TargetMode="External"/><Relationship Id="rId477" Type="http://schemas.openxmlformats.org/officeDocument/2006/relationships/hyperlink" Target="https://gobiernobogota-my.sharepoint.com/:b:/g/personal/planeacion_suba_gobiernobogota_gov_co/IQCnPCvk4UozSJT53GrszZJUAXbGAmL2u6g248LkIL5QZdw?e=pwH4mz" TargetMode="External"/><Relationship Id="rId600" Type="http://schemas.openxmlformats.org/officeDocument/2006/relationships/hyperlink" Target="https://gobiernobogota-my.sharepoint.com/:b:/g/personal/planeacion_suba_gobiernobogota_gov_co/IQCok6SIWdA3R5RQoMNCzBIRAetPIxe1IjK9foAFX01Hg1E?e=Oxmd9y" TargetMode="External"/><Relationship Id="rId684" Type="http://schemas.openxmlformats.org/officeDocument/2006/relationships/hyperlink" Target="https://gobiernobogota-my.sharepoint.com/:b:/g/personal/planeacion_suba_gobiernobogota_gov_co/IQAQwRzvwyOGRoadzOfEJbYbAZHcIaYsTNJAlIt0BpMGmxY?e=uCEeS6" TargetMode="External"/><Relationship Id="rId337" Type="http://schemas.openxmlformats.org/officeDocument/2006/relationships/hyperlink" Target="https://gobiernobogota-my.sharepoint.com/:b:/g/personal/planeacion_suba_gobiernobogota_gov_co/IQDYfz7BCezNT5jcCSdluleDAY3bI6UPbxERGDBiY4eb9dI?e=nMk8kc" TargetMode="External"/><Relationship Id="rId891" Type="http://schemas.openxmlformats.org/officeDocument/2006/relationships/hyperlink" Target="https://gobiernobogota-my.sharepoint.com/:b:/g/personal/planeacion_suba_gobiernobogota_gov_co/IQAbSLyAFh2xRJr0NhbYbKk2ATKbPTcKyEeZatQ-G_R5UiE?e=uolpOb" TargetMode="External"/><Relationship Id="rId905" Type="http://schemas.openxmlformats.org/officeDocument/2006/relationships/hyperlink" Target="https://gobiernobogota-my.sharepoint.com/:b:/g/personal/planeacion_suba_gobiernobogota_gov_co/IQAS7srwl2vyRYV8Bky-c8mbAe_iDdTkPPFWUGSbBPkgSBo?e=Mg9bWT" TargetMode="External"/><Relationship Id="rId989" Type="http://schemas.openxmlformats.org/officeDocument/2006/relationships/hyperlink" Target="https://gobiernobogota-my.sharepoint.com/:b:/g/personal/planeacion_suba_gobiernobogota_gov_co/IQADC9knk6nNRKJljIOhwk2qAdShpXZmNMX3rXF25hMw_UA?e=dsCZMM" TargetMode="External"/><Relationship Id="rId34" Type="http://schemas.openxmlformats.org/officeDocument/2006/relationships/hyperlink" Target="https://gobiernobogota-my.sharepoint.com/:b:/g/personal/planeacion_suba_gobiernobogota_gov_co/IQC3n1-3qJZ2SKpVvajWPoLpAeMYPbBWFvEmTo3r_WNO_U0?e=w0AYhT" TargetMode="External"/><Relationship Id="rId544" Type="http://schemas.openxmlformats.org/officeDocument/2006/relationships/hyperlink" Target="https://gobiernobogota-my.sharepoint.com/:b:/g/personal/planeacion_suba_gobiernobogota_gov_co/IQAbSLyAFh2xRJr0NhbYbKk2ATKbPTcKyEeZatQ-G_R5UiE?e=uolpOb" TargetMode="External"/><Relationship Id="rId751" Type="http://schemas.openxmlformats.org/officeDocument/2006/relationships/hyperlink" Target="https://gobiernobogota-my.sharepoint.com/:b:/g/personal/planeacion_suba_gobiernobogota_gov_co/IQADC9knk6nNRKJljIOhwk2qAdShpXZmNMX3rXF25hMw_UA?e=dsCZMM" TargetMode="External"/><Relationship Id="rId849" Type="http://schemas.openxmlformats.org/officeDocument/2006/relationships/hyperlink" Target="https://gobiernobogota-my.sharepoint.com/:b:/g/personal/planeacion_suba_gobiernobogota_gov_co/IQAlC_zhYxTfS6UWhPog4OgaAc_4jKYeS_GLFE2bBvrvDTs?e=JbLj4f" TargetMode="External"/><Relationship Id="rId183" Type="http://schemas.openxmlformats.org/officeDocument/2006/relationships/hyperlink" Target="https://gobiernobogota-my.sharepoint.com/:b:/g/personal/planeacion_suba_gobiernobogota_gov_co/IQBuOzStr3VOSrJVUh9Xj5TjAQ0tYcBuK8ryjmQQPMTnx0g?e=vKPqSw" TargetMode="External"/><Relationship Id="rId390" Type="http://schemas.openxmlformats.org/officeDocument/2006/relationships/hyperlink" Target="https://gobiernobogota-my.sharepoint.com/:b:/g/personal/planeacion_suba_gobiernobogota_gov_co/IQBXh6io_0RcTbJer9rD27dvAftEALhK5PU3b2V9PYJePN4?e=ISxCKc" TargetMode="External"/><Relationship Id="rId404" Type="http://schemas.openxmlformats.org/officeDocument/2006/relationships/hyperlink" Target="https://gobiernobogota-my.sharepoint.com/:b:/g/personal/planeacion_suba_gobiernobogota_gov_co/IQC8aZx2NnlWQJELsizfgLSjAd7eqfeZXr7cjHi5SHEC9sI?e=UN3jEI" TargetMode="External"/><Relationship Id="rId611" Type="http://schemas.openxmlformats.org/officeDocument/2006/relationships/hyperlink" Target="https://gobiernobogota-my.sharepoint.com/:b:/g/personal/planeacion_suba_gobiernobogota_gov_co/IQADC9knk6nNRKJljIOhwk2qAdShpXZmNMX3rXF25hMw_UA?e=dsCZMM" TargetMode="External"/><Relationship Id="rId1034" Type="http://schemas.openxmlformats.org/officeDocument/2006/relationships/hyperlink" Target="https://gobiernobogota-my.sharepoint.com/:b:/g/personal/planeacion_suba_gobiernobogota_gov_co/IQADC9knk6nNRKJljIOhwk2qAdShpXZmNMX3rXF25hMw_UA?e=dsCZMM" TargetMode="External"/><Relationship Id="rId250" Type="http://schemas.openxmlformats.org/officeDocument/2006/relationships/hyperlink" Target="https://gobiernobogota-my.sharepoint.com/:b:/g/personal/planeacion_suba_gobiernobogota_gov_co/IQB1koQVRkn1SJ-jGBLg2WctAerGiuXTK8urgDEPgP_sndY?e=OX3A2p" TargetMode="External"/><Relationship Id="rId488" Type="http://schemas.openxmlformats.org/officeDocument/2006/relationships/hyperlink" Target="https://gobiernobogota-my.sharepoint.com/:b:/g/personal/planeacion_suba_gobiernobogota_gov_co/IQAZPGbjAnv5T7Mb6goCZukbAT7nvvtvbwPLxe0NhW69IkA?e=nPTzOY" TargetMode="External"/><Relationship Id="rId695" Type="http://schemas.openxmlformats.org/officeDocument/2006/relationships/hyperlink" Target="https://gobiernobogota-my.sharepoint.com/:b:/g/personal/planeacion_suba_gobiernobogota_gov_co/IQADC9knk6nNRKJljIOhwk2qAdShpXZmNMX3rXF25hMw_UA?e=dsCZMM" TargetMode="External"/><Relationship Id="rId709" Type="http://schemas.openxmlformats.org/officeDocument/2006/relationships/hyperlink" Target="https://gobiernobogota-my.sharepoint.com/:b:/g/personal/planeacion_suba_gobiernobogota_gov_co/IQCok6SIWdA3R5RQoMNCzBIRAetPIxe1IjK9foAFX01Hg1E?e=Oxmd9y" TargetMode="External"/><Relationship Id="rId916" Type="http://schemas.openxmlformats.org/officeDocument/2006/relationships/hyperlink" Target="https://gobiernobogota-my.sharepoint.com/:b:/g/personal/planeacion_suba_gobiernobogota_gov_co/IQAS7srwl2vyRYV8Bky-c8mbAe_iDdTkPPFWUGSbBPkgSBo?e=Mg9bWT" TargetMode="External"/><Relationship Id="rId1101" Type="http://schemas.openxmlformats.org/officeDocument/2006/relationships/hyperlink" Target="https://gobiernobogota-my.sharepoint.com/:b:/g/personal/planeacion_suba_gobiernobogota_gov_co/IQBIFBXFoRj0Rom2A6vCubHbAZ774GE1zqq_sWcbSpDqQpA?e=879f50" TargetMode="External"/><Relationship Id="rId45" Type="http://schemas.openxmlformats.org/officeDocument/2006/relationships/hyperlink" Target="https://gobiernobogota-my.sharepoint.com/:b:/g/personal/planeacion_suba_gobiernobogota_gov_co/IQAPRkPrZAKvTLtcG25cEzViAeS6mFIuwdNuXQQ4Dk8pWGY?e=5nrRxu" TargetMode="External"/><Relationship Id="rId110" Type="http://schemas.openxmlformats.org/officeDocument/2006/relationships/hyperlink" Target="https://gobiernobogota-my.sharepoint.com/:b:/g/personal/sandra_tamayo_gobiernobogota_gov_co/IQAM8r63uIZnT5tRcP2mHZsFAWaGEdK-hI3o_OoHipb11qI?e=TFePgq" TargetMode="External"/><Relationship Id="rId348" Type="http://schemas.openxmlformats.org/officeDocument/2006/relationships/hyperlink" Target="https://gobiernobogota-my.sharepoint.com/:b:/g/personal/planeacion_suba_gobiernobogota_gov_co/IQAyH4f7aM85TLEwL6xT4WaoAb0dCocDGGgzT7IkqXmv6XQ?e=IFh9Tc" TargetMode="External"/><Relationship Id="rId555" Type="http://schemas.openxmlformats.org/officeDocument/2006/relationships/hyperlink" Target="https://gobiernobogota-my.sharepoint.com/:b:/g/personal/planeacion_suba_gobiernobogota_gov_co/IQADC9knk6nNRKJljIOhwk2qAdShpXZmNMX3rXF25hMw_UA?e=dsCZMM" TargetMode="External"/><Relationship Id="rId762" Type="http://schemas.openxmlformats.org/officeDocument/2006/relationships/hyperlink" Target="https://gobiernobogota-my.sharepoint.com/:b:/g/personal/planeacion_suba_gobiernobogota_gov_co/IQD0KjNGQzKiSrrZvHiPdhu4AerMV_j_S9Js3iSJfc_nYLw?e=hgITHC" TargetMode="External"/><Relationship Id="rId194" Type="http://schemas.openxmlformats.org/officeDocument/2006/relationships/hyperlink" Target="https://gobiernobogota-my.sharepoint.com/:b:/g/personal/sandra_tamayo_gobiernobogota_gov_co/IQBjTkxVaG7tSZ2JdDfsvt53AUgI_XCQNVZqd3ocKvLkekA?e=JwWv1Q" TargetMode="External"/><Relationship Id="rId208" Type="http://schemas.openxmlformats.org/officeDocument/2006/relationships/hyperlink" Target="https://gobiernobogota-my.sharepoint.com/:b:/g/personal/planeacion_suba_gobiernobogota_gov_co/IQAFhyKV42TQTLqifqCJGS4FAd04VtlpIuOm3VFWK9Ru08M?e=IXJjDp" TargetMode="External"/><Relationship Id="rId415" Type="http://schemas.openxmlformats.org/officeDocument/2006/relationships/hyperlink" Target="https://gobiernobogota-my.sharepoint.com/:b:/g/personal/planeacion_suba_gobiernobogota_gov_co/IQCyA10LkQHjRbpaxdAnmhPDAXpC1OcuVN3A6MnbV1GIUkM?e=2evzdw" TargetMode="External"/><Relationship Id="rId622" Type="http://schemas.openxmlformats.org/officeDocument/2006/relationships/hyperlink" Target="https://gobiernobogota-my.sharepoint.com/:b:/g/personal/planeacion_suba_gobiernobogota_gov_co/IQAbSLyAFh2xRJr0NhbYbKk2ATKbPTcKyEeZatQ-G_R5UiE?e=uolpOb" TargetMode="External"/><Relationship Id="rId1045" Type="http://schemas.openxmlformats.org/officeDocument/2006/relationships/hyperlink" Target="https://gobiernobogota-my.sharepoint.com/:b:/g/personal/planeacion_suba_gobiernobogota_gov_co/IQBLOKQZI52RRYzlMc0IDcUfAfaPvHWc84l4wynUf1J19ZA?e=g0rO3c" TargetMode="External"/><Relationship Id="rId261" Type="http://schemas.openxmlformats.org/officeDocument/2006/relationships/hyperlink" Target="https://gobiernobogota-my.sharepoint.com/:b:/g/personal/planeacion_suba_gobiernobogota_gov_co/IQAN65gFMWp2SKGb0Ye-548NAfJPqrwXtugMZNSNrkSytwQ?e=h7zbze" TargetMode="External"/><Relationship Id="rId499" Type="http://schemas.openxmlformats.org/officeDocument/2006/relationships/hyperlink" Target="https://gobiernobogota-my.sharepoint.com/:b:/g/personal/planeacion_suba_gobiernobogota_gov_co/IQCok6SIWdA3R5RQoMNCzBIRAetPIxe1IjK9foAFX01Hg1E?e=Oxmd9y" TargetMode="External"/><Relationship Id="rId927" Type="http://schemas.openxmlformats.org/officeDocument/2006/relationships/hyperlink" Target="https://gobiernobogota-my.sharepoint.com/:b:/g/personal/planeacion_suba_gobiernobogota_gov_co/IQADC9knk6nNRKJljIOhwk2qAdShpXZmNMX3rXF25hMw_UA?e=dsCZMM" TargetMode="External"/><Relationship Id="rId1112" Type="http://schemas.openxmlformats.org/officeDocument/2006/relationships/hyperlink" Target="https://gobiernobogota-my.sharepoint.com/:b:/g/personal/planeacion_suba_gobiernobogota_gov_co/IQCz_OWjeHi3T4Dr6A5PHNb2AXjjX0-5s6WFBRuhjAsPfyw?e=h5opLZ" TargetMode="External"/><Relationship Id="rId56" Type="http://schemas.openxmlformats.org/officeDocument/2006/relationships/hyperlink" Target="https://gobiernobogota-my.sharepoint.com/:b:/g/personal/planeacion_suba_gobiernobogota_gov_co/IQA0TAxhTdESQaWyokxkYiYrAUbT3V5pPD-WeH61XsXHSR4?e=trenfi" TargetMode="External"/><Relationship Id="rId359" Type="http://schemas.openxmlformats.org/officeDocument/2006/relationships/hyperlink" Target="https://gobiernobogota-my.sharepoint.com/:b:/g/personal/planeacion_suba_gobiernobogota_gov_co/IQDf44K_e-byQbI4bgT9lM9AAQvRsujJ9Omyjb1eLxMqujs?e=yCC9hN" TargetMode="External"/><Relationship Id="rId566" Type="http://schemas.openxmlformats.org/officeDocument/2006/relationships/hyperlink" Target="https://gobiernobogota-my.sharepoint.com/:b:/g/personal/planeacion_suba_gobiernobogota_gov_co/IQBcvLe_IA7QQJ1pQ5Dnm_f2Abw4KW4Ldk1twacuSgfSGNg?e=yR2geb" TargetMode="External"/><Relationship Id="rId773" Type="http://schemas.openxmlformats.org/officeDocument/2006/relationships/hyperlink" Target="https://gobiernobogota-my.sharepoint.com/:b:/g/personal/planeacion_suba_gobiernobogota_gov_co/IQCok6SIWdA3R5RQoMNCzBIRAetPIxe1IjK9foAFX01Hg1E?e=Oxmd9y" TargetMode="External"/><Relationship Id="rId121" Type="http://schemas.openxmlformats.org/officeDocument/2006/relationships/hyperlink" Target="https://gobiernobogota-my.sharepoint.com/:b:/g/personal/planeacion_suba_gobiernobogota_gov_co/IQBLJ1tp1fdzSL9E0QwjjNUSAS7hmaX-o2ET4sUI1GqHxqY?e=jxOD27" TargetMode="External"/><Relationship Id="rId219" Type="http://schemas.openxmlformats.org/officeDocument/2006/relationships/hyperlink" Target="https://gobiernobogota-my.sharepoint.com/:b:/g/personal/planeacion_suba_gobiernobogota_gov_co/IQAdy-rJ0tjISa5i30jFu1k8AZRtQl9JohRXyI4j9ajYCNY?e=25Qtzb" TargetMode="External"/><Relationship Id="rId426" Type="http://schemas.openxmlformats.org/officeDocument/2006/relationships/hyperlink" Target="https://gobiernobogota-my.sharepoint.com/:b:/g/personal/planeacion_suba_gobiernobogota_gov_co/IQDTeSSi0UFMRKd4RIRqxGF-Aa6FJihICiXVXNAypoR_Hzw?e=1zaJF9" TargetMode="External"/><Relationship Id="rId633" Type="http://schemas.openxmlformats.org/officeDocument/2006/relationships/hyperlink" Target="https://gobiernobogota-my.sharepoint.com/:b:/g/personal/planeacion_suba_gobiernobogota_gov_co/IQAQwRzvwyOGRoadzOfEJbYbAZHcIaYsTNJAlIt0BpMGmxY?e=uCEeS6" TargetMode="External"/><Relationship Id="rId980" Type="http://schemas.openxmlformats.org/officeDocument/2006/relationships/hyperlink" Target="https://gobiernobogota-my.sharepoint.com/:b:/g/personal/planeacion_suba_gobiernobogota_gov_co/IQBeOwotiS4cS5L6sLj_SRsdAdT96zfU3QUOM7uXkNXRJJc?e=2q8ADp" TargetMode="External"/><Relationship Id="rId1056" Type="http://schemas.openxmlformats.org/officeDocument/2006/relationships/hyperlink" Target="https://gobiernobogota-my.sharepoint.com/:b:/g/personal/planeacion_suba_gobiernobogota_gov_co/IQB26X71rbFGQasBfzRSyYZjAQWY2aUsbJDgsOAiiuKyS9Y?e=8nJZHa" TargetMode="External"/><Relationship Id="rId840" Type="http://schemas.openxmlformats.org/officeDocument/2006/relationships/hyperlink" Target="https://gobiernobogota-my.sharepoint.com/:b:/g/personal/planeacion_suba_gobiernobogota_gov_co/IQCViHucF0siTqFe-KKB6eYVATpQCmK-6oZ8nDdKBl1ZZhU?e=ag93ou" TargetMode="External"/><Relationship Id="rId938" Type="http://schemas.openxmlformats.org/officeDocument/2006/relationships/hyperlink" Target="https://gobiernobogota-my.sharepoint.com/:b:/g/personal/planeacion_suba_gobiernobogota_gov_co/IQAZ8TQIkw-sTqEUsBZrdZo2AStSmUx7N8Mv9Z9z84jmrnU?e=SXnyWm" TargetMode="External"/><Relationship Id="rId67" Type="http://schemas.openxmlformats.org/officeDocument/2006/relationships/hyperlink" Target="https://gobiernobogota-my.sharepoint.com/:b:/g/personal/planeacion_suba_gobiernobogota_gov_co/IQBz2CKObcGQQ7tlyKeMS_LyAYgcIzBGx3HfmbaEMW7eKes?e=Y32qrI" TargetMode="External"/><Relationship Id="rId272" Type="http://schemas.openxmlformats.org/officeDocument/2006/relationships/hyperlink" Target="https://gobiernobogota-my.sharepoint.com/:b:/g/personal/planeacion_suba_gobiernobogota_gov_co/IQDf44K_e-byQbI4bgT9lM9AAQvRsujJ9Omyjb1eLxMqujs?e=WegZRB" TargetMode="External"/><Relationship Id="rId577" Type="http://schemas.openxmlformats.org/officeDocument/2006/relationships/hyperlink" Target="https://gobiernobogota-my.sharepoint.com/:b:/g/personal/planeacion_suba_gobiernobogota_gov_co/IQCUIh9yimqRRJWivlfrdXlzAbqfy4pjQWahiULOVv6WzDY?e=tqbPqh" TargetMode="External"/><Relationship Id="rId700" Type="http://schemas.openxmlformats.org/officeDocument/2006/relationships/hyperlink" Target="https://gobiernobogota-my.sharepoint.com/:b:/g/personal/planeacion_suba_gobiernobogota_gov_co/IQAbSLyAFh2xRJr0NhbYbKk2ATKbPTcKyEeZatQ-G_R5UiE?e=uolpOb" TargetMode="External"/><Relationship Id="rId132" Type="http://schemas.openxmlformats.org/officeDocument/2006/relationships/hyperlink" Target="https://gobiernobogota-my.sharepoint.com/:b:/g/personal/sandra_tamayo_gobiernobogota_gov_co/IQBjTkxVaG7tSZ2JdDfsvt53AUgI_XCQNVZqd3ocKvLkekA?e=JwWv1Q" TargetMode="External"/><Relationship Id="rId784" Type="http://schemas.openxmlformats.org/officeDocument/2006/relationships/hyperlink" Target="https://gobiernobogota-my.sharepoint.com/:b:/g/personal/planeacion_suba_gobiernobogota_gov_co/IQCX5R01gnI3QLPk49hsK0lpAXaK-OSVtPGApsy1wuJ-x1s?e=X6CBQ2" TargetMode="External"/><Relationship Id="rId991" Type="http://schemas.openxmlformats.org/officeDocument/2006/relationships/hyperlink" Target="https://gobiernobogota-my.sharepoint.com/:b:/g/personal/planeacion_suba_gobiernobogota_gov_co/IQAbSLyAFh2xRJr0NhbYbKk2ATKbPTcKyEeZatQ-G_R5UiE?e=uolpOb" TargetMode="External"/><Relationship Id="rId1067" Type="http://schemas.openxmlformats.org/officeDocument/2006/relationships/hyperlink" Target="https://gobiernobogota-my.sharepoint.com/:b:/g/personal/planeacion_suba_gobiernobogota_gov_co/IQAbSLyAFh2xRJr0NhbYbKk2ATKbPTcKyEeZatQ-G_R5UiE?e=uolpOb" TargetMode="External"/><Relationship Id="rId437" Type="http://schemas.openxmlformats.org/officeDocument/2006/relationships/hyperlink" Target="https://gobiernobogota-my.sharepoint.com/:b:/g/personal/planeacion_suba_gobiernobogota_gov_co/IQAtLFuyEs3_RrMfe0oKwMWcAWG5h3fg-RU1fMBI-yLlpGA?e=cxturv" TargetMode="External"/><Relationship Id="rId644" Type="http://schemas.openxmlformats.org/officeDocument/2006/relationships/hyperlink" Target="https://gobiernobogota-my.sharepoint.com/:b:/g/personal/planeacion_suba_gobiernobogota_gov_co/IQDEXee0FpFMQKSQU4EvgHj_ATEptTNuQKPPLsT0ragTcHk?e=itjiyc" TargetMode="External"/><Relationship Id="rId851" Type="http://schemas.openxmlformats.org/officeDocument/2006/relationships/hyperlink" Target="https://gobiernobogota-my.sharepoint.com/:b:/g/personal/planeacion_suba_gobiernobogota_gov_co/IQByQ76Ua7eERZ19cniIRAdjAZFptT5ULVaVnwdpq9lVbkE?e=XkbfAn" TargetMode="External"/><Relationship Id="rId283" Type="http://schemas.openxmlformats.org/officeDocument/2006/relationships/hyperlink" Target="https://gobiernobogota-my.sharepoint.com/:b:/g/personal/planeacion_suba_gobiernobogota_gov_co/IQAPRkPrZAKvTLtcG25cEzViAeS6mFIuwdNuXQQ4Dk8pWGY?e=5nrRxu" TargetMode="External"/><Relationship Id="rId490" Type="http://schemas.openxmlformats.org/officeDocument/2006/relationships/hyperlink" Target="https://gobiernobogota-my.sharepoint.com/:b:/g/personal/planeacion_suba_gobiernobogota_gov_co/IQADC9knk6nNRKJljIOhwk2qAdShpXZmNMX3rXF25hMw_UA?e=dsCZMM" TargetMode="External"/><Relationship Id="rId504" Type="http://schemas.openxmlformats.org/officeDocument/2006/relationships/hyperlink" Target="https://gobiernobogota-my.sharepoint.com/:b:/g/personal/planeacion_suba_gobiernobogota_gov_co/IQBrtx_eU2X9RLe7elQNtp99AVe7fdFxxQGU3BRoCpPW11s?e=chmzyo" TargetMode="External"/><Relationship Id="rId711" Type="http://schemas.openxmlformats.org/officeDocument/2006/relationships/hyperlink" Target="https://gobiernobogota-my.sharepoint.com/:b:/g/personal/planeacion_suba_gobiernobogota_gov_co/IQDqupQ--IzJRpFmdOTR8AaSAZxrBWJNb6V6nKS53MrkSq0?e=t9qv9V" TargetMode="External"/><Relationship Id="rId949" Type="http://schemas.openxmlformats.org/officeDocument/2006/relationships/hyperlink" Target="https://gobiernobogota-my.sharepoint.com/:b:/g/personal/planeacion_suba_gobiernobogota_gov_co/IQAQwRzvwyOGRoadzOfEJbYbAZHcIaYsTNJAlIt0BpMGmxY?e=uCEeS6" TargetMode="External"/><Relationship Id="rId78" Type="http://schemas.openxmlformats.org/officeDocument/2006/relationships/hyperlink" Target="https://gobiernobogota-my.sharepoint.com/:b:/g/personal/planeacion_suba_gobiernobogota_gov_co/IQBz2CKObcGQQ7tlyKeMS_LyAYgcIzBGx3HfmbaEMW7eKes?e=Y32qrI" TargetMode="External"/><Relationship Id="rId143" Type="http://schemas.openxmlformats.org/officeDocument/2006/relationships/hyperlink" Target="https://gobiernobogota-my.sharepoint.com/:b:/g/personal/sandra_tamayo_gobiernobogota_gov_co/IQA0E0FNBmhFSoYzdZx72ppWAYSYFjCMAYDOHjW2FrXQpD8?e=69EhDf" TargetMode="External"/><Relationship Id="rId350" Type="http://schemas.openxmlformats.org/officeDocument/2006/relationships/hyperlink" Target="https://gobiernobogota-my.sharepoint.com/:b:/g/personal/planeacion_suba_gobiernobogota_gov_co/IQBBZebpq4Z4QohHSLRdQ-EhAfpEflhhbFvI-rSHTK9LErA?e=edFZ2s" TargetMode="External"/><Relationship Id="rId588" Type="http://schemas.openxmlformats.org/officeDocument/2006/relationships/hyperlink" Target="https://gobiernobogota-my.sharepoint.com/:b:/g/personal/planeacion_suba_gobiernobogota_gov_co/IQAQwRzvwyOGRoadzOfEJbYbAZHcIaYsTNJAlIt0BpMGmxY?e=uCEeS6" TargetMode="External"/><Relationship Id="rId795" Type="http://schemas.openxmlformats.org/officeDocument/2006/relationships/hyperlink" Target="https://gobiernobogota-my.sharepoint.com/:b:/g/personal/planeacion_suba_gobiernobogota_gov_co/IQAbSLyAFh2xRJr0NhbYbKk2ATKbPTcKyEeZatQ-G_R5UiE?e=uolpOb" TargetMode="External"/><Relationship Id="rId809" Type="http://schemas.openxmlformats.org/officeDocument/2006/relationships/hyperlink" Target="https://gobiernobogota-my.sharepoint.com/:b:/g/personal/planeacion_suba_gobiernobogota_gov_co/IQAQwRzvwyOGRoadzOfEJbYbAZHcIaYsTNJAlIt0BpMGmxY?e=uCEeS6" TargetMode="External"/><Relationship Id="rId9" Type="http://schemas.openxmlformats.org/officeDocument/2006/relationships/hyperlink" Target="https://gobiernobogota-my.sharepoint.com/:b:/g/personal/planeacion_suba_gobiernobogota_gov_co/IQDMb7zDnZvgSIT6O8TvxCnaAXhviGQRNqirZ9TaiX8MtJA?e=Xg4H4o" TargetMode="External"/><Relationship Id="rId210" Type="http://schemas.openxmlformats.org/officeDocument/2006/relationships/hyperlink" Target="https://gobiernobogota-my.sharepoint.com/:b:/g/personal/planeacion_suba_gobiernobogota_gov_co/IQCgm5YiE5_kQ5TMDogZTJv7AV1RW44CV7mB7C1aXXqSRvs?e=NLPkQf" TargetMode="External"/><Relationship Id="rId448" Type="http://schemas.openxmlformats.org/officeDocument/2006/relationships/hyperlink" Target="https://gobiernobogota-my.sharepoint.com/:b:/g/personal/planeacion_suba_gobiernobogota_gov_co/IQCZ-iQUB5pCSaRqyOqsTPd3AXnvUeyotU--WkRwbAOjjf8?e=hxpMj8" TargetMode="External"/><Relationship Id="rId655" Type="http://schemas.openxmlformats.org/officeDocument/2006/relationships/hyperlink" Target="https://gobiernobogota-my.sharepoint.com/:b:/g/personal/planeacion_suba_gobiernobogota_gov_co/IQB1SexwxYkcRoQRYI6ce_VFARpPT1ytGEb3jTVJN6SAkzY?e=T2Pe3t" TargetMode="External"/><Relationship Id="rId862" Type="http://schemas.openxmlformats.org/officeDocument/2006/relationships/hyperlink" Target="https://gobiernobogota-my.sharepoint.com/:b:/g/personal/planeacion_suba_gobiernobogota_gov_co/IQBLOKQZI52RRYzlMc0IDcUfAfaPvHWc84l4wynUf1J19ZA?e=g0rO3c" TargetMode="External"/><Relationship Id="rId1078" Type="http://schemas.openxmlformats.org/officeDocument/2006/relationships/hyperlink" Target="https://gobiernobogota-my.sharepoint.com/:b:/g/personal/planeacion_suba_gobiernobogota_gov_co/IQAQwRzvwyOGRoadzOfEJbYbAZHcIaYsTNJAlIt0BpMGmxY?e=uCEeS6" TargetMode="External"/><Relationship Id="rId294" Type="http://schemas.openxmlformats.org/officeDocument/2006/relationships/hyperlink" Target="https://gobiernobogota-my.sharepoint.com/:b:/g/personal/planeacion_suba_gobiernobogota_gov_co/IQDMZ0T9mSVxRKfzq21QstZzAUDlBRHMMr71r81ynqwr9wc?e=GwTjSx" TargetMode="External"/><Relationship Id="rId308" Type="http://schemas.openxmlformats.org/officeDocument/2006/relationships/hyperlink" Target="https://gobiernobogota-my.sharepoint.com/:b:/g/personal/planeacion_suba_gobiernobogota_gov_co/IQDYJo0fcQbgRKJ5FIABfsj2Ad712pwvs8-M2wmhJR7cvXo?e=rvF8z2" TargetMode="External"/><Relationship Id="rId515" Type="http://schemas.openxmlformats.org/officeDocument/2006/relationships/hyperlink" Target="https://gobiernobogota-my.sharepoint.com/:b:/g/personal/planeacion_suba_gobiernobogota_gov_co/IQBLOKQZI52RRYzlMc0IDcUfAfaPvHWc84l4wynUf1J19ZA?e=g0rO3c" TargetMode="External"/><Relationship Id="rId722" Type="http://schemas.openxmlformats.org/officeDocument/2006/relationships/hyperlink" Target="https://gobiernobogota-my.sharepoint.com/:b:/g/personal/planeacion_suba_gobiernobogota_gov_co/IQAQwRzvwyOGRoadzOfEJbYbAZHcIaYsTNJAlIt0BpMGmxY?e=uCEeS6" TargetMode="External"/><Relationship Id="rId89" Type="http://schemas.openxmlformats.org/officeDocument/2006/relationships/hyperlink" Target="https://gobiernobogota-my.sharepoint.com/:b:/g/personal/planeacion_suba_gobiernobogota_gov_co/IQCdkMR8tqp8Q69vbzhAH616AQ_61I5Y1Hm_kEo8HVOdGQ0?e=PORaoV" TargetMode="External"/><Relationship Id="rId154" Type="http://schemas.openxmlformats.org/officeDocument/2006/relationships/hyperlink" Target="https://gobiernobogota-my.sharepoint.com/:b:/g/personal/planeacion_suba_gobiernobogota_gov_co/IQDlB4prtJ-3R6hWCmUH6WtWAcd9g9dVT7DAQT7y5J3JaAI?e=PSPzc6" TargetMode="External"/><Relationship Id="rId361" Type="http://schemas.openxmlformats.org/officeDocument/2006/relationships/hyperlink" Target="https://gobiernobogota-my.sharepoint.com/:b:/g/personal/planeacion_suba_gobiernobogota_gov_co/IQBg0YvBUgUmRI8AMF9L_w7HAcE7CLxCKajIF_u8RdslVHU?e=EVLy69" TargetMode="External"/><Relationship Id="rId599" Type="http://schemas.openxmlformats.org/officeDocument/2006/relationships/hyperlink" Target="https://gobiernobogota-my.sharepoint.com/:b:/g/personal/planeacion_suba_gobiernobogota_gov_co/IQAXmghtTmtfRZLsfOJwW2BdAdfpU0wxvvfHSp4Khoov0iY?e=G8a8hU" TargetMode="External"/><Relationship Id="rId1005" Type="http://schemas.openxmlformats.org/officeDocument/2006/relationships/hyperlink" Target="https://gobiernobogota-my.sharepoint.com/:b:/g/personal/planeacion_suba_gobiernobogota_gov_co/IQCok6SIWdA3R5RQoMNCzBIRAetPIxe1IjK9foAFX01Hg1E?e=Oxmd9y" TargetMode="External"/><Relationship Id="rId459" Type="http://schemas.openxmlformats.org/officeDocument/2006/relationships/hyperlink" Target="https://gobiernobogota-my.sharepoint.com/:b:/g/personal/planeacion_suba_gobiernobogota_gov_co/IQBQhQEJ73TWTZbL6J9z5LSKAS3GX70b7VJh0PyiiiLHOF4?e=Gw6MUq" TargetMode="External"/><Relationship Id="rId666" Type="http://schemas.openxmlformats.org/officeDocument/2006/relationships/hyperlink" Target="https://gobiernobogota-my.sharepoint.com/:b:/g/personal/planeacion_suba_gobiernobogota_gov_co/IQAQwRzvwyOGRoadzOfEJbYbAZHcIaYsTNJAlIt0BpMGmxY?e=uCEeS6" TargetMode="External"/><Relationship Id="rId873" Type="http://schemas.openxmlformats.org/officeDocument/2006/relationships/hyperlink" Target="https://gobiernobogota-my.sharepoint.com/:b:/g/personal/planeacion_suba_gobiernobogota_gov_co/IQAbSLyAFh2xRJr0NhbYbKk2ATKbPTcKyEeZatQ-G_R5UiE?e=uolpOb" TargetMode="External"/><Relationship Id="rId1089" Type="http://schemas.openxmlformats.org/officeDocument/2006/relationships/hyperlink" Target="https://gobiernobogota-my.sharepoint.com/:b:/g/personal/planeacion_suba_gobiernobogota_gov_co/IQADC9knk6nNRKJljIOhwk2qAdShpXZmNMX3rXF25hMw_UA?e=dsCZMM" TargetMode="External"/><Relationship Id="rId16" Type="http://schemas.openxmlformats.org/officeDocument/2006/relationships/hyperlink" Target="https://gobiernobogota-my.sharepoint.com/:b:/g/personal/planeacion_suba_gobiernobogota_gov_co/IQAdy-rJ0tjISa5i30jFu1k8AZRtQl9JohRXyI4j9ajYCNY?e=bpWlxZ" TargetMode="External"/><Relationship Id="rId221" Type="http://schemas.openxmlformats.org/officeDocument/2006/relationships/hyperlink" Target="https://gobiernobogota-my.sharepoint.com/:b:/g/personal/planeacion_suba_gobiernobogota_gov_co/IQDYfz7BCezNT5jcCSdluleDAY3bI6UPbxERGDBiY4eb9dI?e=95vbkE" TargetMode="External"/><Relationship Id="rId319" Type="http://schemas.openxmlformats.org/officeDocument/2006/relationships/hyperlink" Target="https://gobiernobogota-my.sharepoint.com/:b:/g/personal/planeacion_suba_gobiernobogota_gov_co/IQAbV3MWcEGsS5xdyx9gFjx1AYNT8_62IK5KH_L4tWOIomc?e=5WlMTj" TargetMode="External"/><Relationship Id="rId526" Type="http://schemas.openxmlformats.org/officeDocument/2006/relationships/hyperlink" Target="https://gobiernobogota-my.sharepoint.com/:b:/g/personal/planeacion_suba_gobiernobogota_gov_co/IQBaVV_5yfhMQL74plmZn2cKAUN9OjxIt8jOW67WY9E1TkE?e=hdOmr1" TargetMode="External"/><Relationship Id="rId733" Type="http://schemas.openxmlformats.org/officeDocument/2006/relationships/hyperlink" Target="https://gobiernobogota-my.sharepoint.com/:b:/g/personal/planeacion_suba_gobiernobogota_gov_co/IQADC9knk6nNRKJljIOhwk2qAdShpXZmNMX3rXF25hMw_UA?e=dsCZMM" TargetMode="External"/><Relationship Id="rId940" Type="http://schemas.openxmlformats.org/officeDocument/2006/relationships/hyperlink" Target="https://gobiernobogota-my.sharepoint.com/:b:/g/personal/planeacion_suba_gobiernobogota_gov_co/IQAQwRzvwyOGRoadzOfEJbYbAZHcIaYsTNJAlIt0BpMGmxY?e=uCEeS6" TargetMode="External"/><Relationship Id="rId1016" Type="http://schemas.openxmlformats.org/officeDocument/2006/relationships/hyperlink" Target="https://gobiernobogota-my.sharepoint.com/:b:/g/personal/planeacion_suba_gobiernobogota_gov_co/IQADC9knk6nNRKJljIOhwk2qAdShpXZmNMX3rXF25hMw_UA?e=dsCZMM" TargetMode="External"/><Relationship Id="rId165" Type="http://schemas.openxmlformats.org/officeDocument/2006/relationships/hyperlink" Target="https://gobiernobogota-my.sharepoint.com/:b:/g/personal/planeacion_suba_gobiernobogota_gov_co/IQA0TAxhTdESQaWyokxkYiYrAUbT3V5pPD-WeH61XsXHSR4?e=trenfi" TargetMode="External"/><Relationship Id="rId372" Type="http://schemas.openxmlformats.org/officeDocument/2006/relationships/hyperlink" Target="https://gobiernobogota-my.sharepoint.com/:b:/g/personal/planeacion_suba_gobiernobogota_gov_co/IQDMZ0T9mSVxRKfzq21QstZzAUDlBRHMMr71r81ynqwr9wc?e=GwTjSx" TargetMode="External"/><Relationship Id="rId677" Type="http://schemas.openxmlformats.org/officeDocument/2006/relationships/hyperlink" Target="https://gobiernobogota-my.sharepoint.com/:b:/g/personal/planeacion_suba_gobiernobogota_gov_co/IQAZFC9EQhyhSpX_sFHZ9hY7AUFQwK6uE1jxzliiygCwiBs?e=uFyISb" TargetMode="External"/><Relationship Id="rId800" Type="http://schemas.openxmlformats.org/officeDocument/2006/relationships/hyperlink" Target="https://gobiernobogota-my.sharepoint.com/:b:/g/personal/planeacion_suba_gobiernobogota_gov_co/IQAQwRzvwyOGRoadzOfEJbYbAZHcIaYsTNJAlIt0BpMGmxY?e=uCEeS6" TargetMode="External"/><Relationship Id="rId232" Type="http://schemas.openxmlformats.org/officeDocument/2006/relationships/hyperlink" Target="https://gobiernobogota-my.sharepoint.com/:b:/g/personal/planeacion_suba_gobiernobogota_gov_co/IQDXXjy-5aqlQrLhtW2xd7zVAQR76NnvRF-BgbXuQf_hugs?e=A7W88w" TargetMode="External"/><Relationship Id="rId884" Type="http://schemas.openxmlformats.org/officeDocument/2006/relationships/hyperlink" Target="https://gobiernobogota-my.sharepoint.com/:b:/g/personal/planeacion_suba_gobiernobogota_gov_co/IQDrRkS-jZJIS6wYt0ivXFsKAQkI4HGbaEUHNM5l1GjnVX8?e=EZpzsI" TargetMode="External"/><Relationship Id="rId27" Type="http://schemas.openxmlformats.org/officeDocument/2006/relationships/hyperlink" Target="https://gobiernobogota-my.sharepoint.com/:b:/g/personal/planeacion_suba_gobiernobogota_gov_co/IQAdy-rJ0tjISa5i30jFu1k8AZRtQl9JohRXyI4j9ajYCNY?e=anX94a" TargetMode="External"/><Relationship Id="rId537" Type="http://schemas.openxmlformats.org/officeDocument/2006/relationships/hyperlink" Target="https://gobiernobogota-my.sharepoint.com/:b:/g/personal/planeacion_suba_gobiernobogota_gov_co/IQAbSLyAFh2xRJr0NhbYbKk2ATKbPTcKyEeZatQ-G_R5UiE?e=uolpOb" TargetMode="External"/><Relationship Id="rId744" Type="http://schemas.openxmlformats.org/officeDocument/2006/relationships/hyperlink" Target="https://gobiernobogota-my.sharepoint.com/:b:/g/personal/planeacion_suba_gobiernobogota_gov_co/IQAbSLyAFh2xRJr0NhbYbKk2ATKbPTcKyEeZatQ-G_R5UiE?e=uolpOb" TargetMode="External"/><Relationship Id="rId951" Type="http://schemas.openxmlformats.org/officeDocument/2006/relationships/hyperlink" Target="https://gobiernobogota-my.sharepoint.com/:b:/g/personal/planeacion_suba_gobiernobogota_gov_co/IQADC9knk6nNRKJljIOhwk2qAdShpXZmNMX3rXF25hMw_UA?e=dsCZMM" TargetMode="External"/><Relationship Id="rId80" Type="http://schemas.openxmlformats.org/officeDocument/2006/relationships/hyperlink" Target="https://gobiernobogota-my.sharepoint.com/:b:/g/personal/planeacion_suba_gobiernobogota_gov_co/IQAdy-rJ0tjISa5i30jFu1k8AZRtQl9JohRXyI4j9ajYCNY?e=RLilQd" TargetMode="External"/><Relationship Id="rId176" Type="http://schemas.openxmlformats.org/officeDocument/2006/relationships/hyperlink" Target="https://gobiernobogota-my.sharepoint.com/:b:/g/personal/planeacion_suba_gobiernobogota_gov_co/IQCgm5YiE5_kQ5TMDogZTJv7AV1RW44CV7mB7C1aXXqSRvs?e=VhPVkQ" TargetMode="External"/><Relationship Id="rId383" Type="http://schemas.openxmlformats.org/officeDocument/2006/relationships/hyperlink" Target="https://gobiernobogota-my.sharepoint.com/:b:/g/personal/planeacion_suba_gobiernobogota_gov_co/IQA6XZ-gkoxiSKnk6aiVgSCEAawLKwlfM0IroQr3uACmZ9k?e=HVYTcl" TargetMode="External"/><Relationship Id="rId590" Type="http://schemas.openxmlformats.org/officeDocument/2006/relationships/hyperlink" Target="https://gobiernobogota-my.sharepoint.com/:b:/g/personal/planeacion_suba_gobiernobogota_gov_co/IQADC9knk6nNRKJljIOhwk2qAdShpXZmNMX3rXF25hMw_UA?e=dsCZMM" TargetMode="External"/><Relationship Id="rId604" Type="http://schemas.openxmlformats.org/officeDocument/2006/relationships/hyperlink" Target="https://gobiernobogota-my.sharepoint.com/:b:/g/personal/planeacion_suba_gobiernobogota_gov_co/IQAbSLyAFh2xRJr0NhbYbKk2ATKbPTcKyEeZatQ-G_R5UiE?e=uolpOb" TargetMode="External"/><Relationship Id="rId811" Type="http://schemas.openxmlformats.org/officeDocument/2006/relationships/hyperlink" Target="https://gobiernobogota-my.sharepoint.com/:b:/g/personal/planeacion_suba_gobiernobogota_gov_co/IQADC9knk6nNRKJljIOhwk2qAdShpXZmNMX3rXF25hMw_UA?e=dsCZMM" TargetMode="External"/><Relationship Id="rId1027" Type="http://schemas.openxmlformats.org/officeDocument/2006/relationships/hyperlink" Target="https://gobiernobogota-my.sharepoint.com/:b:/g/personal/planeacion_suba_gobiernobogota_gov_co/IQAbSLyAFh2xRJr0NhbYbKk2ATKbPTcKyEeZatQ-G_R5UiE?e=uolpOb" TargetMode="External"/><Relationship Id="rId243" Type="http://schemas.openxmlformats.org/officeDocument/2006/relationships/hyperlink" Target="https://gobiernobogota-my.sharepoint.com/:b:/g/personal/planeacion_suba_gobiernobogota_gov_co/IQDDLeNWIGsPRZdsuJClq_lFAZYa83hF7YyG36-9ppN7Ae4?e=2qvgbU" TargetMode="External"/><Relationship Id="rId450" Type="http://schemas.openxmlformats.org/officeDocument/2006/relationships/hyperlink" Target="https://gobiernobogota-my.sharepoint.com/:b:/g/personal/planeacion_suba_gobiernobogota_gov_co/IQDtS8Z0T8duQrbYtWoq0PjtAbSbpghG-2URFHFYYYG18xk?e=jkNSES" TargetMode="External"/><Relationship Id="rId688" Type="http://schemas.openxmlformats.org/officeDocument/2006/relationships/hyperlink" Target="https://gobiernobogota-my.sharepoint.com/:b:/g/personal/planeacion_suba_gobiernobogota_gov_co/IQAbSLyAFh2xRJr0NhbYbKk2ATKbPTcKyEeZatQ-G_R5UiE?e=uolpOb" TargetMode="External"/><Relationship Id="rId895" Type="http://schemas.openxmlformats.org/officeDocument/2006/relationships/hyperlink" Target="https://gobiernobogota-my.sharepoint.com/:b:/g/personal/planeacion_suba_gobiernobogota_gov_co/IQADC9knk6nNRKJljIOhwk2qAdShpXZmNMX3rXF25hMw_UA?e=dsCZMM" TargetMode="External"/><Relationship Id="rId909" Type="http://schemas.openxmlformats.org/officeDocument/2006/relationships/hyperlink" Target="https://gobiernobogota-my.sharepoint.com/:b:/g/personal/planeacion_suba_gobiernobogota_gov_co/IQDFiQJyYPj1RodL6tJdI6PcAWRRJ5zh1dq4Almr6VHqjd4?e=fUG1kd" TargetMode="External"/><Relationship Id="rId1080" Type="http://schemas.openxmlformats.org/officeDocument/2006/relationships/hyperlink" Target="https://gobiernobogota-my.sharepoint.com/:b:/g/personal/planeacion_suba_gobiernobogota_gov_co/IQADC9knk6nNRKJljIOhwk2qAdShpXZmNMX3rXF25hMw_UA?e=dsCZMM" TargetMode="External"/><Relationship Id="rId38" Type="http://schemas.openxmlformats.org/officeDocument/2006/relationships/hyperlink" Target="https://gobiernobogota-my.sharepoint.com/:b:/g/personal/planeacion_suba_gobiernobogota_gov_co/IQCOgtbqCSx4Rr-blaLs427EAd_hHwOcNPXV2dYA1FgLp_w?e=hY77WV" TargetMode="External"/><Relationship Id="rId103" Type="http://schemas.openxmlformats.org/officeDocument/2006/relationships/hyperlink" Target="https://gobiernobogota-my.sharepoint.com/:b:/g/personal/planeacion_suba_gobiernobogota_gov_co/IQB5tu2rd_zgRJ2EKsTPwMTeAQtTCmd-xtyf8_sint871TY?e=E4fmFg" TargetMode="External"/><Relationship Id="rId310" Type="http://schemas.openxmlformats.org/officeDocument/2006/relationships/hyperlink" Target="https://gobiernobogota-my.sharepoint.com/:b:/g/personal/planeacion_suba_gobiernobogota_gov_co/IQBAKhbuOUwRR5yh9biZEAD_ATsHg5rcE99HSXldQTFHP2g?e=U3oIAc" TargetMode="External"/><Relationship Id="rId548" Type="http://schemas.openxmlformats.org/officeDocument/2006/relationships/hyperlink" Target="https://gobiernobogota-my.sharepoint.com/:b:/g/personal/planeacion_suba_gobiernobogota_gov_co/IQAQ4qIf6xwkQq10hR4s9-SvAR3Zdvx4GStT88xbBpMAHXw?e=NZOFTU" TargetMode="External"/><Relationship Id="rId755" Type="http://schemas.openxmlformats.org/officeDocument/2006/relationships/hyperlink" Target="https://gobiernobogota-my.sharepoint.com/:b:/g/personal/planeacion_suba_gobiernobogota_gov_co/IQDfsmP60fdZT4UmkOn1Y-HOAc76LkEpPVOTT1omED6aVBo?e=hBztkQ" TargetMode="External"/><Relationship Id="rId962" Type="http://schemas.openxmlformats.org/officeDocument/2006/relationships/hyperlink" Target="https://gobiernobogota-my.sharepoint.com/:b:/g/personal/planeacion_suba_gobiernobogota_gov_co/IQAbSLyAFh2xRJr0NhbYbKk2ATKbPTcKyEeZatQ-G_R5UiE?e=uolpOb" TargetMode="External"/><Relationship Id="rId91" Type="http://schemas.openxmlformats.org/officeDocument/2006/relationships/hyperlink" Target="https://gobiernobogota-my.sharepoint.com/:b:/g/personal/planeacion_suba_gobiernobogota_gov_co/IQBcwJuRCc4cTL--ocd3-APOAZKkil9qoTQfoGSndWaIEFM?e=IfTvme" TargetMode="External"/><Relationship Id="rId187" Type="http://schemas.openxmlformats.org/officeDocument/2006/relationships/hyperlink" Target="https://gobiernobogota-my.sharepoint.com/:b:/g/personal/planeacion_suba_gobiernobogota_gov_co/IQDnYHWShGJsRZW0CbHALMf7AQE4RNX9GjHS0QDRIGOQLZI?e=dPBw8K" TargetMode="External"/><Relationship Id="rId394" Type="http://schemas.openxmlformats.org/officeDocument/2006/relationships/hyperlink" Target="https://gobiernobogota-my.sharepoint.com/:b:/g/personal/planeacion_suba_gobiernobogota_gov_co/IQC8aZx2NnlWQJELsizfgLSjAd7eqfeZXr7cjHi5SHEC9sI?e=UN3jEI" TargetMode="External"/><Relationship Id="rId408" Type="http://schemas.openxmlformats.org/officeDocument/2006/relationships/hyperlink" Target="https://gobiernobogota-my.sharepoint.com/:b:/g/personal/planeacion_suba_gobiernobogota_gov_co/IQC8aZx2NnlWQJELsizfgLSjAd7eqfeZXr7cjHi5SHEC9sI?e=UN3jEI" TargetMode="External"/><Relationship Id="rId615" Type="http://schemas.openxmlformats.org/officeDocument/2006/relationships/hyperlink" Target="https://gobiernobogota-my.sharepoint.com/:b:/g/personal/planeacion_suba_gobiernobogota_gov_co/IQAQwRzvwyOGRoadzOfEJbYbAZHcIaYsTNJAlIt0BpMGmxY?e=uCEeS6" TargetMode="External"/><Relationship Id="rId822" Type="http://schemas.openxmlformats.org/officeDocument/2006/relationships/hyperlink" Target="https://gobiernobogota-my.sharepoint.com/:b:/g/personal/planeacion_suba_gobiernobogota_gov_co/IQAbSLyAFh2xRJr0NhbYbKk2ATKbPTcKyEeZatQ-G_R5UiE?e=uolpOb" TargetMode="External"/><Relationship Id="rId1038" Type="http://schemas.openxmlformats.org/officeDocument/2006/relationships/hyperlink" Target="https://gobiernobogota-my.sharepoint.com/:b:/g/personal/planeacion_suba_gobiernobogota_gov_co/IQAbSLyAFh2xRJr0NhbYbKk2ATKbPTcKyEeZatQ-G_R5UiE?e=uolpOb" TargetMode="External"/><Relationship Id="rId254" Type="http://schemas.openxmlformats.org/officeDocument/2006/relationships/hyperlink" Target="https://gobiernobogota-my.sharepoint.com/:b:/g/personal/planeacion_suba_gobiernobogota_gov_co/IQCarzk2TdpvTYkbfZUhJCXmAQ87KRtmQMFjwW0lR5YLQUs?e=SlJjc2" TargetMode="External"/><Relationship Id="rId699" Type="http://schemas.openxmlformats.org/officeDocument/2006/relationships/hyperlink" Target="https://gobiernobogota-my.sharepoint.com/:b:/g/personal/planeacion_suba_gobiernobogota_gov_co/IQAQwRzvwyOGRoadzOfEJbYbAZHcIaYsTNJAlIt0BpMGmxY?e=uCEeS6" TargetMode="External"/><Relationship Id="rId1091" Type="http://schemas.openxmlformats.org/officeDocument/2006/relationships/hyperlink" Target="https://gobiernobogota-my.sharepoint.com/:b:/g/personal/planeacion_suba_gobiernobogota_gov_co/IQAbSLyAFh2xRJr0NhbYbKk2ATKbPTcKyEeZatQ-G_R5UiE?e=uolpOb" TargetMode="External"/><Relationship Id="rId1105" Type="http://schemas.openxmlformats.org/officeDocument/2006/relationships/hyperlink" Target="https://gobiernobogota-my.sharepoint.com/:b:/g/personal/planeacion_suba_gobiernobogota_gov_co/IQAQwRzvwyOGRoadzOfEJbYbAZHcIaYsTNJAlIt0BpMGmxY?e=uCEeS6" TargetMode="External"/><Relationship Id="rId49" Type="http://schemas.openxmlformats.org/officeDocument/2006/relationships/hyperlink" Target="https://gobiernobogota-my.sharepoint.com/:b:/g/personal/planeacion_suba_gobiernobogota_gov_co/IQC18dDbHDF6S4WM89A1KV3tAcRIaPuhTUXbo3CJwVYaZMQ?e=mEAoWX" TargetMode="External"/><Relationship Id="rId114" Type="http://schemas.openxmlformats.org/officeDocument/2006/relationships/hyperlink" Target="https://gobiernobogota-my.sharepoint.com/:b:/g/personal/sandra_tamayo_gobiernobogota_gov_co/IQBjTkxVaG7tSZ2JdDfsvt53AUgI_XCQNVZqd3ocKvLkekA?e=JwWv1Q" TargetMode="External"/><Relationship Id="rId461" Type="http://schemas.openxmlformats.org/officeDocument/2006/relationships/hyperlink" Target="https://gobiernobogota-my.sharepoint.com/:b:/g/personal/planeacion_suba_gobiernobogota_gov_co/IQBgfU5FXEbdSK4NUAeTcHbDAYmCY2Ks8ecH3znMxDjhGXM?e=W52PrW" TargetMode="External"/><Relationship Id="rId559" Type="http://schemas.openxmlformats.org/officeDocument/2006/relationships/hyperlink" Target="https://gobiernobogota-my.sharepoint.com/:b:/g/personal/planeacion_suba_gobiernobogota_gov_co/IQCok6SIWdA3R5RQoMNCzBIRAetPIxe1IjK9foAFX01Hg1E?e=Oxmd9y" TargetMode="External"/><Relationship Id="rId766" Type="http://schemas.openxmlformats.org/officeDocument/2006/relationships/hyperlink" Target="https://gobiernobogota-my.sharepoint.com/:b:/g/personal/planeacion_suba_gobiernobogota_gov_co/IQADC9knk6nNRKJljIOhwk2qAdShpXZmNMX3rXF25hMw_UA?e=dsCZMM" TargetMode="External"/><Relationship Id="rId198" Type="http://schemas.openxmlformats.org/officeDocument/2006/relationships/hyperlink" Target="https://gobiernobogota-my.sharepoint.com/:b:/g/personal/planeacion_suba_gobiernobogota_gov_co/IQC3n1-3qJZ2SKpVvajWPoLpAeMYPbBWFvEmTo3r_WNO_U0?e=p0cjYt" TargetMode="External"/><Relationship Id="rId321" Type="http://schemas.openxmlformats.org/officeDocument/2006/relationships/hyperlink" Target="https://gobiernobogota-my.sharepoint.com/:b:/g/personal/planeacion_suba_gobiernobogota_gov_co/IQCRuVpQSkI_SoMFWmUMudaHAVHZyE2qBED-OgxSBxbCPaE?e=QgUlxV"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626" Type="http://schemas.openxmlformats.org/officeDocument/2006/relationships/hyperlink" Target="https://gobiernobogota-my.sharepoint.com/:b:/g/personal/planeacion_suba_gobiernobogota_gov_co/IQAQwRzvwyOGRoadzOfEJbYbAZHcIaYsTNJAlIt0BpMGmxY?e=uCEeS6" TargetMode="External"/><Relationship Id="rId973" Type="http://schemas.openxmlformats.org/officeDocument/2006/relationships/hyperlink" Target="https://gobiernobogota-my.sharepoint.com/:b:/g/personal/planeacion_suba_gobiernobogota_gov_co/IQAQwRzvwyOGRoadzOfEJbYbAZHcIaYsTNJAlIt0BpMGmxY?e=uCEeS6" TargetMode="External"/><Relationship Id="rId1049" Type="http://schemas.openxmlformats.org/officeDocument/2006/relationships/hyperlink" Target="https://gobiernobogota-my.sharepoint.com/:b:/g/personal/planeacion_suba_gobiernobogota_gov_co/IQC01LH6ACoNSaIYqcAj34-KAZEfWfm5aThLnQr_VSE-Ank?e=PZouZG" TargetMode="External"/><Relationship Id="rId833" Type="http://schemas.openxmlformats.org/officeDocument/2006/relationships/hyperlink" Target="https://gobiernobogota-my.sharepoint.com/:b:/g/personal/planeacion_suba_gobiernobogota_gov_co/IQAQwRzvwyOGRoadzOfEJbYbAZHcIaYsTNJAlIt0BpMGmxY?e=uCEeS6" TargetMode="External"/><Relationship Id="rId1116" Type="http://schemas.openxmlformats.org/officeDocument/2006/relationships/hyperlink" Target="https://gobiernobogota-my.sharepoint.com/:b:/g/personal/planeacion_suba_gobiernobogota_gov_co/IQDGhsAjp6YeRLF1-7ejatAtAcjsqMUYidwN4uXFU_u2tSA?e=yqdQA4" TargetMode="External"/><Relationship Id="rId265" Type="http://schemas.openxmlformats.org/officeDocument/2006/relationships/hyperlink" Target="https://gobiernobogota-my.sharepoint.com/:b:/g/personal/planeacion_suba_gobiernobogota_gov_co/IQD11qwsVJHUS6SANem2zz9LAfYhFaaGhDJY_UF1NgV4g-0?e=WQdoMo" TargetMode="External"/><Relationship Id="rId472" Type="http://schemas.openxmlformats.org/officeDocument/2006/relationships/hyperlink" Target="https://gobiernobogota-my.sharepoint.com/:b:/g/personal/planeacion_suba_gobiernobogota_gov_co/IQAIOSWAEr44R7CaaJbG2hwUAcAq6myfQKaHTW1BXvNLUWg?e=fOahLt" TargetMode="External"/><Relationship Id="rId900" Type="http://schemas.openxmlformats.org/officeDocument/2006/relationships/hyperlink" Target="https://gobiernobogota-my.sharepoint.com/:b:/g/personal/planeacion_suba_gobiernobogota_gov_co/IQAbSLyAFh2xRJr0NhbYbKk2ATKbPTcKyEeZatQ-G_R5UiE?e=uolpOb" TargetMode="External"/><Relationship Id="rId125" Type="http://schemas.openxmlformats.org/officeDocument/2006/relationships/hyperlink" Target="https://gobiernobogota-my.sharepoint.com/:b:/g/personal/sandra_tamayo_gobiernobogota_gov_co/IQBjTkxVaG7tSZ2JdDfsvt53AUgI_XCQNVZqd3ocKvLkekA?e=wVA7J4" TargetMode="External"/><Relationship Id="rId332" Type="http://schemas.openxmlformats.org/officeDocument/2006/relationships/hyperlink" Target="https://gobiernobogota-my.sharepoint.com/:b:/g/personal/planeacion_suba_gobiernobogota_gov_co/IQACaHw0m5VHRrXW22mkai3xAc9Qphb0zc3pGsGLfcRkS2Q?e=5avNdq" TargetMode="External"/><Relationship Id="rId777" Type="http://schemas.openxmlformats.org/officeDocument/2006/relationships/hyperlink" Target="https://gobiernobogota-my.sharepoint.com/:b:/g/personal/planeacion_suba_gobiernobogota_gov_co/IQDfvjcFipGCTrKbXRn3EaJnAfCip4_2raT-HWXk9MMtlic?e=aji9WA" TargetMode="External"/><Relationship Id="rId984" Type="http://schemas.openxmlformats.org/officeDocument/2006/relationships/hyperlink" Target="https://gobiernobogota-my.sharepoint.com/:b:/g/personal/planeacion_suba_gobiernobogota_gov_co/IQBLOKQZI52RRYzlMc0IDcUfAfaPvHWc84l4wynUf1J19ZA?e=g0rO3c" TargetMode="External"/><Relationship Id="rId637" Type="http://schemas.openxmlformats.org/officeDocument/2006/relationships/hyperlink" Target="https://gobiernobogota-my.sharepoint.com/:b:/g/personal/planeacion_suba_gobiernobogota_gov_co/IQC-M4CpEc_7Q7CjRQb3u8rmAbp_GflOj94ZjWYaeudi_jc?e=r6EmJX" TargetMode="External"/><Relationship Id="rId844" Type="http://schemas.openxmlformats.org/officeDocument/2006/relationships/hyperlink" Target="https://gobiernobogota-my.sharepoint.com/:b:/g/personal/planeacion_suba_gobiernobogota_gov_co/IQB6TV6gUnBpT6KTMhKXL3I1AcNXNSo5KeKwbdt9rI113-w?e=BgF9LE" TargetMode="External"/><Relationship Id="rId276" Type="http://schemas.openxmlformats.org/officeDocument/2006/relationships/hyperlink" Target="https://gobiernobogota-my.sharepoint.com/:b:/g/personal/planeacion_suba_gobiernobogota_gov_co/IQAvWKpowqnXQI-zjcaNaSrDAXGB8rn3XAAygA_ZEbJbDr0?e=D2IBZv" TargetMode="External"/><Relationship Id="rId483" Type="http://schemas.openxmlformats.org/officeDocument/2006/relationships/hyperlink" Target="https://gobiernobogota-my.sharepoint.com/:b:/g/personal/planeacion_suba_gobiernobogota_gov_co/IQBETRqpbhc4RZuUmHjujar5AUfA7tVc8NTpWqjg0QA_nCc?e=wpZy9V" TargetMode="External"/><Relationship Id="rId690" Type="http://schemas.openxmlformats.org/officeDocument/2006/relationships/hyperlink" Target="https://gobiernobogota-my.sharepoint.com/:b:/g/personal/planeacion_suba_gobiernobogota_gov_co/IQAQwRzvwyOGRoadzOfEJbYbAZHcIaYsTNJAlIt0BpMGmxY?e=uCEeS6" TargetMode="External"/><Relationship Id="rId704" Type="http://schemas.openxmlformats.org/officeDocument/2006/relationships/hyperlink" Target="https://gobiernobogota-my.sharepoint.com/:b:/g/personal/planeacion_suba_gobiernobogota_gov_co/IQADC9knk6nNRKJljIOhwk2qAdShpXZmNMX3rXF25hMw_UA?e=dsCZMM" TargetMode="External"/><Relationship Id="rId911" Type="http://schemas.openxmlformats.org/officeDocument/2006/relationships/hyperlink" Target="https://gobiernobogota-my.sharepoint.com/:b:/g/personal/planeacion_suba_gobiernobogota_gov_co/IQAS7srwl2vyRYV8Bky-c8mbAe_iDdTkPPFWUGSbBPkgSBo?e=Mg9bWT" TargetMode="External"/><Relationship Id="rId40" Type="http://schemas.openxmlformats.org/officeDocument/2006/relationships/hyperlink" Target="https://gobiernobogota-my.sharepoint.com/:b:/g/personal/planeacion_suba_gobiernobogota_gov_co/IQCOgtbqCSx4Rr-blaLs427EAd_hHwOcNPXV2dYA1FgLp_w?e=hY77WV" TargetMode="External"/><Relationship Id="rId136" Type="http://schemas.openxmlformats.org/officeDocument/2006/relationships/hyperlink" Target="https://gobiernobogota-my.sharepoint.com/:b:/g/personal/planeacion_suba_gobiernobogota_gov_co/IQC3n1-3qJZ2SKpVvajWPoLpAeMYPbBWFvEmTo3r_WNO_U0?e=pazDjs" TargetMode="External"/><Relationship Id="rId343" Type="http://schemas.openxmlformats.org/officeDocument/2006/relationships/hyperlink" Target="https://gobiernobogota-my.sharepoint.com/:b:/g/personal/planeacion_suba_gobiernobogota_gov_co/IQDMb7zDnZvgSIT6O8TvxCnaAXhviGQRNqirZ9TaiX8MtJA?e=JOwCpk" TargetMode="External"/><Relationship Id="rId550" Type="http://schemas.openxmlformats.org/officeDocument/2006/relationships/hyperlink" Target="https://gobiernobogota-my.sharepoint.com/:b:/g/personal/planeacion_suba_gobiernobogota_gov_co/IQAQwRzvwyOGRoadzOfEJbYbAZHcIaYsTNJAlIt0BpMGmxY?e=uCEeS6" TargetMode="External"/><Relationship Id="rId788" Type="http://schemas.openxmlformats.org/officeDocument/2006/relationships/hyperlink" Target="https://gobiernobogota-my.sharepoint.com/:b:/g/personal/planeacion_suba_gobiernobogota_gov_co/IQCX5R01gnI3QLPk49hsK0lpAXaK-OSVtPGApsy1wuJ-x1s?e=oYEbdg" TargetMode="External"/><Relationship Id="rId995" Type="http://schemas.openxmlformats.org/officeDocument/2006/relationships/hyperlink" Target="https://gobiernobogota-my.sharepoint.com/:b:/g/personal/planeacion_suba_gobiernobogota_gov_co/IQADC9knk6nNRKJljIOhwk2qAdShpXZmNMX3rXF25hMw_UA?e=dsCZMM" TargetMode="External"/><Relationship Id="rId203" Type="http://schemas.openxmlformats.org/officeDocument/2006/relationships/hyperlink" Target="https://gobiernobogota-my.sharepoint.com/:b:/g/personal/planeacion_suba_gobiernobogota_gov_co/IQAPRkPrZAKvTLtcG25cEzViAeS6mFIuwdNuXQQ4Dk8pWGY?e=5nrRxu" TargetMode="External"/><Relationship Id="rId648" Type="http://schemas.openxmlformats.org/officeDocument/2006/relationships/hyperlink" Target="https://gobiernobogota-my.sharepoint.com/:b:/g/personal/planeacion_suba_gobiernobogota_gov_co/IQAQwRzvwyOGRoadzOfEJbYbAZHcIaYsTNJAlIt0BpMGmxY?e=uCEeS6" TargetMode="External"/><Relationship Id="rId855" Type="http://schemas.openxmlformats.org/officeDocument/2006/relationships/hyperlink" Target="https://gobiernobogota-my.sharepoint.com/:b:/g/personal/planeacion_suba_gobiernobogota_gov_co/IQAbSLyAFh2xRJr0NhbYbKk2ATKbPTcKyEeZatQ-G_R5UiE?e=uolpOb" TargetMode="External"/><Relationship Id="rId1040" Type="http://schemas.openxmlformats.org/officeDocument/2006/relationships/hyperlink" Target="https://gobiernobogota-my.sharepoint.com/:b:/g/personal/planeacion_suba_gobiernobogota_gov_co/IQAQwRzvwyOGRoadzOfEJbYbAZHcIaYsTNJAlIt0BpMGmxY?e=uCEeS6" TargetMode="External"/><Relationship Id="rId287" Type="http://schemas.openxmlformats.org/officeDocument/2006/relationships/hyperlink" Target="https://gobiernobogota-my.sharepoint.com/:b:/g/personal/planeacion_suba_gobiernobogota_gov_co/IQB4ywfsMw3QRrdyrQca72GGAcmKlvxBA94Rx_bao6XgmVU?e=V5UHXl" TargetMode="External"/><Relationship Id="rId410" Type="http://schemas.openxmlformats.org/officeDocument/2006/relationships/hyperlink" Target="https://gobiernobogota-my.sharepoint.com/:b:/g/personal/planeacion_suba_gobiernobogota_gov_co/IQCyA10LkQHjRbpaxdAnmhPDAXpC1OcuVN3A6MnbV1GIUkM?e=0dvZYH" TargetMode="External"/><Relationship Id="rId494" Type="http://schemas.openxmlformats.org/officeDocument/2006/relationships/hyperlink" Target="https://gobiernobogota-my.sharepoint.com/:b:/g/personal/planeacion_suba_gobiernobogota_gov_co/IQCok6SIWdA3R5RQoMNCzBIRAetPIxe1IjK9foAFX01Hg1E?e=Oxmd9y" TargetMode="External"/><Relationship Id="rId508" Type="http://schemas.openxmlformats.org/officeDocument/2006/relationships/hyperlink" Target="https://gobiernobogota-my.sharepoint.com/:b:/g/personal/planeacion_suba_gobiernobogota_gov_co/IQD9a-RqBWnQT422Riu7BcKlAZ1rbrEy4dHOuklB8R77OxA?e=ckZSaQ" TargetMode="External"/><Relationship Id="rId715" Type="http://schemas.openxmlformats.org/officeDocument/2006/relationships/hyperlink" Target="https://gobiernobogota-my.sharepoint.com/:b:/g/personal/planeacion_suba_gobiernobogota_gov_co/IQB404XlmRJgR6qklP4P1LWjAX47VGLpSCetGgQmg8L025g?e=3mjWZY" TargetMode="External"/><Relationship Id="rId922" Type="http://schemas.openxmlformats.org/officeDocument/2006/relationships/hyperlink" Target="https://gobiernobogota-my.sharepoint.com/:b:/g/personal/planeacion_suba_gobiernobogota_gov_co/IQAQwRzvwyOGRoadzOfEJbYbAZHcIaYsTNJAlIt0BpMGmxY?e=uCEeS6" TargetMode="External"/><Relationship Id="rId147" Type="http://schemas.openxmlformats.org/officeDocument/2006/relationships/hyperlink" Target="https://gobiernobogota-my.sharepoint.com/:b:/g/personal/planeacion_suba_gobiernobogota_gov_co/IQB9Y1UnzTxhQ4BGV44GdSi0ASbTv_DA8DvOMf2BV-zgs2E?e=Bn1gZY" TargetMode="External"/><Relationship Id="rId354" Type="http://schemas.openxmlformats.org/officeDocument/2006/relationships/hyperlink" Target="https://gobiernobogota-my.sharepoint.com/:b:/g/personal/planeacion_suba_gobiernobogota_gov_co/IQDYfz7BCezNT5jcCSdluleDAY3bI6UPbxERGDBiY4eb9dI?e=c2AtBR" TargetMode="External"/><Relationship Id="rId799" Type="http://schemas.openxmlformats.org/officeDocument/2006/relationships/hyperlink" Target="https://gobiernobogota-my.sharepoint.com/:b:/g/personal/planeacion_suba_gobiernobogota_gov_co/IQADC9knk6nNRKJljIOhwk2qAdShpXZmNMX3rXF25hMw_UA?e=dsCZMM" TargetMode="External"/><Relationship Id="rId51" Type="http://schemas.openxmlformats.org/officeDocument/2006/relationships/hyperlink" Target="https://gobiernobogota-my.sharepoint.com/:b:/g/personal/planeacion_suba_gobiernobogota_gov_co/IQDXXjy-5aqlQrLhtW2xd7zVAQR76NnvRF-BgbXuQf_hugs?e=5OyPUF" TargetMode="External"/><Relationship Id="rId561" Type="http://schemas.openxmlformats.org/officeDocument/2006/relationships/hyperlink" Target="https://gobiernobogota-my.sharepoint.com/:b:/g/personal/planeacion_suba_gobiernobogota_gov_co/IQD9rRcWR5gTTp2XDFyDfzt4AZ5bSMz-YHG06wk-Y-IhIcw?e=2GZlqZ" TargetMode="External"/><Relationship Id="rId659" Type="http://schemas.openxmlformats.org/officeDocument/2006/relationships/hyperlink" Target="https://gobiernobogota-my.sharepoint.com/:b:/g/personal/planeacion_suba_gobiernobogota_gov_co/IQBLOKQZI52RRYzlMc0IDcUfAfaPvHWc84l4wynUf1J19ZA?e=g0rO3c" TargetMode="External"/><Relationship Id="rId866" Type="http://schemas.openxmlformats.org/officeDocument/2006/relationships/hyperlink" Target="https://gobiernobogota-my.sharepoint.com/:b:/g/personal/planeacion_suba_gobiernobogota_gov_co/IQCX5R01gnI3QLPk49hsK0lpAXaK-OSVtPGApsy1wuJ-x1s?e=X6CBQ2" TargetMode="External"/><Relationship Id="rId214" Type="http://schemas.openxmlformats.org/officeDocument/2006/relationships/hyperlink" Target="https://gobiernobogota-my.sharepoint.com/:b:/g/personal/planeacion_suba_gobiernobogota_gov_co/IQDG6CuEuRGvQ5YJvpy6WQFyAbM_CG5G3zgmwpBT60hsIOM?e=3o1lxi" TargetMode="External"/><Relationship Id="rId298" Type="http://schemas.openxmlformats.org/officeDocument/2006/relationships/hyperlink" Target="https://gobiernobogota-my.sharepoint.com/:b:/g/personal/planeacion_suba_gobiernobogota_gov_co/IQB-tOhVym0IT5Yi7riuZc_bAbGMxE3O4AGg0kujl7AWQwI?e=Vh2Xwz" TargetMode="External"/><Relationship Id="rId421" Type="http://schemas.openxmlformats.org/officeDocument/2006/relationships/hyperlink" Target="https://gobiernobogota-my.sharepoint.com/:b:/g/personal/planeacion_suba_gobiernobogota_gov_co/IQCyA10LkQHjRbpaxdAnmhPDAXpC1OcuVN3A6MnbV1GIUkM?e=NbQ0Al" TargetMode="External"/><Relationship Id="rId519" Type="http://schemas.openxmlformats.org/officeDocument/2006/relationships/hyperlink" Target="https://gobiernobogota-my.sharepoint.com/:b:/g/personal/planeacion_suba_gobiernobogota_gov_co/IQBmiWjod-gjSpodNf3Ws38SAYFNU1FjQn0kv8Ff4otCDC0?e=yJIaNq" TargetMode="External"/><Relationship Id="rId1051" Type="http://schemas.openxmlformats.org/officeDocument/2006/relationships/hyperlink" Target="https://gobiernobogota-my.sharepoint.com/:b:/g/personal/planeacion_suba_gobiernobogota_gov_co/IQADC9knk6nNRKJljIOhwk2qAdShpXZmNMX3rXF25hMw_UA?e=dsCZMM" TargetMode="External"/><Relationship Id="rId158" Type="http://schemas.openxmlformats.org/officeDocument/2006/relationships/hyperlink" Target="https://gobiernobogota-my.sharepoint.com/:b:/g/personal/planeacion_suba_gobiernobogota_gov_co/IQBI0yEyQXgwQ6mCSOWe2EEQAbsvr7zDXzRyghixX0dftHE?e=pZXOle" TargetMode="External"/><Relationship Id="rId726" Type="http://schemas.openxmlformats.org/officeDocument/2006/relationships/hyperlink" Target="https://gobiernobogota-my.sharepoint.com/:b:/g/personal/planeacion_suba_gobiernobogota_gov_co/IQAbSLyAFh2xRJr0NhbYbKk2ATKbPTcKyEeZatQ-G_R5UiE?e=uolpOb" TargetMode="External"/><Relationship Id="rId933" Type="http://schemas.openxmlformats.org/officeDocument/2006/relationships/hyperlink" Target="https://gobiernobogota-my.sharepoint.com/:b:/g/personal/planeacion_suba_gobiernobogota_gov_co/IQApp1JHMlK5Rps6m3EljI-NARevX55YVfE28Zsyj3h0Yy0?e=IEESow" TargetMode="External"/><Relationship Id="rId1009" Type="http://schemas.openxmlformats.org/officeDocument/2006/relationships/hyperlink" Target="https://gobiernobogota-my.sharepoint.com/:b:/g/personal/planeacion_suba_gobiernobogota_gov_co/IQCok6SIWdA3R5RQoMNCzBIRAetPIxe1IjK9foAFX01Hg1E?e=Oxmd9y" TargetMode="External"/><Relationship Id="rId62" Type="http://schemas.openxmlformats.org/officeDocument/2006/relationships/hyperlink" Target="https://gobiernobogota-my.sharepoint.com/:b:/g/personal/planeacion_suba_gobiernobogota_gov_co/IQBWOzfWvY2qR5XeKQ78dAVuAVSzA7TEHZaFqKchYbEhyqU?e=gPP2uO" TargetMode="External"/><Relationship Id="rId365" Type="http://schemas.openxmlformats.org/officeDocument/2006/relationships/hyperlink" Target="https://gobiernobogota-my.sharepoint.com/:b:/g/personal/planeacion_suba_gobiernobogota_gov_co/IQDXXjy-5aqlQrLhtW2xd7zVAQR76NnvRF-BgbXuQf_hugs?e=A7W88w" TargetMode="External"/><Relationship Id="rId572" Type="http://schemas.openxmlformats.org/officeDocument/2006/relationships/hyperlink" Target="https://gobiernobogota-my.sharepoint.com/:b:/g/personal/planeacion_suba_gobiernobogota_gov_co/IQCok6SIWdA3R5RQoMNCzBIRAetPIxe1IjK9foAFX01Hg1E?e=Oxmd9y" TargetMode="External"/><Relationship Id="rId225" Type="http://schemas.openxmlformats.org/officeDocument/2006/relationships/hyperlink" Target="https://gobiernobogota-my.sharepoint.com/:b:/g/personal/planeacion_suba_gobiernobogota_gov_co/IQBNsYMpaducRJZiEioICRgqAY4EdQFfHQsumh5haK9ape0?e=fwF8JT" TargetMode="External"/><Relationship Id="rId432" Type="http://schemas.openxmlformats.org/officeDocument/2006/relationships/hyperlink" Target="https://gobiernobogota-my.sharepoint.com/:b:/g/personal/planeacion_suba_gobiernobogota_gov_co/IQCgm5YiE5_kQ5TMDogZTJv7AV1RW44CV7mB7C1aXXqSRvs?e=fEirrk" TargetMode="External"/><Relationship Id="rId877" Type="http://schemas.openxmlformats.org/officeDocument/2006/relationships/hyperlink" Target="https://gobiernobogota-my.sharepoint.com/:b:/g/personal/planeacion_suba_gobiernobogota_gov_co/IQApp1JHMlK5Rps6m3EljI-NARevX55YVfE28Zsyj3h0Yy0?e=b9ftjf" TargetMode="External"/><Relationship Id="rId1062" Type="http://schemas.openxmlformats.org/officeDocument/2006/relationships/hyperlink" Target="https://gobiernobogota-my.sharepoint.com/:b:/g/personal/planeacion_suba_gobiernobogota_gov_co/IQBLOKQZI52RRYzlMc0IDcUfAfaPvHWc84l4wynUf1J19ZA?e=g0rO3c" TargetMode="External"/><Relationship Id="rId737" Type="http://schemas.openxmlformats.org/officeDocument/2006/relationships/hyperlink" Target="https://gobiernobogota-my.sharepoint.com/:b:/g/personal/planeacion_suba_gobiernobogota_gov_co/IQCok6SIWdA3R5RQoMNCzBIRAetPIxe1IjK9foAFX01Hg1E?e=Oxmd9y" TargetMode="External"/><Relationship Id="rId944" Type="http://schemas.openxmlformats.org/officeDocument/2006/relationships/hyperlink" Target="https://gobiernobogota-my.sharepoint.com/:b:/g/personal/planeacion_suba_gobiernobogota_gov_co/IQAbSLyAFh2xRJr0NhbYbKk2ATKbPTcKyEeZatQ-G_R5UiE?e=uolpOb" TargetMode="External"/><Relationship Id="rId73" Type="http://schemas.openxmlformats.org/officeDocument/2006/relationships/hyperlink" Target="https://gobiernobogota-my.sharepoint.com/:b:/g/personal/planeacion_suba_gobiernobogota_gov_co/IQCdkMR8tqp8Q69vbzhAH616AQ_61I5Y1Hm_kEo8HVOdGQ0?e=PORaoV" TargetMode="External"/><Relationship Id="rId169" Type="http://schemas.openxmlformats.org/officeDocument/2006/relationships/hyperlink" Target="https://gobiernobogota-my.sharepoint.com/:b:/g/personal/planeacion_suba_gobiernobogota_gov_co/IQC0i-GRTleRS7tzuCTxcuLhAaWRJQvzCzVNEpKZ8BSyTas?e=8GaQov" TargetMode="External"/><Relationship Id="rId376" Type="http://schemas.openxmlformats.org/officeDocument/2006/relationships/hyperlink" Target="https://gobiernobogota-my.sharepoint.com/:b:/g/personal/planeacion_suba_gobiernobogota_gov_co/IQDf44K_e-byQbI4bgT9lM9AAQvRsujJ9Omyjb1eLxMqujs?e=yCC9hN" TargetMode="External"/><Relationship Id="rId583" Type="http://schemas.openxmlformats.org/officeDocument/2006/relationships/hyperlink" Target="https://gobiernobogota-my.sharepoint.com/:b:/g/personal/planeacion_suba_gobiernobogota_gov_co/IQD53jySr3jwTptpJ2NxVXgwAUNhjwhnO5Eo96S3ZNuQZ5E?e=CuK8Wc" TargetMode="External"/><Relationship Id="rId790" Type="http://schemas.openxmlformats.org/officeDocument/2006/relationships/hyperlink" Target="https://gobiernobogota-my.sharepoint.com/:b:/g/personal/planeacion_suba_gobiernobogota_gov_co/IQADC9knk6nNRKJljIOhwk2qAdShpXZmNMX3rXF25hMw_UA?e=dsCZMM" TargetMode="External"/><Relationship Id="rId804" Type="http://schemas.openxmlformats.org/officeDocument/2006/relationships/hyperlink" Target="https://gobiernobogota-my.sharepoint.com/:b:/g/personal/planeacion_suba_gobiernobogota_gov_co/IQAbSLyAFh2xRJr0NhbYbKk2ATKbPTcKyEeZatQ-G_R5UiE?e=uolpOb" TargetMode="External"/><Relationship Id="rId4" Type="http://schemas.openxmlformats.org/officeDocument/2006/relationships/hyperlink" Target="https://gobiernobogota-my.sharepoint.com/:b:/g/personal/planeacion_suba_gobiernobogota_gov_co/IQBQhQEJ73TWTZbL6J9z5LSKAS3GX70b7VJh0PyiiiLHOF4?e=Gw6MUq" TargetMode="External"/><Relationship Id="rId236" Type="http://schemas.openxmlformats.org/officeDocument/2006/relationships/hyperlink" Target="https://gobiernobogota-my.sharepoint.com/:b:/g/personal/planeacion_suba_gobiernobogota_gov_co/IQBQhQEJ73TWTZbL6J9z5LSKAS3GX70b7VJh0PyiiiLHOF4?e=Gw6MUq" TargetMode="External"/><Relationship Id="rId443" Type="http://schemas.openxmlformats.org/officeDocument/2006/relationships/hyperlink" Target="https://gobiernobogota-my.sharepoint.com/:b:/g/personal/planeacion_suba_gobiernobogota_gov_co/IQDSv_I8eRg6Ra-A3ZyEXFREAUn_AOj6LdbWQuCzwiojAXU?e=TFFXoC" TargetMode="External"/><Relationship Id="rId650" Type="http://schemas.openxmlformats.org/officeDocument/2006/relationships/hyperlink" Target="https://gobiernobogota-my.sharepoint.com/:b:/g/personal/planeacion_suba_gobiernobogota_gov_co/IQBLOKQZI52RRYzlMc0IDcUfAfaPvHWc84l4wynUf1J19ZA?e=g0rO3c" TargetMode="External"/><Relationship Id="rId888" Type="http://schemas.openxmlformats.org/officeDocument/2006/relationships/hyperlink" Target="https://gobiernobogota-my.sharepoint.com/:b:/g/personal/planeacion_suba_gobiernobogota_gov_co/IQAqNk9OH4YqRYrGpQFTz-mQAUJEcH9bcRIaZjAS9CMXGqQ?e=atqHG4" TargetMode="External"/><Relationship Id="rId1073" Type="http://schemas.openxmlformats.org/officeDocument/2006/relationships/hyperlink" Target="https://gobiernobogota-my.sharepoint.com/:b:/g/personal/planeacion_suba_gobiernobogota_gov_co/IQDMK7mK32zuQ5erIgzaURDpAefoknbM4l-XFfkkOInXsuc?e=ZZL7d8" TargetMode="External"/><Relationship Id="rId303" Type="http://schemas.openxmlformats.org/officeDocument/2006/relationships/hyperlink" Target="https://gobiernobogota-my.sharepoint.com/:b:/g/personal/planeacion_suba_gobiernobogota_gov_co/IQDMZ0T9mSVxRKfzq21QstZzAUDlBRHMMr71r81ynqwr9wc?e=GwTjSx" TargetMode="External"/><Relationship Id="rId748" Type="http://schemas.openxmlformats.org/officeDocument/2006/relationships/hyperlink" Target="https://gobiernobogota-my.sharepoint.com/:b:/g/personal/planeacion_suba_gobiernobogota_gov_co/IQBLOKQZI52RRYzlMc0IDcUfAfaPvHWc84l4wynUf1J19ZA?e=g0rO3c" TargetMode="External"/><Relationship Id="rId955" Type="http://schemas.openxmlformats.org/officeDocument/2006/relationships/hyperlink" Target="https://gobiernobogota-my.sharepoint.com/:b:/g/personal/planeacion_suba_gobiernobogota_gov_co/IQAQwRzvwyOGRoadzOfEJbYbAZHcIaYsTNJAlIt0BpMGmxY?e=uCEeS6" TargetMode="External"/><Relationship Id="rId84" Type="http://schemas.openxmlformats.org/officeDocument/2006/relationships/hyperlink" Target="https://gobiernobogota-my.sharepoint.com/:b:/g/personal/planeacion_suba_gobiernobogota_gov_co/IQCdkMR8tqp8Q69vbzhAH616AQ_61I5Y1Hm_kEo8HVOdGQ0?e=PORaoV" TargetMode="External"/><Relationship Id="rId387" Type="http://schemas.openxmlformats.org/officeDocument/2006/relationships/hyperlink" Target="https://gobiernobogota-my.sharepoint.com/:b:/g/personal/planeacion_suba_gobiernobogota_gov_co/IQBXh6io_0RcTbJer9rD27dvAftEALhK5PU3b2V9PYJePN4?e=ISxCKc" TargetMode="External"/><Relationship Id="rId510" Type="http://schemas.openxmlformats.org/officeDocument/2006/relationships/hyperlink" Target="https://gobiernobogota-my.sharepoint.com/:b:/g/personal/planeacion_suba_gobiernobogota_gov_co/IQBLOKQZI52RRYzlMc0IDcUfAfaPvHWc84l4wynUf1J19ZA?e=g0rO3c" TargetMode="External"/><Relationship Id="rId594" Type="http://schemas.openxmlformats.org/officeDocument/2006/relationships/hyperlink" Target="https://gobiernobogota-my.sharepoint.com/:b:/g/personal/planeacion_suba_gobiernobogota_gov_co/IQBXgiQgecvyRZc1QzekZcfeAWItkn3KAU1NG0SooBwTrng?e=6cKqW0" TargetMode="External"/><Relationship Id="rId608" Type="http://schemas.openxmlformats.org/officeDocument/2006/relationships/hyperlink" Target="https://gobiernobogota-my.sharepoint.com/:b:/g/personal/planeacion_suba_gobiernobogota_gov_co/IQADC9knk6nNRKJljIOhwk2qAdShpXZmNMX3rXF25hMw_UA?e=dsCZMM" TargetMode="External"/><Relationship Id="rId815" Type="http://schemas.openxmlformats.org/officeDocument/2006/relationships/hyperlink" Target="https://gobiernobogota-my.sharepoint.com/:b:/g/personal/planeacion_suba_gobiernobogota_gov_co/IQCok6SIWdA3R5RQoMNCzBIRAetPIxe1IjK9foAFX01Hg1E?e=Oxmd9y" TargetMode="External"/><Relationship Id="rId247" Type="http://schemas.openxmlformats.org/officeDocument/2006/relationships/hyperlink" Target="https://gobiernobogota-my.sharepoint.com/:b:/g/personal/planeacion_suba_gobiernobogota_gov_co/IQDvWsBowmslT68Q3xUoByv5AbWb86AEl_9FGjMuL7NmQgs?e=D5Mwpb" TargetMode="External"/><Relationship Id="rId899" Type="http://schemas.openxmlformats.org/officeDocument/2006/relationships/hyperlink" Target="https://gobiernobogota-my.sharepoint.com/:b:/g/personal/planeacion_suba_gobiernobogota_gov_co/IQAQwRzvwyOGRoadzOfEJbYbAZHcIaYsTNJAlIt0BpMGmxY?e=uCEeS6" TargetMode="External"/><Relationship Id="rId1000" Type="http://schemas.openxmlformats.org/officeDocument/2006/relationships/hyperlink" Target="https://gobiernobogota-my.sharepoint.com/:b:/g/personal/planeacion_suba_gobiernobogota_gov_co/IQAbSLyAFh2xRJr0NhbYbKk2ATKbPTcKyEeZatQ-G_R5UiE?e=uolpOb" TargetMode="External"/><Relationship Id="rId1084" Type="http://schemas.openxmlformats.org/officeDocument/2006/relationships/hyperlink" Target="https://gobiernobogota-my.sharepoint.com/:b:/g/personal/planeacion_suba_gobiernobogota_gov_co/IQAQwRzvwyOGRoadzOfEJbYbAZHcIaYsTNJAlIt0BpMGmxY?e=uCEeS6" TargetMode="External"/><Relationship Id="rId107" Type="http://schemas.openxmlformats.org/officeDocument/2006/relationships/hyperlink" Target="https://gobiernobogota-my.sharepoint.com/:b:/g/personal/planeacion_suba_gobiernobogota_gov_co/IQCdkMR8tqp8Q69vbzhAH616AQ_61I5Y1Hm_kEo8HVOdGQ0?e=PORaoV" TargetMode="External"/><Relationship Id="rId454" Type="http://schemas.openxmlformats.org/officeDocument/2006/relationships/hyperlink" Target="https://gobiernobogota-my.sharepoint.com/:b:/g/personal/planeacion_suba_gobiernobogota_gov_co/IQCjt_Sxzy_0TKCJTFuM4hSMAYUaY9y0aifNtvs967z397M?e=3Ku8oU" TargetMode="External"/><Relationship Id="rId661" Type="http://schemas.openxmlformats.org/officeDocument/2006/relationships/hyperlink" Target="https://gobiernobogota-my.sharepoint.com/:b:/g/personal/planeacion_suba_gobiernobogota_gov_co/IQBVWMwrdACHT6aq60nHEW8jAXGmPcWtdSRJUb5rQoOVTUU?e=9IA0lq" TargetMode="External"/><Relationship Id="rId759" Type="http://schemas.openxmlformats.org/officeDocument/2006/relationships/hyperlink" Target="https://gobiernobogota-my.sharepoint.com/:b:/g/personal/planeacion_suba_gobiernobogota_gov_co/IQAbSLyAFh2xRJr0NhbYbKk2ATKbPTcKyEeZatQ-G_R5UiE?e=uolpOb" TargetMode="External"/><Relationship Id="rId966" Type="http://schemas.openxmlformats.org/officeDocument/2006/relationships/hyperlink" Target="https://gobiernobogota-my.sharepoint.com/:b:/g/personal/planeacion_suba_gobiernobogota_gov_co/IQADC9knk6nNRKJljIOhwk2qAdShpXZmNMX3rXF25hMw_UA?e=dsCZMM" TargetMode="External"/><Relationship Id="rId11" Type="http://schemas.openxmlformats.org/officeDocument/2006/relationships/hyperlink" Target="https://gobiernobogota-my.sharepoint.com/:b:/g/personal/planeacion_suba_gobiernobogota_gov_co/IQDYfz7BCezNT5jcCSdluleDAY3bI6UPbxERGDBiY4eb9dI?e=E1hcom" TargetMode="External"/><Relationship Id="rId314" Type="http://schemas.openxmlformats.org/officeDocument/2006/relationships/hyperlink" Target="https://gobiernobogota-my.sharepoint.com/:b:/g/personal/planeacion_suba_gobiernobogota_gov_co/IQB-8zDE5cVJSKp7KgQCJacRASMfo-8heGHl9aGn6EQ0SOw?e=S4mbq7" TargetMode="External"/><Relationship Id="rId398" Type="http://schemas.openxmlformats.org/officeDocument/2006/relationships/hyperlink" Target="https://gobiernobogota-my.sharepoint.com/:b:/g/personal/planeacion_suba_gobiernobogota_gov_co/IQCyA10LkQHjRbpaxdAnmhPDAXpC1OcuVN3A6MnbV1GIUkM?e=TS9kFD" TargetMode="External"/><Relationship Id="rId521" Type="http://schemas.openxmlformats.org/officeDocument/2006/relationships/hyperlink" Target="https://gobiernobogota-my.sharepoint.com/:b:/g/personal/planeacion_suba_gobiernobogota_gov_co/IQBLOKQZI52RRYzlMc0IDcUfAfaPvHWc84l4wynUf1J19ZA?e=g0rO3c" TargetMode="External"/><Relationship Id="rId619" Type="http://schemas.openxmlformats.org/officeDocument/2006/relationships/hyperlink" Target="https://gobiernobogota-my.sharepoint.com/:b:/g/personal/planeacion_suba_gobiernobogota_gov_co/IQAbSLyAFh2xRJr0NhbYbKk2ATKbPTcKyEeZatQ-G_R5UiE?e=uolpOb" TargetMode="External"/><Relationship Id="rId95" Type="http://schemas.openxmlformats.org/officeDocument/2006/relationships/hyperlink" Target="https://gobiernobogota-my.sharepoint.com/:b:/g/personal/planeacion_suba_gobiernobogota_gov_co/IQCdkMR8tqp8Q69vbzhAH616AQ_61I5Y1Hm_kEo8HVOdGQ0?e=PORaoV" TargetMode="External"/><Relationship Id="rId160" Type="http://schemas.openxmlformats.org/officeDocument/2006/relationships/hyperlink" Target="https://gobiernobogota-my.sharepoint.com/:b:/g/personal/planeacion_suba_gobiernobogota_gov_co/IQAdy-rJ0tjISa5i30jFu1k8AZRtQl9JohRXyI4j9ajYCNY?e=6a5kqB" TargetMode="External"/><Relationship Id="rId826" Type="http://schemas.openxmlformats.org/officeDocument/2006/relationships/hyperlink" Target="https://gobiernobogota-my.sharepoint.com/:b:/g/personal/planeacion_suba_gobiernobogota_gov_co/IQADC9knk6nNRKJljIOhwk2qAdShpXZmNMX3rXF25hMw_UA?e=dsCZMM" TargetMode="External"/><Relationship Id="rId1011" Type="http://schemas.openxmlformats.org/officeDocument/2006/relationships/hyperlink" Target="https://gobiernobogota-my.sharepoint.com/:b:/g/personal/planeacion_suba_gobiernobogota_gov_co/IQBARb3GdKp5SJiYU7yiCWCRAZu_2QZoYDIYuaxlryA_94A?e=iM8nZF" TargetMode="External"/><Relationship Id="rId1109" Type="http://schemas.openxmlformats.org/officeDocument/2006/relationships/hyperlink" Target="https://gobiernobogota-my.sharepoint.com/:b:/g/personal/planeacion_suba_gobiernobogota_gov_co/IQAbSLyAFh2xRJr0NhbYbKk2ATKbPTcKyEeZatQ-G_R5UiE?e=uolpOb" TargetMode="External"/><Relationship Id="rId258" Type="http://schemas.openxmlformats.org/officeDocument/2006/relationships/hyperlink" Target="https://gobiernobogota-my.sharepoint.com/:b:/g/personal/planeacion_suba_gobiernobogota_gov_co/IQAyoe4Pgw7rSay_Auat7IutATH2oIDRSxEC_MhEaCXYYEI?e=fAS1ew" TargetMode="External"/><Relationship Id="rId465" Type="http://schemas.openxmlformats.org/officeDocument/2006/relationships/hyperlink" Target="https://gobiernobogota-my.sharepoint.com/:b:/g/personal/planeacion_suba_gobiernobogota_gov_co/IQA0TAxhTdESQaWyokxkYiYrAUbT3V5pPD-WeH61XsXHSR4?e=trenfi" TargetMode="External"/><Relationship Id="rId672" Type="http://schemas.openxmlformats.org/officeDocument/2006/relationships/hyperlink" Target="https://gobiernobogota-my.sharepoint.com/:b:/g/personal/planeacion_suba_gobiernobogota_gov_co/IQAQwRzvwyOGRoadzOfEJbYbAZHcIaYsTNJAlIt0BpMGmxY?e=uCEeS6" TargetMode="External"/><Relationship Id="rId1095" Type="http://schemas.openxmlformats.org/officeDocument/2006/relationships/hyperlink" Target="https://gobiernobogota-my.sharepoint.com/:b:/g/personal/planeacion_suba_gobiernobogota_gov_co/IQADC9knk6nNRKJljIOhwk2qAdShpXZmNMX3rXF25hMw_UA?e=dsCZMM" TargetMode="External"/><Relationship Id="rId22" Type="http://schemas.openxmlformats.org/officeDocument/2006/relationships/hyperlink" Target="https://gobiernobogota-my.sharepoint.com/:b:/g/personal/planeacion_suba_gobiernobogota_gov_co/IQDYfz7BCezNT5jcCSdluleDAY3bI6UPbxERGDBiY4eb9dI?e=nMk8kc" TargetMode="External"/><Relationship Id="rId118" Type="http://schemas.openxmlformats.org/officeDocument/2006/relationships/hyperlink" Target="https://gobiernobogota-my.sharepoint.com/:b:/g/personal/planeacion_suba_gobiernobogota_gov_co/IQCgm5YiE5_kQ5TMDogZTJv7AV1RW44CV7mB7C1aXXqSRvs?e=MLdLXm" TargetMode="External"/><Relationship Id="rId325" Type="http://schemas.openxmlformats.org/officeDocument/2006/relationships/hyperlink" Target="https://gobiernobogota-my.sharepoint.com/:b:/g/personal/planeacion_suba_gobiernobogota_gov_co/IQBC-0AHaTADRoLvP6xIqFGTAVLMMrgTo6YCZAgvylEvxMc?e=kGsLbV" TargetMode="External"/><Relationship Id="rId532" Type="http://schemas.openxmlformats.org/officeDocument/2006/relationships/hyperlink" Target="https://gobiernobogota-my.sharepoint.com/:b:/g/personal/planeacion_suba_gobiernobogota_gov_co/IQCns3VelmyTQLOZSudbfyj4AQ6sfwSFhSRcWbA27e8oApg?e=KXGhpL" TargetMode="External"/><Relationship Id="rId977" Type="http://schemas.openxmlformats.org/officeDocument/2006/relationships/hyperlink" Target="https://gobiernobogota-my.sharepoint.com/:b:/g/personal/planeacion_suba_gobiernobogota_gov_co/IQAbSLyAFh2xRJr0NhbYbKk2ATKbPTcKyEeZatQ-G_R5UiE?e=uolpOb" TargetMode="External"/><Relationship Id="rId171" Type="http://schemas.openxmlformats.org/officeDocument/2006/relationships/hyperlink" Target="https://gobiernobogota-my.sharepoint.com/:b:/g/personal/planeacion_suba_gobiernobogota_gov_co/IQBuOzStr3VOSrJVUh9Xj5TjAQ0tYcBuK8ryjmQQPMTnx0g?e=5EQEuE" TargetMode="External"/><Relationship Id="rId837" Type="http://schemas.openxmlformats.org/officeDocument/2006/relationships/hyperlink" Target="https://gobiernobogota-my.sharepoint.com/:b:/g/personal/planeacion_suba_gobiernobogota_gov_co/IQCok6SIWdA3R5RQoMNCzBIRAetPIxe1IjK9foAFX01Hg1E?e=Oxmd9y" TargetMode="External"/><Relationship Id="rId1022" Type="http://schemas.openxmlformats.org/officeDocument/2006/relationships/hyperlink" Target="https://gobiernobogota-my.sharepoint.com/:b:/g/personal/planeacion_suba_gobiernobogota_gov_co/IQADC9knk6nNRKJljIOhwk2qAdShpXZmNMX3rXF25hMw_UA?e=dsCZMM" TargetMode="External"/><Relationship Id="rId269" Type="http://schemas.openxmlformats.org/officeDocument/2006/relationships/hyperlink" Target="https://gobiernobogota-my.sharepoint.com/:b:/g/personal/planeacion_suba_gobiernobogota_gov_co/IQDMZ0T9mSVxRKfzq21QstZzAUDlBRHMMr71r81ynqwr9wc?e=GwTjSx" TargetMode="External"/><Relationship Id="rId476" Type="http://schemas.openxmlformats.org/officeDocument/2006/relationships/hyperlink" Target="https://gobiernobogota-my.sharepoint.com/:b:/g/personal/planeacion_suba_gobiernobogota_gov_co/IQAvZRusPdgxQ66KgCt3CaPRAVNajSCq8jsvFpho0W8_NIA?e=SfHiGh" TargetMode="External"/><Relationship Id="rId683" Type="http://schemas.openxmlformats.org/officeDocument/2006/relationships/hyperlink" Target="https://gobiernobogota-my.sharepoint.com/:b:/g/personal/planeacion_suba_gobiernobogota_gov_co/IQADC9knk6nNRKJljIOhwk2qAdShpXZmNMX3rXF25hMw_UA?e=dsCZMM" TargetMode="External"/><Relationship Id="rId890" Type="http://schemas.openxmlformats.org/officeDocument/2006/relationships/hyperlink" Target="https://gobiernobogota-my.sharepoint.com/:b:/g/personal/planeacion_suba_gobiernobogota_gov_co/IQAQwRzvwyOGRoadzOfEJbYbAZHcIaYsTNJAlIt0BpMGmxY?e=uCEeS6" TargetMode="External"/><Relationship Id="rId904" Type="http://schemas.openxmlformats.org/officeDocument/2006/relationships/hyperlink" Target="https://gobiernobogota-my.sharepoint.com/:b:/g/personal/planeacion_suba_gobiernobogota_gov_co/IQApp1JHMlK5Rps6m3EljI-NARevX55YVfE28Zsyj3h0Yy0?e=oVd3S6" TargetMode="External"/><Relationship Id="rId33" Type="http://schemas.openxmlformats.org/officeDocument/2006/relationships/hyperlink" Target="https://gobiernobogota-my.sharepoint.com/:b:/g/personal/sandra_tamayo_gobiernobogota_gov_co/IQAjeafpPcQsSqiUSz8-bKSxAScepYFngBvK7GMyKKTm4SM?e=nsbc9S" TargetMode="External"/><Relationship Id="rId129" Type="http://schemas.openxmlformats.org/officeDocument/2006/relationships/hyperlink" Target="https://gobiernobogota-my.sharepoint.com/:b:/g/personal/sandra_tamayo_gobiernobogota_gov_co/IQBjTkxVaG7tSZ2JdDfsvt53AUgI_XCQNVZqd3ocKvLkekA?e=JwWv1Q" TargetMode="External"/><Relationship Id="rId336" Type="http://schemas.openxmlformats.org/officeDocument/2006/relationships/hyperlink" Target="https://gobiernobogota-my.sharepoint.com/:b:/g/personal/planeacion_suba_gobiernobogota_gov_co/IQBI0yEyQXgwQ6mCSOWe2EEQAbsvr7zDXzRyghixX0dftHE?e=fojtoe" TargetMode="External"/><Relationship Id="rId543" Type="http://schemas.openxmlformats.org/officeDocument/2006/relationships/hyperlink" Target="https://gobiernobogota-my.sharepoint.com/:b:/g/personal/planeacion_suba_gobiernobogota_gov_co/IQADC9knk6nNRKJljIOhwk2qAdShpXZmNMX3rXF25hMw_UA?e=dsCZMM" TargetMode="External"/><Relationship Id="rId988" Type="http://schemas.openxmlformats.org/officeDocument/2006/relationships/hyperlink" Target="https://gobiernobogota-my.sharepoint.com/:b:/g/personal/planeacion_suba_gobiernobogota_gov_co/IQCok6SIWdA3R5RQoMNCzBIRAetPIxe1IjK9foAFX01Hg1E?e=Oxmd9y" TargetMode="External"/><Relationship Id="rId182" Type="http://schemas.openxmlformats.org/officeDocument/2006/relationships/hyperlink" Target="https://gobiernobogota-my.sharepoint.com/:b:/g/personal/planeacion_suba_gobiernobogota_gov_co/IQC3n1-3qJZ2SKpVvajWPoLpAeMYPbBWFvEmTo3r_WNO_U0?e=3yWcMl" TargetMode="External"/><Relationship Id="rId403" Type="http://schemas.openxmlformats.org/officeDocument/2006/relationships/hyperlink" Target="https://gobiernobogota-my.sharepoint.com/:b:/g/personal/planeacion_suba_gobiernobogota_gov_co/IQCyA10LkQHjRbpaxdAnmhPDAXpC1OcuVN3A6MnbV1GIUkM?e=eWZBWu" TargetMode="External"/><Relationship Id="rId750" Type="http://schemas.openxmlformats.org/officeDocument/2006/relationships/hyperlink" Target="https://gobiernobogota-my.sharepoint.com/:b:/g/personal/planeacion_suba_gobiernobogota_gov_co/IQCok6SIWdA3R5RQoMNCzBIRAetPIxe1IjK9foAFX01Hg1E?e=Oxmd9y" TargetMode="External"/><Relationship Id="rId848" Type="http://schemas.openxmlformats.org/officeDocument/2006/relationships/hyperlink" Target="https://gobiernobogota-my.sharepoint.com/:b:/g/personal/planeacion_suba_gobiernobogota_gov_co/IQCDCe-bej3DQpb8EglTw1F5AV_Bs-h0k9HMLJreG-W5l3M?e=0Zd26I" TargetMode="External"/><Relationship Id="rId1033" Type="http://schemas.openxmlformats.org/officeDocument/2006/relationships/hyperlink" Target="https://gobiernobogota-my.sharepoint.com/:b:/g/personal/planeacion_suba_gobiernobogota_gov_co/IQAbSLyAFh2xRJr0NhbYbKk2ATKbPTcKyEeZatQ-G_R5UiE?e=uolpOb" TargetMode="External"/><Relationship Id="rId487" Type="http://schemas.openxmlformats.org/officeDocument/2006/relationships/hyperlink" Target="https://gobiernobogota-my.sharepoint.com/:b:/g/personal/planeacion_suba_gobiernobogota_gov_co/IQDCZsK7byDkTZZbKdQ2b8eTAY4obpY2KlROIe_e2S9vjGw?e=py4AkJ" TargetMode="External"/><Relationship Id="rId610" Type="http://schemas.openxmlformats.org/officeDocument/2006/relationships/hyperlink" Target="https://gobiernobogota-my.sharepoint.com/:b:/g/personal/planeacion_suba_gobiernobogota_gov_co/IQAbSLyAFh2xRJr0NhbYbKk2ATKbPTcKyEeZatQ-G_R5UiE?e=uolpOb" TargetMode="External"/><Relationship Id="rId694" Type="http://schemas.openxmlformats.org/officeDocument/2006/relationships/hyperlink" Target="https://gobiernobogota-my.sharepoint.com/:b:/g/personal/planeacion_suba_gobiernobogota_gov_co/IQAbSLyAFh2xRJr0NhbYbKk2ATKbPTcKyEeZatQ-G_R5UiE?e=uolpOb" TargetMode="External"/><Relationship Id="rId708" Type="http://schemas.openxmlformats.org/officeDocument/2006/relationships/hyperlink" Target="https://gobiernobogota-my.sharepoint.com/:b:/g/personal/planeacion_suba_gobiernobogota_gov_co/IQCX5R01gnI3QLPk49hsK0lpAXaK-OSVtPGApsy1wuJ-x1s?e=X6CBQ2" TargetMode="External"/><Relationship Id="rId915" Type="http://schemas.openxmlformats.org/officeDocument/2006/relationships/hyperlink" Target="https://gobiernobogota-my.sharepoint.com/:b:/g/personal/planeacion_suba_gobiernobogota_gov_co/IQAqNk9OH4YqRYrGpQFTz-mQAUJEcH9bcRIaZjAS9CMXGqQ?e=atqHG4" TargetMode="External"/><Relationship Id="rId347" Type="http://schemas.openxmlformats.org/officeDocument/2006/relationships/hyperlink" Target="https://gobiernobogota-my.sharepoint.com/:b:/g/personal/planeacion_suba_gobiernobogota_gov_co/IQDItYMSuzNtS7HM771LU7pWAQRdV1Lhvcd_iBaVzCOj_zg?e=BnJUFA" TargetMode="External"/><Relationship Id="rId999" Type="http://schemas.openxmlformats.org/officeDocument/2006/relationships/hyperlink" Target="https://gobiernobogota-my.sharepoint.com/:b:/g/personal/planeacion_suba_gobiernobogota_gov_co/IQAQwRzvwyOGRoadzOfEJbYbAZHcIaYsTNJAlIt0BpMGmxY?e=uCEeS6" TargetMode="External"/><Relationship Id="rId1100" Type="http://schemas.openxmlformats.org/officeDocument/2006/relationships/hyperlink" Target="https://gobiernobogota-my.sharepoint.com/:b:/g/personal/planeacion_suba_gobiernobogota_gov_co/IQAbSLyAFh2xRJr0NhbYbKk2ATKbPTcKyEeZatQ-G_R5UiE?e=uolpOb" TargetMode="External"/><Relationship Id="rId44" Type="http://schemas.openxmlformats.org/officeDocument/2006/relationships/hyperlink" Target="https://gobiernobogota-my.sharepoint.com/:b:/g/personal/planeacion_suba_gobiernobogota_gov_co/IQC0Zr6QeDVcT6uXSsvLXYzTASI49d9b4wN6s18ujelqB2U?e=OHYGKx" TargetMode="External"/><Relationship Id="rId554" Type="http://schemas.openxmlformats.org/officeDocument/2006/relationships/hyperlink" Target="https://gobiernobogota-my.sharepoint.com/:b:/g/personal/planeacion_suba_gobiernobogota_gov_co/IQAbSLyAFh2xRJr0NhbYbKk2ATKbPTcKyEeZatQ-G_R5UiE?e=uolpOb" TargetMode="External"/><Relationship Id="rId761" Type="http://schemas.openxmlformats.org/officeDocument/2006/relationships/hyperlink" Target="https://gobiernobogota-my.sharepoint.com/:b:/g/personal/planeacion_suba_gobiernobogota_gov_co/IQCDPw1k7KwlRacML3TGygtcAXF23y6Vv9Bs4JjIOtbX4Ac?e=roe7d7" TargetMode="External"/><Relationship Id="rId859" Type="http://schemas.openxmlformats.org/officeDocument/2006/relationships/hyperlink" Target="https://gobiernobogota-my.sharepoint.com/:b:/g/personal/planeacion_suba_gobiernobogota_gov_co/IQBLOKQZI52RRYzlMc0IDcUfAfaPvHWc84l4wynUf1J19ZA?e=g0rO3c" TargetMode="External"/><Relationship Id="rId193" Type="http://schemas.openxmlformats.org/officeDocument/2006/relationships/hyperlink" Target="https://gobiernobogota-my.sharepoint.com/:b:/g/personal/planeacion_suba_gobiernobogota_gov_co/IQBLJ1tp1fdzSL9E0QwjjNUSAS7hmaX-o2ET4sUI1GqHxqY?e=85qjEM" TargetMode="External"/><Relationship Id="rId207" Type="http://schemas.openxmlformats.org/officeDocument/2006/relationships/hyperlink" Target="https://gobiernobogota-my.sharepoint.com/:b:/g/personal/planeacion_suba_gobiernobogota_gov_co/IQA8acw4gv6QTqasbHqdDju2AQ8OsKaDPoc143yMijZ2y20?e=gv08nj" TargetMode="External"/><Relationship Id="rId414" Type="http://schemas.openxmlformats.org/officeDocument/2006/relationships/hyperlink" Target="https://gobiernobogota-my.sharepoint.com/:b:/g/personal/planeacion_suba_gobiernobogota_gov_co/IQBBu4dnf9PkSYwhrQsa2XYcASFuORQjOSLHBBlK7dsYuzY?e=odT6R7" TargetMode="External"/><Relationship Id="rId498" Type="http://schemas.openxmlformats.org/officeDocument/2006/relationships/hyperlink" Target="https://gobiernobogota-my.sharepoint.com/:b:/g/personal/planeacion_suba_gobiernobogota_gov_co/IQBLOKQZI52RRYzlMc0IDcUfAfaPvHWc84l4wynUf1J19ZA?e=g0rO3c" TargetMode="External"/><Relationship Id="rId621" Type="http://schemas.openxmlformats.org/officeDocument/2006/relationships/hyperlink" Target="https://gobiernobogota-my.sharepoint.com/:b:/g/personal/planeacion_suba_gobiernobogota_gov_co/IQAQwRzvwyOGRoadzOfEJbYbAZHcIaYsTNJAlIt0BpMGmxY?e=uCEeS6" TargetMode="External"/><Relationship Id="rId1044" Type="http://schemas.openxmlformats.org/officeDocument/2006/relationships/hyperlink" Target="https://gobiernobogota-my.sharepoint.com/:b:/g/personal/planeacion_suba_gobiernobogota_gov_co/IQCok6SIWdA3R5RQoMNCzBIRAetPIxe1IjK9foAFX01Hg1E?e=Oxmd9y" TargetMode="External"/><Relationship Id="rId260" Type="http://schemas.openxmlformats.org/officeDocument/2006/relationships/hyperlink" Target="https://gobiernobogota-my.sharepoint.com/:b:/g/personal/planeacion_suba_gobiernobogota_gov_co/IQCQnclIBPxtQKfaKbhVm-CNAaf0BYsTgGc7uXNUEK0ULjo?e=EVQ36T" TargetMode="External"/><Relationship Id="rId719" Type="http://schemas.openxmlformats.org/officeDocument/2006/relationships/hyperlink" Target="https://gobiernobogota-my.sharepoint.com/:b:/g/personal/planeacion_suba_gobiernobogota_gov_co/IQCok6SIWdA3R5RQoMNCzBIRAetPIxe1IjK9foAFX01Hg1E?e=Oxmd9y" TargetMode="External"/><Relationship Id="rId926" Type="http://schemas.openxmlformats.org/officeDocument/2006/relationships/hyperlink" Target="https://gobiernobogota-my.sharepoint.com/:b:/g/personal/planeacion_suba_gobiernobogota_gov_co/IQAbSLyAFh2xRJr0NhbYbKk2ATKbPTcKyEeZatQ-G_R5UiE?e=uolpOb" TargetMode="External"/><Relationship Id="rId1111" Type="http://schemas.openxmlformats.org/officeDocument/2006/relationships/hyperlink" Target="https://gobiernobogota-my.sharepoint.com/:b:/g/personal/planeacion_suba_gobiernobogota_gov_co/IQCZqXMzHnswTZJH8FWkGsJBAeKJXEV7nSWFzBM-f-s2AxA?e=qMgmDd" TargetMode="External"/><Relationship Id="rId55"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Cgm5YiE5_kQ5TMDogZTJv7AV1RW44CV7mB7C1aXXqSRvs?e=ldGU0r" TargetMode="External"/><Relationship Id="rId358" Type="http://schemas.openxmlformats.org/officeDocument/2006/relationships/hyperlink" Target="https://gobiernobogota-my.sharepoint.com/:b:/g/personal/planeacion_suba_gobiernobogota_gov_co/IQDMZ0T9mSVxRKfzq21QstZzAUDlBRHMMr71r81ynqwr9wc?e=GwTjSx" TargetMode="External"/><Relationship Id="rId565" Type="http://schemas.openxmlformats.org/officeDocument/2006/relationships/hyperlink" Target="https://gobiernobogota-my.sharepoint.com/:b:/g/personal/planeacion_suba_gobiernobogota_gov_co/IQCok6SIWdA3R5RQoMNCzBIRAetPIxe1IjK9foAFX01Hg1E?e=Oxmd9y" TargetMode="External"/><Relationship Id="rId772" Type="http://schemas.openxmlformats.org/officeDocument/2006/relationships/hyperlink" Target="https://gobiernobogota-my.sharepoint.com/:b:/g/personal/planeacion_suba_gobiernobogota_gov_co/IQCX5R01gnI3QLPk49hsK0lpAXaK-OSVtPGApsy1wuJ-x1s?e=X6CBQ2" TargetMode="External"/><Relationship Id="rId218" Type="http://schemas.openxmlformats.org/officeDocument/2006/relationships/hyperlink" Target="https://gobiernobogota-my.sharepoint.com/:b:/g/personal/planeacion_suba_gobiernobogota_gov_co/IQBI0yEyQXgwQ6mCSOWe2EEQAbsvr7zDXzRyghixX0dftHE?e=gYQKRY" TargetMode="External"/><Relationship Id="rId425" Type="http://schemas.openxmlformats.org/officeDocument/2006/relationships/hyperlink" Target="https://gobiernobogota-my.sharepoint.com/:b:/g/personal/planeacion_suba_gobiernobogota_gov_co/IQDf44K_e-byQbI4bgT9lM9AAQvRsujJ9Omyjb1eLxMqujs?e=yCC9hN" TargetMode="External"/><Relationship Id="rId632" Type="http://schemas.openxmlformats.org/officeDocument/2006/relationships/hyperlink" Target="https://gobiernobogota-my.sharepoint.com/:b:/g/personal/planeacion_suba_gobiernobogota_gov_co/IQADC9knk6nNRKJljIOhwk2qAdShpXZmNMX3rXF25hMw_UA?e=dsCZMM" TargetMode="External"/><Relationship Id="rId1055" Type="http://schemas.openxmlformats.org/officeDocument/2006/relationships/hyperlink" Target="https://gobiernobogota-my.sharepoint.com/:b:/g/personal/planeacion_suba_gobiernobogota_gov_co/IQBLOKQZI52RRYzlMc0IDcUfAfaPvHWc84l4wynUf1J19ZA?e=g0rO3c" TargetMode="External"/><Relationship Id="rId271" Type="http://schemas.openxmlformats.org/officeDocument/2006/relationships/hyperlink" Target="https://gobiernobogota-my.sharepoint.com/:b:/g/personal/planeacion_suba_gobiernobogota_gov_co/IQDMZ0T9mSVxRKfzq21QstZzAUDlBRHMMr71r81ynqwr9wc?e=GwTjSx" TargetMode="External"/><Relationship Id="rId937" Type="http://schemas.openxmlformats.org/officeDocument/2006/relationships/hyperlink" Target="https://gobiernobogota-my.sharepoint.com/:b:/g/personal/planeacion_suba_gobiernobogota_gov_co/IQAQwRzvwyOGRoadzOfEJbYbAZHcIaYsTNJAlIt0BpMGmxY?e=uCEeS6" TargetMode="External"/><Relationship Id="rId1122" Type="http://schemas.openxmlformats.org/officeDocument/2006/relationships/drawing" Target="../drawings/drawing6.xml"/><Relationship Id="rId66" Type="http://schemas.openxmlformats.org/officeDocument/2006/relationships/hyperlink" Target="https://gobiernobogota-my.sharepoint.com/:b:/g/personal/planeacion_suba_gobiernobogota_gov_co/IQDCo5nBdqHcSYwPwwp8sizdAWH0Tt2nODZUFrKlcfV2Rsc?e=MIgUNA" TargetMode="External"/><Relationship Id="rId131" Type="http://schemas.openxmlformats.org/officeDocument/2006/relationships/hyperlink" Target="https://gobiernobogota-my.sharepoint.com/:b:/g/personal/planeacion_suba_gobiernobogota_gov_co/IQCdrvYVSsCrQqpuXkDsvZGHAVD0GGLw2s8Qi71zmQX5n8k?e=vLWcfN" TargetMode="External"/><Relationship Id="rId369" Type="http://schemas.openxmlformats.org/officeDocument/2006/relationships/hyperlink" Target="https://gobiernobogota-my.sharepoint.com/:b:/g/personal/planeacion_suba_gobiernobogota_gov_co/IQDf44K_e-byQbI4bgT9lM9AAQvRsujJ9Omyjb1eLxMqujs?e=yCC9hN" TargetMode="External"/><Relationship Id="rId576" Type="http://schemas.openxmlformats.org/officeDocument/2006/relationships/hyperlink" Target="https://gobiernobogota-my.sharepoint.com/:b:/g/personal/planeacion_suba_gobiernobogota_gov_co/IQBn23o6wpU5SbOjRKImEuDLAc27p6PvYHzzqn6ehFxoKyE?e=5EPIh2" TargetMode="External"/><Relationship Id="rId783" Type="http://schemas.openxmlformats.org/officeDocument/2006/relationships/hyperlink" Target="https://gobiernobogota-my.sharepoint.com/:b:/g/personal/planeacion_suba_gobiernobogota_gov_co/IQAbSLyAFh2xRJr0NhbYbKk2ATKbPTcKyEeZatQ-G_R5UiE?e=uolpOb" TargetMode="External"/><Relationship Id="rId990" Type="http://schemas.openxmlformats.org/officeDocument/2006/relationships/hyperlink" Target="https://gobiernobogota-my.sharepoint.com/:b:/g/personal/planeacion_suba_gobiernobogota_gov_co/IQAQwRzvwyOGRoadzOfEJbYbAZHcIaYsTNJAlIt0BpMGmxY?e=uCEeS6" TargetMode="External"/><Relationship Id="rId229" Type="http://schemas.openxmlformats.org/officeDocument/2006/relationships/hyperlink" Target="https://gobiernobogota-my.sharepoint.com/:b:/g/personal/planeacion_suba_gobiernobogota_gov_co/IQC5U5Ws5lXSQKcSHRjB-L8tAT3bd0UhbaatJZequ5cH9HQ?e=A1tvvO" TargetMode="External"/><Relationship Id="rId436" Type="http://schemas.openxmlformats.org/officeDocument/2006/relationships/hyperlink" Target="https://gobiernobogota-my.sharepoint.com/:b:/g/personal/planeacion_suba_gobiernobogota_gov_co/IQDMZ0T9mSVxRKfzq21QstZzAUDlBRHMMr71r81ynqwr9wc?e=GwTjSx" TargetMode="External"/><Relationship Id="rId643" Type="http://schemas.openxmlformats.org/officeDocument/2006/relationships/hyperlink" Target="https://gobiernobogota-my.sharepoint.com/:b:/g/personal/planeacion_suba_gobiernobogota_gov_co/IQAbSLyAFh2xRJr0NhbYbKk2ATKbPTcKyEeZatQ-G_R5UiE?e=uolpOb" TargetMode="External"/><Relationship Id="rId1066" Type="http://schemas.openxmlformats.org/officeDocument/2006/relationships/hyperlink" Target="https://gobiernobogota-my.sharepoint.com/:b:/g/personal/planeacion_suba_gobiernobogota_gov_co/IQAQwRzvwyOGRoadzOfEJbYbAZHcIaYsTNJAlIt0BpMGmxY?e=uCEeS6" TargetMode="External"/><Relationship Id="rId850" Type="http://schemas.openxmlformats.org/officeDocument/2006/relationships/hyperlink" Target="https://gobiernobogota-my.sharepoint.com/:b:/g/personal/planeacion_suba_gobiernobogota_gov_co/IQDVbkkrsbMuQajqzy4XT0_rAQD0NFHVeiSHGE5LBaaZTcw?e=bFh6re" TargetMode="External"/><Relationship Id="rId948" Type="http://schemas.openxmlformats.org/officeDocument/2006/relationships/hyperlink" Target="https://gobiernobogota-my.sharepoint.com/:b:/g/personal/planeacion_suba_gobiernobogota_gov_co/IQADC9knk6nNRKJljIOhwk2qAdShpXZmNMX3rXF25hMw_UA?e=dsCZMM" TargetMode="External"/><Relationship Id="rId77" Type="http://schemas.openxmlformats.org/officeDocument/2006/relationships/hyperlink" Target="https://gobiernobogota-my.sharepoint.com/:b:/g/personal/planeacion_suba_gobiernobogota_gov_co/IQDCo5nBdqHcSYwPwwp8sizdAWH0Tt2nODZUFrKlcfV2Rsc?e=MIgUNA" TargetMode="External"/><Relationship Id="rId282" Type="http://schemas.openxmlformats.org/officeDocument/2006/relationships/hyperlink" Target="https://gobiernobogota-my.sharepoint.com/:b:/g/personal/planeacion_suba_gobiernobogota_gov_co/IQDf44K_e-byQbI4bgT9lM9AAQvRsujJ9Omyjb1eLxMqujs?e=yCC9hN" TargetMode="External"/><Relationship Id="rId503" Type="http://schemas.openxmlformats.org/officeDocument/2006/relationships/hyperlink" Target="https://gobiernobogota-my.sharepoint.com/:b:/g/personal/planeacion_suba_gobiernobogota_gov_co/IQBYSsdLk59DQKFuaoinECXXAUDlrZr3pqSL8jxEMxuPVWU?e=h8daEe" TargetMode="External"/><Relationship Id="rId587" Type="http://schemas.openxmlformats.org/officeDocument/2006/relationships/hyperlink" Target="https://gobiernobogota-my.sharepoint.com/:b:/g/personal/planeacion_suba_gobiernobogota_gov_co/IQADC9knk6nNRKJljIOhwk2qAdShpXZmNMX3rXF25hMw_UA?e=dsCZMM" TargetMode="External"/><Relationship Id="rId710" Type="http://schemas.openxmlformats.org/officeDocument/2006/relationships/hyperlink" Target="https://gobiernobogota-my.sharepoint.com/:b:/g/personal/planeacion_suba_gobiernobogota_gov_co/IQBLOKQZI52RRYzlMc0IDcUfAfaPvHWc84l4wynUf1J19ZA?e=g0rO3c" TargetMode="External"/><Relationship Id="rId808" Type="http://schemas.openxmlformats.org/officeDocument/2006/relationships/hyperlink" Target="https://gobiernobogota-my.sharepoint.com/:b:/g/personal/planeacion_suba_gobiernobogota_gov_co/IQADC9knk6nNRKJljIOhwk2qAdShpXZmNMX3rXF25hMw_UA?e=dsCZMM" TargetMode="External"/><Relationship Id="rId8" Type="http://schemas.openxmlformats.org/officeDocument/2006/relationships/hyperlink" Target="https://gobiernobogota-my.sharepoint.com/:b:/g/personal/planeacion_suba_gobiernobogota_gov_co/IQBQhQEJ73TWTZbL6J9z5LSKAS3GX70b7VJh0PyiiiLHOF4?e=hLtbCE" TargetMode="External"/><Relationship Id="rId142" Type="http://schemas.openxmlformats.org/officeDocument/2006/relationships/hyperlink" Target="https://gobiernobogota-my.sharepoint.com/:b:/g/personal/planeacion_suba_gobiernobogota_gov_co/IQBuOzStr3VOSrJVUh9Xj5TjAQ0tYcBuK8ryjmQQPMTnx0g?e=Irlkpd" TargetMode="External"/><Relationship Id="rId447" Type="http://schemas.openxmlformats.org/officeDocument/2006/relationships/hyperlink" Target="https://gobiernobogota-my.sharepoint.com/:b:/g/personal/planeacion_suba_gobiernobogota_gov_co/IQC6nkK_7-q9S7XYQRoPwXOyAc6nHA0b56wYd1ftOXwi8XU?e=w5f9um" TargetMode="External"/><Relationship Id="rId794" Type="http://schemas.openxmlformats.org/officeDocument/2006/relationships/hyperlink" Target="https://gobiernobogota-my.sharepoint.com/:b:/g/personal/planeacion_suba_gobiernobogota_gov_co/IQAQwRzvwyOGRoadzOfEJbYbAZHcIaYsTNJAlIt0BpMGmxY?e=uCEeS6" TargetMode="External"/><Relationship Id="rId1077" Type="http://schemas.openxmlformats.org/officeDocument/2006/relationships/hyperlink" Target="https://gobiernobogota-my.sharepoint.com/:b:/g/personal/planeacion_suba_gobiernobogota_gov_co/IQADC9knk6nNRKJljIOhwk2qAdShpXZmNMX3rXF25hMw_UA?e=dsCZMM" TargetMode="External"/><Relationship Id="rId654" Type="http://schemas.openxmlformats.org/officeDocument/2006/relationships/hyperlink" Target="https://gobiernobogota-my.sharepoint.com/:b:/g/personal/planeacion_suba_gobiernobogota_gov_co/IQBpGvfMQod7SqZbRvUziuXKARGEylCxC2jZZwYY1936nQE?e=oF7XTe" TargetMode="External"/><Relationship Id="rId861" Type="http://schemas.openxmlformats.org/officeDocument/2006/relationships/hyperlink" Target="https://gobiernobogota-my.sharepoint.com/:b:/g/personal/planeacion_suba_gobiernobogota_gov_co/IQCok6SIWdA3R5RQoMNCzBIRAetPIxe1IjK9foAFX01Hg1E?e=Oxmd9y" TargetMode="External"/><Relationship Id="rId959" Type="http://schemas.openxmlformats.org/officeDocument/2006/relationships/hyperlink" Target="https://gobiernobogota-my.sharepoint.com/:b:/g/personal/planeacion_suba_gobiernobogota_gov_co/IQAbSLyAFh2xRJr0NhbYbKk2ATKbPTcKyEeZatQ-G_R5UiE?e=uolpOb" TargetMode="External"/><Relationship Id="rId293" Type="http://schemas.openxmlformats.org/officeDocument/2006/relationships/hyperlink" Target="https://gobiernobogota-my.sharepoint.com/:b:/g/personal/planeacion_suba_gobiernobogota_gov_co/IQBLJ1tp1fdzSL9E0QwjjNUSAS7hmaX-o2ET4sUI1GqHxqY?e=85qjEM" TargetMode="External"/><Relationship Id="rId307" Type="http://schemas.openxmlformats.org/officeDocument/2006/relationships/hyperlink" Target="https://gobiernobogota-my.sharepoint.com/:b:/g/personal/planeacion_suba_gobiernobogota_gov_co/IQBYjmf8NvTXQZbKG5HEyaSjAdfKgAvmbpcmT21Gs-HVHY8?e=nF8uto" TargetMode="External"/><Relationship Id="rId514" Type="http://schemas.openxmlformats.org/officeDocument/2006/relationships/hyperlink" Target="https://gobiernobogota-my.sharepoint.com/:b:/g/personal/planeacion_suba_gobiernobogota_gov_co/IQCok6SIWdA3R5RQoMNCzBIRAetPIxe1IjK9foAFX01Hg1E?e=Oxmd9y" TargetMode="External"/><Relationship Id="rId721" Type="http://schemas.openxmlformats.org/officeDocument/2006/relationships/hyperlink" Target="https://gobiernobogota-my.sharepoint.com/:b:/g/personal/planeacion_suba_gobiernobogota_gov_co/IQADC9knk6nNRKJljIOhwk2qAdShpXZmNMX3rXF25hMw_UA?e=dsCZMM" TargetMode="External"/><Relationship Id="rId88" Type="http://schemas.openxmlformats.org/officeDocument/2006/relationships/hyperlink" Target="https://gobiernobogota-my.sharepoint.com/:b:/g/personal/planeacion_suba_gobiernobogota_gov_co/IQDCo5nBdqHcSYwPwwp8sizdAWH0Tt2nODZUFrKlcfV2Rsc?e=MIgUNA" TargetMode="External"/><Relationship Id="rId153" Type="http://schemas.openxmlformats.org/officeDocument/2006/relationships/hyperlink" Target="https://gobiernobogota-my.sharepoint.com/:b:/g/personal/planeacion_suba_gobiernobogota_gov_co/IQC8W9TKWv4jS5fxyVi7-aLRARyeQ2nJnMA_QAak0P1Ybgo?e=FaoXlT" TargetMode="External"/><Relationship Id="rId360" Type="http://schemas.openxmlformats.org/officeDocument/2006/relationships/hyperlink" Target="https://gobiernobogota-my.sharepoint.com/:b:/g/personal/planeacion_suba_gobiernobogota_gov_co/IQC3n1-3qJZ2SKpVvajWPoLpAeMYPbBWFvEmTo3r_WNO_U0?e=8zVoNC" TargetMode="External"/><Relationship Id="rId598" Type="http://schemas.openxmlformats.org/officeDocument/2006/relationships/hyperlink" Target="https://gobiernobogota-my.sharepoint.com/:b:/g/personal/planeacion_suba_gobiernobogota_gov_co/IQADC9knk6nNRKJljIOhwk2qAdShpXZmNMX3rXF25hMw_UA?e=dsCZMM" TargetMode="External"/><Relationship Id="rId819" Type="http://schemas.openxmlformats.org/officeDocument/2006/relationships/hyperlink" Target="https://gobiernobogota-my.sharepoint.com/:b:/g/personal/planeacion_suba_gobiernobogota_gov_co/IQAbSLyAFh2xRJr0NhbYbKk2ATKbPTcKyEeZatQ-G_R5UiE?e=uolpOb" TargetMode="External"/><Relationship Id="rId1004" Type="http://schemas.openxmlformats.org/officeDocument/2006/relationships/hyperlink" Target="https://gobiernobogota-my.sharepoint.com/:b:/g/personal/planeacion_suba_gobiernobogota_gov_co/IQBLOKQZI52RRYzlMc0IDcUfAfaPvHWc84l4wynUf1J19ZA?e=g0rO3c" TargetMode="External"/><Relationship Id="rId220" Type="http://schemas.openxmlformats.org/officeDocument/2006/relationships/hyperlink" Target="https://gobiernobogota-my.sharepoint.com/:b:/g/personal/planeacion_suba_gobiernobogota_gov_co/IQA0TAxhTdESQaWyokxkYiYrAUbT3V5pPD-WeH61XsXHSR4?e=jsAsse" TargetMode="External"/><Relationship Id="rId458" Type="http://schemas.openxmlformats.org/officeDocument/2006/relationships/hyperlink" Target="https://gobiernobogota-my.sharepoint.com/:b:/g/personal/planeacion_suba_gobiernobogota_gov_co/IQB740b1UecfQ4ImKkgKb5WXAWmwWIk3Q8ZYbHdScBSTWRI?e=jWS3mJ" TargetMode="External"/><Relationship Id="rId665" Type="http://schemas.openxmlformats.org/officeDocument/2006/relationships/hyperlink" Target="https://gobiernobogota-my.sharepoint.com/:b:/g/personal/planeacion_suba_gobiernobogota_gov_co/IQADC9knk6nNRKJljIOhwk2qAdShpXZmNMX3rXF25hMw_UA?e=dsCZMM" TargetMode="External"/><Relationship Id="rId872" Type="http://schemas.openxmlformats.org/officeDocument/2006/relationships/hyperlink" Target="https://gobiernobogota-my.sharepoint.com/:b:/g/personal/planeacion_suba_gobiernobogota_gov_co/IQAQwRzvwyOGRoadzOfEJbYbAZHcIaYsTNJAlIt0BpMGmxY?e=uCEeS6" TargetMode="External"/><Relationship Id="rId1088" Type="http://schemas.openxmlformats.org/officeDocument/2006/relationships/hyperlink" Target="https://gobiernobogota-my.sharepoint.com/:b:/g/personal/planeacion_suba_gobiernobogota_gov_co/IQBtehyDbF-2RLTFFCbncsx2ARBi4zf0sV0no1R-CgBbdM8?e=d2jKDv" TargetMode="External"/><Relationship Id="rId15" Type="http://schemas.openxmlformats.org/officeDocument/2006/relationships/hyperlink" Target="https://gobiernobogota-my.sharepoint.com/:b:/g/personal/planeacion_suba_gobiernobogota_gov_co/IQBQhQEJ73TWTZbL6J9z5LSKAdgmqhyyiDFFObZqUWRU4dw?e=obHBnh" TargetMode="External"/><Relationship Id="rId318" Type="http://schemas.openxmlformats.org/officeDocument/2006/relationships/hyperlink" Target="https://gobiernobogota-my.sharepoint.com/:b:/g/personal/planeacion_suba_gobiernobogota_gov_co/IQC3n1-3qJZ2SKpVvajWPoLpAeMYPbBWFvEmTo3r_WNO_U0?e=vxhXg6" TargetMode="External"/><Relationship Id="rId525" Type="http://schemas.openxmlformats.org/officeDocument/2006/relationships/hyperlink" Target="https://gobiernobogota-my.sharepoint.com/:b:/g/personal/planeacion_suba_gobiernobogota_gov_co/IQAhI8JjIaNWQ7ix6ilrSOzuAUnUKmFVwW2njOczkkCYhac?e=fW1CuS" TargetMode="External"/><Relationship Id="rId732" Type="http://schemas.openxmlformats.org/officeDocument/2006/relationships/hyperlink" Target="https://gobiernobogota-my.sharepoint.com/:b:/g/personal/planeacion_suba_gobiernobogota_gov_co/IQAQwRzvwyOGRoadzOfEJbYbAZHcIaYsTNJAlIt0BpMGmxY?e=uCEeS6" TargetMode="External"/><Relationship Id="rId99" Type="http://schemas.openxmlformats.org/officeDocument/2006/relationships/hyperlink" Target="https://gobiernobogota-my.sharepoint.com/:b:/g/personal/planeacion_suba_gobiernobogota_gov_co/IQCdkMR8tqp8Q69vbzhAH616AQ_61I5Y1Hm_kEo8HVOdGQ0?e=PORaoV" TargetMode="External"/><Relationship Id="rId164" Type="http://schemas.openxmlformats.org/officeDocument/2006/relationships/hyperlink" Target="https://gobiernobogota-my.sharepoint.com/:b:/g/personal/planeacion_suba_gobiernobogota_gov_co/IQBN1y_X_06gQY0vKgXY6PMAATITBv1H4vVRMDBKkVIOM_M?e=4BoYde" TargetMode="External"/><Relationship Id="rId371" Type="http://schemas.openxmlformats.org/officeDocument/2006/relationships/hyperlink" Target="https://gobiernobogota-my.sharepoint.com/:b:/g/personal/planeacion_suba_gobiernobogota_gov_co/IQDMZ0T9mSVxRKfzq21QstZzAUDlBRHMMr71r81ynqwr9wc?e=GwTjSx" TargetMode="External"/><Relationship Id="rId1015" Type="http://schemas.openxmlformats.org/officeDocument/2006/relationships/hyperlink" Target="https://gobiernobogota-my.sharepoint.com/:b:/g/personal/planeacion_suba_gobiernobogota_gov_co/IQCj7dDkXcuGQrcY6h9i0eU1AQRpdV_Ws183JzECLwdcFPY?e=O4Bj8N" TargetMode="External"/><Relationship Id="rId469" Type="http://schemas.openxmlformats.org/officeDocument/2006/relationships/hyperlink" Target="https://gobiernobogota-my.sharepoint.com/:b:/g/personal/planeacion_suba_gobiernobogota_gov_co/IQAYsvjmE-AOQ4pwjoXpaL49AUltfRQrOPjJ_oiGsXxWs8c?e=seZ5NG" TargetMode="External"/><Relationship Id="rId676" Type="http://schemas.openxmlformats.org/officeDocument/2006/relationships/hyperlink" Target="https://gobiernobogota-my.sharepoint.com/:b:/g/personal/planeacion_suba_gobiernobogota_gov_co/IQAbSLyAFh2xRJr0NhbYbKk2ATKbPTcKyEeZatQ-G_R5UiE?e=uolpOb" TargetMode="External"/><Relationship Id="rId883" Type="http://schemas.openxmlformats.org/officeDocument/2006/relationships/hyperlink" Target="https://gobiernobogota-my.sharepoint.com/:b:/g/personal/planeacion_suba_gobiernobogota_gov_co/IQDYTk8yIYXqSrK7aBvwLZVpAUirmKYtz4DRK9ZvYe2A-G8?e=vCAMwn" TargetMode="External"/><Relationship Id="rId1099" Type="http://schemas.openxmlformats.org/officeDocument/2006/relationships/hyperlink" Target="https://gobiernobogota-my.sharepoint.com/:b:/g/personal/planeacion_suba_gobiernobogota_gov_co/IQAQwRzvwyOGRoadzOfEJbYbAZHcIaYsTNJAlIt0BpMGmxY?e=uCEeS6" TargetMode="External"/><Relationship Id="rId26" Type="http://schemas.openxmlformats.org/officeDocument/2006/relationships/hyperlink" Target="https://gobiernobogota-my.sharepoint.com/:b:/g/personal/planeacion_suba_gobiernobogota_gov_co/IQBQhQEJ73TWTZbL6J9z5LSKAS3GX70b7VJh0PyiiiLHOF4?e=Gw6MUq" TargetMode="External"/><Relationship Id="rId231" Type="http://schemas.openxmlformats.org/officeDocument/2006/relationships/hyperlink" Target="https://gobiernobogota-my.sharepoint.com/:b:/g/personal/planeacion_suba_gobiernobogota_gov_co/IQAPRkPrZAKvTLtcG25cEzViAeS6mFIuwdNuXQQ4Dk8pWGY?e=G2CiUB" TargetMode="External"/><Relationship Id="rId329" Type="http://schemas.openxmlformats.org/officeDocument/2006/relationships/hyperlink" Target="https://gobiernobogota-my.sharepoint.com/:b:/g/personal/planeacion_suba_gobiernobogota_gov_co/IQAmk37I0qGhTZgdKGPZrH-yAWtCpxudeFrynlXrhGNo5yo?e=VXDbwl" TargetMode="External"/><Relationship Id="rId536" Type="http://schemas.openxmlformats.org/officeDocument/2006/relationships/hyperlink" Target="https://gobiernobogota-my.sharepoint.com/:b:/g/personal/planeacion_suba_gobiernobogota_gov_co/IQADC9knk6nNRKJljIOhwk2qAdShpXZmNMX3rXF25hMw_UA?e=dsCZMM" TargetMode="External"/><Relationship Id="rId175" Type="http://schemas.openxmlformats.org/officeDocument/2006/relationships/hyperlink" Target="https://gobiernobogota-my.sharepoint.com/:b:/g/personal/planeacion_suba_gobiernobogota_gov_co/IQAFbApekYTtQLvr-XRJvGjYAZ8mLRPMQq6WW2CK_EoIPjo?e=u1zPXY" TargetMode="External"/><Relationship Id="rId743" Type="http://schemas.openxmlformats.org/officeDocument/2006/relationships/hyperlink" Target="https://gobiernobogota-my.sharepoint.com/:b:/g/personal/planeacion_suba_gobiernobogota_gov_co/IQAQwRzvwyOGRoadzOfEJbYbAZHcIaYsTNJAlIt0BpMGmxY?e=uCEeS6" TargetMode="External"/><Relationship Id="rId950" Type="http://schemas.openxmlformats.org/officeDocument/2006/relationships/hyperlink" Target="https://gobiernobogota-my.sharepoint.com/:b:/g/personal/planeacion_suba_gobiernobogota_gov_co/IQAbSLyAFh2xRJr0NhbYbKk2ATKbPTcKyEeZatQ-G_R5UiE?e=uolpOb" TargetMode="External"/><Relationship Id="rId1026" Type="http://schemas.openxmlformats.org/officeDocument/2006/relationships/hyperlink" Target="https://gobiernobogota-my.sharepoint.com/:b:/g/personal/planeacion_suba_gobiernobogota_gov_co/IQAQwRzvwyOGRoadzOfEJbYbAZHcIaYsTNJAlIt0BpMGmxY?e=uCEeS6" TargetMode="External"/><Relationship Id="rId382" Type="http://schemas.openxmlformats.org/officeDocument/2006/relationships/hyperlink" Target="https://gobiernobogota-my.sharepoint.com/:b:/g/personal/planeacion_suba_gobiernobogota_gov_co/IQBXh6io_0RcTbJer9rD27dvAftEALhK5PU3b2V9PYJePN4?e=eS0mCe" TargetMode="External"/><Relationship Id="rId603" Type="http://schemas.openxmlformats.org/officeDocument/2006/relationships/hyperlink" Target="https://gobiernobogota-my.sharepoint.com/:b:/g/personal/planeacion_suba_gobiernobogota_gov_co/IQAQwRzvwyOGRoadzOfEJbYbAZHcIaYsTNJAlIt0BpMGmxY?e=uCEeS6" TargetMode="External"/><Relationship Id="rId687" Type="http://schemas.openxmlformats.org/officeDocument/2006/relationships/hyperlink" Target="https://gobiernobogota-my.sharepoint.com/:b:/g/personal/planeacion_suba_gobiernobogota_gov_co/IQAQwRzvwyOGRoadzOfEJbYbAZHcIaYsTNJAlIt0BpMGmxY?e=uCEeS6" TargetMode="External"/><Relationship Id="rId810" Type="http://schemas.openxmlformats.org/officeDocument/2006/relationships/hyperlink" Target="https://gobiernobogota-my.sharepoint.com/:b:/g/personal/planeacion_suba_gobiernobogota_gov_co/IQAbSLyAFh2xRJr0NhbYbKk2ATKbPTcKyEeZatQ-G_R5UiE?e=uolpOb" TargetMode="External"/><Relationship Id="rId908" Type="http://schemas.openxmlformats.org/officeDocument/2006/relationships/hyperlink" Target="https://gobiernobogota-my.sharepoint.com/:b:/g/personal/planeacion_suba_gobiernobogota_gov_co/IQC-vvwZ8HAaSJ8YBkjCYFCcAU8H6d5p_ft5x3s6ThZx73U?e=2gXaaZ" TargetMode="External"/><Relationship Id="rId242" Type="http://schemas.openxmlformats.org/officeDocument/2006/relationships/hyperlink" Target="https://gobiernobogota-my.sharepoint.com/:b:/g/personal/planeacion_suba_gobiernobogota_gov_co/IQBLJ1tp1fdzSL9E0QwjjNUSAS7hmaX-o2ET4sUI1GqHxqY?e=mSj00k" TargetMode="External"/><Relationship Id="rId894" Type="http://schemas.openxmlformats.org/officeDocument/2006/relationships/hyperlink" Target="https://gobiernobogota-my.sharepoint.com/:b:/g/personal/planeacion_suba_gobiernobogota_gov_co/IQAqNk9OH4YqRYrGpQFTz-mQAUJEcH9bcRIaZjAS9CMXGqQ?e=atqHG4" TargetMode="External"/><Relationship Id="rId37" Type="http://schemas.openxmlformats.org/officeDocument/2006/relationships/hyperlink" Target="https://gobiernobogota-my.sharepoint.com/:b:/g/personal/planeacion_suba_gobiernobogota_gov_co/IQAPRkPrZAKvTLtcG25cEzViAeS6mFIuwdNuXQQ4Dk8pWGY?e=5nrRxu" TargetMode="External"/><Relationship Id="rId102" Type="http://schemas.openxmlformats.org/officeDocument/2006/relationships/hyperlink" Target="https://gobiernobogota-my.sharepoint.com/:b:/g/personal/planeacion_suba_gobiernobogota_gov_co/IQDG6CuEuRGvQ5YJvpy6WQFyAbM_CG5G3zgmwpBT60hsIOM?e=YwZFoe" TargetMode="External"/><Relationship Id="rId547" Type="http://schemas.openxmlformats.org/officeDocument/2006/relationships/hyperlink" Target="https://gobiernobogota-my.sharepoint.com/:b:/g/personal/planeacion_suba_gobiernobogota_gov_co/IQC0sBP3QYrPTbpkPkr2gHiiASsJpQgkQUefhHVSmyxMyGI?e=gggiVB" TargetMode="External"/><Relationship Id="rId754" Type="http://schemas.openxmlformats.org/officeDocument/2006/relationships/hyperlink" Target="https://gobiernobogota-my.sharepoint.com/:b:/g/personal/planeacion_suba_gobiernobogota_gov_co/IQD-A7LsnsM5SKCECAS3pQrQAeznPA5nZS9K_jpppz9-ax4?e=2C2VdL" TargetMode="External"/><Relationship Id="rId961" Type="http://schemas.openxmlformats.org/officeDocument/2006/relationships/hyperlink" Target="https://gobiernobogota-my.sharepoint.com/:b:/g/personal/planeacion_suba_gobiernobogota_gov_co/IQAQwRzvwyOGRoadzOfEJbYbAZHcIaYsTNJAlIt0BpMGmxY?e=uCEeS6" TargetMode="External"/><Relationship Id="rId90" Type="http://schemas.openxmlformats.org/officeDocument/2006/relationships/hyperlink" Target="https://gobiernobogota-my.sharepoint.com/:b:/g/personal/planeacion_suba_gobiernobogota_gov_co/IQCL7cPCcSsTT5UF1nHE8URtAXYkprtiKZncaY-gVFrfBcU?e=9k4Mqv" TargetMode="External"/><Relationship Id="rId186" Type="http://schemas.openxmlformats.org/officeDocument/2006/relationships/hyperlink" Target="https://gobiernobogota-my.sharepoint.com/:b:/g/personal/planeacion_suba_gobiernobogota_gov_co/IQD1zkbdpCy1QYokdt5xpQbNAbz_7NPCt8bPYBAqgMxeFwc?e=jrYw3M" TargetMode="External"/><Relationship Id="rId393" Type="http://schemas.openxmlformats.org/officeDocument/2006/relationships/hyperlink" Target="https://gobiernobogota-my.sharepoint.com/:b:/g/personal/planeacion_suba_gobiernobogota_gov_co/IQA6XZ-gkoxiSKnk6aiVgSCEAawLKwlfM0IroQr3uACmZ9k?e=HVYTcl" TargetMode="External"/><Relationship Id="rId407" Type="http://schemas.openxmlformats.org/officeDocument/2006/relationships/hyperlink" Target="https://gobiernobogota-my.sharepoint.com/:b:/g/personal/planeacion_suba_gobiernobogota_gov_co/IQCyA10LkQHjRbpaxdAnmhPDAXpC1OcuVN3A6MnbV1GIUkM?e=HCHfKq" TargetMode="External"/><Relationship Id="rId614" Type="http://schemas.openxmlformats.org/officeDocument/2006/relationships/hyperlink" Target="https://gobiernobogota-my.sharepoint.com/:b:/g/personal/planeacion_suba_gobiernobogota_gov_co/IQADC9knk6nNRKJljIOhwk2qAdShpXZmNMX3rXF25hMw_UA?e=dsCZMM" TargetMode="External"/><Relationship Id="rId821" Type="http://schemas.openxmlformats.org/officeDocument/2006/relationships/hyperlink" Target="https://gobiernobogota-my.sharepoint.com/:b:/g/personal/planeacion_suba_gobiernobogota_gov_co/IQAQwRzvwyOGRoadzOfEJbYbAZHcIaYsTNJAlIt0BpMGmxY?e=uCEeS6" TargetMode="External"/><Relationship Id="rId1037" Type="http://schemas.openxmlformats.org/officeDocument/2006/relationships/hyperlink" Target="https://gobiernobogota-my.sharepoint.com/:b:/g/personal/planeacion_suba_gobiernobogota_gov_co/IQAQwRzvwyOGRoadzOfEJbYbAZHcIaYsTNJAlIt0BpMGmxY?e=uCEeS6" TargetMode="External"/><Relationship Id="rId253" Type="http://schemas.openxmlformats.org/officeDocument/2006/relationships/hyperlink" Target="https://gobiernobogota-my.sharepoint.com/:b:/g/personal/planeacion_suba_gobiernobogota_gov_co/IQC3n1-3qJZ2SKpVvajWPoLpAeMYPbBWFvEmTo3r_WNO_U0?e=TgI0ZS" TargetMode="External"/><Relationship Id="rId460" Type="http://schemas.openxmlformats.org/officeDocument/2006/relationships/hyperlink" Target="https://gobiernobogota-my.sharepoint.com/:b:/g/personal/planeacion_suba_gobiernobogota_gov_co/IQBI0yEyQXgwQ6mCSOWe2EEQAbsvr7zDXzRyghixX0dftHE?e=fojtoe" TargetMode="External"/><Relationship Id="rId698" Type="http://schemas.openxmlformats.org/officeDocument/2006/relationships/hyperlink" Target="https://gobiernobogota-my.sharepoint.com/:b:/g/personal/planeacion_suba_gobiernobogota_gov_co/IQADC9knk6nNRKJljIOhwk2qAdShpXZmNMX3rXF25hMw_UA?e=dsCZMM" TargetMode="External"/><Relationship Id="rId919" Type="http://schemas.openxmlformats.org/officeDocument/2006/relationships/hyperlink" Target="https://gobiernobogota-my.sharepoint.com/:b:/g/personal/planeacion_suba_gobiernobogota_gov_co/IQAbSLyAFh2xRJr0NhbYbKk2ATKbPTcKyEeZatQ-G_R5UiE?e=uolpOb" TargetMode="External"/><Relationship Id="rId1090" Type="http://schemas.openxmlformats.org/officeDocument/2006/relationships/hyperlink" Target="https://gobiernobogota-my.sharepoint.com/:b:/g/personal/planeacion_suba_gobiernobogota_gov_co/IQAQwRzvwyOGRoadzOfEJbYbAZHcIaYsTNJAlIt0BpMGmxY?e=uCEeS6" TargetMode="External"/><Relationship Id="rId1104" Type="http://schemas.openxmlformats.org/officeDocument/2006/relationships/hyperlink" Target="https://gobiernobogota-my.sharepoint.com/:b:/g/personal/planeacion_suba_gobiernobogota_gov_co/IQADC9knk6nNRKJljIOhwk2qAdShpXZmNMX3rXF25hMw_UA?e=dsCZMM" TargetMode="External"/><Relationship Id="rId48" Type="http://schemas.openxmlformats.org/officeDocument/2006/relationships/hyperlink" Target="https://gobiernobogota-my.sharepoint.com/:b:/g/personal/planeacion_suba_gobiernobogota_gov_co/IQBWOzfWvY2qR5XeKQ78dAVuAVSzA7TEHZaFqKchYbEhyqU?e=gPP2uO" TargetMode="External"/><Relationship Id="rId113" Type="http://schemas.openxmlformats.org/officeDocument/2006/relationships/hyperlink" Target="https://gobiernobogota-my.sharepoint.com/:b:/g/personal/sandra_tamayo_gobiernobogota_gov_co/IQCkOaz1yHOuToRvK9EuzFM_AVlwb909dArK0rFEryddnDg?e=nMXeXU" TargetMode="External"/><Relationship Id="rId320" Type="http://schemas.openxmlformats.org/officeDocument/2006/relationships/hyperlink" Target="https://gobiernobogota-my.sharepoint.com/:b:/g/personal/planeacion_suba_gobiernobogota_gov_co/IQB-8zDE5cVJSKp7KgQCJacRASMfo-8heGHl9aGn6EQ0SOw?e=S4mbq7" TargetMode="External"/><Relationship Id="rId558" Type="http://schemas.openxmlformats.org/officeDocument/2006/relationships/hyperlink" Target="https://gobiernobogota-my.sharepoint.com/:b:/g/personal/planeacion_suba_gobiernobogota_gov_co/IQBLOKQZI52RRYzlMc0IDcUfAfaPvHWc84l4wynUf1J19ZA?e=g0rO3c" TargetMode="External"/><Relationship Id="rId765" Type="http://schemas.openxmlformats.org/officeDocument/2006/relationships/hyperlink" Target="https://gobiernobogota-my.sharepoint.com/:b:/g/personal/planeacion_suba_gobiernobogota_gov_co/IQAbSLyAFh2xRJr0NhbYbKk2ATKbPTcKyEeZatQ-G_R5UiE?e=uolpOb" TargetMode="External"/><Relationship Id="rId972" Type="http://schemas.openxmlformats.org/officeDocument/2006/relationships/hyperlink" Target="https://gobiernobogota-my.sharepoint.com/:b:/g/personal/planeacion_suba_gobiernobogota_gov_co/IQADC9knk6nNRKJljIOhwk2qAdShpXZmNMX3rXF25hMw_UA?e=dsCZMM" TargetMode="External"/><Relationship Id="rId197" Type="http://schemas.openxmlformats.org/officeDocument/2006/relationships/hyperlink" Target="https://gobiernobogota-my.sharepoint.com/:b:/g/personal/planeacion_suba_gobiernobogota_gov_co/IQCi78YY2-TjRLQ_7bW1lMp9AeBoR_uZQ6GfrDl8b6LSBT8?e=NejotI" TargetMode="External"/><Relationship Id="rId418" Type="http://schemas.openxmlformats.org/officeDocument/2006/relationships/hyperlink" Target="https://gobiernobogota-my.sharepoint.com/:b:/g/personal/planeacion_suba_gobiernobogota_gov_co/IQC8aZx2NnlWQJELsizfgLSjAd7eqfeZXr7cjHi5SHEC9sI?e=UN3jEI" TargetMode="External"/><Relationship Id="rId625" Type="http://schemas.openxmlformats.org/officeDocument/2006/relationships/hyperlink" Target="https://gobiernobogota-my.sharepoint.com/:b:/g/personal/planeacion_suba_gobiernobogota_gov_co/IQAbSLyAFh2xRJr0NhbYbKk2ATKbPTcKyEeZatQ-G_R5UiE?e=uolpOb" TargetMode="External"/><Relationship Id="rId832" Type="http://schemas.openxmlformats.org/officeDocument/2006/relationships/hyperlink" Target="https://gobiernobogota-my.sharepoint.com/:b:/g/personal/planeacion_suba_gobiernobogota_gov_co/IQADC9knk6nNRKJljIOhwk2qAdShpXZmNMX3rXF25hMw_UA?e=dsCZMM" TargetMode="External"/><Relationship Id="rId1048" Type="http://schemas.openxmlformats.org/officeDocument/2006/relationships/hyperlink" Target="https://gobiernobogota-my.sharepoint.com/:b:/g/personal/planeacion_suba_gobiernobogota_gov_co/IQBLOKQZI52RRYzlMc0IDcUfAfaPvHWc84l4wynUf1J19ZA?e=g0rO3c" TargetMode="External"/><Relationship Id="rId264" Type="http://schemas.openxmlformats.org/officeDocument/2006/relationships/hyperlink" Target="https://gobiernobogota-my.sharepoint.com/:b:/g/personal/planeacion_suba_gobiernobogota_gov_co/IQC3n1-3qJZ2SKpVvajWPoLpAeMYPbBWFvEmTo3r_WNO_U0?e=1Xsmk1" TargetMode="External"/><Relationship Id="rId471" Type="http://schemas.openxmlformats.org/officeDocument/2006/relationships/hyperlink" Target="https://gobiernobogota-my.sharepoint.com/:b:/g/personal/planeacion_suba_gobiernobogota_gov_co/IQAsR1WYnRwzSL9U4pmW7SKrAflHwR_YiLW-dSI9sbx2-eo?e=h3Euzr" TargetMode="External"/><Relationship Id="rId1115" Type="http://schemas.openxmlformats.org/officeDocument/2006/relationships/hyperlink" Target="https://gobiernobogota-my.sharepoint.com/:b:/g/personal/planeacion_suba_gobiernobogota_gov_co/IQAbSLyAFh2xRJr0NhbYbKk2ATKbPTcKyEeZatQ-G_R5UiE?e=uolpOb" TargetMode="External"/><Relationship Id="rId59" Type="http://schemas.openxmlformats.org/officeDocument/2006/relationships/hyperlink" Target="https://gobiernobogota-my.sharepoint.com/:b:/g/personal/planeacion_suba_gobiernobogota_gov_co/IQBAm65oxyc0T6t-hkwmZdHRASZSGbvU_iS39qtovXnWWb0?e=plUu2y" TargetMode="External"/><Relationship Id="rId124" Type="http://schemas.openxmlformats.org/officeDocument/2006/relationships/hyperlink" Target="https://gobiernobogota-my.sharepoint.com/:b:/g/personal/planeacion_suba_gobiernobogota_gov_co/IQBLJ1tp1fdzSL9E0QwjjNUSAS7hmaX-o2ET4sUI1GqHxqY?e=xIOJOJ" TargetMode="External"/><Relationship Id="rId569" Type="http://schemas.openxmlformats.org/officeDocument/2006/relationships/hyperlink" Target="https://gobiernobogota-my.sharepoint.com/:b:/g/personal/planeacion_suba_gobiernobogota_gov_co/IQAdNbHhHoSFRZPl3NAbp1h0AYuZ3Bz7MMTUx8XO33oQzsw?e=WagBXn" TargetMode="External"/><Relationship Id="rId776" Type="http://schemas.openxmlformats.org/officeDocument/2006/relationships/hyperlink" Target="https://gobiernobogota-my.sharepoint.com/:b:/g/personal/planeacion_suba_gobiernobogota_gov_co/IQCok6SIWdA3R5RQoMNCzBIRAetPIxe1IjK9foAFX01Hg1E?e=Oxmd9y" TargetMode="External"/><Relationship Id="rId983" Type="http://schemas.openxmlformats.org/officeDocument/2006/relationships/hyperlink" Target="https://gobiernobogota-my.sharepoint.com/:b:/g/personal/planeacion_suba_gobiernobogota_gov_co/IQDmXPOW9uenSJ7vn33T6rZDAfTQfDAonniU_2H-KJf5Xlc?e=zPkylU" TargetMode="External"/><Relationship Id="rId331" Type="http://schemas.openxmlformats.org/officeDocument/2006/relationships/hyperlink" Target="https://gobiernobogota-my.sharepoint.com/:b:/g/personal/planeacion_suba_gobiernobogota_gov_co/IQDf44K_e-byQbI4bgT9lM9AAQvRsujJ9Omyjb1eLxMqujs?e=yCC9hN" TargetMode="External"/><Relationship Id="rId429" Type="http://schemas.openxmlformats.org/officeDocument/2006/relationships/hyperlink" Target="https://gobiernobogota-my.sharepoint.com/:b:/g/personal/planeacion_suba_gobiernobogota_gov_co/IQC3n1-3qJZ2SKpVvajWPoLpAeMYPbBWFvEmTo3r_WNO_U0?e=HKfLdq" TargetMode="External"/><Relationship Id="rId636" Type="http://schemas.openxmlformats.org/officeDocument/2006/relationships/hyperlink" Target="https://gobiernobogota-my.sharepoint.com/:b:/g/personal/planeacion_suba_gobiernobogota_gov_co/IQCok6SIWdA3R5RQoMNCzBIRAetPIxe1IjK9foAFX01Hg1E?e=Oxmd9y" TargetMode="External"/><Relationship Id="rId1059" Type="http://schemas.openxmlformats.org/officeDocument/2006/relationships/hyperlink" Target="https://gobiernobogota-my.sharepoint.com/:b:/g/personal/planeacion_suba_gobiernobogota_gov_co/IQA-9_E8dvELRqqtWDPH6PBrARFeaZ9OfDK_viqSX85HIuM?e=ZKJVSF" TargetMode="External"/><Relationship Id="rId843" Type="http://schemas.openxmlformats.org/officeDocument/2006/relationships/hyperlink" Target="https://gobiernobogota-my.sharepoint.com/:b:/g/personal/planeacion_suba_gobiernobogota_gov_co/IQDbt3deLk8nSZQ_LjauPbnDAaDjznHH81TYf-4nVcdE6As?e=mdKLQC" TargetMode="External"/><Relationship Id="rId275" Type="http://schemas.openxmlformats.org/officeDocument/2006/relationships/hyperlink" Target="https://gobiernobogota-my.sharepoint.com/:b:/g/personal/planeacion_suba_gobiernobogota_gov_co/IQDySv-pwXZcT7Lj1_MN1JMBAWHXjis4PIG3wnlCIV3tIBM?e=vrmW0H" TargetMode="External"/><Relationship Id="rId482" Type="http://schemas.openxmlformats.org/officeDocument/2006/relationships/hyperlink" Target="https://gobiernobogota-my.sharepoint.com/:b:/g/personal/planeacion_suba_gobiernobogota_gov_co/IQChthCu6jRQRKiBHfkua-WjAe9OIeoe0qNoAAK9KUpQTvI?e=g8HYBd" TargetMode="External"/><Relationship Id="rId703" Type="http://schemas.openxmlformats.org/officeDocument/2006/relationships/hyperlink" Target="https://gobiernobogota-my.sharepoint.com/:b:/g/personal/planeacion_suba_gobiernobogota_gov_co/IQAbSLyAFh2xRJr0NhbYbKk2ATKbPTcKyEeZatQ-G_R5UiE?e=uolpOb" TargetMode="External"/><Relationship Id="rId910" Type="http://schemas.openxmlformats.org/officeDocument/2006/relationships/hyperlink" Target="https://gobiernobogota-my.sharepoint.com/:b:/g/personal/planeacion_suba_gobiernobogota_gov_co/IQApp1JHMlK5Rps6m3EljI-NARevX55YVfE28Zsyj3h0Yy0?e=sJhR77" TargetMode="External"/><Relationship Id="rId135" Type="http://schemas.openxmlformats.org/officeDocument/2006/relationships/hyperlink" Target="https://gobiernobogota-my.sharepoint.com/:b:/g/personal/planeacion_suba_gobiernobogota_gov_co/IQCgm5YiE5_kQ5TMDogZTJv7AV1RW44CV7mB7C1aXXqSRvs?e=WNCOYl" TargetMode="External"/><Relationship Id="rId342" Type="http://schemas.openxmlformats.org/officeDocument/2006/relationships/hyperlink" Target="https://gobiernobogota-my.sharepoint.com/:b:/g/personal/planeacion_suba_gobiernobogota_gov_co/IQDMb7zDnZvgSIT6O8TvxCnaAXhviGQRNqirZ9TaiX8MtJA?e=JOwCpk" TargetMode="External"/><Relationship Id="rId787" Type="http://schemas.openxmlformats.org/officeDocument/2006/relationships/hyperlink" Target="https://gobiernobogota-my.sharepoint.com/:b:/g/personal/planeacion_suba_gobiernobogota_gov_co/IQBLOKQZI52RRYzlMc0IDcUfAfaPvHWc84l4wynUf1J19ZA?e=g0rO3c" TargetMode="External"/><Relationship Id="rId994" Type="http://schemas.openxmlformats.org/officeDocument/2006/relationships/hyperlink" Target="https://gobiernobogota-my.sharepoint.com/:b:/g/personal/planeacion_suba_gobiernobogota_gov_co/IQAbSLyAFh2xRJr0NhbYbKk2ATKbPTcKyEeZatQ-G_R5UiE?e=uolpOb" TargetMode="External"/><Relationship Id="rId202" Type="http://schemas.openxmlformats.org/officeDocument/2006/relationships/hyperlink" Target="https://gobiernobogota-my.sharepoint.com/:b:/g/personal/planeacion_suba_gobiernobogota_gov_co/IQCGY5FmPQMEQat67x9F4KrNAVCBpchAvRj6_Mtzv174HZY?e=JEbFCR" TargetMode="External"/><Relationship Id="rId647" Type="http://schemas.openxmlformats.org/officeDocument/2006/relationships/hyperlink" Target="https://gobiernobogota-my.sharepoint.com/:b:/g/personal/planeacion_suba_gobiernobogota_gov_co/IQADC9knk6nNRKJljIOhwk2qAdShpXZmNMX3rXF25hMw_UA?e=dsCZMM" TargetMode="External"/><Relationship Id="rId854" Type="http://schemas.openxmlformats.org/officeDocument/2006/relationships/hyperlink" Target="https://gobiernobogota-my.sharepoint.com/:b:/g/personal/planeacion_suba_gobiernobogota_gov_co/IQAQwRzvwyOGRoadzOfEJbYbAZHcIaYsTNJAlIt0BpMGmxY?e=uCEeS6" TargetMode="External"/><Relationship Id="rId286" Type="http://schemas.openxmlformats.org/officeDocument/2006/relationships/hyperlink" Target="https://gobiernobogota-my.sharepoint.com/:b:/g/personal/planeacion_suba_gobiernobogota_gov_co/IQC3n1-3qJZ2SKpVvajWPoLpAeMYPbBWFvEmTo3r_WNO_U0?e=cJDieg" TargetMode="External"/><Relationship Id="rId493" Type="http://schemas.openxmlformats.org/officeDocument/2006/relationships/hyperlink" Target="https://gobiernobogota-my.sharepoint.com/:b:/g/personal/planeacion_suba_gobiernobogota_gov_co/IQCX5R01gnI3QLPk49hsK0lpAXaK-OSVtPGApsy1wuJ-x1s?e=X6CBQ2" TargetMode="External"/><Relationship Id="rId507" Type="http://schemas.openxmlformats.org/officeDocument/2006/relationships/hyperlink" Target="https://gobiernobogota-my.sharepoint.com/:b:/g/personal/planeacion_suba_gobiernobogota_gov_co/IQBSpONVnPNeSoPDll4PD2_2AV1NMWIia4farmkcNCrXI-Q?e=I4m9Bh" TargetMode="External"/><Relationship Id="rId714" Type="http://schemas.openxmlformats.org/officeDocument/2006/relationships/hyperlink" Target="https://gobiernobogota-my.sharepoint.com/:b:/g/personal/planeacion_suba_gobiernobogota_gov_co/IQCok6SIWdA3R5RQoMNCzBIRAetPIxe1IjK9foAFX01Hg1E?e=Oxmd9y" TargetMode="External"/><Relationship Id="rId921" Type="http://schemas.openxmlformats.org/officeDocument/2006/relationships/hyperlink" Target="https://gobiernobogota-my.sharepoint.com/:b:/g/personal/planeacion_suba_gobiernobogota_gov_co/IQADC9knk6nNRKJljIOhwk2qAdShpXZmNMX3rXF25hMw_UA?e=dsCZMM" TargetMode="External"/><Relationship Id="rId50" Type="http://schemas.openxmlformats.org/officeDocument/2006/relationships/hyperlink" Target="https://gobiernobogota-my.sharepoint.com/:b:/g/personal/planeacion_suba_gobiernobogota_gov_co/IQAPRkPrZAKvTLtcG25cEzViAeS6mFIuwdNuXQQ4Dk8pWGY?e=5nrRxu" TargetMode="External"/><Relationship Id="rId146" Type="http://schemas.openxmlformats.org/officeDocument/2006/relationships/hyperlink" Target="https://gobiernobogota-my.sharepoint.com/:b:/g/personal/planeacion_suba_gobiernobogota_gov_co/IQCgm5YiE5_kQ5TMDogZTJv7AV1RW44CV7mB7C1aXXqSRvs?e=TfUOvB" TargetMode="External"/><Relationship Id="rId353" Type="http://schemas.openxmlformats.org/officeDocument/2006/relationships/hyperlink" Target="https://gobiernobogota-my.sharepoint.com/:b:/g/personal/sandra_tamayo_gobiernobogota_gov_co/IQBjTkxVaG7tSZ2JdDfsvt53AUgI_XCQNVZqd3ocKvLkekA?e=SDKlYi" TargetMode="External"/><Relationship Id="rId560" Type="http://schemas.openxmlformats.org/officeDocument/2006/relationships/hyperlink" Target="https://gobiernobogota-my.sharepoint.com/:b:/g/personal/planeacion_suba_gobiernobogota_gov_co/IQANAZuKvN_2S6UlxYJaCYxiAXEoZXX3rPoS4RJXTXNt03U?e=VB6Aj3" TargetMode="External"/><Relationship Id="rId798" Type="http://schemas.openxmlformats.org/officeDocument/2006/relationships/hyperlink" Target="https://gobiernobogota-my.sharepoint.com/:b:/g/personal/planeacion_suba_gobiernobogota_gov_co/IQAbSLyAFh2xRJr0NhbYbKk2ATKbPTcKyEeZatQ-G_R5UiE?e=uolpOb" TargetMode="External"/><Relationship Id="rId213" Type="http://schemas.openxmlformats.org/officeDocument/2006/relationships/hyperlink" Target="https://gobiernobogota-my.sharepoint.com/:b:/g/personal/planeacion_suba_gobiernobogota_gov_co/IQD6pg_K_eDXQrbt-LKIwIiGAbkHKwOBLA5o2-fMXwYUxuE?e=0pwCYn" TargetMode="External"/><Relationship Id="rId420" Type="http://schemas.openxmlformats.org/officeDocument/2006/relationships/hyperlink" Target="https://gobiernobogota-my.sharepoint.com/:b:/g/personal/planeacion_suba_gobiernobogota_gov_co/IQBBu4dnf9PkSYwhrQsa2XYcASFuORQjOSLHBBlK7dsYuzY?e=odT6R7" TargetMode="External"/><Relationship Id="rId658" Type="http://schemas.openxmlformats.org/officeDocument/2006/relationships/hyperlink" Target="https://gobiernobogota-my.sharepoint.com/:b:/g/personal/planeacion_suba_gobiernobogota_gov_co/IQB9Oy6TtDaFQbZE_bLXy3GYAYuwsC0yfNa25dN4sEE5eqI?e=dXA3na" TargetMode="External"/><Relationship Id="rId865" Type="http://schemas.openxmlformats.org/officeDocument/2006/relationships/hyperlink" Target="https://gobiernobogota-my.sharepoint.com/:b:/g/personal/planeacion_suba_gobiernobogota_gov_co/IQBLOKQZI52RRYzlMc0IDcUfAfaPvHWc84l4wynUf1J19ZA?e=g0rO3c" TargetMode="External"/><Relationship Id="rId1050" Type="http://schemas.openxmlformats.org/officeDocument/2006/relationships/hyperlink" Target="https://gobiernobogota-my.sharepoint.com/:b:/g/personal/planeacion_suba_gobiernobogota_gov_co/IQCok6SIWdA3R5RQoMNCzBIRAetPIxe1IjK9foAFX01Hg1E?e=Oxmd9y" TargetMode="External"/><Relationship Id="rId297" Type="http://schemas.openxmlformats.org/officeDocument/2006/relationships/hyperlink" Target="https://gobiernobogota-my.sharepoint.com/:b:/g/personal/planeacion_suba_gobiernobogota_gov_co/IQDMZ0T9mSVxRKfzq21QstZzAUDlBRHMMr71r81ynqwr9wc?e=GwTjSx" TargetMode="External"/><Relationship Id="rId518" Type="http://schemas.openxmlformats.org/officeDocument/2006/relationships/hyperlink" Target="https://gobiernobogota-my.sharepoint.com/:b:/g/personal/planeacion_suba_gobiernobogota_gov_co/IQDwWsLvHCHGTJUhWmjmQBI5AcrrUkQ47FNBlYt982BYyGw?e=lyB0ee" TargetMode="External"/><Relationship Id="rId725" Type="http://schemas.openxmlformats.org/officeDocument/2006/relationships/hyperlink" Target="https://gobiernobogota-my.sharepoint.com/:b:/g/personal/planeacion_suba_gobiernobogota_gov_co/IQAQwRzvwyOGRoadzOfEJbYbAZHcIaYsTNJAlIt0BpMGmxY?e=uCEeS6" TargetMode="External"/><Relationship Id="rId932" Type="http://schemas.openxmlformats.org/officeDocument/2006/relationships/hyperlink" Target="https://gobiernobogota-my.sharepoint.com/:b:/g/personal/planeacion_suba_gobiernobogota_gov_co/IQAbSLyAFh2xRJr0NhbYbKk2ATKbPTcKyEeZatQ-G_R5UiE?e=uolpOb" TargetMode="External"/><Relationship Id="rId157" Type="http://schemas.openxmlformats.org/officeDocument/2006/relationships/hyperlink" Target="https://gobiernobogota-my.sharepoint.com/:b:/g/personal/planeacion_suba_gobiernobogota_gov_co/IQD6Mww9usksQ4e0zP0NbryWAUGp94GVBvrqe-TGMF1HK2g?e=G2MjHl" TargetMode="External"/><Relationship Id="rId364" Type="http://schemas.openxmlformats.org/officeDocument/2006/relationships/hyperlink" Target="https://gobiernobogota-my.sharepoint.com/:b:/g/personal/planeacion_suba_gobiernobogota_gov_co/IQAPRkPrZAKvTLtcG25cEzViAeS6mFIuwdNuXQQ4Dk8pWGY?e=5nrRxu" TargetMode="External"/><Relationship Id="rId1008" Type="http://schemas.openxmlformats.org/officeDocument/2006/relationships/hyperlink" Target="https://gobiernobogota-my.sharepoint.com/:b:/g/personal/planeacion_suba_gobiernobogota_gov_co/IQCX5R01gnI3QLPk49hsK0lpAXaK-OSVtPGApsy1wuJ-x1s?e=X6CBQ2" TargetMode="External"/><Relationship Id="rId61" Type="http://schemas.openxmlformats.org/officeDocument/2006/relationships/hyperlink" Target="https://gobiernobogota-my.sharepoint.com/:b:/g/personal/planeacion_suba_gobiernobogota_gov_co/IQCdkMR8tqp8Q69vbzhAH616AQ_61I5Y1Hm_kEo8HVOdGQ0?e=PORaoV" TargetMode="External"/><Relationship Id="rId571" Type="http://schemas.openxmlformats.org/officeDocument/2006/relationships/hyperlink" Target="https://gobiernobogota-my.sharepoint.com/:b:/g/personal/planeacion_suba_gobiernobogota_gov_co/IQCX5R01gnI3QLPk49hsK0lpAXaK-OSVtPGApsy1wuJ-x1s?e=X6CBQ2" TargetMode="External"/><Relationship Id="rId669" Type="http://schemas.openxmlformats.org/officeDocument/2006/relationships/hyperlink" Target="https://gobiernobogota-my.sharepoint.com/:b:/g/personal/planeacion_suba_gobiernobogota_gov_co/IQAQwRzvwyOGRoadzOfEJbYbAZHcIaYsTNJAlIt0BpMGmxY?e=uCEeS6" TargetMode="External"/><Relationship Id="rId876" Type="http://schemas.openxmlformats.org/officeDocument/2006/relationships/hyperlink" Target="https://gobiernobogota-my.sharepoint.com/:b:/g/personal/planeacion_suba_gobiernobogota_gov_co/IQB4hctyLRNlQZgotyYSZAsiAQjo_cPqtgY9DyT4ZfGF1jE?e=gRjqXS" TargetMode="External"/><Relationship Id="rId19" Type="http://schemas.openxmlformats.org/officeDocument/2006/relationships/hyperlink" Target="https://gobiernobogota-my.sharepoint.com/:b:/g/personal/planeacion_suba_gobiernobogota_gov_co/IQAkdt3wFtcvQb4h71-vpD8TAbOsEE6ey0MDP81BnCJFFP8?e=7lXf6t" TargetMode="External"/><Relationship Id="rId224" Type="http://schemas.openxmlformats.org/officeDocument/2006/relationships/hyperlink" Target="https://gobiernobogota-my.sharepoint.com/:b:/g/personal/planeacion_suba_gobiernobogota_gov_co/IQDYfz7BCezNT5jcCSdluleDAY3bI6UPbxERGDBiY4eb9dI?e=95vbkE" TargetMode="External"/><Relationship Id="rId431" Type="http://schemas.openxmlformats.org/officeDocument/2006/relationships/hyperlink" Target="https://gobiernobogota-my.sharepoint.com/:b:/g/personal/planeacion_suba_gobiernobogota_gov_co/IQA6NszVNqoxSpVRkdgh-EZsAdRsu4NGBVTaUGaa2df55MA?e=HccZlx" TargetMode="External"/><Relationship Id="rId529" Type="http://schemas.openxmlformats.org/officeDocument/2006/relationships/hyperlink" Target="https://gobiernobogota-my.sharepoint.com/:b:/g/personal/planeacion_suba_gobiernobogota_gov_co/IQBjo9_ahs2_QLj5mwsgnlmNAb5h9MAC0cjl0s22K2xVGE8?e=fRqmcA" TargetMode="External"/><Relationship Id="rId736" Type="http://schemas.openxmlformats.org/officeDocument/2006/relationships/hyperlink" Target="https://gobiernobogota-my.sharepoint.com/:b:/g/personal/planeacion_suba_gobiernobogota_gov_co/IQBLOKQZI52RRYzlMc0IDcUfAfaPvHWc84l4wynUf1J19ZA?e=g0rO3c" TargetMode="External"/><Relationship Id="rId1061" Type="http://schemas.openxmlformats.org/officeDocument/2006/relationships/hyperlink" Target="https://gobiernobogota-my.sharepoint.com/:b:/g/personal/planeacion_suba_gobiernobogota_gov_co/IQC3CtXhH3ZmQYshROrzLrP3ARys1xLKJjgjttR-S0vfZks?e=S0EX8q" TargetMode="External"/><Relationship Id="rId168" Type="http://schemas.openxmlformats.org/officeDocument/2006/relationships/hyperlink" Target="https://gobiernobogota-my.sharepoint.com/:b:/g/personal/planeacion_suba_gobiernobogota_gov_co/IQBuOzStr3VOSrJVUh9Xj5TjAQ0tYcBuK8ryjmQQPMTnx0g?e=uQFfi3" TargetMode="External"/><Relationship Id="rId943" Type="http://schemas.openxmlformats.org/officeDocument/2006/relationships/hyperlink" Target="https://gobiernobogota-my.sharepoint.com/:b:/g/personal/planeacion_suba_gobiernobogota_gov_co/IQAQwRzvwyOGRoadzOfEJbYbAZHcIaYsTNJAlIt0BpMGmxY?e=uCEeS6" TargetMode="External"/><Relationship Id="rId1019" Type="http://schemas.openxmlformats.org/officeDocument/2006/relationships/hyperlink" Target="https://gobiernobogota-my.sharepoint.com/:b:/g/personal/planeacion_suba_gobiernobogota_gov_co/IQADC9knk6nNRKJljIOhwk2qAdShpXZmNMX3rXF25hMw_UA?e=dsCZMM" TargetMode="External"/><Relationship Id="rId72" Type="http://schemas.openxmlformats.org/officeDocument/2006/relationships/hyperlink" Target="https://gobiernobogota-my.sharepoint.com/:b:/g/personal/planeacion_suba_gobiernobogota_gov_co/IQBz2CKObcGQQ7tlyKeMS_LyAYgcIzBGx3HfmbaEMW7eKes?e=Y32qrI" TargetMode="External"/><Relationship Id="rId375" Type="http://schemas.openxmlformats.org/officeDocument/2006/relationships/hyperlink" Target="https://gobiernobogota-my.sharepoint.com/:b:/g/personal/planeacion_suba_gobiernobogota_gov_co/IQDMZ0T9mSVxRKfzq21QstZzAUDlBRHMMr71r81ynqwr9wc?e=GwTjSx" TargetMode="External"/><Relationship Id="rId582" Type="http://schemas.openxmlformats.org/officeDocument/2006/relationships/hyperlink" Target="https://gobiernobogota-my.sharepoint.com/:b:/g/personal/planeacion_suba_gobiernobogota_gov_co/IQCZJ-qF4bucQZeZxXml6rTqAS9myOQWucEEi8fkJJVRsOU?e=Q4LpgX" TargetMode="External"/><Relationship Id="rId803" Type="http://schemas.openxmlformats.org/officeDocument/2006/relationships/hyperlink" Target="https://gobiernobogota-my.sharepoint.com/:b:/g/personal/planeacion_suba_gobiernobogota_gov_co/IQAQwRzvwyOGRoadzOfEJbYbAZHcIaYsTNJAlIt0BpMGmxY?e=uCEeS6" TargetMode="External"/><Relationship Id="rId3" Type="http://schemas.openxmlformats.org/officeDocument/2006/relationships/hyperlink" Target="https://gobiernobogota-my.sharepoint.com/:b:/g/personal/planeacion_suba_gobiernobogota_gov_co/IQBQhQEJ73TWTZbL6J9z5LSKAS3GX70b7VJh0PyiiiLHOF4?e=6a2p7d" TargetMode="External"/><Relationship Id="rId235" Type="http://schemas.openxmlformats.org/officeDocument/2006/relationships/hyperlink" Target="https://gobiernobogota-my.sharepoint.com/:b:/g/personal/planeacion_suba_gobiernobogota_gov_co/IQBLJ1tp1fdzSL9E0QwjjNUSAS7hmaX-o2ET4sUI1GqHxqY?e=85qjEM" TargetMode="External"/><Relationship Id="rId442" Type="http://schemas.openxmlformats.org/officeDocument/2006/relationships/hyperlink" Target="https://gobiernobogota-my.sharepoint.com/:b:/g/personal/planeacion_suba_gobiernobogota_gov_co/IQAvlSsQYsmbSqLjzq7sdPsgAfC16aitobxG_B4RxSGzdKU?e=4W3Tz3" TargetMode="External"/><Relationship Id="rId887" Type="http://schemas.openxmlformats.org/officeDocument/2006/relationships/hyperlink" Target="https://gobiernobogota-my.sharepoint.com/:b:/g/personal/planeacion_suba_gobiernobogota_gov_co/IQAS7srwl2vyRYV8Bky-c8mbAe_iDdTkPPFWUGSbBPkgSBo?e=Mg9bWT" TargetMode="External"/><Relationship Id="rId1072" Type="http://schemas.openxmlformats.org/officeDocument/2006/relationships/hyperlink" Target="https://gobiernobogota-my.sharepoint.com/:b:/g/personal/planeacion_suba_gobiernobogota_gov_co/IQCok6SIWdA3R5RQoMNCzBIRAetPIxe1IjK9foAFX01Hg1E?e=Oxmd9y" TargetMode="External"/><Relationship Id="rId302" Type="http://schemas.openxmlformats.org/officeDocument/2006/relationships/hyperlink" Target="https://gobiernobogota-my.sharepoint.com/:b:/g/personal/planeacion_suba_gobiernobogota_gov_co/IQC3n1-3qJZ2SKpVvajWPoLpAeMYPbBWFvEmTo3r_WNO_U0?e=iCQwVi" TargetMode="External"/><Relationship Id="rId747" Type="http://schemas.openxmlformats.org/officeDocument/2006/relationships/hyperlink" Target="https://gobiernobogota-my.sharepoint.com/:b:/g/personal/planeacion_suba_gobiernobogota_gov_co/IQC6gqeBUUiYSYZu2smrPvNPATRKKL4VrcjrimiDKEsX_sY?e=aU0juA" TargetMode="External"/><Relationship Id="rId954" Type="http://schemas.openxmlformats.org/officeDocument/2006/relationships/hyperlink" Target="https://gobiernobogota-my.sharepoint.com/:b:/g/personal/planeacion_suba_gobiernobogota_gov_co/IQADC9knk6nNRKJljIOhwk2qAdShpXZmNMX3rXF25hMw_UA?e=dsCZMM" TargetMode="External"/><Relationship Id="rId83" Type="http://schemas.openxmlformats.org/officeDocument/2006/relationships/hyperlink" Target="https://gobiernobogota-my.sharepoint.com/:b:/g/personal/planeacion_suba_gobiernobogota_gov_co/IQAdy-rJ0tjISa5i30jFu1k8AZRtQl9JohRXyI4j9ajYCNY?e=RLilQd" TargetMode="External"/><Relationship Id="rId179" Type="http://schemas.openxmlformats.org/officeDocument/2006/relationships/hyperlink" Target="https://gobiernobogota-my.sharepoint.com/:b:/g/personal/sandra_tamayo_gobiernobogota_gov_co/IQA0E0FNBmhFSoYzdZx72ppWAYSYFjCMAYDOHjW2FrXQpD8?e=UmuexO" TargetMode="External"/><Relationship Id="rId386" Type="http://schemas.openxmlformats.org/officeDocument/2006/relationships/hyperlink" Target="https://gobiernobogota-my.sharepoint.com/:b:/g/personal/planeacion_suba_gobiernobogota_gov_co/IQA6XZ-gkoxiSKnk6aiVgSCEAawLKwlfM0IroQr3uACmZ9k?e=HVYTcl" TargetMode="External"/><Relationship Id="rId593" Type="http://schemas.openxmlformats.org/officeDocument/2006/relationships/hyperlink" Target="https://gobiernobogota-my.sharepoint.com/:b:/g/personal/planeacion_suba_gobiernobogota_gov_co/IQBdmh4rF6l6QKh8bDCkHVvOAV0P4-uNtT94HCg2kA74oMA?e=MSy2xH" TargetMode="External"/><Relationship Id="rId607" Type="http://schemas.openxmlformats.org/officeDocument/2006/relationships/hyperlink" Target="https://gobiernobogota-my.sharepoint.com/:b:/g/personal/planeacion_suba_gobiernobogota_gov_co/IQAbSLyAFh2xRJr0NhbYbKk2ATKbPTcKyEeZatQ-G_R5UiE?e=uolpOb" TargetMode="External"/><Relationship Id="rId814" Type="http://schemas.openxmlformats.org/officeDocument/2006/relationships/hyperlink" Target="https://gobiernobogota-my.sharepoint.com/:b:/g/personal/planeacion_suba_gobiernobogota_gov_co/IQBLOKQZI52RRYzlMc0IDcUfAfaPvHWc84l4wynUf1J19ZA?e=g0rO3c" TargetMode="External"/><Relationship Id="rId246" Type="http://schemas.openxmlformats.org/officeDocument/2006/relationships/hyperlink" Target="https://gobiernobogota-my.sharepoint.com/:b:/g/personal/planeacion_suba_gobiernobogota_gov_co/IQCw7wgbV3hBTpk0Lqbu6kr3AWCS-O35Q4KiNbkYKhKyfWk?e=Vr1ZGg" TargetMode="External"/><Relationship Id="rId453" Type="http://schemas.openxmlformats.org/officeDocument/2006/relationships/hyperlink" Target="https://gobiernobogota-my.sharepoint.com/:b:/g/personal/planeacion_suba_gobiernobogota_gov_co/IQDMZ0T9mSVxRKfzq21QstZzAUDlBRHMMr71r81ynqwr9wc?e=GwTjSx" TargetMode="External"/><Relationship Id="rId660" Type="http://schemas.openxmlformats.org/officeDocument/2006/relationships/hyperlink" Target="https://gobiernobogota-my.sharepoint.com/:b:/g/personal/planeacion_suba_gobiernobogota_gov_co/IQCok6SIWdA3R5RQoMNCzBIRAetPIxe1IjK9foAFX01Hg1E?e=Oxmd9y" TargetMode="External"/><Relationship Id="rId898" Type="http://schemas.openxmlformats.org/officeDocument/2006/relationships/hyperlink" Target="https://gobiernobogota-my.sharepoint.com/:b:/g/personal/planeacion_suba_gobiernobogota_gov_co/IQADC9knk6nNRKJljIOhwk2qAdShpXZmNMX3rXF25hMw_UA?e=dsCZMM" TargetMode="External"/><Relationship Id="rId1083" Type="http://schemas.openxmlformats.org/officeDocument/2006/relationships/hyperlink" Target="https://gobiernobogota-my.sharepoint.com/:b:/g/personal/planeacion_suba_gobiernobogota_gov_co/IQADC9knk6nNRKJljIOhwk2qAdShpXZmNMX3rXF25hMw_UA?e=dsCZMM" TargetMode="External"/><Relationship Id="rId106" Type="http://schemas.openxmlformats.org/officeDocument/2006/relationships/hyperlink" Target="https://gobiernobogota-my.sharepoint.com/:b:/g/personal/planeacion_suba_gobiernobogota_gov_co/IQDCo5nBdqHcSYwPwwp8sizdAWH0Tt2nODZUFrKlcfV2Rsc?e=MIgUNA" TargetMode="External"/><Relationship Id="rId313" Type="http://schemas.openxmlformats.org/officeDocument/2006/relationships/hyperlink" Target="https://gobiernobogota-my.sharepoint.com/:b:/g/personal/planeacion_suba_gobiernobogota_gov_co/IQAbV3MWcEGsS5xdyx9gFjx1AYNT8_62IK5KH_L4tWOIomc?e=5WlMTj" TargetMode="External"/><Relationship Id="rId758" Type="http://schemas.openxmlformats.org/officeDocument/2006/relationships/hyperlink" Target="https://gobiernobogota-my.sharepoint.com/:b:/g/personal/planeacion_suba_gobiernobogota_gov_co/IQAQwRzvwyOGRoadzOfEJbYbAZHcIaYsTNJAlIt0BpMGmxY?e=uCEeS6" TargetMode="External"/><Relationship Id="rId965" Type="http://schemas.openxmlformats.org/officeDocument/2006/relationships/hyperlink" Target="https://gobiernobogota-my.sharepoint.com/:b:/g/personal/planeacion_suba_gobiernobogota_gov_co/IQAJOJZDPzBNQ41SvqyM-JTuAcqox7uUjRdaoy54qwudEYw?e=D6ltuA" TargetMode="External"/><Relationship Id="rId10" Type="http://schemas.openxmlformats.org/officeDocument/2006/relationships/hyperlink" Target="https://gobiernobogota-my.sharepoint.com/:b:/g/personal/planeacion_suba_gobiernobogota_gov_co/IQAdy-rJ0tjISa5i30jFu1k8AZRtQl9JohRXyI4j9ajYCNY?e=bpWlxZ" TargetMode="External"/><Relationship Id="rId94"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BBu4dnf9PkSYwhrQsa2XYcASFuORQjOSLHBBlK7dsYuzY?e=odT6R7" TargetMode="External"/><Relationship Id="rId520" Type="http://schemas.openxmlformats.org/officeDocument/2006/relationships/hyperlink" Target="https://gobiernobogota-my.sharepoint.com/:b:/g/personal/planeacion_suba_gobiernobogota_gov_co/IQDGwAsrSWFST6cyTxyfbMvCAdt0g6P4HfpgnBGrh0q0TtQ?e=GZeUmL" TargetMode="External"/><Relationship Id="rId618" Type="http://schemas.openxmlformats.org/officeDocument/2006/relationships/hyperlink" Target="https://gobiernobogota-my.sharepoint.com/:b:/g/personal/planeacion_suba_gobiernobogota_gov_co/IQAQwRzvwyOGRoadzOfEJbYbAZHcIaYsTNJAlIt0BpMGmxY?e=uCEeS6" TargetMode="External"/><Relationship Id="rId825" Type="http://schemas.openxmlformats.org/officeDocument/2006/relationships/hyperlink" Target="https://gobiernobogota-my.sharepoint.com/:b:/g/personal/planeacion_suba_gobiernobogota_gov_co/IQDYs8NWOOP3SJvWchMPrk04AZOie4tAtft4iWRu3QSTjzg?e=nybAk0" TargetMode="External"/><Relationship Id="rId257" Type="http://schemas.openxmlformats.org/officeDocument/2006/relationships/hyperlink" Target="https://gobiernobogota-my.sharepoint.com/:b:/g/personal/planeacion_suba_gobiernobogota_gov_co/IQCybG3Mw-5_SL9hYYq0BfraAQckIhYaYdhwT9gRzkVUEE8?e=FMwi0x" TargetMode="External"/><Relationship Id="rId464" Type="http://schemas.openxmlformats.org/officeDocument/2006/relationships/hyperlink" Target="https://gobiernobogota-my.sharepoint.com/:b:/g/personal/planeacion_suba_gobiernobogota_gov_co/IQAdy-rJ0tjISa5i30jFu1k8AZRtQl9JohRXyI4j9ajYCNY?e=bpWlxZ" TargetMode="External"/><Relationship Id="rId1010" Type="http://schemas.openxmlformats.org/officeDocument/2006/relationships/hyperlink" Target="https://gobiernobogota-my.sharepoint.com/:b:/g/personal/planeacion_suba_gobiernobogota_gov_co/IQDdENf19XmzRYrHjRyTzYS7AcW-WYHfvx0R6LEXrQmtIGw?e=VqBKHo" TargetMode="External"/><Relationship Id="rId1094" Type="http://schemas.openxmlformats.org/officeDocument/2006/relationships/hyperlink" Target="https://gobiernobogota-my.sharepoint.com/:b:/g/personal/planeacion_suba_gobiernobogota_gov_co/IQAbSLyAFh2xRJr0NhbYbKk2ATKbPTcKyEeZatQ-G_R5UiE?e=uolpOb" TargetMode="External"/><Relationship Id="rId1108" Type="http://schemas.openxmlformats.org/officeDocument/2006/relationships/hyperlink" Target="https://gobiernobogota-my.sharepoint.com/:b:/g/personal/planeacion_suba_gobiernobogota_gov_co/IQAQwRzvwyOGRoadzOfEJbYbAZHcIaYsTNJAlIt0BpMGmxY?e=uCEeS6" TargetMode="External"/><Relationship Id="rId117" Type="http://schemas.openxmlformats.org/officeDocument/2006/relationships/hyperlink" Target="https://gobiernobogota-my.sharepoint.com/:b:/g/personal/sandra_tamayo_gobiernobogota_gov_co/IQAjeafpPcQsSqiUSz8-bKSxAScepYFngBvK7GMyKKTm4SM?e=nsbc9S" TargetMode="External"/><Relationship Id="rId671" Type="http://schemas.openxmlformats.org/officeDocument/2006/relationships/hyperlink" Target="https://gobiernobogota-my.sharepoint.com/:b:/g/personal/planeacion_suba_gobiernobogota_gov_co/IQADC9knk6nNRKJljIOhwk2qAdShpXZmNMX3rXF25hMw_UA?e=dsCZMM" TargetMode="External"/><Relationship Id="rId769" Type="http://schemas.openxmlformats.org/officeDocument/2006/relationships/hyperlink" Target="https://gobiernobogota-my.sharepoint.com/:b:/g/personal/planeacion_suba_gobiernobogota_gov_co/IQBLOKQZI52RRYzlMc0IDcUfAfaPvHWc84l4wynUf1J19ZA?e=g0rO3c" TargetMode="External"/><Relationship Id="rId976" Type="http://schemas.openxmlformats.org/officeDocument/2006/relationships/hyperlink" Target="https://gobiernobogota-my.sharepoint.com/:b:/g/personal/planeacion_suba_gobiernobogota_gov_co/IQAQwRzvwyOGRoadzOfEJbYbAZHcIaYsTNJAlIt0BpMGmxY?e=uCEeS6" TargetMode="External"/><Relationship Id="rId324" Type="http://schemas.openxmlformats.org/officeDocument/2006/relationships/hyperlink" Target="https://gobiernobogota-my.sharepoint.com/:b:/g/personal/planeacion_suba_gobiernobogota_gov_co/IQDMZ0T9mSVxRKfzq21QstZzAUDlBRHMMr71r81ynqwr9wc?e=GwTjSx" TargetMode="External"/><Relationship Id="rId531" Type="http://schemas.openxmlformats.org/officeDocument/2006/relationships/hyperlink" Target="https://gobiernobogota-my.sharepoint.com/:b:/g/personal/planeacion_suba_gobiernobogota_gov_co/IQDxG539NP-9Tr4Rw6SstqcjAfn0hyr2HrQyciGUc3HlOX4?e=fSczXr" TargetMode="External"/><Relationship Id="rId629" Type="http://schemas.openxmlformats.org/officeDocument/2006/relationships/hyperlink" Target="https://gobiernobogota-my.sharepoint.com/:b:/g/personal/planeacion_suba_gobiernobogota_gov_co/IQBLOKQZI52RRYzlMc0IDcUfAfaPvHWc84l4wynUf1J19ZA?e=g0rO3c" TargetMode="External"/><Relationship Id="rId836" Type="http://schemas.openxmlformats.org/officeDocument/2006/relationships/hyperlink" Target="https://gobiernobogota-my.sharepoint.com/:b:/g/personal/planeacion_suba_gobiernobogota_gov_co/IQCX5R01gnI3QLPk49hsK0lpAXaK-OSVtPGApsy1wuJ-x1s?e=X6CBQ2" TargetMode="External"/><Relationship Id="rId1021" Type="http://schemas.openxmlformats.org/officeDocument/2006/relationships/hyperlink" Target="https://gobiernobogota-my.sharepoint.com/:b:/g/personal/planeacion_suba_gobiernobogota_gov_co/IQB6Qc7qX_z-QKBrQfhBXeXRAQjFQhXNeP7Am2IKqTmuJF8?e=riq1RT" TargetMode="External"/><Relationship Id="rId1119" Type="http://schemas.openxmlformats.org/officeDocument/2006/relationships/hyperlink" Target="https://gobiernobogota-my.sharepoint.com/:b:/g/personal/planeacion_suba_gobiernobogota_gov_co/IQBLOKQZI52RRYzlMc0IDcUfAfaPvHWc84l4wynUf1J19ZA?e=g0rO3c" TargetMode="External"/><Relationship Id="rId903" Type="http://schemas.openxmlformats.org/officeDocument/2006/relationships/hyperlink" Target="https://gobiernobogota-my.sharepoint.com/:b:/g/personal/planeacion_suba_gobiernobogota_gov_co/IQAbSLyAFh2xRJr0NhbYbKk2ATKbPTcKyEeZatQ-G_R5UiE?e=uolpOb" TargetMode="External"/><Relationship Id="rId32"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181" Type="http://schemas.openxmlformats.org/officeDocument/2006/relationships/hyperlink" Target="https://gobiernobogota-my.sharepoint.com/:b:/g/personal/planeacion_suba_gobiernobogota_gov_co/IQCgm5YiE5_kQ5TMDogZTJv7AV1RW44CV7mB7C1aXXqSRvs?e=5kQJl8" TargetMode="External"/><Relationship Id="rId279" Type="http://schemas.openxmlformats.org/officeDocument/2006/relationships/hyperlink" Target="https://gobiernobogota-my.sharepoint.com/:b:/g/personal/planeacion_suba_gobiernobogota_gov_co/IQDEICxsaG1MSKOjcTDwqBJbARHJiJGxnCV7DGCHrDFDxAQ?e=uSTuOF" TargetMode="External"/><Relationship Id="rId486" Type="http://schemas.openxmlformats.org/officeDocument/2006/relationships/hyperlink" Target="https://gobiernobogota-my.sharepoint.com/:b:/g/personal/planeacion_suba_gobiernobogota_gov_co/IQANIUxPeDAWS7jGZpxIy4MyAdQ6enYCzA5hc3_xj6rLPuw?e=Y9fS59" TargetMode="External"/><Relationship Id="rId693" Type="http://schemas.openxmlformats.org/officeDocument/2006/relationships/hyperlink" Target="https://gobiernobogota-my.sharepoint.com/:b:/g/personal/planeacion_suba_gobiernobogota_gov_co/IQAQwRzvwyOGRoadzOfEJbYbAZHcIaYsTNJAlIt0BpMGmxY?e=uCEeS6" TargetMode="External"/><Relationship Id="rId139" Type="http://schemas.openxmlformats.org/officeDocument/2006/relationships/hyperlink" Target="https://gobiernobogota-my.sharepoint.com/:b:/g/personal/planeacion_suba_gobiernobogota_gov_co/IQCgm5YiE5_kQ5TMDogZTJv7AV1RW44CV7mB7C1aXXqSRvs?e=L180oL" TargetMode="External"/><Relationship Id="rId346" Type="http://schemas.openxmlformats.org/officeDocument/2006/relationships/hyperlink" Target="https://gobiernobogota-my.sharepoint.com/:b:/g/personal/planeacion_suba_gobiernobogota_gov_co/IQATzR_QCVovQa-OxIQubTzgAes3Sv-qMGxKPvSE4_tfjqo?e=pkMHL1" TargetMode="External"/><Relationship Id="rId553" Type="http://schemas.openxmlformats.org/officeDocument/2006/relationships/hyperlink" Target="https://gobiernobogota-my.sharepoint.com/:b:/g/personal/planeacion_suba_gobiernobogota_gov_co/IQAQwRzvwyOGRoadzOfEJbYbAZHcIaYsTNJAlIt0BpMGmxY?e=uCEeS6" TargetMode="External"/><Relationship Id="rId760" Type="http://schemas.openxmlformats.org/officeDocument/2006/relationships/hyperlink" Target="https://gobiernobogota-my.sharepoint.com/:b:/g/personal/planeacion_suba_gobiernobogota_gov_co/IQDClu2GR0o4SqcQZiEiFO4zAcNgNezEC9ZjJOx-a4mXbl8?e=2PyOMP" TargetMode="External"/><Relationship Id="rId998" Type="http://schemas.openxmlformats.org/officeDocument/2006/relationships/hyperlink" Target="https://gobiernobogota-my.sharepoint.com/:b:/g/personal/planeacion_suba_gobiernobogota_gov_co/IQADC9knk6nNRKJljIOhwk2qAdShpXZmNMX3rXF25hMw_UA?e=dsCZMM" TargetMode="External"/><Relationship Id="rId206" Type="http://schemas.openxmlformats.org/officeDocument/2006/relationships/hyperlink" Target="https://gobiernobogota-my.sharepoint.com/:b:/g/personal/planeacion_suba_gobiernobogota_gov_co/IQDSBK66d3xwQpQoDybPSp2LASeoWIhjUzuHDVO6h-_iYkU?e=eB4Pi2" TargetMode="External"/><Relationship Id="rId413" Type="http://schemas.openxmlformats.org/officeDocument/2006/relationships/hyperlink" Target="https://gobiernobogota-my.sharepoint.com/:b:/g/personal/planeacion_suba_gobiernobogota_gov_co/IQC8aZx2NnlWQJELsizfgLSjAd7eqfeZXr7cjHi5SHEC9sI?e=UN3jEI" TargetMode="External"/><Relationship Id="rId858" Type="http://schemas.openxmlformats.org/officeDocument/2006/relationships/hyperlink" Target="https://gobiernobogota-my.sharepoint.com/:b:/g/personal/planeacion_suba_gobiernobogota_gov_co/IQCok6SIWdA3R5RQoMNCzBIRAetPIxe1IjK9foAFX01Hg1E?e=Oxmd9y" TargetMode="External"/><Relationship Id="rId1043" Type="http://schemas.openxmlformats.org/officeDocument/2006/relationships/hyperlink" Target="https://gobiernobogota-my.sharepoint.com/:b:/g/personal/planeacion_suba_gobiernobogota_gov_co/IQCX5R01gnI3QLPk49hsK0lpAXaK-OSVtPGApsy1wuJ-x1s?e=X6CBQ2" TargetMode="External"/><Relationship Id="rId620" Type="http://schemas.openxmlformats.org/officeDocument/2006/relationships/hyperlink" Target="https://gobiernobogota-my.sharepoint.com/:b:/g/personal/planeacion_suba_gobiernobogota_gov_co/IQADC9knk6nNRKJljIOhwk2qAdShpXZmNMX3rXF25hMw_UA?e=dsCZMM" TargetMode="External"/><Relationship Id="rId718" Type="http://schemas.openxmlformats.org/officeDocument/2006/relationships/hyperlink" Target="https://gobiernobogota-my.sharepoint.com/:b:/g/personal/planeacion_suba_gobiernobogota_gov_co/IQBLOKQZI52RRYzlMc0IDcUfAfaPvHWc84l4wynUf1J19ZA?e=g0rO3c" TargetMode="External"/><Relationship Id="rId925" Type="http://schemas.openxmlformats.org/officeDocument/2006/relationships/hyperlink" Target="https://gobiernobogota-my.sharepoint.com/:b:/g/personal/planeacion_suba_gobiernobogota_gov_co/IQAQwRzvwyOGRoadzOfEJbYbAZHcIaYsTNJAlIt0BpMGmxY?e=uCEeS6" TargetMode="External"/><Relationship Id="rId1110" Type="http://schemas.openxmlformats.org/officeDocument/2006/relationships/hyperlink" Target="https://gobiernobogota-my.sharepoint.com/:b:/g/personal/planeacion_suba_gobiernobogota_gov_co/IQBDSgzRKP56S5-WDbNM1U23AQ1sY-5CC4KC7cWIdWs6-hc?e=KbXf2W" TargetMode="External"/><Relationship Id="rId54" Type="http://schemas.openxmlformats.org/officeDocument/2006/relationships/hyperlink" Target="https://gobiernobogota-my.sharepoint.com/:b:/g/personal/planeacion_suba_gobiernobogota_gov_co/IQC8k6tNXYlFQZ3-NCPAOZVQAQo-EVHsNPAdJ72j3MPBALE?e=9zgM2g" TargetMode="External"/><Relationship Id="rId270" Type="http://schemas.openxmlformats.org/officeDocument/2006/relationships/hyperlink" Target="https://gobiernobogota-my.sharepoint.com/:b:/g/personal/planeacion_suba_gobiernobogota_gov_co/IQDf44K_e-byQbI4bgT9lM9AAQvRsujJ9Omyjb1eLxMqujs?e=yCC9hN" TargetMode="External"/><Relationship Id="rId130" Type="http://schemas.openxmlformats.org/officeDocument/2006/relationships/hyperlink" Target="https://gobiernobogota-my.sharepoint.com/:b:/g/personal/planeacion_suba_gobiernobogota_gov_co/IQBuOzStr3VOSrJVUh9Xj5TjAQ0tYcBuK8ryjmQQPMTnx0g?e=LOFs15" TargetMode="External"/><Relationship Id="rId368" Type="http://schemas.openxmlformats.org/officeDocument/2006/relationships/hyperlink" Target="https://gobiernobogota-my.sharepoint.com/:b:/g/personal/planeacion_suba_gobiernobogota_gov_co/IQCY8Za_LIPjQKyY8H3T7tfXAVdVQvUSKKU9Zbzh2F-_4F4?e=b66puU" TargetMode="External"/><Relationship Id="rId575" Type="http://schemas.openxmlformats.org/officeDocument/2006/relationships/hyperlink" Target="https://gobiernobogota-my.sharepoint.com/:b:/g/personal/planeacion_suba_gobiernobogota_gov_co/IQA3im31Q3AUTazFHgt_EAGHASuLy55EgMDPviGh0YOwXVw?e=mR7D4c" TargetMode="External"/><Relationship Id="rId782" Type="http://schemas.openxmlformats.org/officeDocument/2006/relationships/hyperlink" Target="https://gobiernobogota-my.sharepoint.com/:b:/g/personal/planeacion_suba_gobiernobogota_gov_co/IQAQwRzvwyOGRoadzOfEJbYbAZHcIaYsTNJAlIt0BpMGmxY?e=uCEeS6" TargetMode="External"/><Relationship Id="rId228" Type="http://schemas.openxmlformats.org/officeDocument/2006/relationships/hyperlink" Target="https://gobiernobogota-my.sharepoint.com/:b:/g/personal/planeacion_suba_gobiernobogota_gov_co/IQCgm5YiE5_kQ5TMDogZTJv7AV1RW44CV7mB7C1aXXqSRvs?e=KKgvuY" TargetMode="External"/><Relationship Id="rId435" Type="http://schemas.openxmlformats.org/officeDocument/2006/relationships/hyperlink" Target="https://gobiernobogota-my.sharepoint.com/:b:/g/personal/planeacion_suba_gobiernobogota_gov_co/IQDf44K_e-byQbI4bgT9lM9AAQvRsujJ9Omyjb1eLxMqujs?e=yCC9hN" TargetMode="External"/><Relationship Id="rId642" Type="http://schemas.openxmlformats.org/officeDocument/2006/relationships/hyperlink" Target="https://gobiernobogota-my.sharepoint.com/:b:/g/personal/planeacion_suba_gobiernobogota_gov_co/IQAQwRzvwyOGRoadzOfEJbYbAZHcIaYsTNJAlIt0BpMGmxY?e=uCEeS6" TargetMode="External"/><Relationship Id="rId1065" Type="http://schemas.openxmlformats.org/officeDocument/2006/relationships/hyperlink" Target="https://gobiernobogota-my.sharepoint.com/:b:/g/personal/planeacion_suba_gobiernobogota_gov_co/IQADC9knk6nNRKJljIOhwk2qAdShpXZmNMX3rXF25hMw_UA?e=dsCZMM" TargetMode="External"/><Relationship Id="rId502" Type="http://schemas.openxmlformats.org/officeDocument/2006/relationships/hyperlink" Target="https://gobiernobogota-my.sharepoint.com/:b:/g/personal/planeacion_suba_gobiernobogota_gov_co/IQAURbn871ttRruWw8Q_s7hxAaSUs3wk9D7eMzEd_uIeKIk?e=ewZYl4" TargetMode="External"/><Relationship Id="rId947" Type="http://schemas.openxmlformats.org/officeDocument/2006/relationships/hyperlink" Target="https://gobiernobogota-my.sharepoint.com/:b:/g/personal/planeacion_suba_gobiernobogota_gov_co/IQAbSLyAFh2xRJr0NhbYbKk2ATKbPTcKyEeZatQ-G_R5UiE?e=uolpOb" TargetMode="External"/><Relationship Id="rId76" Type="http://schemas.openxmlformats.org/officeDocument/2006/relationships/hyperlink" Target="https://gobiernobogota-my.sharepoint.com/:b:/g/personal/planeacion_suba_gobiernobogota_gov_co/IQCdkMR8tqp8Q69vbzhAH616AQ_61I5Y1Hm_kEo8HVOdGQ0?e=PORaoV" TargetMode="External"/><Relationship Id="rId807" Type="http://schemas.openxmlformats.org/officeDocument/2006/relationships/hyperlink" Target="https://gobiernobogota-my.sharepoint.com/:b:/g/personal/planeacion_suba_gobiernobogota_gov_co/IQCKZzXV-Lg9RpOhpjjhBXRJATkXbcKc8iZ8qAx3HAGZIvg?e=jAQQNP" TargetMode="External"/><Relationship Id="rId292" Type="http://schemas.openxmlformats.org/officeDocument/2006/relationships/hyperlink" Target="https://gobiernobogota-my.sharepoint.com/:b:/g/personal/planeacion_suba_gobiernobogota_gov_co/IQDf44K_e-byQbI4bgT9lM9AAQvRsujJ9Omyjb1eLxMqujs?e=yCC9hN" TargetMode="External"/><Relationship Id="rId597" Type="http://schemas.openxmlformats.org/officeDocument/2006/relationships/hyperlink" Target="https://gobiernobogota-my.sharepoint.com/:b:/g/personal/planeacion_suba_gobiernobogota_gov_co/IQAQwRzvwyOGRoadzOfEJbYbAZHcIaYsTNJAlIt0BpMGmxY?e=uCEeS6" TargetMode="External"/><Relationship Id="rId152" Type="http://schemas.openxmlformats.org/officeDocument/2006/relationships/hyperlink" Target="https://gobiernobogota-my.sharepoint.com/:b:/g/personal/planeacion_suba_gobiernobogota_gov_co/IQBJ0EIdt8YvQatRG9xwOIiYAdN-SyBbjwkt4RsVbr49RGw?e=Xd57Ne" TargetMode="External"/><Relationship Id="rId457" Type="http://schemas.openxmlformats.org/officeDocument/2006/relationships/hyperlink" Target="https://gobiernobogota-my.sharepoint.com/:b:/g/personal/planeacion_suba_gobiernobogota_gov_co/IQBLBkEIKq0kQ4nfLfMnQ731AZsHo-dGbCenQwP-fXUauaA?e=dttzzm" TargetMode="External"/><Relationship Id="rId1087" Type="http://schemas.openxmlformats.org/officeDocument/2006/relationships/hyperlink" Target="https://gobiernobogota-my.sharepoint.com/:b:/g/personal/planeacion_suba_gobiernobogota_gov_co/IQCok6SIWdA3R5RQoMNCzBIRAetPIxe1IjK9foAFX01Hg1E?e=Oxmd9y" TargetMode="External"/><Relationship Id="rId664" Type="http://schemas.openxmlformats.org/officeDocument/2006/relationships/hyperlink" Target="https://gobiernobogota-my.sharepoint.com/:b:/g/personal/planeacion_suba_gobiernobogota_gov_co/IQChG_pnSBYESbCkTq7ZUQwbAehFS7xvsGP0TZYFRofqEMg?e=qWqZgF" TargetMode="External"/><Relationship Id="rId871" Type="http://schemas.openxmlformats.org/officeDocument/2006/relationships/hyperlink" Target="https://gobiernobogota-my.sharepoint.com/:b:/g/personal/planeacion_suba_gobiernobogota_gov_co/IQADC9knk6nNRKJljIOhwk2qAdShpXZmNMX3rXF25hMw_UA?e=dsCZMM" TargetMode="External"/><Relationship Id="rId969" Type="http://schemas.openxmlformats.org/officeDocument/2006/relationships/hyperlink" Target="https://gobiernobogota-my.sharepoint.com/:b:/g/personal/planeacion_suba_gobiernobogota_gov_co/IQADC9knk6nNRKJljIOhwk2qAdShpXZmNMX3rXF25hMw_UA?e=dsCZMM" TargetMode="External"/><Relationship Id="rId317" Type="http://schemas.openxmlformats.org/officeDocument/2006/relationships/hyperlink" Target="https://gobiernobogota-my.sharepoint.com/:b:/g/personal/planeacion_suba_gobiernobogota_gov_co/IQCtLKZKPG_qQYjly-gia5KiAdVjbzFVp-ct0Mig7-uY_PY?e=auAfLP" TargetMode="External"/><Relationship Id="rId524" Type="http://schemas.openxmlformats.org/officeDocument/2006/relationships/hyperlink" Target="https://gobiernobogota-my.sharepoint.com/:b:/g/personal/planeacion_suba_gobiernobogota_gov_co/IQDKjUQxF7wRT4kplyL6eeB7AWx5BL0T7p__rOK5nnGnlLk?e=2fLA40" TargetMode="External"/><Relationship Id="rId731" Type="http://schemas.openxmlformats.org/officeDocument/2006/relationships/hyperlink" Target="https://gobiernobogota-my.sharepoint.com/:b:/g/personal/planeacion_suba_gobiernobogota_gov_co/IQAbSLyAFh2xRJr0NhbYbKk2ATKbPTcKyEeZatQ-G_R5UiE?e=uolpOb" TargetMode="External"/><Relationship Id="rId98" Type="http://schemas.openxmlformats.org/officeDocument/2006/relationships/hyperlink" Target="https://gobiernobogota-my.sharepoint.com/:b:/g/personal/planeacion_suba_gobiernobogota_gov_co/IQBz2CKObcGQQ7tlyKeMS_LyAYgcIzBGx3HfmbaEMW7eKes?e=Y32qrI" TargetMode="External"/><Relationship Id="rId829" Type="http://schemas.openxmlformats.org/officeDocument/2006/relationships/hyperlink" Target="https://gobiernobogota-my.sharepoint.com/:b:/g/personal/planeacion_suba_gobiernobogota_gov_co/IQCX5R01gnI3QLPk49hsK0lpAXaK-OSVtPGApsy1wuJ-x1s?e=X6CBQ2" TargetMode="External"/><Relationship Id="rId1014" Type="http://schemas.openxmlformats.org/officeDocument/2006/relationships/hyperlink" Target="https://gobiernobogota-my.sharepoint.com/:b:/g/personal/planeacion_suba_gobiernobogota_gov_co/IQCok6SIWdA3R5RQoMNCzBIRAetPIxe1IjK9foAFX01Hg1E?e=Oxmd9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
  <sheetViews>
    <sheetView workbookViewId="0">
      <selection activeCell="B2" sqref="B2"/>
    </sheetView>
  </sheetViews>
  <sheetFormatPr defaultColWidth="11.42578125" defaultRowHeight="14.45"/>
  <sheetData>
    <row r="2" spans="2:2">
      <c r="B2" s="185" t="s">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B104"/>
  <sheetViews>
    <sheetView workbookViewId="0"/>
  </sheetViews>
  <sheetFormatPr defaultColWidth="11.28515625" defaultRowHeight="14.45"/>
  <cols>
    <col min="1" max="1" width="16.7109375" bestFit="1" customWidth="1"/>
    <col min="2" max="2" width="50.28515625" bestFit="1" customWidth="1"/>
  </cols>
  <sheetData>
    <row r="1" spans="1:2">
      <c r="A1" t="s">
        <v>1</v>
      </c>
    </row>
    <row r="2" spans="1:2">
      <c r="A2" s="61" t="s">
        <v>2</v>
      </c>
      <c r="B2" t="s">
        <v>3</v>
      </c>
    </row>
    <row r="3" spans="1:2">
      <c r="A3" s="62" t="s">
        <v>4</v>
      </c>
      <c r="B3">
        <v>87</v>
      </c>
    </row>
    <row r="4" spans="1:2">
      <c r="A4" s="62" t="s">
        <v>5</v>
      </c>
      <c r="B4">
        <v>87</v>
      </c>
    </row>
    <row r="100" spans="1:2">
      <c r="A100" t="s">
        <v>6</v>
      </c>
    </row>
    <row r="102" spans="1:2">
      <c r="A102" s="61" t="s">
        <v>2</v>
      </c>
      <c r="B102" t="s">
        <v>7</v>
      </c>
    </row>
    <row r="103" spans="1:2">
      <c r="A103" s="62" t="s">
        <v>4</v>
      </c>
      <c r="B103" t="e">
        <v>#DIV/0!</v>
      </c>
    </row>
    <row r="104" spans="1:2">
      <c r="A104" s="62" t="s">
        <v>5</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6"/>
  <dimension ref="A3:CN132"/>
  <sheetViews>
    <sheetView zoomScale="55" zoomScaleNormal="55" workbookViewId="0"/>
  </sheetViews>
  <sheetFormatPr defaultColWidth="11.28515625" defaultRowHeight="14.45"/>
  <cols>
    <col min="1" max="1" width="17.28515625" style="3" customWidth="1"/>
    <col min="2" max="2" width="24.28515625" style="3" customWidth="1"/>
    <col min="3" max="4" width="52.28515625" style="3" customWidth="1"/>
    <col min="5" max="6" width="28.28515625" style="3" customWidth="1"/>
    <col min="7" max="7" width="31.28515625" style="3" customWidth="1"/>
    <col min="8" max="13" width="25.28515625" style="3" customWidth="1"/>
    <col min="14" max="40" width="24.28515625" style="3" customWidth="1"/>
    <col min="41" max="50" width="23" style="3" customWidth="1"/>
    <col min="51" max="51" width="56.28515625" style="3" customWidth="1"/>
    <col min="52" max="54" width="11.28515625" style="3" customWidth="1"/>
    <col min="55" max="56" width="31.28515625" style="3" customWidth="1"/>
    <col min="57" max="57" width="29.28515625" style="3" customWidth="1"/>
    <col min="58" max="58" width="66.7109375" style="3" customWidth="1"/>
    <col min="59" max="61" width="22.7109375" style="3" customWidth="1"/>
    <col min="62" max="63" width="32.28515625" style="3" customWidth="1"/>
    <col min="64" max="66" width="22.7109375" style="3" customWidth="1"/>
    <col min="67" max="88" width="11.28515625" style="3" customWidth="1"/>
    <col min="89" max="89" width="5.28515625" style="3" bestFit="1" customWidth="1"/>
    <col min="90" max="90" width="11.28515625" style="3" customWidth="1"/>
    <col min="91" max="16384" width="11.28515625" style="3"/>
  </cols>
  <sheetData>
    <row r="3" spans="1:92" s="1" customFormat="1" ht="32.65" customHeight="1">
      <c r="A3" s="551" t="s">
        <v>8</v>
      </c>
      <c r="B3" s="619"/>
      <c r="C3" s="619"/>
      <c r="D3" s="619"/>
      <c r="E3" s="619"/>
      <c r="F3" s="619"/>
      <c r="G3" s="619"/>
      <c r="H3" s="619"/>
      <c r="I3" s="619"/>
      <c r="J3" s="619"/>
      <c r="K3" s="619"/>
      <c r="L3" s="620"/>
      <c r="M3" s="578" t="s">
        <v>9</v>
      </c>
      <c r="N3" s="621"/>
      <c r="O3" s="621"/>
      <c r="P3" s="621"/>
      <c r="Q3" s="621"/>
      <c r="R3" s="621"/>
      <c r="S3" s="621"/>
      <c r="T3" s="621"/>
      <c r="U3" s="621"/>
      <c r="V3" s="621"/>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554"/>
      <c r="B4" s="622"/>
      <c r="C4" s="45" t="s">
        <v>10</v>
      </c>
      <c r="D4" s="17"/>
      <c r="E4" s="555" t="s">
        <v>11</v>
      </c>
      <c r="F4" s="620"/>
      <c r="G4" s="585"/>
      <c r="H4" s="619"/>
      <c r="I4" s="619"/>
      <c r="J4" s="619"/>
      <c r="K4" s="619"/>
      <c r="L4" s="620"/>
      <c r="M4" s="623"/>
      <c r="N4" s="579"/>
      <c r="O4" s="579"/>
      <c r="P4" s="579"/>
      <c r="Q4" s="579"/>
      <c r="R4" s="579"/>
      <c r="S4" s="579"/>
      <c r="T4" s="579"/>
      <c r="U4" s="579"/>
      <c r="V4" s="579"/>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623"/>
      <c r="B5" s="624"/>
      <c r="C5" s="20" t="s">
        <v>12</v>
      </c>
      <c r="D5" s="554"/>
      <c r="E5" s="619"/>
      <c r="F5" s="620"/>
      <c r="G5" s="20" t="s">
        <v>13</v>
      </c>
      <c r="H5" s="554"/>
      <c r="I5" s="620"/>
      <c r="J5" s="20" t="s">
        <v>14</v>
      </c>
      <c r="K5" s="554"/>
      <c r="L5" s="620"/>
      <c r="M5" s="623"/>
      <c r="N5" s="579"/>
      <c r="O5" s="579"/>
      <c r="P5" s="579"/>
      <c r="Q5" s="579"/>
      <c r="R5" s="579"/>
      <c r="S5" s="579"/>
      <c r="T5" s="579"/>
      <c r="U5" s="579"/>
      <c r="V5" s="579"/>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625"/>
      <c r="B6" s="626"/>
      <c r="C6" s="46" t="s">
        <v>15</v>
      </c>
      <c r="D6" s="555"/>
      <c r="E6" s="619"/>
      <c r="F6" s="619"/>
      <c r="G6" s="619"/>
      <c r="H6" s="619"/>
      <c r="I6" s="619"/>
      <c r="J6" s="619"/>
      <c r="K6" s="619"/>
      <c r="L6" s="620"/>
      <c r="M6" s="625"/>
      <c r="N6" s="627"/>
      <c r="O6" s="627"/>
      <c r="P6" s="627"/>
      <c r="Q6" s="627"/>
      <c r="R6" s="627"/>
      <c r="S6" s="627"/>
      <c r="T6" s="627"/>
      <c r="U6" s="627"/>
      <c r="V6" s="627"/>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580" t="s">
        <v>16</v>
      </c>
      <c r="BD6" s="579"/>
      <c r="BE6" s="579"/>
      <c r="BF6" s="579"/>
      <c r="BG6" s="579"/>
      <c r="BH6" s="579"/>
      <c r="BI6" s="579"/>
      <c r="BJ6" s="579"/>
      <c r="BK6" s="579"/>
      <c r="BL6" s="579"/>
      <c r="BM6" s="579"/>
      <c r="BN6" s="579"/>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577" t="s">
        <v>17</v>
      </c>
      <c r="H9" s="627"/>
      <c r="I9" s="627"/>
      <c r="J9" s="627"/>
      <c r="K9" s="627"/>
      <c r="L9" s="626"/>
      <c r="M9" s="581" t="s">
        <v>18</v>
      </c>
      <c r="N9" s="627"/>
      <c r="O9" s="627"/>
      <c r="P9" s="627"/>
      <c r="Q9" s="627"/>
      <c r="R9" s="626"/>
      <c r="S9" s="591" t="s">
        <v>19</v>
      </c>
      <c r="T9" s="627"/>
      <c r="U9" s="627"/>
      <c r="V9" s="627"/>
      <c r="W9" s="627"/>
      <c r="X9" s="626"/>
      <c r="Y9" s="581" t="s">
        <v>20</v>
      </c>
      <c r="Z9" s="627"/>
      <c r="AA9" s="627"/>
      <c r="AB9" s="627"/>
      <c r="AC9" s="627"/>
      <c r="AD9" s="626"/>
      <c r="AE9" s="583" t="s">
        <v>21</v>
      </c>
      <c r="AF9" s="627"/>
      <c r="AG9" s="627"/>
      <c r="AH9" s="627"/>
      <c r="AI9" s="590" t="s">
        <v>22</v>
      </c>
      <c r="AJ9" s="627"/>
      <c r="AO9" s="583" t="s">
        <v>21</v>
      </c>
      <c r="AP9" s="627"/>
      <c r="AQ9" s="627"/>
      <c r="AR9" s="627"/>
      <c r="AS9" s="590" t="s">
        <v>22</v>
      </c>
      <c r="AT9" s="627"/>
    </row>
    <row r="10" spans="1:92" s="18" customFormat="1" ht="97.9" customHeight="1">
      <c r="A10" s="19" t="s">
        <v>23</v>
      </c>
      <c r="B10" s="19" t="s">
        <v>24</v>
      </c>
      <c r="C10" s="19" t="s">
        <v>25</v>
      </c>
      <c r="D10" s="19" t="s">
        <v>26</v>
      </c>
      <c r="E10" s="19" t="s">
        <v>27</v>
      </c>
      <c r="F10" s="19" t="s">
        <v>28</v>
      </c>
      <c r="G10" s="21" t="s">
        <v>29</v>
      </c>
      <c r="H10" s="21" t="s">
        <v>30</v>
      </c>
      <c r="I10" s="21" t="s">
        <v>31</v>
      </c>
      <c r="J10" s="21" t="s">
        <v>32</v>
      </c>
      <c r="K10" s="21" t="s">
        <v>33</v>
      </c>
      <c r="L10" s="21" t="s">
        <v>34</v>
      </c>
      <c r="M10" s="19" t="s">
        <v>35</v>
      </c>
      <c r="N10" s="19" t="s">
        <v>30</v>
      </c>
      <c r="O10" s="19" t="s">
        <v>31</v>
      </c>
      <c r="P10" s="19" t="s">
        <v>32</v>
      </c>
      <c r="Q10" s="19" t="s">
        <v>33</v>
      </c>
      <c r="R10" s="19" t="s">
        <v>34</v>
      </c>
      <c r="S10" s="28" t="s">
        <v>36</v>
      </c>
      <c r="T10" s="28" t="s">
        <v>30</v>
      </c>
      <c r="U10" s="28" t="s">
        <v>31</v>
      </c>
      <c r="V10" s="28" t="s">
        <v>32</v>
      </c>
      <c r="W10" s="28" t="s">
        <v>33</v>
      </c>
      <c r="X10" s="28" t="s">
        <v>34</v>
      </c>
      <c r="Y10" s="19" t="s">
        <v>37</v>
      </c>
      <c r="Z10" s="19" t="s">
        <v>30</v>
      </c>
      <c r="AA10" s="19" t="s">
        <v>31</v>
      </c>
      <c r="AB10" s="19" t="s">
        <v>32</v>
      </c>
      <c r="AC10" s="19" t="s">
        <v>33</v>
      </c>
      <c r="AD10" s="19" t="s">
        <v>34</v>
      </c>
      <c r="AE10" s="21" t="s">
        <v>38</v>
      </c>
      <c r="AF10" s="21" t="s">
        <v>39</v>
      </c>
      <c r="AG10" s="21" t="s">
        <v>40</v>
      </c>
      <c r="AH10" s="21" t="s">
        <v>41</v>
      </c>
      <c r="AI10" s="21" t="s">
        <v>38</v>
      </c>
      <c r="AJ10" s="21" t="s">
        <v>39</v>
      </c>
      <c r="AK10" s="21" t="s">
        <v>42</v>
      </c>
      <c r="AL10" s="21" t="s">
        <v>43</v>
      </c>
      <c r="AM10" s="21" t="s">
        <v>44</v>
      </c>
      <c r="AN10" s="21" t="s">
        <v>45</v>
      </c>
      <c r="AO10" s="71" t="s">
        <v>38</v>
      </c>
      <c r="AP10" s="71" t="s">
        <v>39</v>
      </c>
      <c r="AQ10" s="71" t="s">
        <v>40</v>
      </c>
      <c r="AR10" s="71" t="s">
        <v>41</v>
      </c>
      <c r="AS10" s="71" t="s">
        <v>38</v>
      </c>
      <c r="AT10" s="71" t="s">
        <v>39</v>
      </c>
      <c r="AU10" s="71" t="s">
        <v>42</v>
      </c>
      <c r="AV10" s="71" t="s">
        <v>43</v>
      </c>
      <c r="AW10" s="71" t="s">
        <v>44</v>
      </c>
      <c r="AX10" s="71" t="s">
        <v>45</v>
      </c>
      <c r="AY10" s="71" t="s">
        <v>46</v>
      </c>
      <c r="BC10" s="21" t="s">
        <v>24</v>
      </c>
      <c r="BD10" s="21" t="s">
        <v>47</v>
      </c>
      <c r="BE10" s="21" t="s">
        <v>48</v>
      </c>
      <c r="BF10" s="21" t="s">
        <v>49</v>
      </c>
      <c r="BG10" s="21" t="s">
        <v>50</v>
      </c>
      <c r="BH10" s="21" t="s">
        <v>51</v>
      </c>
      <c r="BI10" s="21" t="s">
        <v>52</v>
      </c>
      <c r="BJ10" s="21" t="s">
        <v>53</v>
      </c>
      <c r="BK10" s="21" t="s">
        <v>54</v>
      </c>
      <c r="BL10" s="21" t="s">
        <v>18</v>
      </c>
      <c r="BM10" s="21" t="s">
        <v>19</v>
      </c>
      <c r="BN10" s="21" t="s">
        <v>55</v>
      </c>
    </row>
    <row r="11" spans="1:92" s="7" customFormat="1">
      <c r="A11" s="6" t="str">
        <f t="shared" ref="A11:A42" si="0">IF(B11&lt;&gt;"",CN11,"")</f>
        <v/>
      </c>
      <c r="B11" s="43"/>
      <c r="C11" s="6"/>
      <c r="D11" s="6"/>
      <c r="E11" s="43"/>
      <c r="F11" s="44"/>
      <c r="G11" s="22"/>
      <c r="H11" s="23"/>
      <c r="I11" s="47">
        <f t="shared" ref="I11:I42" si="1">H11*19%</f>
        <v>0</v>
      </c>
      <c r="J11" s="47">
        <f t="shared" ref="J11:J42" si="2">H11+I11</f>
        <v>0</v>
      </c>
      <c r="K11" s="58" t="str">
        <f t="shared" ref="K11:K42" si="3">IF(B11="","",(H11*F11))</f>
        <v/>
      </c>
      <c r="L11" s="58" t="str">
        <f t="shared" ref="L11:L42" si="4">IF(B11="","",(J11*F11))</f>
        <v/>
      </c>
      <c r="M11" s="24"/>
      <c r="N11" s="25"/>
      <c r="O11" s="26">
        <f t="shared" ref="O11:O42" si="5">N11*19%</f>
        <v>0</v>
      </c>
      <c r="P11" s="26">
        <f t="shared" ref="P11:P42" si="6">N11+O11</f>
        <v>0</v>
      </c>
      <c r="Q11" s="27" t="str">
        <f t="shared" ref="Q11:Q42" si="7">IF(B11="","",(N11*F11))</f>
        <v/>
      </c>
      <c r="R11" s="27" t="str">
        <f t="shared" ref="R11:R42" si="8">IF(B11="","",(P11*F11))</f>
        <v/>
      </c>
      <c r="S11" s="29"/>
      <c r="T11" s="30"/>
      <c r="U11" s="31">
        <f t="shared" ref="U11:U42" si="9">T11*19%</f>
        <v>0</v>
      </c>
      <c r="V11" s="31">
        <f t="shared" ref="V11:V42" si="10">T11+U11</f>
        <v>0</v>
      </c>
      <c r="W11" s="32" t="str">
        <f t="shared" ref="W11:W42" si="11">IF(B11="","",(T11*F11))</f>
        <v/>
      </c>
      <c r="X11" s="32" t="str">
        <f t="shared" ref="X11:X42" si="12">IF(B11="","",(V11*F11))</f>
        <v/>
      </c>
      <c r="Y11" s="24"/>
      <c r="Z11" s="24"/>
      <c r="AA11" s="25">
        <f t="shared" ref="AA11:AA42" si="13">Z11*19%</f>
        <v>0</v>
      </c>
      <c r="AB11" s="26">
        <f t="shared" ref="AB11:AB42" si="14">Z11+AA11</f>
        <v>0</v>
      </c>
      <c r="AC11" s="26" t="str">
        <f t="shared" ref="AC11:AC42" si="15">IF(E11="","",(Z11*F11))</f>
        <v/>
      </c>
      <c r="AD11" s="27" t="str">
        <f t="shared" ref="AD11:AD42" si="16">IF(E11="","",(AB11*F11))</f>
        <v/>
      </c>
      <c r="AE11" s="39" t="str">
        <f t="shared" ref="AE11:AE42" si="17">IF(A11="","",ROUND(AVERAGE(J11,P11,V11),0))</f>
        <v/>
      </c>
      <c r="AF11" s="39" t="str">
        <f t="shared" ref="AF11:AF42" si="18">IF(B11="","",ROUND(AVERAGE(L11,R11,X11),0))</f>
        <v/>
      </c>
      <c r="AG11" s="40" t="str">
        <f t="shared" ref="AG11:AG42" si="19">IF(B11="","",ROUND(STDEV(L11,R11,X11),0))</f>
        <v/>
      </c>
      <c r="AH11" s="41" t="str">
        <f t="shared" ref="AH11:AH42" si="20">IF(B11="","",(AG11/AF11))</f>
        <v/>
      </c>
      <c r="AI11" s="39" t="str">
        <f>IF(B11="","",ROUND(GEOMEAN((J11,P11,V11)),0))</f>
        <v/>
      </c>
      <c r="AJ11" s="39" t="str">
        <f>IF(B11="","",ROUND(GEOMEAN((L11,R11,X11)),0))</f>
        <v/>
      </c>
      <c r="AK11" s="40" t="str">
        <f t="shared" ref="AK11:AK42" si="21">IF(B11="","",(AF11-AG11))</f>
        <v/>
      </c>
      <c r="AL11" s="40" t="str">
        <f t="shared" ref="AL11:AL42" si="22">IF(B11="","",(AF11+AG11))</f>
        <v/>
      </c>
      <c r="AM11" s="42" t="e">
        <f t="shared" ref="AM11:AM42" si="23">ROUND(AVERAGE(L11,R11,X11),0)</f>
        <v>#DIV/0!</v>
      </c>
      <c r="AN11" s="42" t="e">
        <f t="shared" ref="AN11:AN42" si="24">AM11*F11</f>
        <v>#DIV/0!</v>
      </c>
      <c r="AO11" s="39" t="str">
        <f t="shared" ref="AO11:AO42" si="25">IF(A11="","",ROUND(AVERAGE(J11,P11,V11,AB11),0))</f>
        <v/>
      </c>
      <c r="AP11" s="39" t="str">
        <f t="shared" ref="AP11:AP42" si="26">IF(B11="","",ROUND(AVERAGE(L11,R11,X11,AD11),0))</f>
        <v/>
      </c>
      <c r="AQ11" s="40" t="str">
        <f t="shared" ref="AQ11:AQ42" si="27">IF(B11="","",ROUND(STDEV(L11,R11,X11,AD11),0))</f>
        <v/>
      </c>
      <c r="AR11" s="41" t="str">
        <f t="shared" ref="AR11:AR42" si="28">IF(B11="","",(AQ11/AP11))</f>
        <v/>
      </c>
      <c r="AS11" s="39" t="str">
        <f>IF(L11="","",ROUND(GEOMEAN((J11,P11,V11,AB11)),0))</f>
        <v/>
      </c>
      <c r="AT11" s="39" t="str">
        <f>IF(L11="","",ROUND(GEOMEAN((L11,R11,X11,AD11)),0))</f>
        <v/>
      </c>
      <c r="AU11" s="40" t="str">
        <f t="shared" ref="AU11:AU42" si="29">IF(B11="","",(AP11-AQ11))</f>
        <v/>
      </c>
      <c r="AV11" s="40" t="str">
        <f t="shared" ref="AV11:AV42" si="30">IF(B11="","",(AP11+AQ11))</f>
        <v/>
      </c>
      <c r="AW11" s="42">
        <f t="shared" ref="AW11:AW42" si="31">ROUND(AVERAGE(L11,R11,X11,AB11),0)</f>
        <v>0</v>
      </c>
      <c r="AX11" s="42">
        <f t="shared" ref="AX11:AX42" si="32">AW11*F11</f>
        <v>0</v>
      </c>
      <c r="AY11" s="5"/>
      <c r="BC11" s="63"/>
      <c r="BD11" s="63"/>
      <c r="BE11" s="5"/>
      <c r="BF11" s="5"/>
      <c r="BG11" s="5"/>
      <c r="BH11" s="64"/>
      <c r="BI11" s="65"/>
      <c r="BJ11" s="66"/>
      <c r="BK11" s="66" t="str">
        <f t="shared" ref="BK11:BK36" si="33">IF(BG11="Tabla",(BJ11*BD11*BH11*BI11)," ")</f>
        <v xml:space="preserve"> </v>
      </c>
      <c r="BL11" s="5"/>
      <c r="BM11" s="5"/>
      <c r="BN11" s="67" t="e">
        <f t="shared" ref="BN11:BN36" si="34">IF(BG11="Tabla",BK11,(AVERAGE(BJ11,BL11,BM11)*BI11*BD11))</f>
        <v>#DIV/0!</v>
      </c>
      <c r="CN11" s="7">
        <v>1</v>
      </c>
    </row>
    <row r="12" spans="1:92" s="7" customFormat="1">
      <c r="A12" s="6" t="str">
        <f t="shared" si="0"/>
        <v/>
      </c>
      <c r="B12" s="43"/>
      <c r="C12" s="6"/>
      <c r="D12" s="6"/>
      <c r="E12" s="43"/>
      <c r="F12" s="44"/>
      <c r="G12" s="22"/>
      <c r="H12" s="23"/>
      <c r="I12" s="47">
        <f t="shared" si="1"/>
        <v>0</v>
      </c>
      <c r="J12" s="47">
        <f t="shared" si="2"/>
        <v>0</v>
      </c>
      <c r="K12" s="58" t="str">
        <f t="shared" si="3"/>
        <v/>
      </c>
      <c r="L12" s="58" t="str">
        <f t="shared" si="4"/>
        <v/>
      </c>
      <c r="M12" s="24"/>
      <c r="N12" s="25"/>
      <c r="O12" s="26">
        <f t="shared" si="5"/>
        <v>0</v>
      </c>
      <c r="P12" s="26">
        <f t="shared" si="6"/>
        <v>0</v>
      </c>
      <c r="Q12" s="27" t="str">
        <f t="shared" si="7"/>
        <v/>
      </c>
      <c r="R12" s="27" t="str">
        <f t="shared" si="8"/>
        <v/>
      </c>
      <c r="S12" s="29"/>
      <c r="T12" s="30"/>
      <c r="U12" s="31">
        <f t="shared" si="9"/>
        <v>0</v>
      </c>
      <c r="V12" s="31">
        <f t="shared" si="10"/>
        <v>0</v>
      </c>
      <c r="W12" s="32" t="str">
        <f t="shared" si="11"/>
        <v/>
      </c>
      <c r="X12" s="32" t="str">
        <f t="shared" si="12"/>
        <v/>
      </c>
      <c r="Y12" s="24"/>
      <c r="Z12" s="24"/>
      <c r="AA12" s="25">
        <f t="shared" si="13"/>
        <v>0</v>
      </c>
      <c r="AB12" s="26">
        <f t="shared" si="14"/>
        <v>0</v>
      </c>
      <c r="AC12" s="26" t="str">
        <f t="shared" si="15"/>
        <v/>
      </c>
      <c r="AD12" s="27" t="str">
        <f t="shared" si="16"/>
        <v/>
      </c>
      <c r="AE12" s="39" t="str">
        <f t="shared" si="17"/>
        <v/>
      </c>
      <c r="AF12" s="39" t="str">
        <f t="shared" si="18"/>
        <v/>
      </c>
      <c r="AG12" s="40" t="str">
        <f t="shared" si="19"/>
        <v/>
      </c>
      <c r="AH12" s="41" t="str">
        <f t="shared" si="20"/>
        <v/>
      </c>
      <c r="AI12" s="39" t="str">
        <f>IF(B12="","",ROUND(GEOMEAN((J12,P12,V12)),0))</f>
        <v/>
      </c>
      <c r="AJ12" s="39" t="str">
        <f>IF(B12="","",ROUND(GEOMEAN((L12,R12,X12)),0))</f>
        <v/>
      </c>
      <c r="AK12" s="40" t="str">
        <f t="shared" si="21"/>
        <v/>
      </c>
      <c r="AL12" s="40" t="str">
        <f t="shared" si="22"/>
        <v/>
      </c>
      <c r="AM12" s="42" t="e">
        <f t="shared" si="23"/>
        <v>#DIV/0!</v>
      </c>
      <c r="AN12" s="42" t="e">
        <f t="shared" si="24"/>
        <v>#DIV/0!</v>
      </c>
      <c r="AO12" s="39" t="str">
        <f t="shared" si="25"/>
        <v/>
      </c>
      <c r="AP12" s="39" t="str">
        <f t="shared" si="26"/>
        <v/>
      </c>
      <c r="AQ12" s="40" t="str">
        <f t="shared" si="27"/>
        <v/>
      </c>
      <c r="AR12" s="41" t="str">
        <f t="shared" si="28"/>
        <v/>
      </c>
      <c r="AS12" s="39" t="str">
        <f>IF(L12="","",ROUND(GEOMEAN((J12,P12,V12,AB12)),0))</f>
        <v/>
      </c>
      <c r="AT12" s="39" t="str">
        <f>IF(L12="","",ROUND(GEOMEAN((L12,R12,X12,AD12)),0))</f>
        <v/>
      </c>
      <c r="AU12" s="40" t="str">
        <f t="shared" si="29"/>
        <v/>
      </c>
      <c r="AV12" s="40" t="str">
        <f t="shared" si="30"/>
        <v/>
      </c>
      <c r="AW12" s="42">
        <f t="shared" si="31"/>
        <v>0</v>
      </c>
      <c r="AX12" s="42">
        <f t="shared" si="32"/>
        <v>0</v>
      </c>
      <c r="AY12" s="5"/>
      <c r="BC12" s="63"/>
      <c r="BD12" s="63"/>
      <c r="BE12" s="5"/>
      <c r="BF12" s="5"/>
      <c r="BG12" s="5"/>
      <c r="BH12" s="64"/>
      <c r="BI12" s="65"/>
      <c r="BJ12" s="66"/>
      <c r="BK12" s="66" t="str">
        <f t="shared" si="33"/>
        <v xml:space="preserve"> </v>
      </c>
      <c r="BL12" s="5"/>
      <c r="BM12" s="5"/>
      <c r="BN12" s="67" t="e">
        <f t="shared" si="34"/>
        <v>#DIV/0!</v>
      </c>
      <c r="CN12" s="7">
        <v>2</v>
      </c>
    </row>
    <row r="13" spans="1:92" s="7" customFormat="1">
      <c r="A13" s="6" t="str">
        <f t="shared" si="0"/>
        <v/>
      </c>
      <c r="B13" s="43"/>
      <c r="C13" s="6"/>
      <c r="D13" s="6"/>
      <c r="E13" s="43"/>
      <c r="F13" s="44"/>
      <c r="G13" s="22"/>
      <c r="H13" s="23"/>
      <c r="I13" s="47">
        <f t="shared" si="1"/>
        <v>0</v>
      </c>
      <c r="J13" s="47">
        <f t="shared" si="2"/>
        <v>0</v>
      </c>
      <c r="K13" s="58" t="str">
        <f t="shared" si="3"/>
        <v/>
      </c>
      <c r="L13" s="58" t="str">
        <f t="shared" si="4"/>
        <v/>
      </c>
      <c r="M13" s="24"/>
      <c r="N13" s="25"/>
      <c r="O13" s="26">
        <f t="shared" si="5"/>
        <v>0</v>
      </c>
      <c r="P13" s="26">
        <f t="shared" si="6"/>
        <v>0</v>
      </c>
      <c r="Q13" s="27" t="str">
        <f t="shared" si="7"/>
        <v/>
      </c>
      <c r="R13" s="27" t="str">
        <f t="shared" si="8"/>
        <v/>
      </c>
      <c r="S13" s="29"/>
      <c r="T13" s="30"/>
      <c r="U13" s="31">
        <f t="shared" si="9"/>
        <v>0</v>
      </c>
      <c r="V13" s="31">
        <f t="shared" si="10"/>
        <v>0</v>
      </c>
      <c r="W13" s="32" t="str">
        <f t="shared" si="11"/>
        <v/>
      </c>
      <c r="X13" s="32" t="str">
        <f t="shared" si="12"/>
        <v/>
      </c>
      <c r="Y13" s="24"/>
      <c r="Z13" s="24"/>
      <c r="AA13" s="25">
        <f t="shared" si="13"/>
        <v>0</v>
      </c>
      <c r="AB13" s="26">
        <f t="shared" si="14"/>
        <v>0</v>
      </c>
      <c r="AC13" s="26" t="str">
        <f t="shared" si="15"/>
        <v/>
      </c>
      <c r="AD13" s="27" t="str">
        <f t="shared" si="16"/>
        <v/>
      </c>
      <c r="AE13" s="39" t="str">
        <f t="shared" si="17"/>
        <v/>
      </c>
      <c r="AF13" s="39" t="str">
        <f t="shared" si="18"/>
        <v/>
      </c>
      <c r="AG13" s="40" t="str">
        <f t="shared" si="19"/>
        <v/>
      </c>
      <c r="AH13" s="41" t="str">
        <f t="shared" si="20"/>
        <v/>
      </c>
      <c r="AI13" s="39" t="str">
        <f>IF(B13="","",ROUND(GEOMEAN((J13,P13,V13)),0))</f>
        <v/>
      </c>
      <c r="AJ13" s="39" t="str">
        <f>IF(B13="","",ROUND(GEOMEAN((L13,R13,X13)),0))</f>
        <v/>
      </c>
      <c r="AK13" s="40" t="str">
        <f t="shared" si="21"/>
        <v/>
      </c>
      <c r="AL13" s="40" t="str">
        <f t="shared" si="22"/>
        <v/>
      </c>
      <c r="AM13" s="42" t="e">
        <f t="shared" si="23"/>
        <v>#DIV/0!</v>
      </c>
      <c r="AN13" s="42" t="e">
        <f t="shared" si="24"/>
        <v>#DIV/0!</v>
      </c>
      <c r="AO13" s="39" t="str">
        <f t="shared" si="25"/>
        <v/>
      </c>
      <c r="AP13" s="39" t="str">
        <f t="shared" si="26"/>
        <v/>
      </c>
      <c r="AQ13" s="40" t="str">
        <f t="shared" si="27"/>
        <v/>
      </c>
      <c r="AR13" s="41" t="str">
        <f t="shared" si="28"/>
        <v/>
      </c>
      <c r="AS13" s="39" t="str">
        <f>IF(L13="","",ROUND(GEOMEAN((J13,P13,V13,AB13)),0))</f>
        <v/>
      </c>
      <c r="AT13" s="39" t="str">
        <f>IF(L13="","",ROUND(GEOMEAN((L13,R13,X13,AD13)),0))</f>
        <v/>
      </c>
      <c r="AU13" s="40" t="str">
        <f t="shared" si="29"/>
        <v/>
      </c>
      <c r="AV13" s="40" t="str">
        <f t="shared" si="30"/>
        <v/>
      </c>
      <c r="AW13" s="42">
        <f t="shared" si="31"/>
        <v>0</v>
      </c>
      <c r="AX13" s="42">
        <f t="shared" si="32"/>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0"/>
        <v/>
      </c>
      <c r="B14" s="43"/>
      <c r="C14" s="6"/>
      <c r="D14" s="6"/>
      <c r="E14" s="43"/>
      <c r="F14" s="44"/>
      <c r="G14" s="22"/>
      <c r="H14" s="23"/>
      <c r="I14" s="47">
        <f t="shared" si="1"/>
        <v>0</v>
      </c>
      <c r="J14" s="47">
        <f t="shared" si="2"/>
        <v>0</v>
      </c>
      <c r="K14" s="58" t="str">
        <f t="shared" si="3"/>
        <v/>
      </c>
      <c r="L14" s="58" t="str">
        <f t="shared" si="4"/>
        <v/>
      </c>
      <c r="M14" s="24"/>
      <c r="N14" s="25"/>
      <c r="O14" s="26">
        <f t="shared" si="5"/>
        <v>0</v>
      </c>
      <c r="P14" s="26">
        <f t="shared" si="6"/>
        <v>0</v>
      </c>
      <c r="Q14" s="27" t="str">
        <f t="shared" si="7"/>
        <v/>
      </c>
      <c r="R14" s="27" t="str">
        <f t="shared" si="8"/>
        <v/>
      </c>
      <c r="S14" s="29"/>
      <c r="T14" s="30"/>
      <c r="U14" s="31">
        <f t="shared" si="9"/>
        <v>0</v>
      </c>
      <c r="V14" s="31">
        <f t="shared" si="10"/>
        <v>0</v>
      </c>
      <c r="W14" s="32" t="str">
        <f t="shared" si="11"/>
        <v/>
      </c>
      <c r="X14" s="32" t="str">
        <f t="shared" si="12"/>
        <v/>
      </c>
      <c r="Y14" s="24"/>
      <c r="Z14" s="24"/>
      <c r="AA14" s="25">
        <f t="shared" si="13"/>
        <v>0</v>
      </c>
      <c r="AB14" s="26">
        <f t="shared" si="14"/>
        <v>0</v>
      </c>
      <c r="AC14" s="26" t="str">
        <f t="shared" si="15"/>
        <v/>
      </c>
      <c r="AD14" s="27" t="str">
        <f t="shared" si="16"/>
        <v/>
      </c>
      <c r="AE14" s="39" t="str">
        <f t="shared" si="17"/>
        <v/>
      </c>
      <c r="AF14" s="39" t="str">
        <f t="shared" si="18"/>
        <v/>
      </c>
      <c r="AG14" s="40" t="str">
        <f t="shared" si="19"/>
        <v/>
      </c>
      <c r="AH14" s="41" t="str">
        <f t="shared" si="20"/>
        <v/>
      </c>
      <c r="AI14" s="39" t="str">
        <f>IF(B14="","",ROUND(GEOMEAN((J14,P14,V14)),0))</f>
        <v/>
      </c>
      <c r="AJ14" s="39" t="str">
        <f>IF(B14="","",ROUND(GEOMEAN((L14,R14,X14)),0))</f>
        <v/>
      </c>
      <c r="AK14" s="40" t="str">
        <f t="shared" si="21"/>
        <v/>
      </c>
      <c r="AL14" s="40" t="str">
        <f t="shared" si="22"/>
        <v/>
      </c>
      <c r="AM14" s="42" t="e">
        <f t="shared" si="23"/>
        <v>#DIV/0!</v>
      </c>
      <c r="AN14" s="42" t="e">
        <f t="shared" si="24"/>
        <v>#DIV/0!</v>
      </c>
      <c r="AO14" s="39" t="str">
        <f t="shared" si="25"/>
        <v/>
      </c>
      <c r="AP14" s="39" t="str">
        <f t="shared" si="26"/>
        <v/>
      </c>
      <c r="AQ14" s="40" t="str">
        <f t="shared" si="27"/>
        <v/>
      </c>
      <c r="AR14" s="41" t="str">
        <f t="shared" si="28"/>
        <v/>
      </c>
      <c r="AS14" s="39" t="str">
        <f>IF(L14="","",ROUND(GEOMEAN((J14,P14,V14,AB14)),0))</f>
        <v/>
      </c>
      <c r="AT14" s="39" t="str">
        <f>IF(L14="","",ROUND(GEOMEAN((L14,R14,X14,AD14)),0))</f>
        <v/>
      </c>
      <c r="AU14" s="40" t="str">
        <f t="shared" si="29"/>
        <v/>
      </c>
      <c r="AV14" s="40" t="str">
        <f t="shared" si="30"/>
        <v/>
      </c>
      <c r="AW14" s="42">
        <f t="shared" si="31"/>
        <v>0</v>
      </c>
      <c r="AX14" s="42">
        <f t="shared" si="32"/>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0"/>
        <v/>
      </c>
      <c r="B15" s="43"/>
      <c r="C15" s="6"/>
      <c r="D15" s="6"/>
      <c r="E15" s="43"/>
      <c r="F15" s="44"/>
      <c r="G15" s="22"/>
      <c r="H15" s="23"/>
      <c r="I15" s="47">
        <f t="shared" si="1"/>
        <v>0</v>
      </c>
      <c r="J15" s="47">
        <f t="shared" si="2"/>
        <v>0</v>
      </c>
      <c r="K15" s="58" t="str">
        <f t="shared" si="3"/>
        <v/>
      </c>
      <c r="L15" s="58" t="str">
        <f t="shared" si="4"/>
        <v/>
      </c>
      <c r="M15" s="24"/>
      <c r="N15" s="25"/>
      <c r="O15" s="26">
        <f t="shared" si="5"/>
        <v>0</v>
      </c>
      <c r="P15" s="26">
        <f t="shared" si="6"/>
        <v>0</v>
      </c>
      <c r="Q15" s="27" t="str">
        <f t="shared" si="7"/>
        <v/>
      </c>
      <c r="R15" s="27" t="str">
        <f t="shared" si="8"/>
        <v/>
      </c>
      <c r="S15" s="29"/>
      <c r="T15" s="30"/>
      <c r="U15" s="31">
        <f t="shared" si="9"/>
        <v>0</v>
      </c>
      <c r="V15" s="31">
        <f t="shared" si="10"/>
        <v>0</v>
      </c>
      <c r="W15" s="32" t="str">
        <f t="shared" si="11"/>
        <v/>
      </c>
      <c r="X15" s="32" t="str">
        <f t="shared" si="12"/>
        <v/>
      </c>
      <c r="Y15" s="24"/>
      <c r="Z15" s="24"/>
      <c r="AA15" s="25">
        <f t="shared" si="13"/>
        <v>0</v>
      </c>
      <c r="AB15" s="26">
        <f t="shared" si="14"/>
        <v>0</v>
      </c>
      <c r="AC15" s="26" t="str">
        <f t="shared" si="15"/>
        <v/>
      </c>
      <c r="AD15" s="27" t="str">
        <f t="shared" si="16"/>
        <v/>
      </c>
      <c r="AE15" s="39" t="str">
        <f t="shared" si="17"/>
        <v/>
      </c>
      <c r="AF15" s="39" t="str">
        <f t="shared" si="18"/>
        <v/>
      </c>
      <c r="AG15" s="40" t="str">
        <f t="shared" si="19"/>
        <v/>
      </c>
      <c r="AH15" s="41" t="str">
        <f t="shared" si="20"/>
        <v/>
      </c>
      <c r="AI15" s="39" t="str">
        <f>IF(B15="","",ROUND(GEOMEAN((J15,P15,V15)),0))</f>
        <v/>
      </c>
      <c r="AJ15" s="39" t="str">
        <f>IF(B15="","",ROUND(GEOMEAN((L15,R15,X15)),0))</f>
        <v/>
      </c>
      <c r="AK15" s="40" t="str">
        <f t="shared" si="21"/>
        <v/>
      </c>
      <c r="AL15" s="40" t="str">
        <f t="shared" si="22"/>
        <v/>
      </c>
      <c r="AM15" s="42" t="e">
        <f t="shared" si="23"/>
        <v>#DIV/0!</v>
      </c>
      <c r="AN15" s="42" t="e">
        <f t="shared" si="24"/>
        <v>#DIV/0!</v>
      </c>
      <c r="AO15" s="39" t="str">
        <f t="shared" si="25"/>
        <v/>
      </c>
      <c r="AP15" s="39" t="str">
        <f t="shared" si="26"/>
        <v/>
      </c>
      <c r="AQ15" s="40" t="str">
        <f t="shared" si="27"/>
        <v/>
      </c>
      <c r="AR15" s="41" t="str">
        <f t="shared" si="28"/>
        <v/>
      </c>
      <c r="AS15" s="39" t="str">
        <f>IF(L15="","",ROUND(GEOMEAN((J15,P15,V15,AB15)),0))</f>
        <v/>
      </c>
      <c r="AT15" s="39" t="str">
        <f>IF(L15="","",ROUND(GEOMEAN((L15,R15,X15,AD15)),0))</f>
        <v/>
      </c>
      <c r="AU15" s="40" t="str">
        <f t="shared" si="29"/>
        <v/>
      </c>
      <c r="AV15" s="40" t="str">
        <f t="shared" si="30"/>
        <v/>
      </c>
      <c r="AW15" s="42">
        <f t="shared" si="31"/>
        <v>0</v>
      </c>
      <c r="AX15" s="42">
        <f t="shared" si="32"/>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0"/>
        <v/>
      </c>
      <c r="B16" s="43"/>
      <c r="C16" s="6"/>
      <c r="D16" s="6"/>
      <c r="E16" s="43"/>
      <c r="F16" s="44"/>
      <c r="G16" s="22"/>
      <c r="H16" s="23"/>
      <c r="I16" s="47">
        <f t="shared" si="1"/>
        <v>0</v>
      </c>
      <c r="J16" s="47">
        <f t="shared" si="2"/>
        <v>0</v>
      </c>
      <c r="K16" s="58" t="str">
        <f t="shared" si="3"/>
        <v/>
      </c>
      <c r="L16" s="58" t="str">
        <f t="shared" si="4"/>
        <v/>
      </c>
      <c r="M16" s="24"/>
      <c r="N16" s="25"/>
      <c r="O16" s="26">
        <f t="shared" si="5"/>
        <v>0</v>
      </c>
      <c r="P16" s="26">
        <f t="shared" si="6"/>
        <v>0</v>
      </c>
      <c r="Q16" s="27" t="str">
        <f t="shared" si="7"/>
        <v/>
      </c>
      <c r="R16" s="27" t="str">
        <f t="shared" si="8"/>
        <v/>
      </c>
      <c r="S16" s="29"/>
      <c r="T16" s="30"/>
      <c r="U16" s="31">
        <f t="shared" si="9"/>
        <v>0</v>
      </c>
      <c r="V16" s="31">
        <f t="shared" si="10"/>
        <v>0</v>
      </c>
      <c r="W16" s="32" t="str">
        <f t="shared" si="11"/>
        <v/>
      </c>
      <c r="X16" s="32" t="str">
        <f t="shared" si="12"/>
        <v/>
      </c>
      <c r="Y16" s="24"/>
      <c r="Z16" s="24"/>
      <c r="AA16" s="25">
        <f t="shared" si="13"/>
        <v>0</v>
      </c>
      <c r="AB16" s="26">
        <f t="shared" si="14"/>
        <v>0</v>
      </c>
      <c r="AC16" s="26" t="str">
        <f t="shared" si="15"/>
        <v/>
      </c>
      <c r="AD16" s="27" t="str">
        <f t="shared" si="16"/>
        <v/>
      </c>
      <c r="AE16" s="39" t="str">
        <f t="shared" si="17"/>
        <v/>
      </c>
      <c r="AF16" s="39" t="str">
        <f t="shared" si="18"/>
        <v/>
      </c>
      <c r="AG16" s="40" t="str">
        <f t="shared" si="19"/>
        <v/>
      </c>
      <c r="AH16" s="41" t="str">
        <f t="shared" si="20"/>
        <v/>
      </c>
      <c r="AI16" s="39" t="str">
        <f>IF(B16="","",ROUND(GEOMEAN((J16,P16,V16)),0))</f>
        <v/>
      </c>
      <c r="AJ16" s="39" t="str">
        <f>IF(B16="","",ROUND(GEOMEAN((L16,R16,X16)),0))</f>
        <v/>
      </c>
      <c r="AK16" s="40" t="str">
        <f t="shared" si="21"/>
        <v/>
      </c>
      <c r="AL16" s="40" t="str">
        <f t="shared" si="22"/>
        <v/>
      </c>
      <c r="AM16" s="42" t="e">
        <f t="shared" si="23"/>
        <v>#DIV/0!</v>
      </c>
      <c r="AN16" s="42" t="e">
        <f t="shared" si="24"/>
        <v>#DIV/0!</v>
      </c>
      <c r="AO16" s="39" t="str">
        <f t="shared" si="25"/>
        <v/>
      </c>
      <c r="AP16" s="39" t="str">
        <f t="shared" si="26"/>
        <v/>
      </c>
      <c r="AQ16" s="40" t="str">
        <f t="shared" si="27"/>
        <v/>
      </c>
      <c r="AR16" s="41" t="str">
        <f t="shared" si="28"/>
        <v/>
      </c>
      <c r="AS16" s="39" t="str">
        <f>IF(L16="","",ROUND(GEOMEAN((J16,P16,V16,AB16)),0))</f>
        <v/>
      </c>
      <c r="AT16" s="39" t="str">
        <f>IF(L16="","",ROUND(GEOMEAN((L16,R16,X16,AD16)),0))</f>
        <v/>
      </c>
      <c r="AU16" s="40" t="str">
        <f t="shared" si="29"/>
        <v/>
      </c>
      <c r="AV16" s="40" t="str">
        <f t="shared" si="30"/>
        <v/>
      </c>
      <c r="AW16" s="42">
        <f t="shared" si="31"/>
        <v>0</v>
      </c>
      <c r="AX16" s="42">
        <f t="shared" si="32"/>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0"/>
        <v/>
      </c>
      <c r="B17" s="43"/>
      <c r="C17" s="6"/>
      <c r="D17" s="6"/>
      <c r="E17" s="43"/>
      <c r="F17" s="44"/>
      <c r="G17" s="22"/>
      <c r="H17" s="23"/>
      <c r="I17" s="47">
        <f t="shared" si="1"/>
        <v>0</v>
      </c>
      <c r="J17" s="47">
        <f t="shared" si="2"/>
        <v>0</v>
      </c>
      <c r="K17" s="58" t="str">
        <f t="shared" si="3"/>
        <v/>
      </c>
      <c r="L17" s="58" t="str">
        <f t="shared" si="4"/>
        <v/>
      </c>
      <c r="M17" s="24"/>
      <c r="N17" s="25"/>
      <c r="O17" s="26">
        <f t="shared" si="5"/>
        <v>0</v>
      </c>
      <c r="P17" s="26">
        <f t="shared" si="6"/>
        <v>0</v>
      </c>
      <c r="Q17" s="27" t="str">
        <f t="shared" si="7"/>
        <v/>
      </c>
      <c r="R17" s="27" t="str">
        <f t="shared" si="8"/>
        <v/>
      </c>
      <c r="S17" s="29"/>
      <c r="T17" s="30"/>
      <c r="U17" s="31">
        <f t="shared" si="9"/>
        <v>0</v>
      </c>
      <c r="V17" s="31">
        <f t="shared" si="10"/>
        <v>0</v>
      </c>
      <c r="W17" s="32" t="str">
        <f t="shared" si="11"/>
        <v/>
      </c>
      <c r="X17" s="32" t="str">
        <f t="shared" si="12"/>
        <v/>
      </c>
      <c r="Y17" s="24"/>
      <c r="Z17" s="24"/>
      <c r="AA17" s="25">
        <f t="shared" si="13"/>
        <v>0</v>
      </c>
      <c r="AB17" s="26">
        <f t="shared" si="14"/>
        <v>0</v>
      </c>
      <c r="AC17" s="26" t="str">
        <f t="shared" si="15"/>
        <v/>
      </c>
      <c r="AD17" s="27" t="str">
        <f t="shared" si="16"/>
        <v/>
      </c>
      <c r="AE17" s="39" t="str">
        <f t="shared" si="17"/>
        <v/>
      </c>
      <c r="AF17" s="39" t="str">
        <f t="shared" si="18"/>
        <v/>
      </c>
      <c r="AG17" s="40" t="str">
        <f t="shared" si="19"/>
        <v/>
      </c>
      <c r="AH17" s="41" t="str">
        <f t="shared" si="20"/>
        <v/>
      </c>
      <c r="AI17" s="39" t="str">
        <f>IF(B17="","",ROUND(GEOMEAN((J17,P17,V17)),0))</f>
        <v/>
      </c>
      <c r="AJ17" s="39" t="str">
        <f>IF(B17="","",ROUND(GEOMEAN((L17,R17,X17)),0))</f>
        <v/>
      </c>
      <c r="AK17" s="40" t="str">
        <f t="shared" si="21"/>
        <v/>
      </c>
      <c r="AL17" s="40" t="str">
        <f t="shared" si="22"/>
        <v/>
      </c>
      <c r="AM17" s="42" t="e">
        <f t="shared" si="23"/>
        <v>#DIV/0!</v>
      </c>
      <c r="AN17" s="42" t="e">
        <f t="shared" si="24"/>
        <v>#DIV/0!</v>
      </c>
      <c r="AO17" s="39" t="str">
        <f t="shared" si="25"/>
        <v/>
      </c>
      <c r="AP17" s="39" t="str">
        <f t="shared" si="26"/>
        <v/>
      </c>
      <c r="AQ17" s="40" t="str">
        <f t="shared" si="27"/>
        <v/>
      </c>
      <c r="AR17" s="41" t="str">
        <f t="shared" si="28"/>
        <v/>
      </c>
      <c r="AS17" s="39" t="str">
        <f>IF(L17="","",ROUND(GEOMEAN((J17,P17,V17,AB17)),0))</f>
        <v/>
      </c>
      <c r="AT17" s="39" t="str">
        <f>IF(L17="","",ROUND(GEOMEAN((L17,R17,X17,AD17)),0))</f>
        <v/>
      </c>
      <c r="AU17" s="40" t="str">
        <f t="shared" si="29"/>
        <v/>
      </c>
      <c r="AV17" s="40" t="str">
        <f t="shared" si="30"/>
        <v/>
      </c>
      <c r="AW17" s="42">
        <f t="shared" si="31"/>
        <v>0</v>
      </c>
      <c r="AX17" s="42">
        <f t="shared" si="32"/>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0"/>
        <v/>
      </c>
      <c r="B18" s="43"/>
      <c r="C18" s="6"/>
      <c r="D18" s="6"/>
      <c r="E18" s="43"/>
      <c r="F18" s="44"/>
      <c r="G18" s="22"/>
      <c r="H18" s="23"/>
      <c r="I18" s="47">
        <f t="shared" si="1"/>
        <v>0</v>
      </c>
      <c r="J18" s="47">
        <f t="shared" si="2"/>
        <v>0</v>
      </c>
      <c r="K18" s="58" t="str">
        <f t="shared" si="3"/>
        <v/>
      </c>
      <c r="L18" s="58" t="str">
        <f t="shared" si="4"/>
        <v/>
      </c>
      <c r="M18" s="24"/>
      <c r="N18" s="25"/>
      <c r="O18" s="26">
        <f t="shared" si="5"/>
        <v>0</v>
      </c>
      <c r="P18" s="26">
        <f t="shared" si="6"/>
        <v>0</v>
      </c>
      <c r="Q18" s="27" t="str">
        <f t="shared" si="7"/>
        <v/>
      </c>
      <c r="R18" s="27" t="str">
        <f t="shared" si="8"/>
        <v/>
      </c>
      <c r="S18" s="29"/>
      <c r="T18" s="30"/>
      <c r="U18" s="31">
        <f t="shared" si="9"/>
        <v>0</v>
      </c>
      <c r="V18" s="31">
        <f t="shared" si="10"/>
        <v>0</v>
      </c>
      <c r="W18" s="32" t="str">
        <f t="shared" si="11"/>
        <v/>
      </c>
      <c r="X18" s="32" t="str">
        <f t="shared" si="12"/>
        <v/>
      </c>
      <c r="Y18" s="24"/>
      <c r="Z18" s="24"/>
      <c r="AA18" s="25">
        <f t="shared" si="13"/>
        <v>0</v>
      </c>
      <c r="AB18" s="26">
        <f t="shared" si="14"/>
        <v>0</v>
      </c>
      <c r="AC18" s="26" t="str">
        <f t="shared" si="15"/>
        <v/>
      </c>
      <c r="AD18" s="27" t="str">
        <f t="shared" si="16"/>
        <v/>
      </c>
      <c r="AE18" s="39" t="str">
        <f t="shared" si="17"/>
        <v/>
      </c>
      <c r="AF18" s="39" t="str">
        <f t="shared" si="18"/>
        <v/>
      </c>
      <c r="AG18" s="40" t="str">
        <f t="shared" si="19"/>
        <v/>
      </c>
      <c r="AH18" s="41" t="str">
        <f t="shared" si="20"/>
        <v/>
      </c>
      <c r="AI18" s="39" t="str">
        <f>IF(B18="","",ROUND(GEOMEAN((J18,P18,V18)),0))</f>
        <v/>
      </c>
      <c r="AJ18" s="39" t="str">
        <f>IF(B18="","",ROUND(GEOMEAN((L18,R18,X18)),0))</f>
        <v/>
      </c>
      <c r="AK18" s="40" t="str">
        <f t="shared" si="21"/>
        <v/>
      </c>
      <c r="AL18" s="40" t="str">
        <f t="shared" si="22"/>
        <v/>
      </c>
      <c r="AM18" s="42" t="e">
        <f t="shared" si="23"/>
        <v>#DIV/0!</v>
      </c>
      <c r="AN18" s="42" t="e">
        <f t="shared" si="24"/>
        <v>#DIV/0!</v>
      </c>
      <c r="AO18" s="39" t="str">
        <f t="shared" si="25"/>
        <v/>
      </c>
      <c r="AP18" s="39" t="str">
        <f t="shared" si="26"/>
        <v/>
      </c>
      <c r="AQ18" s="40" t="str">
        <f t="shared" si="27"/>
        <v/>
      </c>
      <c r="AR18" s="41" t="str">
        <f t="shared" si="28"/>
        <v/>
      </c>
      <c r="AS18" s="39" t="str">
        <f>IF(L18="","",ROUND(GEOMEAN((J18,P18,V18,AB18)),0))</f>
        <v/>
      </c>
      <c r="AT18" s="39" t="str">
        <f>IF(L18="","",ROUND(GEOMEAN((L18,R18,X18,AD18)),0))</f>
        <v/>
      </c>
      <c r="AU18" s="40" t="str">
        <f t="shared" si="29"/>
        <v/>
      </c>
      <c r="AV18" s="40" t="str">
        <f t="shared" si="30"/>
        <v/>
      </c>
      <c r="AW18" s="42">
        <f t="shared" si="31"/>
        <v>0</v>
      </c>
      <c r="AX18" s="42">
        <f t="shared" si="32"/>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 t="shared" si="0"/>
        <v/>
      </c>
      <c r="B19" s="43"/>
      <c r="C19" s="6"/>
      <c r="D19" s="6"/>
      <c r="E19" s="43"/>
      <c r="F19" s="44"/>
      <c r="G19" s="22"/>
      <c r="H19" s="23"/>
      <c r="I19" s="47">
        <f t="shared" si="1"/>
        <v>0</v>
      </c>
      <c r="J19" s="47">
        <f t="shared" si="2"/>
        <v>0</v>
      </c>
      <c r="K19" s="58" t="str">
        <f t="shared" si="3"/>
        <v/>
      </c>
      <c r="L19" s="58" t="str">
        <f t="shared" si="4"/>
        <v/>
      </c>
      <c r="M19" s="24"/>
      <c r="N19" s="25"/>
      <c r="O19" s="26">
        <f t="shared" si="5"/>
        <v>0</v>
      </c>
      <c r="P19" s="26">
        <f t="shared" si="6"/>
        <v>0</v>
      </c>
      <c r="Q19" s="27" t="str">
        <f t="shared" si="7"/>
        <v/>
      </c>
      <c r="R19" s="27" t="str">
        <f t="shared" si="8"/>
        <v/>
      </c>
      <c r="S19" s="29"/>
      <c r="T19" s="30"/>
      <c r="U19" s="31">
        <f t="shared" si="9"/>
        <v>0</v>
      </c>
      <c r="V19" s="31">
        <f t="shared" si="10"/>
        <v>0</v>
      </c>
      <c r="W19" s="32" t="str">
        <f t="shared" si="11"/>
        <v/>
      </c>
      <c r="X19" s="32" t="str">
        <f t="shared" si="12"/>
        <v/>
      </c>
      <c r="Y19" s="24"/>
      <c r="Z19" s="24"/>
      <c r="AA19" s="25">
        <f t="shared" si="13"/>
        <v>0</v>
      </c>
      <c r="AB19" s="26">
        <f t="shared" si="14"/>
        <v>0</v>
      </c>
      <c r="AC19" s="26" t="str">
        <f t="shared" si="15"/>
        <v/>
      </c>
      <c r="AD19" s="27" t="str">
        <f t="shared" si="16"/>
        <v/>
      </c>
      <c r="AE19" s="39" t="str">
        <f t="shared" si="17"/>
        <v/>
      </c>
      <c r="AF19" s="39" t="str">
        <f t="shared" si="18"/>
        <v/>
      </c>
      <c r="AG19" s="40" t="str">
        <f t="shared" si="19"/>
        <v/>
      </c>
      <c r="AH19" s="41" t="str">
        <f t="shared" si="20"/>
        <v/>
      </c>
      <c r="AI19" s="39" t="str">
        <f>IF(B19="","",ROUND(GEOMEAN((J19,P19,V19)),0))</f>
        <v/>
      </c>
      <c r="AJ19" s="39" t="str">
        <f>IF(B19="","",ROUND(GEOMEAN((L19,R19,X19)),0))</f>
        <v/>
      </c>
      <c r="AK19" s="40" t="str">
        <f t="shared" si="21"/>
        <v/>
      </c>
      <c r="AL19" s="40" t="str">
        <f t="shared" si="22"/>
        <v/>
      </c>
      <c r="AM19" s="42" t="e">
        <f t="shared" si="23"/>
        <v>#DIV/0!</v>
      </c>
      <c r="AN19" s="42" t="e">
        <f t="shared" si="24"/>
        <v>#DIV/0!</v>
      </c>
      <c r="AO19" s="39" t="str">
        <f t="shared" si="25"/>
        <v/>
      </c>
      <c r="AP19" s="39" t="str">
        <f t="shared" si="26"/>
        <v/>
      </c>
      <c r="AQ19" s="40" t="str">
        <f t="shared" si="27"/>
        <v/>
      </c>
      <c r="AR19" s="41" t="str">
        <f t="shared" si="28"/>
        <v/>
      </c>
      <c r="AS19" s="39" t="str">
        <f>IF(L19="","",ROUND(GEOMEAN((J19,P19,V19,AB19)),0))</f>
        <v/>
      </c>
      <c r="AT19" s="39" t="str">
        <f>IF(L19="","",ROUND(GEOMEAN((L19,R19,X19,AD19)),0))</f>
        <v/>
      </c>
      <c r="AU19" s="40" t="str">
        <f t="shared" si="29"/>
        <v/>
      </c>
      <c r="AV19" s="40" t="str">
        <f t="shared" si="30"/>
        <v/>
      </c>
      <c r="AW19" s="42">
        <f t="shared" si="31"/>
        <v>0</v>
      </c>
      <c r="AX19" s="42">
        <f t="shared" si="32"/>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0"/>
        <v/>
      </c>
      <c r="B20" s="43"/>
      <c r="C20" s="6"/>
      <c r="D20" s="6"/>
      <c r="E20" s="43"/>
      <c r="F20" s="44"/>
      <c r="G20" s="22"/>
      <c r="H20" s="23"/>
      <c r="I20" s="47">
        <f t="shared" si="1"/>
        <v>0</v>
      </c>
      <c r="J20" s="47">
        <f t="shared" si="2"/>
        <v>0</v>
      </c>
      <c r="K20" s="58" t="str">
        <f t="shared" si="3"/>
        <v/>
      </c>
      <c r="L20" s="58" t="str">
        <f t="shared" si="4"/>
        <v/>
      </c>
      <c r="M20" s="24"/>
      <c r="N20" s="25"/>
      <c r="O20" s="26">
        <f t="shared" si="5"/>
        <v>0</v>
      </c>
      <c r="P20" s="26">
        <f t="shared" si="6"/>
        <v>0</v>
      </c>
      <c r="Q20" s="27" t="str">
        <f t="shared" si="7"/>
        <v/>
      </c>
      <c r="R20" s="27" t="str">
        <f t="shared" si="8"/>
        <v/>
      </c>
      <c r="S20" s="29"/>
      <c r="T20" s="30"/>
      <c r="U20" s="31">
        <f t="shared" si="9"/>
        <v>0</v>
      </c>
      <c r="V20" s="31">
        <f t="shared" si="10"/>
        <v>0</v>
      </c>
      <c r="W20" s="32" t="str">
        <f t="shared" si="11"/>
        <v/>
      </c>
      <c r="X20" s="32" t="str">
        <f t="shared" si="12"/>
        <v/>
      </c>
      <c r="Y20" s="24"/>
      <c r="Z20" s="24"/>
      <c r="AA20" s="25">
        <f t="shared" si="13"/>
        <v>0</v>
      </c>
      <c r="AB20" s="26">
        <f t="shared" si="14"/>
        <v>0</v>
      </c>
      <c r="AC20" s="26" t="str">
        <f t="shared" si="15"/>
        <v/>
      </c>
      <c r="AD20" s="27" t="str">
        <f t="shared" si="16"/>
        <v/>
      </c>
      <c r="AE20" s="39" t="str">
        <f t="shared" si="17"/>
        <v/>
      </c>
      <c r="AF20" s="39" t="str">
        <f t="shared" si="18"/>
        <v/>
      </c>
      <c r="AG20" s="40" t="str">
        <f t="shared" si="19"/>
        <v/>
      </c>
      <c r="AH20" s="41" t="str">
        <f t="shared" si="20"/>
        <v/>
      </c>
      <c r="AI20" s="39" t="str">
        <f>IF(B20="","",ROUND(GEOMEAN((J20,P20,V20)),0))</f>
        <v/>
      </c>
      <c r="AJ20" s="39" t="str">
        <f>IF(B20="","",ROUND(GEOMEAN((L20,R20,X20)),0))</f>
        <v/>
      </c>
      <c r="AK20" s="40" t="str">
        <f t="shared" si="21"/>
        <v/>
      </c>
      <c r="AL20" s="40" t="str">
        <f t="shared" si="22"/>
        <v/>
      </c>
      <c r="AM20" s="42" t="e">
        <f t="shared" si="23"/>
        <v>#DIV/0!</v>
      </c>
      <c r="AN20" s="42" t="e">
        <f t="shared" si="24"/>
        <v>#DIV/0!</v>
      </c>
      <c r="AO20" s="39" t="str">
        <f t="shared" si="25"/>
        <v/>
      </c>
      <c r="AP20" s="39" t="str">
        <f t="shared" si="26"/>
        <v/>
      </c>
      <c r="AQ20" s="40" t="str">
        <f t="shared" si="27"/>
        <v/>
      </c>
      <c r="AR20" s="41" t="str">
        <f t="shared" si="28"/>
        <v/>
      </c>
      <c r="AS20" s="39" t="str">
        <f>IF(L20="","",ROUND(GEOMEAN((J20,P20,V20,AB20)),0))</f>
        <v/>
      </c>
      <c r="AT20" s="39" t="str">
        <f>IF(L20="","",ROUND(GEOMEAN((L20,R20,X20,AD20)),0))</f>
        <v/>
      </c>
      <c r="AU20" s="40" t="str">
        <f t="shared" si="29"/>
        <v/>
      </c>
      <c r="AV20" s="40" t="str">
        <f t="shared" si="30"/>
        <v/>
      </c>
      <c r="AW20" s="42">
        <f t="shared" si="31"/>
        <v>0</v>
      </c>
      <c r="AX20" s="42">
        <f t="shared" si="32"/>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0"/>
        <v/>
      </c>
      <c r="B21" s="43"/>
      <c r="C21" s="6"/>
      <c r="D21" s="6"/>
      <c r="E21" s="43"/>
      <c r="F21" s="44"/>
      <c r="G21" s="22"/>
      <c r="H21" s="23"/>
      <c r="I21" s="47">
        <f t="shared" si="1"/>
        <v>0</v>
      </c>
      <c r="J21" s="47">
        <f t="shared" si="2"/>
        <v>0</v>
      </c>
      <c r="K21" s="58" t="str">
        <f t="shared" si="3"/>
        <v/>
      </c>
      <c r="L21" s="58" t="str">
        <f t="shared" si="4"/>
        <v/>
      </c>
      <c r="M21" s="24"/>
      <c r="N21" s="25"/>
      <c r="O21" s="26">
        <f t="shared" si="5"/>
        <v>0</v>
      </c>
      <c r="P21" s="26">
        <f t="shared" si="6"/>
        <v>0</v>
      </c>
      <c r="Q21" s="27" t="str">
        <f t="shared" si="7"/>
        <v/>
      </c>
      <c r="R21" s="27" t="str">
        <f t="shared" si="8"/>
        <v/>
      </c>
      <c r="S21" s="29"/>
      <c r="T21" s="30"/>
      <c r="U21" s="31">
        <f t="shared" si="9"/>
        <v>0</v>
      </c>
      <c r="V21" s="31">
        <f t="shared" si="10"/>
        <v>0</v>
      </c>
      <c r="W21" s="32" t="str">
        <f t="shared" si="11"/>
        <v/>
      </c>
      <c r="X21" s="32" t="str">
        <f t="shared" si="12"/>
        <v/>
      </c>
      <c r="Y21" s="24"/>
      <c r="Z21" s="24"/>
      <c r="AA21" s="25">
        <f t="shared" si="13"/>
        <v>0</v>
      </c>
      <c r="AB21" s="26">
        <f t="shared" si="14"/>
        <v>0</v>
      </c>
      <c r="AC21" s="26" t="str">
        <f t="shared" si="15"/>
        <v/>
      </c>
      <c r="AD21" s="27" t="str">
        <f t="shared" si="16"/>
        <v/>
      </c>
      <c r="AE21" s="39" t="str">
        <f t="shared" si="17"/>
        <v/>
      </c>
      <c r="AF21" s="39" t="str">
        <f t="shared" si="18"/>
        <v/>
      </c>
      <c r="AG21" s="40" t="str">
        <f t="shared" si="19"/>
        <v/>
      </c>
      <c r="AH21" s="41" t="str">
        <f t="shared" si="20"/>
        <v/>
      </c>
      <c r="AI21" s="39" t="str">
        <f>IF(B21="","",ROUND(GEOMEAN((J21,P21,V21)),0))</f>
        <v/>
      </c>
      <c r="AJ21" s="39" t="str">
        <f>IF(B21="","",ROUND(GEOMEAN((L21,R21,X21)),0))</f>
        <v/>
      </c>
      <c r="AK21" s="40" t="str">
        <f t="shared" si="21"/>
        <v/>
      </c>
      <c r="AL21" s="40" t="str">
        <f t="shared" si="22"/>
        <v/>
      </c>
      <c r="AM21" s="42" t="e">
        <f t="shared" si="23"/>
        <v>#DIV/0!</v>
      </c>
      <c r="AN21" s="42" t="e">
        <f t="shared" si="24"/>
        <v>#DIV/0!</v>
      </c>
      <c r="AO21" s="39" t="str">
        <f t="shared" si="25"/>
        <v/>
      </c>
      <c r="AP21" s="39" t="str">
        <f t="shared" si="26"/>
        <v/>
      </c>
      <c r="AQ21" s="40" t="str">
        <f t="shared" si="27"/>
        <v/>
      </c>
      <c r="AR21" s="41" t="str">
        <f t="shared" si="28"/>
        <v/>
      </c>
      <c r="AS21" s="39" t="str">
        <f>IF(L21="","",ROUND(GEOMEAN((J21,P21,V21,AB21)),0))</f>
        <v/>
      </c>
      <c r="AT21" s="39" t="str">
        <f>IF(L21="","",ROUND(GEOMEAN((L21,R21,X21,AD21)),0))</f>
        <v/>
      </c>
      <c r="AU21" s="40" t="str">
        <f t="shared" si="29"/>
        <v/>
      </c>
      <c r="AV21" s="40" t="str">
        <f t="shared" si="30"/>
        <v/>
      </c>
      <c r="AW21" s="42">
        <f t="shared" si="31"/>
        <v>0</v>
      </c>
      <c r="AX21" s="42">
        <f t="shared" si="32"/>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0"/>
        <v/>
      </c>
      <c r="B22" s="43"/>
      <c r="C22" s="6"/>
      <c r="D22" s="6"/>
      <c r="E22" s="43"/>
      <c r="F22" s="44"/>
      <c r="G22" s="22"/>
      <c r="H22" s="23"/>
      <c r="I22" s="47">
        <f t="shared" si="1"/>
        <v>0</v>
      </c>
      <c r="J22" s="47">
        <f t="shared" si="2"/>
        <v>0</v>
      </c>
      <c r="K22" s="58" t="str">
        <f t="shared" si="3"/>
        <v/>
      </c>
      <c r="L22" s="58" t="str">
        <f t="shared" si="4"/>
        <v/>
      </c>
      <c r="M22" s="24"/>
      <c r="N22" s="25"/>
      <c r="O22" s="26">
        <f t="shared" si="5"/>
        <v>0</v>
      </c>
      <c r="P22" s="26">
        <f t="shared" si="6"/>
        <v>0</v>
      </c>
      <c r="Q22" s="27" t="str">
        <f t="shared" si="7"/>
        <v/>
      </c>
      <c r="R22" s="27" t="str">
        <f t="shared" si="8"/>
        <v/>
      </c>
      <c r="S22" s="29"/>
      <c r="T22" s="30"/>
      <c r="U22" s="31">
        <f t="shared" si="9"/>
        <v>0</v>
      </c>
      <c r="V22" s="31">
        <f t="shared" si="10"/>
        <v>0</v>
      </c>
      <c r="W22" s="32" t="str">
        <f t="shared" si="11"/>
        <v/>
      </c>
      <c r="X22" s="32" t="str">
        <f t="shared" si="12"/>
        <v/>
      </c>
      <c r="Y22" s="24"/>
      <c r="Z22" s="24"/>
      <c r="AA22" s="25">
        <f t="shared" si="13"/>
        <v>0</v>
      </c>
      <c r="AB22" s="26">
        <f t="shared" si="14"/>
        <v>0</v>
      </c>
      <c r="AC22" s="26" t="str">
        <f t="shared" si="15"/>
        <v/>
      </c>
      <c r="AD22" s="27" t="str">
        <f t="shared" si="16"/>
        <v/>
      </c>
      <c r="AE22" s="39" t="str">
        <f t="shared" si="17"/>
        <v/>
      </c>
      <c r="AF22" s="39" t="str">
        <f t="shared" si="18"/>
        <v/>
      </c>
      <c r="AG22" s="40" t="str">
        <f t="shared" si="19"/>
        <v/>
      </c>
      <c r="AH22" s="41" t="str">
        <f t="shared" si="20"/>
        <v/>
      </c>
      <c r="AI22" s="39" t="str">
        <f>IF(B22="","",ROUND(GEOMEAN((J22,P22,V22)),0))</f>
        <v/>
      </c>
      <c r="AJ22" s="39" t="str">
        <f>IF(B22="","",ROUND(GEOMEAN((L22,R22,X22)),0))</f>
        <v/>
      </c>
      <c r="AK22" s="40" t="str">
        <f t="shared" si="21"/>
        <v/>
      </c>
      <c r="AL22" s="40" t="str">
        <f t="shared" si="22"/>
        <v/>
      </c>
      <c r="AM22" s="42" t="e">
        <f t="shared" si="23"/>
        <v>#DIV/0!</v>
      </c>
      <c r="AN22" s="42" t="e">
        <f t="shared" si="24"/>
        <v>#DIV/0!</v>
      </c>
      <c r="AO22" s="39" t="str">
        <f t="shared" si="25"/>
        <v/>
      </c>
      <c r="AP22" s="39" t="str">
        <f t="shared" si="26"/>
        <v/>
      </c>
      <c r="AQ22" s="40" t="str">
        <f t="shared" si="27"/>
        <v/>
      </c>
      <c r="AR22" s="41" t="str">
        <f t="shared" si="28"/>
        <v/>
      </c>
      <c r="AS22" s="39" t="str">
        <f>IF(L22="","",ROUND(GEOMEAN((J22,P22,V22,AB22)),0))</f>
        <v/>
      </c>
      <c r="AT22" s="39" t="str">
        <f>IF(L22="","",ROUND(GEOMEAN((L22,R22,X22,AD22)),0))</f>
        <v/>
      </c>
      <c r="AU22" s="40" t="str">
        <f t="shared" si="29"/>
        <v/>
      </c>
      <c r="AV22" s="40" t="str">
        <f t="shared" si="30"/>
        <v/>
      </c>
      <c r="AW22" s="42">
        <f t="shared" si="31"/>
        <v>0</v>
      </c>
      <c r="AX22" s="42">
        <f t="shared" si="32"/>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0"/>
        <v/>
      </c>
      <c r="B23" s="43"/>
      <c r="C23" s="6"/>
      <c r="D23" s="6"/>
      <c r="E23" s="43"/>
      <c r="F23" s="44"/>
      <c r="G23" s="22"/>
      <c r="H23" s="23"/>
      <c r="I23" s="47">
        <f t="shared" si="1"/>
        <v>0</v>
      </c>
      <c r="J23" s="47">
        <f t="shared" si="2"/>
        <v>0</v>
      </c>
      <c r="K23" s="58" t="str">
        <f t="shared" si="3"/>
        <v/>
      </c>
      <c r="L23" s="58" t="str">
        <f t="shared" si="4"/>
        <v/>
      </c>
      <c r="M23" s="24"/>
      <c r="N23" s="25"/>
      <c r="O23" s="26">
        <f t="shared" si="5"/>
        <v>0</v>
      </c>
      <c r="P23" s="26">
        <f t="shared" si="6"/>
        <v>0</v>
      </c>
      <c r="Q23" s="27" t="str">
        <f t="shared" si="7"/>
        <v/>
      </c>
      <c r="R23" s="27" t="str">
        <f t="shared" si="8"/>
        <v/>
      </c>
      <c r="S23" s="29"/>
      <c r="T23" s="30"/>
      <c r="U23" s="31">
        <f t="shared" si="9"/>
        <v>0</v>
      </c>
      <c r="V23" s="31">
        <f t="shared" si="10"/>
        <v>0</v>
      </c>
      <c r="W23" s="32" t="str">
        <f t="shared" si="11"/>
        <v/>
      </c>
      <c r="X23" s="32" t="str">
        <f t="shared" si="12"/>
        <v/>
      </c>
      <c r="Y23" s="24"/>
      <c r="Z23" s="24"/>
      <c r="AA23" s="25">
        <f t="shared" si="13"/>
        <v>0</v>
      </c>
      <c r="AB23" s="26">
        <f t="shared" si="14"/>
        <v>0</v>
      </c>
      <c r="AC23" s="26" t="str">
        <f t="shared" si="15"/>
        <v/>
      </c>
      <c r="AD23" s="27" t="str">
        <f t="shared" si="16"/>
        <v/>
      </c>
      <c r="AE23" s="39" t="str">
        <f t="shared" si="17"/>
        <v/>
      </c>
      <c r="AF23" s="39" t="str">
        <f t="shared" si="18"/>
        <v/>
      </c>
      <c r="AG23" s="40" t="str">
        <f t="shared" si="19"/>
        <v/>
      </c>
      <c r="AH23" s="41" t="str">
        <f t="shared" si="20"/>
        <v/>
      </c>
      <c r="AI23" s="39" t="str">
        <f>IF(B23="","",ROUND(GEOMEAN((J23,P23,V23)),0))</f>
        <v/>
      </c>
      <c r="AJ23" s="39" t="str">
        <f>IF(B23="","",ROUND(GEOMEAN((L23,R23,X23)),0))</f>
        <v/>
      </c>
      <c r="AK23" s="40" t="str">
        <f t="shared" si="21"/>
        <v/>
      </c>
      <c r="AL23" s="40" t="str">
        <f t="shared" si="22"/>
        <v/>
      </c>
      <c r="AM23" s="42" t="e">
        <f t="shared" si="23"/>
        <v>#DIV/0!</v>
      </c>
      <c r="AN23" s="42" t="e">
        <f t="shared" si="24"/>
        <v>#DIV/0!</v>
      </c>
      <c r="AO23" s="39" t="str">
        <f t="shared" si="25"/>
        <v/>
      </c>
      <c r="AP23" s="39" t="str">
        <f t="shared" si="26"/>
        <v/>
      </c>
      <c r="AQ23" s="40" t="str">
        <f t="shared" si="27"/>
        <v/>
      </c>
      <c r="AR23" s="41" t="str">
        <f t="shared" si="28"/>
        <v/>
      </c>
      <c r="AS23" s="39" t="str">
        <f>IF(L23="","",ROUND(GEOMEAN((J23,P23,V23,AB23)),0))</f>
        <v/>
      </c>
      <c r="AT23" s="39" t="str">
        <f>IF(L23="","",ROUND(GEOMEAN((L23,R23,X23,AD23)),0))</f>
        <v/>
      </c>
      <c r="AU23" s="40" t="str">
        <f t="shared" si="29"/>
        <v/>
      </c>
      <c r="AV23" s="40" t="str">
        <f t="shared" si="30"/>
        <v/>
      </c>
      <c r="AW23" s="42">
        <f t="shared" si="31"/>
        <v>0</v>
      </c>
      <c r="AX23" s="42">
        <f t="shared" si="32"/>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0"/>
        <v/>
      </c>
      <c r="B24" s="43"/>
      <c r="C24" s="6"/>
      <c r="D24" s="6"/>
      <c r="E24" s="43"/>
      <c r="F24" s="44"/>
      <c r="G24" s="22"/>
      <c r="H24" s="23"/>
      <c r="I24" s="47">
        <f t="shared" si="1"/>
        <v>0</v>
      </c>
      <c r="J24" s="47">
        <f t="shared" si="2"/>
        <v>0</v>
      </c>
      <c r="K24" s="58" t="str">
        <f t="shared" si="3"/>
        <v/>
      </c>
      <c r="L24" s="58" t="str">
        <f t="shared" si="4"/>
        <v/>
      </c>
      <c r="M24" s="24"/>
      <c r="N24" s="25"/>
      <c r="O24" s="26">
        <f t="shared" si="5"/>
        <v>0</v>
      </c>
      <c r="P24" s="26">
        <f t="shared" si="6"/>
        <v>0</v>
      </c>
      <c r="Q24" s="27" t="str">
        <f t="shared" si="7"/>
        <v/>
      </c>
      <c r="R24" s="27" t="str">
        <f t="shared" si="8"/>
        <v/>
      </c>
      <c r="S24" s="29"/>
      <c r="T24" s="30"/>
      <c r="U24" s="31">
        <f t="shared" si="9"/>
        <v>0</v>
      </c>
      <c r="V24" s="31">
        <f t="shared" si="10"/>
        <v>0</v>
      </c>
      <c r="W24" s="32" t="str">
        <f t="shared" si="11"/>
        <v/>
      </c>
      <c r="X24" s="32" t="str">
        <f t="shared" si="12"/>
        <v/>
      </c>
      <c r="Y24" s="24"/>
      <c r="Z24" s="24"/>
      <c r="AA24" s="25">
        <f t="shared" si="13"/>
        <v>0</v>
      </c>
      <c r="AB24" s="26">
        <f t="shared" si="14"/>
        <v>0</v>
      </c>
      <c r="AC24" s="26" t="str">
        <f t="shared" si="15"/>
        <v/>
      </c>
      <c r="AD24" s="27" t="str">
        <f t="shared" si="16"/>
        <v/>
      </c>
      <c r="AE24" s="39" t="str">
        <f t="shared" si="17"/>
        <v/>
      </c>
      <c r="AF24" s="39" t="str">
        <f t="shared" si="18"/>
        <v/>
      </c>
      <c r="AG24" s="40" t="str">
        <f t="shared" si="19"/>
        <v/>
      </c>
      <c r="AH24" s="41" t="str">
        <f t="shared" si="20"/>
        <v/>
      </c>
      <c r="AI24" s="39" t="str">
        <f>IF(B24="","",ROUND(GEOMEAN((J24,P24,V24)),0))</f>
        <v/>
      </c>
      <c r="AJ24" s="39" t="str">
        <f>IF(B24="","",ROUND(GEOMEAN((L24,R24,X24)),0))</f>
        <v/>
      </c>
      <c r="AK24" s="40" t="str">
        <f t="shared" si="21"/>
        <v/>
      </c>
      <c r="AL24" s="40" t="str">
        <f t="shared" si="22"/>
        <v/>
      </c>
      <c r="AM24" s="42" t="e">
        <f t="shared" si="23"/>
        <v>#DIV/0!</v>
      </c>
      <c r="AN24" s="42" t="e">
        <f t="shared" si="24"/>
        <v>#DIV/0!</v>
      </c>
      <c r="AO24" s="39" t="str">
        <f t="shared" si="25"/>
        <v/>
      </c>
      <c r="AP24" s="39" t="str">
        <f t="shared" si="26"/>
        <v/>
      </c>
      <c r="AQ24" s="40" t="str">
        <f t="shared" si="27"/>
        <v/>
      </c>
      <c r="AR24" s="41" t="str">
        <f t="shared" si="28"/>
        <v/>
      </c>
      <c r="AS24" s="39" t="str">
        <f>IF(L24="","",ROUND(GEOMEAN((J24,P24,V24,AB24)),0))</f>
        <v/>
      </c>
      <c r="AT24" s="39" t="str">
        <f>IF(L24="","",ROUND(GEOMEAN((L24,R24,X24,AD24)),0))</f>
        <v/>
      </c>
      <c r="AU24" s="40" t="str">
        <f t="shared" si="29"/>
        <v/>
      </c>
      <c r="AV24" s="40" t="str">
        <f t="shared" si="30"/>
        <v/>
      </c>
      <c r="AW24" s="42">
        <f t="shared" si="31"/>
        <v>0</v>
      </c>
      <c r="AX24" s="42">
        <f t="shared" si="32"/>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0"/>
        <v/>
      </c>
      <c r="B25" s="43"/>
      <c r="C25" s="6"/>
      <c r="D25" s="6"/>
      <c r="E25" s="43"/>
      <c r="F25" s="44"/>
      <c r="G25" s="22"/>
      <c r="H25" s="23"/>
      <c r="I25" s="47">
        <f t="shared" si="1"/>
        <v>0</v>
      </c>
      <c r="J25" s="47">
        <f t="shared" si="2"/>
        <v>0</v>
      </c>
      <c r="K25" s="58" t="str">
        <f t="shared" si="3"/>
        <v/>
      </c>
      <c r="L25" s="58" t="str">
        <f t="shared" si="4"/>
        <v/>
      </c>
      <c r="M25" s="24"/>
      <c r="N25" s="25"/>
      <c r="O25" s="26">
        <f t="shared" si="5"/>
        <v>0</v>
      </c>
      <c r="P25" s="26">
        <f t="shared" si="6"/>
        <v>0</v>
      </c>
      <c r="Q25" s="27" t="str">
        <f t="shared" si="7"/>
        <v/>
      </c>
      <c r="R25" s="27" t="str">
        <f t="shared" si="8"/>
        <v/>
      </c>
      <c r="S25" s="29"/>
      <c r="T25" s="30"/>
      <c r="U25" s="31">
        <f t="shared" si="9"/>
        <v>0</v>
      </c>
      <c r="V25" s="31">
        <f t="shared" si="10"/>
        <v>0</v>
      </c>
      <c r="W25" s="32" t="str">
        <f t="shared" si="11"/>
        <v/>
      </c>
      <c r="X25" s="32" t="str">
        <f t="shared" si="12"/>
        <v/>
      </c>
      <c r="Y25" s="24"/>
      <c r="Z25" s="24"/>
      <c r="AA25" s="25">
        <f t="shared" si="13"/>
        <v>0</v>
      </c>
      <c r="AB25" s="26">
        <f t="shared" si="14"/>
        <v>0</v>
      </c>
      <c r="AC25" s="26" t="str">
        <f t="shared" si="15"/>
        <v/>
      </c>
      <c r="AD25" s="27" t="str">
        <f t="shared" si="16"/>
        <v/>
      </c>
      <c r="AE25" s="39" t="str">
        <f t="shared" si="17"/>
        <v/>
      </c>
      <c r="AF25" s="39" t="str">
        <f t="shared" si="18"/>
        <v/>
      </c>
      <c r="AG25" s="40" t="str">
        <f t="shared" si="19"/>
        <v/>
      </c>
      <c r="AH25" s="41" t="str">
        <f t="shared" si="20"/>
        <v/>
      </c>
      <c r="AI25" s="39" t="str">
        <f>IF(B25="","",ROUND(GEOMEAN((J25,P25,V25)),0))</f>
        <v/>
      </c>
      <c r="AJ25" s="39" t="str">
        <f>IF(B25="","",ROUND(GEOMEAN((L25,R25,X25)),0))</f>
        <v/>
      </c>
      <c r="AK25" s="40" t="str">
        <f t="shared" si="21"/>
        <v/>
      </c>
      <c r="AL25" s="40" t="str">
        <f t="shared" si="22"/>
        <v/>
      </c>
      <c r="AM25" s="42" t="e">
        <f t="shared" si="23"/>
        <v>#DIV/0!</v>
      </c>
      <c r="AN25" s="42" t="e">
        <f t="shared" si="24"/>
        <v>#DIV/0!</v>
      </c>
      <c r="AO25" s="39" t="str">
        <f t="shared" si="25"/>
        <v/>
      </c>
      <c r="AP25" s="39" t="str">
        <f t="shared" si="26"/>
        <v/>
      </c>
      <c r="AQ25" s="40" t="str">
        <f t="shared" si="27"/>
        <v/>
      </c>
      <c r="AR25" s="41" t="str">
        <f t="shared" si="28"/>
        <v/>
      </c>
      <c r="AS25" s="39" t="str">
        <f>IF(L25="","",ROUND(GEOMEAN((J25,P25,V25,AB25)),0))</f>
        <v/>
      </c>
      <c r="AT25" s="39" t="str">
        <f>IF(L25="","",ROUND(GEOMEAN((L25,R25,X25,AD25)),0))</f>
        <v/>
      </c>
      <c r="AU25" s="40" t="str">
        <f t="shared" si="29"/>
        <v/>
      </c>
      <c r="AV25" s="40" t="str">
        <f t="shared" si="30"/>
        <v/>
      </c>
      <c r="AW25" s="42">
        <f t="shared" si="31"/>
        <v>0</v>
      </c>
      <c r="AX25" s="42">
        <f t="shared" si="32"/>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0"/>
        <v/>
      </c>
      <c r="B26" s="43"/>
      <c r="C26" s="6"/>
      <c r="D26" s="6"/>
      <c r="E26" s="43"/>
      <c r="F26" s="44"/>
      <c r="G26" s="22"/>
      <c r="H26" s="23"/>
      <c r="I26" s="47">
        <f t="shared" si="1"/>
        <v>0</v>
      </c>
      <c r="J26" s="47">
        <f t="shared" si="2"/>
        <v>0</v>
      </c>
      <c r="K26" s="58" t="str">
        <f t="shared" si="3"/>
        <v/>
      </c>
      <c r="L26" s="58" t="str">
        <f t="shared" si="4"/>
        <v/>
      </c>
      <c r="M26" s="24"/>
      <c r="N26" s="25"/>
      <c r="O26" s="26">
        <f t="shared" si="5"/>
        <v>0</v>
      </c>
      <c r="P26" s="26">
        <f t="shared" si="6"/>
        <v>0</v>
      </c>
      <c r="Q26" s="27" t="str">
        <f t="shared" si="7"/>
        <v/>
      </c>
      <c r="R26" s="27" t="str">
        <f t="shared" si="8"/>
        <v/>
      </c>
      <c r="S26" s="29"/>
      <c r="T26" s="30"/>
      <c r="U26" s="31">
        <f t="shared" si="9"/>
        <v>0</v>
      </c>
      <c r="V26" s="31">
        <f t="shared" si="10"/>
        <v>0</v>
      </c>
      <c r="W26" s="32" t="str">
        <f t="shared" si="11"/>
        <v/>
      </c>
      <c r="X26" s="32" t="str">
        <f t="shared" si="12"/>
        <v/>
      </c>
      <c r="Y26" s="24"/>
      <c r="Z26" s="24"/>
      <c r="AA26" s="25">
        <f t="shared" si="13"/>
        <v>0</v>
      </c>
      <c r="AB26" s="26">
        <f t="shared" si="14"/>
        <v>0</v>
      </c>
      <c r="AC26" s="26" t="str">
        <f t="shared" si="15"/>
        <v/>
      </c>
      <c r="AD26" s="27" t="str">
        <f t="shared" si="16"/>
        <v/>
      </c>
      <c r="AE26" s="39" t="str">
        <f t="shared" si="17"/>
        <v/>
      </c>
      <c r="AF26" s="39" t="str">
        <f t="shared" si="18"/>
        <v/>
      </c>
      <c r="AG26" s="40" t="str">
        <f t="shared" si="19"/>
        <v/>
      </c>
      <c r="AH26" s="41" t="str">
        <f t="shared" si="20"/>
        <v/>
      </c>
      <c r="AI26" s="39" t="str">
        <f>IF(B26="","",ROUND(GEOMEAN((J26,P26,V26)),0))</f>
        <v/>
      </c>
      <c r="AJ26" s="39" t="str">
        <f>IF(B26="","",ROUND(GEOMEAN((L26,R26,X26)),0))</f>
        <v/>
      </c>
      <c r="AK26" s="40" t="str">
        <f t="shared" si="21"/>
        <v/>
      </c>
      <c r="AL26" s="40" t="str">
        <f t="shared" si="22"/>
        <v/>
      </c>
      <c r="AM26" s="42" t="e">
        <f t="shared" si="23"/>
        <v>#DIV/0!</v>
      </c>
      <c r="AN26" s="42" t="e">
        <f t="shared" si="24"/>
        <v>#DIV/0!</v>
      </c>
      <c r="AO26" s="39" t="str">
        <f t="shared" si="25"/>
        <v/>
      </c>
      <c r="AP26" s="39" t="str">
        <f t="shared" si="26"/>
        <v/>
      </c>
      <c r="AQ26" s="40" t="str">
        <f t="shared" si="27"/>
        <v/>
      </c>
      <c r="AR26" s="41" t="str">
        <f t="shared" si="28"/>
        <v/>
      </c>
      <c r="AS26" s="39" t="str">
        <f>IF(L26="","",ROUND(GEOMEAN((J26,P26,V26,AB26)),0))</f>
        <v/>
      </c>
      <c r="AT26" s="39" t="str">
        <f>IF(L26="","",ROUND(GEOMEAN((L26,R26,X26,AD26)),0))</f>
        <v/>
      </c>
      <c r="AU26" s="40" t="str">
        <f t="shared" si="29"/>
        <v/>
      </c>
      <c r="AV26" s="40" t="str">
        <f t="shared" si="30"/>
        <v/>
      </c>
      <c r="AW26" s="42">
        <f t="shared" si="31"/>
        <v>0</v>
      </c>
      <c r="AX26" s="42">
        <f t="shared" si="32"/>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0"/>
        <v/>
      </c>
      <c r="B27" s="43"/>
      <c r="C27" s="6"/>
      <c r="D27" s="6"/>
      <c r="E27" s="43"/>
      <c r="F27" s="44"/>
      <c r="G27" s="22"/>
      <c r="H27" s="23"/>
      <c r="I27" s="47">
        <f t="shared" si="1"/>
        <v>0</v>
      </c>
      <c r="J27" s="47">
        <f t="shared" si="2"/>
        <v>0</v>
      </c>
      <c r="K27" s="58" t="str">
        <f t="shared" si="3"/>
        <v/>
      </c>
      <c r="L27" s="58" t="str">
        <f t="shared" si="4"/>
        <v/>
      </c>
      <c r="M27" s="24"/>
      <c r="N27" s="25"/>
      <c r="O27" s="26">
        <f t="shared" si="5"/>
        <v>0</v>
      </c>
      <c r="P27" s="26">
        <f t="shared" si="6"/>
        <v>0</v>
      </c>
      <c r="Q27" s="27" t="str">
        <f t="shared" si="7"/>
        <v/>
      </c>
      <c r="R27" s="27" t="str">
        <f t="shared" si="8"/>
        <v/>
      </c>
      <c r="S27" s="29"/>
      <c r="T27" s="30"/>
      <c r="U27" s="31">
        <f t="shared" si="9"/>
        <v>0</v>
      </c>
      <c r="V27" s="31">
        <f t="shared" si="10"/>
        <v>0</v>
      </c>
      <c r="W27" s="32" t="str">
        <f t="shared" si="11"/>
        <v/>
      </c>
      <c r="X27" s="32" t="str">
        <f t="shared" si="12"/>
        <v/>
      </c>
      <c r="Y27" s="24"/>
      <c r="Z27" s="24"/>
      <c r="AA27" s="25">
        <f t="shared" si="13"/>
        <v>0</v>
      </c>
      <c r="AB27" s="26">
        <f t="shared" si="14"/>
        <v>0</v>
      </c>
      <c r="AC27" s="26" t="str">
        <f t="shared" si="15"/>
        <v/>
      </c>
      <c r="AD27" s="27" t="str">
        <f t="shared" si="16"/>
        <v/>
      </c>
      <c r="AE27" s="39" t="str">
        <f t="shared" si="17"/>
        <v/>
      </c>
      <c r="AF27" s="39" t="str">
        <f t="shared" si="18"/>
        <v/>
      </c>
      <c r="AG27" s="40" t="str">
        <f t="shared" si="19"/>
        <v/>
      </c>
      <c r="AH27" s="41" t="str">
        <f t="shared" si="20"/>
        <v/>
      </c>
      <c r="AI27" s="39" t="str">
        <f>IF(B27="","",ROUND(GEOMEAN((J27,P27,V27)),0))</f>
        <v/>
      </c>
      <c r="AJ27" s="39" t="str">
        <f>IF(B27="","",ROUND(GEOMEAN((L27,R27,X27)),0))</f>
        <v/>
      </c>
      <c r="AK27" s="40" t="str">
        <f t="shared" si="21"/>
        <v/>
      </c>
      <c r="AL27" s="40" t="str">
        <f t="shared" si="22"/>
        <v/>
      </c>
      <c r="AM27" s="42" t="e">
        <f t="shared" si="23"/>
        <v>#DIV/0!</v>
      </c>
      <c r="AN27" s="42" t="e">
        <f t="shared" si="24"/>
        <v>#DIV/0!</v>
      </c>
      <c r="AO27" s="39" t="str">
        <f t="shared" si="25"/>
        <v/>
      </c>
      <c r="AP27" s="39" t="str">
        <f t="shared" si="26"/>
        <v/>
      </c>
      <c r="AQ27" s="40" t="str">
        <f t="shared" si="27"/>
        <v/>
      </c>
      <c r="AR27" s="41" t="str">
        <f t="shared" si="28"/>
        <v/>
      </c>
      <c r="AS27" s="39" t="str">
        <f>IF(L27="","",ROUND(GEOMEAN((J27,P27,V27,AB27)),0))</f>
        <v/>
      </c>
      <c r="AT27" s="39" t="str">
        <f>IF(L27="","",ROUND(GEOMEAN((L27,R27,X27,AD27)),0))</f>
        <v/>
      </c>
      <c r="AU27" s="40" t="str">
        <f t="shared" si="29"/>
        <v/>
      </c>
      <c r="AV27" s="40" t="str">
        <f t="shared" si="30"/>
        <v/>
      </c>
      <c r="AW27" s="42">
        <f t="shared" si="31"/>
        <v>0</v>
      </c>
      <c r="AX27" s="42">
        <f t="shared" si="32"/>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0"/>
        <v/>
      </c>
      <c r="B28" s="43"/>
      <c r="C28" s="6"/>
      <c r="D28" s="6"/>
      <c r="E28" s="43"/>
      <c r="F28" s="44"/>
      <c r="G28" s="22"/>
      <c r="H28" s="23"/>
      <c r="I28" s="47">
        <f t="shared" si="1"/>
        <v>0</v>
      </c>
      <c r="J28" s="47">
        <f t="shared" si="2"/>
        <v>0</v>
      </c>
      <c r="K28" s="58" t="str">
        <f t="shared" si="3"/>
        <v/>
      </c>
      <c r="L28" s="58" t="str">
        <f t="shared" si="4"/>
        <v/>
      </c>
      <c r="M28" s="24"/>
      <c r="N28" s="25"/>
      <c r="O28" s="26">
        <f t="shared" si="5"/>
        <v>0</v>
      </c>
      <c r="P28" s="26">
        <f t="shared" si="6"/>
        <v>0</v>
      </c>
      <c r="Q28" s="27" t="str">
        <f t="shared" si="7"/>
        <v/>
      </c>
      <c r="R28" s="27" t="str">
        <f t="shared" si="8"/>
        <v/>
      </c>
      <c r="S28" s="29"/>
      <c r="T28" s="30"/>
      <c r="U28" s="31">
        <f t="shared" si="9"/>
        <v>0</v>
      </c>
      <c r="V28" s="31">
        <f t="shared" si="10"/>
        <v>0</v>
      </c>
      <c r="W28" s="32" t="str">
        <f t="shared" si="11"/>
        <v/>
      </c>
      <c r="X28" s="32" t="str">
        <f t="shared" si="12"/>
        <v/>
      </c>
      <c r="Y28" s="24"/>
      <c r="Z28" s="24"/>
      <c r="AA28" s="25">
        <f t="shared" si="13"/>
        <v>0</v>
      </c>
      <c r="AB28" s="26">
        <f t="shared" si="14"/>
        <v>0</v>
      </c>
      <c r="AC28" s="26" t="str">
        <f t="shared" si="15"/>
        <v/>
      </c>
      <c r="AD28" s="27" t="str">
        <f t="shared" si="16"/>
        <v/>
      </c>
      <c r="AE28" s="39" t="str">
        <f t="shared" si="17"/>
        <v/>
      </c>
      <c r="AF28" s="39" t="str">
        <f t="shared" si="18"/>
        <v/>
      </c>
      <c r="AG28" s="40" t="str">
        <f t="shared" si="19"/>
        <v/>
      </c>
      <c r="AH28" s="41" t="str">
        <f t="shared" si="20"/>
        <v/>
      </c>
      <c r="AI28" s="39" t="str">
        <f>IF(B28="","",ROUND(GEOMEAN((J28,P28,V28)),0))</f>
        <v/>
      </c>
      <c r="AJ28" s="39" t="str">
        <f>IF(B28="","",ROUND(GEOMEAN((L28,R28,X28)),0))</f>
        <v/>
      </c>
      <c r="AK28" s="40" t="str">
        <f t="shared" si="21"/>
        <v/>
      </c>
      <c r="AL28" s="40" t="str">
        <f t="shared" si="22"/>
        <v/>
      </c>
      <c r="AM28" s="42" t="e">
        <f t="shared" si="23"/>
        <v>#DIV/0!</v>
      </c>
      <c r="AN28" s="42" t="e">
        <f t="shared" si="24"/>
        <v>#DIV/0!</v>
      </c>
      <c r="AO28" s="39" t="str">
        <f t="shared" si="25"/>
        <v/>
      </c>
      <c r="AP28" s="39" t="str">
        <f t="shared" si="26"/>
        <v/>
      </c>
      <c r="AQ28" s="40" t="str">
        <f t="shared" si="27"/>
        <v/>
      </c>
      <c r="AR28" s="41" t="str">
        <f t="shared" si="28"/>
        <v/>
      </c>
      <c r="AS28" s="39" t="str">
        <f>IF(L28="","",ROUND(GEOMEAN((J28,P28,V28,AB28)),0))</f>
        <v/>
      </c>
      <c r="AT28" s="39" t="str">
        <f>IF(L28="","",ROUND(GEOMEAN((L28,R28,X28,AD28)),0))</f>
        <v/>
      </c>
      <c r="AU28" s="40" t="str">
        <f t="shared" si="29"/>
        <v/>
      </c>
      <c r="AV28" s="40" t="str">
        <f t="shared" si="30"/>
        <v/>
      </c>
      <c r="AW28" s="42">
        <f t="shared" si="31"/>
        <v>0</v>
      </c>
      <c r="AX28" s="42">
        <f t="shared" si="32"/>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0"/>
        <v/>
      </c>
      <c r="B29" s="43"/>
      <c r="C29" s="6"/>
      <c r="D29" s="6"/>
      <c r="E29" s="43"/>
      <c r="F29" s="44"/>
      <c r="G29" s="22"/>
      <c r="H29" s="23"/>
      <c r="I29" s="47">
        <f t="shared" si="1"/>
        <v>0</v>
      </c>
      <c r="J29" s="47">
        <f t="shared" si="2"/>
        <v>0</v>
      </c>
      <c r="K29" s="58" t="str">
        <f t="shared" si="3"/>
        <v/>
      </c>
      <c r="L29" s="58" t="str">
        <f t="shared" si="4"/>
        <v/>
      </c>
      <c r="M29" s="24"/>
      <c r="N29" s="25"/>
      <c r="O29" s="26">
        <f t="shared" si="5"/>
        <v>0</v>
      </c>
      <c r="P29" s="26">
        <f t="shared" si="6"/>
        <v>0</v>
      </c>
      <c r="Q29" s="27" t="str">
        <f t="shared" si="7"/>
        <v/>
      </c>
      <c r="R29" s="27" t="str">
        <f t="shared" si="8"/>
        <v/>
      </c>
      <c r="S29" s="29"/>
      <c r="T29" s="30"/>
      <c r="U29" s="31">
        <f t="shared" si="9"/>
        <v>0</v>
      </c>
      <c r="V29" s="31">
        <f t="shared" si="10"/>
        <v>0</v>
      </c>
      <c r="W29" s="32" t="str">
        <f t="shared" si="11"/>
        <v/>
      </c>
      <c r="X29" s="32" t="str">
        <f t="shared" si="12"/>
        <v/>
      </c>
      <c r="Y29" s="24"/>
      <c r="Z29" s="24"/>
      <c r="AA29" s="25">
        <f t="shared" si="13"/>
        <v>0</v>
      </c>
      <c r="AB29" s="26">
        <f t="shared" si="14"/>
        <v>0</v>
      </c>
      <c r="AC29" s="26" t="str">
        <f t="shared" si="15"/>
        <v/>
      </c>
      <c r="AD29" s="27" t="str">
        <f t="shared" si="16"/>
        <v/>
      </c>
      <c r="AE29" s="39" t="str">
        <f t="shared" si="17"/>
        <v/>
      </c>
      <c r="AF29" s="39" t="str">
        <f t="shared" si="18"/>
        <v/>
      </c>
      <c r="AG29" s="40" t="str">
        <f t="shared" si="19"/>
        <v/>
      </c>
      <c r="AH29" s="41" t="str">
        <f t="shared" si="20"/>
        <v/>
      </c>
      <c r="AI29" s="39" t="str">
        <f>IF(B29="","",ROUND(GEOMEAN((J29,P29,V29)),0))</f>
        <v/>
      </c>
      <c r="AJ29" s="39" t="str">
        <f>IF(B29="","",ROUND(GEOMEAN((L29,R29,X29)),0))</f>
        <v/>
      </c>
      <c r="AK29" s="40" t="str">
        <f t="shared" si="21"/>
        <v/>
      </c>
      <c r="AL29" s="40" t="str">
        <f t="shared" si="22"/>
        <v/>
      </c>
      <c r="AM29" s="42" t="e">
        <f t="shared" si="23"/>
        <v>#DIV/0!</v>
      </c>
      <c r="AN29" s="42" t="e">
        <f t="shared" si="24"/>
        <v>#DIV/0!</v>
      </c>
      <c r="AO29" s="39" t="str">
        <f t="shared" si="25"/>
        <v/>
      </c>
      <c r="AP29" s="39" t="str">
        <f t="shared" si="26"/>
        <v/>
      </c>
      <c r="AQ29" s="40" t="str">
        <f t="shared" si="27"/>
        <v/>
      </c>
      <c r="AR29" s="41" t="str">
        <f t="shared" si="28"/>
        <v/>
      </c>
      <c r="AS29" s="39" t="str">
        <f>IF(L29="","",ROUND(GEOMEAN((J29,P29,V29,AB29)),0))</f>
        <v/>
      </c>
      <c r="AT29" s="39" t="str">
        <f>IF(L29="","",ROUND(GEOMEAN((L29,R29,X29,AD29)),0))</f>
        <v/>
      </c>
      <c r="AU29" s="40" t="str">
        <f t="shared" si="29"/>
        <v/>
      </c>
      <c r="AV29" s="40" t="str">
        <f t="shared" si="30"/>
        <v/>
      </c>
      <c r="AW29" s="42">
        <f t="shared" si="31"/>
        <v>0</v>
      </c>
      <c r="AX29" s="42">
        <f t="shared" si="32"/>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0"/>
        <v/>
      </c>
      <c r="B30" s="43"/>
      <c r="C30" s="6"/>
      <c r="D30" s="6"/>
      <c r="E30" s="43"/>
      <c r="F30" s="44"/>
      <c r="G30" s="22"/>
      <c r="H30" s="23"/>
      <c r="I30" s="47">
        <f t="shared" si="1"/>
        <v>0</v>
      </c>
      <c r="J30" s="47">
        <f t="shared" si="2"/>
        <v>0</v>
      </c>
      <c r="K30" s="58" t="str">
        <f t="shared" si="3"/>
        <v/>
      </c>
      <c r="L30" s="58" t="str">
        <f t="shared" si="4"/>
        <v/>
      </c>
      <c r="M30" s="24"/>
      <c r="N30" s="25"/>
      <c r="O30" s="26">
        <f t="shared" si="5"/>
        <v>0</v>
      </c>
      <c r="P30" s="26">
        <f t="shared" si="6"/>
        <v>0</v>
      </c>
      <c r="Q30" s="27" t="str">
        <f t="shared" si="7"/>
        <v/>
      </c>
      <c r="R30" s="27" t="str">
        <f t="shared" si="8"/>
        <v/>
      </c>
      <c r="S30" s="29"/>
      <c r="T30" s="30"/>
      <c r="U30" s="31">
        <f t="shared" si="9"/>
        <v>0</v>
      </c>
      <c r="V30" s="31">
        <f t="shared" si="10"/>
        <v>0</v>
      </c>
      <c r="W30" s="32" t="str">
        <f t="shared" si="11"/>
        <v/>
      </c>
      <c r="X30" s="32" t="str">
        <f t="shared" si="12"/>
        <v/>
      </c>
      <c r="Y30" s="24"/>
      <c r="Z30" s="24"/>
      <c r="AA30" s="25">
        <f t="shared" si="13"/>
        <v>0</v>
      </c>
      <c r="AB30" s="26">
        <f t="shared" si="14"/>
        <v>0</v>
      </c>
      <c r="AC30" s="26" t="str">
        <f t="shared" si="15"/>
        <v/>
      </c>
      <c r="AD30" s="27" t="str">
        <f t="shared" si="16"/>
        <v/>
      </c>
      <c r="AE30" s="39" t="str">
        <f t="shared" si="17"/>
        <v/>
      </c>
      <c r="AF30" s="39" t="str">
        <f t="shared" si="18"/>
        <v/>
      </c>
      <c r="AG30" s="40" t="str">
        <f t="shared" si="19"/>
        <v/>
      </c>
      <c r="AH30" s="41" t="str">
        <f t="shared" si="20"/>
        <v/>
      </c>
      <c r="AI30" s="39" t="str">
        <f>IF(B30="","",ROUND(GEOMEAN((J30,P30,V30)),0))</f>
        <v/>
      </c>
      <c r="AJ30" s="39" t="str">
        <f>IF(B30="","",ROUND(GEOMEAN((L30,R30,X30)),0))</f>
        <v/>
      </c>
      <c r="AK30" s="40" t="str">
        <f t="shared" si="21"/>
        <v/>
      </c>
      <c r="AL30" s="40" t="str">
        <f t="shared" si="22"/>
        <v/>
      </c>
      <c r="AM30" s="42" t="e">
        <f t="shared" si="23"/>
        <v>#DIV/0!</v>
      </c>
      <c r="AN30" s="42" t="e">
        <f t="shared" si="24"/>
        <v>#DIV/0!</v>
      </c>
      <c r="AO30" s="39" t="str">
        <f t="shared" si="25"/>
        <v/>
      </c>
      <c r="AP30" s="39" t="str">
        <f t="shared" si="26"/>
        <v/>
      </c>
      <c r="AQ30" s="40" t="str">
        <f t="shared" si="27"/>
        <v/>
      </c>
      <c r="AR30" s="41" t="str">
        <f t="shared" si="28"/>
        <v/>
      </c>
      <c r="AS30" s="39" t="str">
        <f>IF(L30="","",ROUND(GEOMEAN((J30,P30,V30,AB30)),0))</f>
        <v/>
      </c>
      <c r="AT30" s="39" t="str">
        <f>IF(L30="","",ROUND(GEOMEAN((L30,R30,X30,AD30)),0))</f>
        <v/>
      </c>
      <c r="AU30" s="40" t="str">
        <f t="shared" si="29"/>
        <v/>
      </c>
      <c r="AV30" s="40" t="str">
        <f t="shared" si="30"/>
        <v/>
      </c>
      <c r="AW30" s="42">
        <f t="shared" si="31"/>
        <v>0</v>
      </c>
      <c r="AX30" s="42">
        <f t="shared" si="32"/>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0"/>
        <v/>
      </c>
      <c r="B31" s="43"/>
      <c r="C31" s="6"/>
      <c r="D31" s="6"/>
      <c r="E31" s="43"/>
      <c r="F31" s="44"/>
      <c r="G31" s="22"/>
      <c r="H31" s="23"/>
      <c r="I31" s="47">
        <f t="shared" si="1"/>
        <v>0</v>
      </c>
      <c r="J31" s="47">
        <f t="shared" si="2"/>
        <v>0</v>
      </c>
      <c r="K31" s="58" t="str">
        <f t="shared" si="3"/>
        <v/>
      </c>
      <c r="L31" s="58" t="str">
        <f t="shared" si="4"/>
        <v/>
      </c>
      <c r="M31" s="24"/>
      <c r="N31" s="25"/>
      <c r="O31" s="26">
        <f t="shared" si="5"/>
        <v>0</v>
      </c>
      <c r="P31" s="26">
        <f t="shared" si="6"/>
        <v>0</v>
      </c>
      <c r="Q31" s="27" t="str">
        <f t="shared" si="7"/>
        <v/>
      </c>
      <c r="R31" s="27" t="str">
        <f t="shared" si="8"/>
        <v/>
      </c>
      <c r="S31" s="29"/>
      <c r="T31" s="30"/>
      <c r="U31" s="31">
        <f t="shared" si="9"/>
        <v>0</v>
      </c>
      <c r="V31" s="31">
        <f t="shared" si="10"/>
        <v>0</v>
      </c>
      <c r="W31" s="32" t="str">
        <f t="shared" si="11"/>
        <v/>
      </c>
      <c r="X31" s="32" t="str">
        <f t="shared" si="12"/>
        <v/>
      </c>
      <c r="Y31" s="24"/>
      <c r="Z31" s="24"/>
      <c r="AA31" s="25">
        <f t="shared" si="13"/>
        <v>0</v>
      </c>
      <c r="AB31" s="26">
        <f t="shared" si="14"/>
        <v>0</v>
      </c>
      <c r="AC31" s="26" t="str">
        <f t="shared" si="15"/>
        <v/>
      </c>
      <c r="AD31" s="27" t="str">
        <f t="shared" si="16"/>
        <v/>
      </c>
      <c r="AE31" s="39" t="str">
        <f t="shared" si="17"/>
        <v/>
      </c>
      <c r="AF31" s="39" t="str">
        <f t="shared" si="18"/>
        <v/>
      </c>
      <c r="AG31" s="40" t="str">
        <f t="shared" si="19"/>
        <v/>
      </c>
      <c r="AH31" s="41" t="str">
        <f t="shared" si="20"/>
        <v/>
      </c>
      <c r="AI31" s="39" t="str">
        <f>IF(B31="","",ROUND(GEOMEAN((J31,P31,V31)),0))</f>
        <v/>
      </c>
      <c r="AJ31" s="39" t="str">
        <f>IF(B31="","",ROUND(GEOMEAN((L31,R31,X31)),0))</f>
        <v/>
      </c>
      <c r="AK31" s="40" t="str">
        <f t="shared" si="21"/>
        <v/>
      </c>
      <c r="AL31" s="40" t="str">
        <f t="shared" si="22"/>
        <v/>
      </c>
      <c r="AM31" s="42" t="e">
        <f t="shared" si="23"/>
        <v>#DIV/0!</v>
      </c>
      <c r="AN31" s="42" t="e">
        <f t="shared" si="24"/>
        <v>#DIV/0!</v>
      </c>
      <c r="AO31" s="39" t="str">
        <f t="shared" si="25"/>
        <v/>
      </c>
      <c r="AP31" s="39" t="str">
        <f t="shared" si="26"/>
        <v/>
      </c>
      <c r="AQ31" s="40" t="str">
        <f t="shared" si="27"/>
        <v/>
      </c>
      <c r="AR31" s="41" t="str">
        <f t="shared" si="28"/>
        <v/>
      </c>
      <c r="AS31" s="39" t="str">
        <f>IF(L31="","",ROUND(GEOMEAN((J31,P31,V31,AB31)),0))</f>
        <v/>
      </c>
      <c r="AT31" s="39" t="str">
        <f>IF(L31="","",ROUND(GEOMEAN((L31,R31,X31,AD31)),0))</f>
        <v/>
      </c>
      <c r="AU31" s="40" t="str">
        <f t="shared" si="29"/>
        <v/>
      </c>
      <c r="AV31" s="40" t="str">
        <f t="shared" si="30"/>
        <v/>
      </c>
      <c r="AW31" s="42">
        <f t="shared" si="31"/>
        <v>0</v>
      </c>
      <c r="AX31" s="42">
        <f t="shared" si="32"/>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0"/>
        <v/>
      </c>
      <c r="B32" s="43"/>
      <c r="C32" s="6"/>
      <c r="D32" s="6"/>
      <c r="E32" s="43"/>
      <c r="F32" s="44"/>
      <c r="G32" s="22"/>
      <c r="H32" s="23"/>
      <c r="I32" s="47">
        <f t="shared" si="1"/>
        <v>0</v>
      </c>
      <c r="J32" s="47">
        <f t="shared" si="2"/>
        <v>0</v>
      </c>
      <c r="K32" s="58" t="str">
        <f t="shared" si="3"/>
        <v/>
      </c>
      <c r="L32" s="58" t="str">
        <f t="shared" si="4"/>
        <v/>
      </c>
      <c r="M32" s="24"/>
      <c r="N32" s="25"/>
      <c r="O32" s="26">
        <f t="shared" si="5"/>
        <v>0</v>
      </c>
      <c r="P32" s="26">
        <f t="shared" si="6"/>
        <v>0</v>
      </c>
      <c r="Q32" s="27" t="str">
        <f t="shared" si="7"/>
        <v/>
      </c>
      <c r="R32" s="27" t="str">
        <f t="shared" si="8"/>
        <v/>
      </c>
      <c r="S32" s="29"/>
      <c r="T32" s="30"/>
      <c r="U32" s="31">
        <f t="shared" si="9"/>
        <v>0</v>
      </c>
      <c r="V32" s="31">
        <f t="shared" si="10"/>
        <v>0</v>
      </c>
      <c r="W32" s="32" t="str">
        <f t="shared" si="11"/>
        <v/>
      </c>
      <c r="X32" s="32" t="str">
        <f t="shared" si="12"/>
        <v/>
      </c>
      <c r="Y32" s="24"/>
      <c r="Z32" s="24"/>
      <c r="AA32" s="25">
        <f t="shared" si="13"/>
        <v>0</v>
      </c>
      <c r="AB32" s="26">
        <f t="shared" si="14"/>
        <v>0</v>
      </c>
      <c r="AC32" s="26" t="str">
        <f t="shared" si="15"/>
        <v/>
      </c>
      <c r="AD32" s="27" t="str">
        <f t="shared" si="16"/>
        <v/>
      </c>
      <c r="AE32" s="39" t="str">
        <f t="shared" si="17"/>
        <v/>
      </c>
      <c r="AF32" s="39" t="str">
        <f t="shared" si="18"/>
        <v/>
      </c>
      <c r="AG32" s="40" t="str">
        <f t="shared" si="19"/>
        <v/>
      </c>
      <c r="AH32" s="41" t="str">
        <f t="shared" si="20"/>
        <v/>
      </c>
      <c r="AI32" s="39" t="str">
        <f>IF(B32="","",ROUND(GEOMEAN((J32,P32,V32)),0))</f>
        <v/>
      </c>
      <c r="AJ32" s="39" t="str">
        <f>IF(B32="","",ROUND(GEOMEAN((L32,R32,X32)),0))</f>
        <v/>
      </c>
      <c r="AK32" s="40" t="str">
        <f t="shared" si="21"/>
        <v/>
      </c>
      <c r="AL32" s="40" t="str">
        <f t="shared" si="22"/>
        <v/>
      </c>
      <c r="AM32" s="42" t="e">
        <f t="shared" si="23"/>
        <v>#DIV/0!</v>
      </c>
      <c r="AN32" s="42" t="e">
        <f t="shared" si="24"/>
        <v>#DIV/0!</v>
      </c>
      <c r="AO32" s="39" t="str">
        <f t="shared" si="25"/>
        <v/>
      </c>
      <c r="AP32" s="39" t="str">
        <f t="shared" si="26"/>
        <v/>
      </c>
      <c r="AQ32" s="40" t="str">
        <f t="shared" si="27"/>
        <v/>
      </c>
      <c r="AR32" s="41" t="str">
        <f t="shared" si="28"/>
        <v/>
      </c>
      <c r="AS32" s="39" t="str">
        <f>IF(L32="","",ROUND(GEOMEAN((J32,P32,V32,AB32)),0))</f>
        <v/>
      </c>
      <c r="AT32" s="39" t="str">
        <f>IF(L32="","",ROUND(GEOMEAN((L32,R32,X32,AD32)),0))</f>
        <v/>
      </c>
      <c r="AU32" s="40" t="str">
        <f t="shared" si="29"/>
        <v/>
      </c>
      <c r="AV32" s="40" t="str">
        <f t="shared" si="30"/>
        <v/>
      </c>
      <c r="AW32" s="42">
        <f t="shared" si="31"/>
        <v>0</v>
      </c>
      <c r="AX32" s="42">
        <f t="shared" si="32"/>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0"/>
        <v/>
      </c>
      <c r="B33" s="43"/>
      <c r="C33" s="6"/>
      <c r="D33" s="6"/>
      <c r="E33" s="43"/>
      <c r="F33" s="44"/>
      <c r="G33" s="22"/>
      <c r="H33" s="23"/>
      <c r="I33" s="47">
        <f t="shared" si="1"/>
        <v>0</v>
      </c>
      <c r="J33" s="47">
        <f t="shared" si="2"/>
        <v>0</v>
      </c>
      <c r="K33" s="58" t="str">
        <f t="shared" si="3"/>
        <v/>
      </c>
      <c r="L33" s="58" t="str">
        <f t="shared" si="4"/>
        <v/>
      </c>
      <c r="M33" s="24"/>
      <c r="N33" s="25"/>
      <c r="O33" s="26">
        <f t="shared" si="5"/>
        <v>0</v>
      </c>
      <c r="P33" s="26">
        <f t="shared" si="6"/>
        <v>0</v>
      </c>
      <c r="Q33" s="27" t="str">
        <f t="shared" si="7"/>
        <v/>
      </c>
      <c r="R33" s="27" t="str">
        <f t="shared" si="8"/>
        <v/>
      </c>
      <c r="S33" s="29"/>
      <c r="T33" s="30"/>
      <c r="U33" s="31">
        <f t="shared" si="9"/>
        <v>0</v>
      </c>
      <c r="V33" s="31">
        <f t="shared" si="10"/>
        <v>0</v>
      </c>
      <c r="W33" s="32" t="str">
        <f t="shared" si="11"/>
        <v/>
      </c>
      <c r="X33" s="32" t="str">
        <f t="shared" si="12"/>
        <v/>
      </c>
      <c r="Y33" s="24"/>
      <c r="Z33" s="24"/>
      <c r="AA33" s="25">
        <f t="shared" si="13"/>
        <v>0</v>
      </c>
      <c r="AB33" s="26">
        <f t="shared" si="14"/>
        <v>0</v>
      </c>
      <c r="AC33" s="26" t="str">
        <f t="shared" si="15"/>
        <v/>
      </c>
      <c r="AD33" s="27" t="str">
        <f t="shared" si="16"/>
        <v/>
      </c>
      <c r="AE33" s="39" t="str">
        <f t="shared" si="17"/>
        <v/>
      </c>
      <c r="AF33" s="39" t="str">
        <f t="shared" si="18"/>
        <v/>
      </c>
      <c r="AG33" s="40" t="str">
        <f t="shared" si="19"/>
        <v/>
      </c>
      <c r="AH33" s="41" t="str">
        <f t="shared" si="20"/>
        <v/>
      </c>
      <c r="AI33" s="39" t="str">
        <f>IF(B33="","",ROUND(GEOMEAN((J33,P33,V33)),0))</f>
        <v/>
      </c>
      <c r="AJ33" s="39" t="str">
        <f>IF(B33="","",ROUND(GEOMEAN((L33,R33,X33)),0))</f>
        <v/>
      </c>
      <c r="AK33" s="40" t="str">
        <f t="shared" si="21"/>
        <v/>
      </c>
      <c r="AL33" s="40" t="str">
        <f t="shared" si="22"/>
        <v/>
      </c>
      <c r="AM33" s="42" t="e">
        <f t="shared" si="23"/>
        <v>#DIV/0!</v>
      </c>
      <c r="AN33" s="42" t="e">
        <f t="shared" si="24"/>
        <v>#DIV/0!</v>
      </c>
      <c r="AO33" s="39" t="str">
        <f t="shared" si="25"/>
        <v/>
      </c>
      <c r="AP33" s="39" t="str">
        <f t="shared" si="26"/>
        <v/>
      </c>
      <c r="AQ33" s="40" t="str">
        <f t="shared" si="27"/>
        <v/>
      </c>
      <c r="AR33" s="41" t="str">
        <f t="shared" si="28"/>
        <v/>
      </c>
      <c r="AS33" s="39" t="str">
        <f>IF(L33="","",ROUND(GEOMEAN((J33,P33,V33,AB33)),0))</f>
        <v/>
      </c>
      <c r="AT33" s="39" t="str">
        <f>IF(L33="","",ROUND(GEOMEAN((L33,R33,X33,AD33)),0))</f>
        <v/>
      </c>
      <c r="AU33" s="40" t="str">
        <f t="shared" si="29"/>
        <v/>
      </c>
      <c r="AV33" s="40" t="str">
        <f t="shared" si="30"/>
        <v/>
      </c>
      <c r="AW33" s="42">
        <f t="shared" si="31"/>
        <v>0</v>
      </c>
      <c r="AX33" s="42">
        <f t="shared" si="32"/>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0"/>
        <v/>
      </c>
      <c r="B34" s="43"/>
      <c r="C34" s="6"/>
      <c r="D34" s="6"/>
      <c r="E34" s="43"/>
      <c r="F34" s="44"/>
      <c r="G34" s="22"/>
      <c r="H34" s="23"/>
      <c r="I34" s="47">
        <f t="shared" si="1"/>
        <v>0</v>
      </c>
      <c r="J34" s="47">
        <f t="shared" si="2"/>
        <v>0</v>
      </c>
      <c r="K34" s="58" t="str">
        <f t="shared" si="3"/>
        <v/>
      </c>
      <c r="L34" s="58" t="str">
        <f t="shared" si="4"/>
        <v/>
      </c>
      <c r="M34" s="24"/>
      <c r="N34" s="25"/>
      <c r="O34" s="26">
        <f t="shared" si="5"/>
        <v>0</v>
      </c>
      <c r="P34" s="26">
        <f t="shared" si="6"/>
        <v>0</v>
      </c>
      <c r="Q34" s="27" t="str">
        <f t="shared" si="7"/>
        <v/>
      </c>
      <c r="R34" s="27" t="str">
        <f t="shared" si="8"/>
        <v/>
      </c>
      <c r="S34" s="29"/>
      <c r="T34" s="30"/>
      <c r="U34" s="31">
        <f t="shared" si="9"/>
        <v>0</v>
      </c>
      <c r="V34" s="31">
        <f t="shared" si="10"/>
        <v>0</v>
      </c>
      <c r="W34" s="32" t="str">
        <f t="shared" si="11"/>
        <v/>
      </c>
      <c r="X34" s="32" t="str">
        <f t="shared" si="12"/>
        <v/>
      </c>
      <c r="Y34" s="24"/>
      <c r="Z34" s="24"/>
      <c r="AA34" s="25">
        <f t="shared" si="13"/>
        <v>0</v>
      </c>
      <c r="AB34" s="26">
        <f t="shared" si="14"/>
        <v>0</v>
      </c>
      <c r="AC34" s="26" t="str">
        <f t="shared" si="15"/>
        <v/>
      </c>
      <c r="AD34" s="27" t="str">
        <f t="shared" si="16"/>
        <v/>
      </c>
      <c r="AE34" s="39" t="str">
        <f t="shared" si="17"/>
        <v/>
      </c>
      <c r="AF34" s="39" t="str">
        <f t="shared" si="18"/>
        <v/>
      </c>
      <c r="AG34" s="40" t="str">
        <f t="shared" si="19"/>
        <v/>
      </c>
      <c r="AH34" s="41" t="str">
        <f t="shared" si="20"/>
        <v/>
      </c>
      <c r="AI34" s="39" t="str">
        <f>IF(B34="","",ROUND(GEOMEAN((J34,P34,V34)),0))</f>
        <v/>
      </c>
      <c r="AJ34" s="39" t="str">
        <f>IF(B34="","",ROUND(GEOMEAN((L34,R34,X34)),0))</f>
        <v/>
      </c>
      <c r="AK34" s="40" t="str">
        <f t="shared" si="21"/>
        <v/>
      </c>
      <c r="AL34" s="40" t="str">
        <f t="shared" si="22"/>
        <v/>
      </c>
      <c r="AM34" s="42" t="e">
        <f t="shared" si="23"/>
        <v>#DIV/0!</v>
      </c>
      <c r="AN34" s="42" t="e">
        <f t="shared" si="24"/>
        <v>#DIV/0!</v>
      </c>
      <c r="AO34" s="39" t="str">
        <f t="shared" si="25"/>
        <v/>
      </c>
      <c r="AP34" s="39" t="str">
        <f t="shared" si="26"/>
        <v/>
      </c>
      <c r="AQ34" s="40" t="str">
        <f t="shared" si="27"/>
        <v/>
      </c>
      <c r="AR34" s="41" t="str">
        <f t="shared" si="28"/>
        <v/>
      </c>
      <c r="AS34" s="39" t="str">
        <f>IF(L34="","",ROUND(GEOMEAN((J34,P34,V34,AB34)),0))</f>
        <v/>
      </c>
      <c r="AT34" s="39" t="str">
        <f>IF(L34="","",ROUND(GEOMEAN((L34,R34,X34,AD34)),0))</f>
        <v/>
      </c>
      <c r="AU34" s="40" t="str">
        <f t="shared" si="29"/>
        <v/>
      </c>
      <c r="AV34" s="40" t="str">
        <f t="shared" si="30"/>
        <v/>
      </c>
      <c r="AW34" s="42">
        <f t="shared" si="31"/>
        <v>0</v>
      </c>
      <c r="AX34" s="42">
        <f t="shared" si="32"/>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0"/>
        <v/>
      </c>
      <c r="B35" s="43"/>
      <c r="C35" s="6"/>
      <c r="D35" s="6"/>
      <c r="E35" s="43"/>
      <c r="F35" s="44"/>
      <c r="G35" s="22"/>
      <c r="H35" s="23"/>
      <c r="I35" s="47">
        <f t="shared" si="1"/>
        <v>0</v>
      </c>
      <c r="J35" s="47">
        <f t="shared" si="2"/>
        <v>0</v>
      </c>
      <c r="K35" s="58" t="str">
        <f t="shared" si="3"/>
        <v/>
      </c>
      <c r="L35" s="58" t="str">
        <f t="shared" si="4"/>
        <v/>
      </c>
      <c r="M35" s="24"/>
      <c r="N35" s="25"/>
      <c r="O35" s="26">
        <f t="shared" si="5"/>
        <v>0</v>
      </c>
      <c r="P35" s="26">
        <f t="shared" si="6"/>
        <v>0</v>
      </c>
      <c r="Q35" s="27" t="str">
        <f t="shared" si="7"/>
        <v/>
      </c>
      <c r="R35" s="27" t="str">
        <f t="shared" si="8"/>
        <v/>
      </c>
      <c r="S35" s="29"/>
      <c r="T35" s="30"/>
      <c r="U35" s="31">
        <f t="shared" si="9"/>
        <v>0</v>
      </c>
      <c r="V35" s="31">
        <f t="shared" si="10"/>
        <v>0</v>
      </c>
      <c r="W35" s="32" t="str">
        <f t="shared" si="11"/>
        <v/>
      </c>
      <c r="X35" s="32" t="str">
        <f t="shared" si="12"/>
        <v/>
      </c>
      <c r="Y35" s="24"/>
      <c r="Z35" s="24"/>
      <c r="AA35" s="25">
        <f t="shared" si="13"/>
        <v>0</v>
      </c>
      <c r="AB35" s="26">
        <f t="shared" si="14"/>
        <v>0</v>
      </c>
      <c r="AC35" s="26" t="str">
        <f t="shared" si="15"/>
        <v/>
      </c>
      <c r="AD35" s="27" t="str">
        <f t="shared" si="16"/>
        <v/>
      </c>
      <c r="AE35" s="39" t="str">
        <f t="shared" si="17"/>
        <v/>
      </c>
      <c r="AF35" s="39" t="str">
        <f t="shared" si="18"/>
        <v/>
      </c>
      <c r="AG35" s="40" t="str">
        <f t="shared" si="19"/>
        <v/>
      </c>
      <c r="AH35" s="41" t="str">
        <f t="shared" si="20"/>
        <v/>
      </c>
      <c r="AI35" s="39" t="str">
        <f>IF(B35="","",ROUND(GEOMEAN((J35,P35,V35)),0))</f>
        <v/>
      </c>
      <c r="AJ35" s="39" t="str">
        <f>IF(B35="","",ROUND(GEOMEAN((L35,R35,X35)),0))</f>
        <v/>
      </c>
      <c r="AK35" s="40" t="str">
        <f t="shared" si="21"/>
        <v/>
      </c>
      <c r="AL35" s="40" t="str">
        <f t="shared" si="22"/>
        <v/>
      </c>
      <c r="AM35" s="42" t="e">
        <f t="shared" si="23"/>
        <v>#DIV/0!</v>
      </c>
      <c r="AN35" s="42" t="e">
        <f t="shared" si="24"/>
        <v>#DIV/0!</v>
      </c>
      <c r="AO35" s="39" t="str">
        <f t="shared" si="25"/>
        <v/>
      </c>
      <c r="AP35" s="39" t="str">
        <f t="shared" si="26"/>
        <v/>
      </c>
      <c r="AQ35" s="40" t="str">
        <f t="shared" si="27"/>
        <v/>
      </c>
      <c r="AR35" s="41" t="str">
        <f t="shared" si="28"/>
        <v/>
      </c>
      <c r="AS35" s="39" t="str">
        <f>IF(L35="","",ROUND(GEOMEAN((J35,P35,V35,AB35)),0))</f>
        <v/>
      </c>
      <c r="AT35" s="39" t="str">
        <f>IF(L35="","",ROUND(GEOMEAN((L35,R35,X35,AD35)),0))</f>
        <v/>
      </c>
      <c r="AU35" s="40" t="str">
        <f t="shared" si="29"/>
        <v/>
      </c>
      <c r="AV35" s="40" t="str">
        <f t="shared" si="30"/>
        <v/>
      </c>
      <c r="AW35" s="42">
        <f t="shared" si="31"/>
        <v>0</v>
      </c>
      <c r="AX35" s="42">
        <f t="shared" si="32"/>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0"/>
        <v/>
      </c>
      <c r="B36" s="43"/>
      <c r="C36" s="6"/>
      <c r="D36" s="6"/>
      <c r="E36" s="43"/>
      <c r="F36" s="44"/>
      <c r="G36" s="22"/>
      <c r="H36" s="23"/>
      <c r="I36" s="47">
        <f t="shared" si="1"/>
        <v>0</v>
      </c>
      <c r="J36" s="47">
        <f t="shared" si="2"/>
        <v>0</v>
      </c>
      <c r="K36" s="58" t="str">
        <f t="shared" si="3"/>
        <v/>
      </c>
      <c r="L36" s="58" t="str">
        <f t="shared" si="4"/>
        <v/>
      </c>
      <c r="M36" s="24"/>
      <c r="N36" s="25"/>
      <c r="O36" s="26">
        <f t="shared" si="5"/>
        <v>0</v>
      </c>
      <c r="P36" s="26">
        <f t="shared" si="6"/>
        <v>0</v>
      </c>
      <c r="Q36" s="27" t="str">
        <f t="shared" si="7"/>
        <v/>
      </c>
      <c r="R36" s="27" t="str">
        <f t="shared" si="8"/>
        <v/>
      </c>
      <c r="S36" s="29"/>
      <c r="T36" s="30"/>
      <c r="U36" s="31">
        <f t="shared" si="9"/>
        <v>0</v>
      </c>
      <c r="V36" s="31">
        <f t="shared" si="10"/>
        <v>0</v>
      </c>
      <c r="W36" s="32" t="str">
        <f t="shared" si="11"/>
        <v/>
      </c>
      <c r="X36" s="32" t="str">
        <f t="shared" si="12"/>
        <v/>
      </c>
      <c r="Y36" s="24"/>
      <c r="Z36" s="24"/>
      <c r="AA36" s="25">
        <f t="shared" si="13"/>
        <v>0</v>
      </c>
      <c r="AB36" s="26">
        <f t="shared" si="14"/>
        <v>0</v>
      </c>
      <c r="AC36" s="26" t="str">
        <f t="shared" si="15"/>
        <v/>
      </c>
      <c r="AD36" s="27" t="str">
        <f t="shared" si="16"/>
        <v/>
      </c>
      <c r="AE36" s="39" t="str">
        <f t="shared" si="17"/>
        <v/>
      </c>
      <c r="AF36" s="39" t="str">
        <f t="shared" si="18"/>
        <v/>
      </c>
      <c r="AG36" s="40" t="str">
        <f t="shared" si="19"/>
        <v/>
      </c>
      <c r="AH36" s="41" t="str">
        <f t="shared" si="20"/>
        <v/>
      </c>
      <c r="AI36" s="39" t="str">
        <f>IF(B36="","",ROUND(GEOMEAN((J36,P36,V36)),0))</f>
        <v/>
      </c>
      <c r="AJ36" s="39" t="str">
        <f>IF(B36="","",ROUND(GEOMEAN((L36,R36,X36)),0))</f>
        <v/>
      </c>
      <c r="AK36" s="40" t="str">
        <f t="shared" si="21"/>
        <v/>
      </c>
      <c r="AL36" s="40" t="str">
        <f t="shared" si="22"/>
        <v/>
      </c>
      <c r="AM36" s="42" t="e">
        <f t="shared" si="23"/>
        <v>#DIV/0!</v>
      </c>
      <c r="AN36" s="42" t="e">
        <f t="shared" si="24"/>
        <v>#DIV/0!</v>
      </c>
      <c r="AO36" s="39" t="str">
        <f t="shared" si="25"/>
        <v/>
      </c>
      <c r="AP36" s="39" t="str">
        <f t="shared" si="26"/>
        <v/>
      </c>
      <c r="AQ36" s="40" t="str">
        <f t="shared" si="27"/>
        <v/>
      </c>
      <c r="AR36" s="41" t="str">
        <f t="shared" si="28"/>
        <v/>
      </c>
      <c r="AS36" s="39" t="str">
        <f>IF(L36="","",ROUND(GEOMEAN((J36,P36,V36,AB36)),0))</f>
        <v/>
      </c>
      <c r="AT36" s="39" t="str">
        <f>IF(L36="","",ROUND(GEOMEAN((L36,R36,X36,AD36)),0))</f>
        <v/>
      </c>
      <c r="AU36" s="40" t="str">
        <f t="shared" si="29"/>
        <v/>
      </c>
      <c r="AV36" s="40" t="str">
        <f t="shared" si="30"/>
        <v/>
      </c>
      <c r="AW36" s="42">
        <f t="shared" si="31"/>
        <v>0</v>
      </c>
      <c r="AX36" s="42">
        <f t="shared" si="32"/>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0"/>
        <v/>
      </c>
      <c r="B37" s="43"/>
      <c r="C37" s="6"/>
      <c r="D37" s="6"/>
      <c r="E37" s="43"/>
      <c r="F37" s="44"/>
      <c r="G37" s="22"/>
      <c r="H37" s="23"/>
      <c r="I37" s="47">
        <f t="shared" si="1"/>
        <v>0</v>
      </c>
      <c r="J37" s="47">
        <f t="shared" si="2"/>
        <v>0</v>
      </c>
      <c r="K37" s="58" t="str">
        <f t="shared" si="3"/>
        <v/>
      </c>
      <c r="L37" s="58" t="str">
        <f t="shared" si="4"/>
        <v/>
      </c>
      <c r="M37" s="24"/>
      <c r="N37" s="25"/>
      <c r="O37" s="26">
        <f t="shared" si="5"/>
        <v>0</v>
      </c>
      <c r="P37" s="26">
        <f t="shared" si="6"/>
        <v>0</v>
      </c>
      <c r="Q37" s="27" t="str">
        <f t="shared" si="7"/>
        <v/>
      </c>
      <c r="R37" s="27" t="str">
        <f t="shared" si="8"/>
        <v/>
      </c>
      <c r="S37" s="29"/>
      <c r="T37" s="30"/>
      <c r="U37" s="31">
        <f t="shared" si="9"/>
        <v>0</v>
      </c>
      <c r="V37" s="31">
        <f t="shared" si="10"/>
        <v>0</v>
      </c>
      <c r="W37" s="32" t="str">
        <f t="shared" si="11"/>
        <v/>
      </c>
      <c r="X37" s="32" t="str">
        <f t="shared" si="12"/>
        <v/>
      </c>
      <c r="Y37" s="24"/>
      <c r="Z37" s="24"/>
      <c r="AA37" s="25">
        <f t="shared" si="13"/>
        <v>0</v>
      </c>
      <c r="AB37" s="26">
        <f t="shared" si="14"/>
        <v>0</v>
      </c>
      <c r="AC37" s="26" t="str">
        <f t="shared" si="15"/>
        <v/>
      </c>
      <c r="AD37" s="27" t="str">
        <f t="shared" si="16"/>
        <v/>
      </c>
      <c r="AE37" s="39" t="str">
        <f t="shared" si="17"/>
        <v/>
      </c>
      <c r="AF37" s="39" t="str">
        <f t="shared" si="18"/>
        <v/>
      </c>
      <c r="AG37" s="40" t="str">
        <f t="shared" si="19"/>
        <v/>
      </c>
      <c r="AH37" s="41" t="str">
        <f t="shared" si="20"/>
        <v/>
      </c>
      <c r="AI37" s="39" t="str">
        <f>IF(B37="","",ROUND(GEOMEAN((J37,P37,V37)),0))</f>
        <v/>
      </c>
      <c r="AJ37" s="39" t="str">
        <f>IF(B37="","",ROUND(GEOMEAN((L37,R37,X37)),0))</f>
        <v/>
      </c>
      <c r="AK37" s="40" t="str">
        <f t="shared" si="21"/>
        <v/>
      </c>
      <c r="AL37" s="40" t="str">
        <f t="shared" si="22"/>
        <v/>
      </c>
      <c r="AM37" s="42" t="e">
        <f t="shared" si="23"/>
        <v>#DIV/0!</v>
      </c>
      <c r="AN37" s="42" t="e">
        <f t="shared" si="24"/>
        <v>#DIV/0!</v>
      </c>
      <c r="AO37" s="39" t="str">
        <f t="shared" si="25"/>
        <v/>
      </c>
      <c r="AP37" s="39" t="str">
        <f t="shared" si="26"/>
        <v/>
      </c>
      <c r="AQ37" s="40" t="str">
        <f t="shared" si="27"/>
        <v/>
      </c>
      <c r="AR37" s="41" t="str">
        <f t="shared" si="28"/>
        <v/>
      </c>
      <c r="AS37" s="39" t="str">
        <f>IF(L37="","",ROUND(GEOMEAN((J37,P37,V37,AB37)),0))</f>
        <v/>
      </c>
      <c r="AT37" s="39" t="str">
        <f>IF(L37="","",ROUND(GEOMEAN((L37,R37,X37,AD37)),0))</f>
        <v/>
      </c>
      <c r="AU37" s="40" t="str">
        <f t="shared" si="29"/>
        <v/>
      </c>
      <c r="AV37" s="40" t="str">
        <f t="shared" si="30"/>
        <v/>
      </c>
      <c r="AW37" s="42">
        <f t="shared" si="31"/>
        <v>0</v>
      </c>
      <c r="AX37" s="42">
        <f t="shared" si="32"/>
        <v>0</v>
      </c>
      <c r="AY37" s="5"/>
      <c r="BF37" s="584" t="s">
        <v>56</v>
      </c>
      <c r="BG37" s="621"/>
      <c r="BH37" s="621"/>
      <c r="BI37" s="621"/>
      <c r="BJ37" s="621"/>
      <c r="BK37" s="621"/>
      <c r="BL37" s="621"/>
      <c r="BM37" s="628"/>
      <c r="BN37" s="68" t="e">
        <f>SUM(BN11:BN36)</f>
        <v>#DIV/0!</v>
      </c>
      <c r="CN37" s="7">
        <v>27</v>
      </c>
    </row>
    <row r="38" spans="1:92" s="7" customFormat="1">
      <c r="A38" s="6" t="str">
        <f t="shared" si="0"/>
        <v/>
      </c>
      <c r="B38" s="43"/>
      <c r="C38" s="6"/>
      <c r="D38" s="6"/>
      <c r="E38" s="43"/>
      <c r="F38" s="44"/>
      <c r="G38" s="22"/>
      <c r="H38" s="23"/>
      <c r="I38" s="47">
        <f t="shared" si="1"/>
        <v>0</v>
      </c>
      <c r="J38" s="47">
        <f t="shared" si="2"/>
        <v>0</v>
      </c>
      <c r="K38" s="58" t="str">
        <f t="shared" si="3"/>
        <v/>
      </c>
      <c r="L38" s="58" t="str">
        <f t="shared" si="4"/>
        <v/>
      </c>
      <c r="M38" s="24"/>
      <c r="N38" s="25"/>
      <c r="O38" s="26">
        <f t="shared" si="5"/>
        <v>0</v>
      </c>
      <c r="P38" s="26">
        <f t="shared" si="6"/>
        <v>0</v>
      </c>
      <c r="Q38" s="27" t="str">
        <f t="shared" si="7"/>
        <v/>
      </c>
      <c r="R38" s="27" t="str">
        <f t="shared" si="8"/>
        <v/>
      </c>
      <c r="S38" s="29"/>
      <c r="T38" s="30"/>
      <c r="U38" s="31">
        <f t="shared" si="9"/>
        <v>0</v>
      </c>
      <c r="V38" s="31">
        <f t="shared" si="10"/>
        <v>0</v>
      </c>
      <c r="W38" s="32" t="str">
        <f t="shared" si="11"/>
        <v/>
      </c>
      <c r="X38" s="32" t="str">
        <f t="shared" si="12"/>
        <v/>
      </c>
      <c r="Y38" s="24"/>
      <c r="Z38" s="24"/>
      <c r="AA38" s="25">
        <f t="shared" si="13"/>
        <v>0</v>
      </c>
      <c r="AB38" s="26">
        <f t="shared" si="14"/>
        <v>0</v>
      </c>
      <c r="AC38" s="26" t="str">
        <f t="shared" si="15"/>
        <v/>
      </c>
      <c r="AD38" s="27" t="str">
        <f t="shared" si="16"/>
        <v/>
      </c>
      <c r="AE38" s="39" t="str">
        <f t="shared" si="17"/>
        <v/>
      </c>
      <c r="AF38" s="39" t="str">
        <f t="shared" si="18"/>
        <v/>
      </c>
      <c r="AG38" s="40" t="str">
        <f t="shared" si="19"/>
        <v/>
      </c>
      <c r="AH38" s="41" t="str">
        <f t="shared" si="20"/>
        <v/>
      </c>
      <c r="AI38" s="39" t="str">
        <f>IF(B38="","",ROUND(GEOMEAN((J38,P38,V38)),0))</f>
        <v/>
      </c>
      <c r="AJ38" s="39" t="str">
        <f>IF(B38="","",ROUND(GEOMEAN((L38,R38,X38)),0))</f>
        <v/>
      </c>
      <c r="AK38" s="40" t="str">
        <f t="shared" si="21"/>
        <v/>
      </c>
      <c r="AL38" s="40" t="str">
        <f t="shared" si="22"/>
        <v/>
      </c>
      <c r="AM38" s="42" t="e">
        <f t="shared" si="23"/>
        <v>#DIV/0!</v>
      </c>
      <c r="AN38" s="42" t="e">
        <f t="shared" si="24"/>
        <v>#DIV/0!</v>
      </c>
      <c r="AO38" s="39" t="str">
        <f t="shared" si="25"/>
        <v/>
      </c>
      <c r="AP38" s="39" t="str">
        <f t="shared" si="26"/>
        <v/>
      </c>
      <c r="AQ38" s="40" t="str">
        <f t="shared" si="27"/>
        <v/>
      </c>
      <c r="AR38" s="41" t="str">
        <f t="shared" si="28"/>
        <v/>
      </c>
      <c r="AS38" s="39" t="str">
        <f>IF(L38="","",ROUND(GEOMEAN((J38,P38,V38,AB38)),0))</f>
        <v/>
      </c>
      <c r="AT38" s="39" t="str">
        <f>IF(L38="","",ROUND(GEOMEAN((L38,R38,X38,AD38)),0))</f>
        <v/>
      </c>
      <c r="AU38" s="40" t="str">
        <f t="shared" si="29"/>
        <v/>
      </c>
      <c r="AV38" s="40" t="str">
        <f t="shared" si="30"/>
        <v/>
      </c>
      <c r="AW38" s="42">
        <f t="shared" si="31"/>
        <v>0</v>
      </c>
      <c r="AX38" s="42">
        <f t="shared" si="32"/>
        <v>0</v>
      </c>
      <c r="AY38" s="5"/>
      <c r="BF38" s="10"/>
      <c r="BG38" s="10"/>
      <c r="BH38" s="10"/>
      <c r="BI38" s="10"/>
      <c r="BJ38" s="10"/>
      <c r="BK38" s="3"/>
      <c r="BL38" s="3"/>
      <c r="BM38" s="3"/>
      <c r="BN38" s="3"/>
      <c r="CN38" s="7">
        <v>28</v>
      </c>
    </row>
    <row r="39" spans="1:92" s="7" customFormat="1">
      <c r="A39" s="6" t="str">
        <f t="shared" si="0"/>
        <v/>
      </c>
      <c r="B39" s="43"/>
      <c r="C39" s="6"/>
      <c r="D39" s="6"/>
      <c r="E39" s="43"/>
      <c r="F39" s="44"/>
      <c r="G39" s="22"/>
      <c r="H39" s="23"/>
      <c r="I39" s="47">
        <f t="shared" si="1"/>
        <v>0</v>
      </c>
      <c r="J39" s="47">
        <f t="shared" si="2"/>
        <v>0</v>
      </c>
      <c r="K39" s="58" t="str">
        <f t="shared" si="3"/>
        <v/>
      </c>
      <c r="L39" s="58" t="str">
        <f t="shared" si="4"/>
        <v/>
      </c>
      <c r="M39" s="24"/>
      <c r="N39" s="25"/>
      <c r="O39" s="26">
        <f t="shared" si="5"/>
        <v>0</v>
      </c>
      <c r="P39" s="26">
        <f t="shared" si="6"/>
        <v>0</v>
      </c>
      <c r="Q39" s="27" t="str">
        <f t="shared" si="7"/>
        <v/>
      </c>
      <c r="R39" s="27" t="str">
        <f t="shared" si="8"/>
        <v/>
      </c>
      <c r="S39" s="29"/>
      <c r="T39" s="30"/>
      <c r="U39" s="31">
        <f t="shared" si="9"/>
        <v>0</v>
      </c>
      <c r="V39" s="31">
        <f t="shared" si="10"/>
        <v>0</v>
      </c>
      <c r="W39" s="32" t="str">
        <f t="shared" si="11"/>
        <v/>
      </c>
      <c r="X39" s="32" t="str">
        <f t="shared" si="12"/>
        <v/>
      </c>
      <c r="Y39" s="24"/>
      <c r="Z39" s="24"/>
      <c r="AA39" s="25">
        <f t="shared" si="13"/>
        <v>0</v>
      </c>
      <c r="AB39" s="26">
        <f t="shared" si="14"/>
        <v>0</v>
      </c>
      <c r="AC39" s="26" t="str">
        <f t="shared" si="15"/>
        <v/>
      </c>
      <c r="AD39" s="27" t="str">
        <f t="shared" si="16"/>
        <v/>
      </c>
      <c r="AE39" s="39" t="str">
        <f t="shared" si="17"/>
        <v/>
      </c>
      <c r="AF39" s="39" t="str">
        <f t="shared" si="18"/>
        <v/>
      </c>
      <c r="AG39" s="40" t="str">
        <f t="shared" si="19"/>
        <v/>
      </c>
      <c r="AH39" s="41" t="str">
        <f t="shared" si="20"/>
        <v/>
      </c>
      <c r="AI39" s="39" t="str">
        <f>IF(B39="","",ROUND(GEOMEAN((J39,P39,V39)),0))</f>
        <v/>
      </c>
      <c r="AJ39" s="39" t="str">
        <f>IF(B39="","",ROUND(GEOMEAN((L39,R39,X39)),0))</f>
        <v/>
      </c>
      <c r="AK39" s="40" t="str">
        <f t="shared" si="21"/>
        <v/>
      </c>
      <c r="AL39" s="40" t="str">
        <f t="shared" si="22"/>
        <v/>
      </c>
      <c r="AM39" s="42" t="e">
        <f t="shared" si="23"/>
        <v>#DIV/0!</v>
      </c>
      <c r="AN39" s="42" t="e">
        <f t="shared" si="24"/>
        <v>#DIV/0!</v>
      </c>
      <c r="AO39" s="39" t="str">
        <f t="shared" si="25"/>
        <v/>
      </c>
      <c r="AP39" s="39" t="str">
        <f t="shared" si="26"/>
        <v/>
      </c>
      <c r="AQ39" s="40" t="str">
        <f t="shared" si="27"/>
        <v/>
      </c>
      <c r="AR39" s="41" t="str">
        <f t="shared" si="28"/>
        <v/>
      </c>
      <c r="AS39" s="39" t="str">
        <f>IF(L39="","",ROUND(GEOMEAN((J39,P39,V39,AB39)),0))</f>
        <v/>
      </c>
      <c r="AT39" s="39" t="str">
        <f>IF(L39="","",ROUND(GEOMEAN((L39,R39,X39,AD39)),0))</f>
        <v/>
      </c>
      <c r="AU39" s="40" t="str">
        <f t="shared" si="29"/>
        <v/>
      </c>
      <c r="AV39" s="40" t="str">
        <f t="shared" si="30"/>
        <v/>
      </c>
      <c r="AW39" s="42">
        <f t="shared" si="31"/>
        <v>0</v>
      </c>
      <c r="AX39" s="42">
        <f t="shared" si="32"/>
        <v>0</v>
      </c>
      <c r="AY39" s="5"/>
      <c r="BF39" s="10"/>
      <c r="BG39" s="10"/>
      <c r="BH39" s="10"/>
      <c r="BI39" s="10"/>
      <c r="BJ39" s="10"/>
      <c r="BK39" s="3"/>
      <c r="BL39" s="3"/>
      <c r="BM39" s="3"/>
      <c r="BN39" s="3"/>
      <c r="CN39" s="7">
        <v>29</v>
      </c>
    </row>
    <row r="40" spans="1:92" s="7" customFormat="1">
      <c r="A40" s="6" t="str">
        <f t="shared" si="0"/>
        <v/>
      </c>
      <c r="B40" s="43"/>
      <c r="C40" s="6"/>
      <c r="D40" s="6"/>
      <c r="E40" s="43"/>
      <c r="F40" s="44"/>
      <c r="G40" s="22"/>
      <c r="H40" s="23"/>
      <c r="I40" s="47">
        <f t="shared" si="1"/>
        <v>0</v>
      </c>
      <c r="J40" s="47">
        <f t="shared" si="2"/>
        <v>0</v>
      </c>
      <c r="K40" s="58" t="str">
        <f t="shared" si="3"/>
        <v/>
      </c>
      <c r="L40" s="58" t="str">
        <f t="shared" si="4"/>
        <v/>
      </c>
      <c r="M40" s="24"/>
      <c r="N40" s="25"/>
      <c r="O40" s="26">
        <f t="shared" si="5"/>
        <v>0</v>
      </c>
      <c r="P40" s="26">
        <f t="shared" si="6"/>
        <v>0</v>
      </c>
      <c r="Q40" s="27" t="str">
        <f t="shared" si="7"/>
        <v/>
      </c>
      <c r="R40" s="27" t="str">
        <f t="shared" si="8"/>
        <v/>
      </c>
      <c r="S40" s="29"/>
      <c r="T40" s="30"/>
      <c r="U40" s="31">
        <f t="shared" si="9"/>
        <v>0</v>
      </c>
      <c r="V40" s="31">
        <f t="shared" si="10"/>
        <v>0</v>
      </c>
      <c r="W40" s="32" t="str">
        <f t="shared" si="11"/>
        <v/>
      </c>
      <c r="X40" s="32" t="str">
        <f t="shared" si="12"/>
        <v/>
      </c>
      <c r="Y40" s="24"/>
      <c r="Z40" s="24"/>
      <c r="AA40" s="25">
        <f t="shared" si="13"/>
        <v>0</v>
      </c>
      <c r="AB40" s="26">
        <f t="shared" si="14"/>
        <v>0</v>
      </c>
      <c r="AC40" s="26" t="str">
        <f t="shared" si="15"/>
        <v/>
      </c>
      <c r="AD40" s="27" t="str">
        <f t="shared" si="16"/>
        <v/>
      </c>
      <c r="AE40" s="39" t="str">
        <f t="shared" si="17"/>
        <v/>
      </c>
      <c r="AF40" s="39" t="str">
        <f t="shared" si="18"/>
        <v/>
      </c>
      <c r="AG40" s="40" t="str">
        <f t="shared" si="19"/>
        <v/>
      </c>
      <c r="AH40" s="41" t="str">
        <f t="shared" si="20"/>
        <v/>
      </c>
      <c r="AI40" s="39" t="str">
        <f>IF(B40="","",ROUND(GEOMEAN((J40,P40,V40)),0))</f>
        <v/>
      </c>
      <c r="AJ40" s="39" t="str">
        <f>IF(B40="","",ROUND(GEOMEAN((L40,R40,X40)),0))</f>
        <v/>
      </c>
      <c r="AK40" s="40" t="str">
        <f t="shared" si="21"/>
        <v/>
      </c>
      <c r="AL40" s="40" t="str">
        <f t="shared" si="22"/>
        <v/>
      </c>
      <c r="AM40" s="42" t="e">
        <f t="shared" si="23"/>
        <v>#DIV/0!</v>
      </c>
      <c r="AN40" s="42" t="e">
        <f t="shared" si="24"/>
        <v>#DIV/0!</v>
      </c>
      <c r="AO40" s="39" t="str">
        <f t="shared" si="25"/>
        <v/>
      </c>
      <c r="AP40" s="39" t="str">
        <f t="shared" si="26"/>
        <v/>
      </c>
      <c r="AQ40" s="40" t="str">
        <f t="shared" si="27"/>
        <v/>
      </c>
      <c r="AR40" s="41" t="str">
        <f t="shared" si="28"/>
        <v/>
      </c>
      <c r="AS40" s="39" t="str">
        <f>IF(L40="","",ROUND(GEOMEAN((J40,P40,V40,AB40)),0))</f>
        <v/>
      </c>
      <c r="AT40" s="39" t="str">
        <f>IF(L40="","",ROUND(GEOMEAN((L40,R40,X40,AD40)),0))</f>
        <v/>
      </c>
      <c r="AU40" s="40" t="str">
        <f t="shared" si="29"/>
        <v/>
      </c>
      <c r="AV40" s="40" t="str">
        <f t="shared" si="30"/>
        <v/>
      </c>
      <c r="AW40" s="42">
        <f t="shared" si="31"/>
        <v>0</v>
      </c>
      <c r="AX40" s="42">
        <f t="shared" si="32"/>
        <v>0</v>
      </c>
      <c r="AY40" s="5"/>
      <c r="BK40" s="3"/>
      <c r="BL40" s="3"/>
      <c r="BM40" s="3"/>
      <c r="BN40" s="3"/>
      <c r="CN40" s="7">
        <v>30</v>
      </c>
    </row>
    <row r="41" spans="1:92" s="7" customFormat="1">
      <c r="A41" s="6" t="str">
        <f t="shared" si="0"/>
        <v/>
      </c>
      <c r="B41" s="43"/>
      <c r="C41" s="6"/>
      <c r="D41" s="6"/>
      <c r="E41" s="43"/>
      <c r="F41" s="44"/>
      <c r="G41" s="22"/>
      <c r="H41" s="23"/>
      <c r="I41" s="47">
        <f t="shared" si="1"/>
        <v>0</v>
      </c>
      <c r="J41" s="47">
        <f t="shared" si="2"/>
        <v>0</v>
      </c>
      <c r="K41" s="58" t="str">
        <f t="shared" si="3"/>
        <v/>
      </c>
      <c r="L41" s="58" t="str">
        <f t="shared" si="4"/>
        <v/>
      </c>
      <c r="M41" s="24"/>
      <c r="N41" s="25"/>
      <c r="O41" s="26">
        <f t="shared" si="5"/>
        <v>0</v>
      </c>
      <c r="P41" s="26">
        <f t="shared" si="6"/>
        <v>0</v>
      </c>
      <c r="Q41" s="27" t="str">
        <f t="shared" si="7"/>
        <v/>
      </c>
      <c r="R41" s="27" t="str">
        <f t="shared" si="8"/>
        <v/>
      </c>
      <c r="S41" s="29"/>
      <c r="T41" s="30"/>
      <c r="U41" s="31">
        <f t="shared" si="9"/>
        <v>0</v>
      </c>
      <c r="V41" s="31">
        <f t="shared" si="10"/>
        <v>0</v>
      </c>
      <c r="W41" s="32" t="str">
        <f t="shared" si="11"/>
        <v/>
      </c>
      <c r="X41" s="32" t="str">
        <f t="shared" si="12"/>
        <v/>
      </c>
      <c r="Y41" s="24"/>
      <c r="Z41" s="24"/>
      <c r="AA41" s="25">
        <f t="shared" si="13"/>
        <v>0</v>
      </c>
      <c r="AB41" s="26">
        <f t="shared" si="14"/>
        <v>0</v>
      </c>
      <c r="AC41" s="26" t="str">
        <f t="shared" si="15"/>
        <v/>
      </c>
      <c r="AD41" s="27" t="str">
        <f t="shared" si="16"/>
        <v/>
      </c>
      <c r="AE41" s="39" t="str">
        <f t="shared" si="17"/>
        <v/>
      </c>
      <c r="AF41" s="39" t="str">
        <f t="shared" si="18"/>
        <v/>
      </c>
      <c r="AG41" s="40" t="str">
        <f t="shared" si="19"/>
        <v/>
      </c>
      <c r="AH41" s="41" t="str">
        <f t="shared" si="20"/>
        <v/>
      </c>
      <c r="AI41" s="39" t="str">
        <f>IF(B41="","",ROUND(GEOMEAN((J41,P41,V41)),0))</f>
        <v/>
      </c>
      <c r="AJ41" s="39" t="str">
        <f>IF(B41="","",ROUND(GEOMEAN((L41,R41,X41)),0))</f>
        <v/>
      </c>
      <c r="AK41" s="40" t="str">
        <f t="shared" si="21"/>
        <v/>
      </c>
      <c r="AL41" s="40" t="str">
        <f t="shared" si="22"/>
        <v/>
      </c>
      <c r="AM41" s="42" t="e">
        <f t="shared" si="23"/>
        <v>#DIV/0!</v>
      </c>
      <c r="AN41" s="42" t="e">
        <f t="shared" si="24"/>
        <v>#DIV/0!</v>
      </c>
      <c r="AO41" s="39" t="str">
        <f t="shared" si="25"/>
        <v/>
      </c>
      <c r="AP41" s="39" t="str">
        <f t="shared" si="26"/>
        <v/>
      </c>
      <c r="AQ41" s="40" t="str">
        <f t="shared" si="27"/>
        <v/>
      </c>
      <c r="AR41" s="41" t="str">
        <f t="shared" si="28"/>
        <v/>
      </c>
      <c r="AS41" s="39" t="str">
        <f>IF(L41="","",ROUND(GEOMEAN((J41,P41,V41,AB41)),0))</f>
        <v/>
      </c>
      <c r="AT41" s="39" t="str">
        <f>IF(L41="","",ROUND(GEOMEAN((L41,R41,X41,AD41)),0))</f>
        <v/>
      </c>
      <c r="AU41" s="40" t="str">
        <f t="shared" si="29"/>
        <v/>
      </c>
      <c r="AV41" s="40" t="str">
        <f t="shared" si="30"/>
        <v/>
      </c>
      <c r="AW41" s="42">
        <f t="shared" si="31"/>
        <v>0</v>
      </c>
      <c r="AX41" s="42">
        <f t="shared" si="32"/>
        <v>0</v>
      </c>
      <c r="AY41" s="5"/>
      <c r="CN41" s="7">
        <v>31</v>
      </c>
    </row>
    <row r="42" spans="1:92" s="7" customFormat="1">
      <c r="A42" s="6" t="str">
        <f t="shared" si="0"/>
        <v/>
      </c>
      <c r="B42" s="43"/>
      <c r="C42" s="6"/>
      <c r="D42" s="6"/>
      <c r="E42" s="43"/>
      <c r="F42" s="44"/>
      <c r="G42" s="22"/>
      <c r="H42" s="23"/>
      <c r="I42" s="47">
        <f t="shared" si="1"/>
        <v>0</v>
      </c>
      <c r="J42" s="47">
        <f t="shared" si="2"/>
        <v>0</v>
      </c>
      <c r="K42" s="58" t="str">
        <f t="shared" si="3"/>
        <v/>
      </c>
      <c r="L42" s="58" t="str">
        <f t="shared" si="4"/>
        <v/>
      </c>
      <c r="M42" s="24"/>
      <c r="N42" s="25"/>
      <c r="O42" s="26">
        <f t="shared" si="5"/>
        <v>0</v>
      </c>
      <c r="P42" s="26">
        <f t="shared" si="6"/>
        <v>0</v>
      </c>
      <c r="Q42" s="27" t="str">
        <f t="shared" si="7"/>
        <v/>
      </c>
      <c r="R42" s="27" t="str">
        <f t="shared" si="8"/>
        <v/>
      </c>
      <c r="S42" s="29"/>
      <c r="T42" s="30"/>
      <c r="U42" s="31">
        <f t="shared" si="9"/>
        <v>0</v>
      </c>
      <c r="V42" s="31">
        <f t="shared" si="10"/>
        <v>0</v>
      </c>
      <c r="W42" s="32" t="str">
        <f t="shared" si="11"/>
        <v/>
      </c>
      <c r="X42" s="32" t="str">
        <f t="shared" si="12"/>
        <v/>
      </c>
      <c r="Y42" s="24"/>
      <c r="Z42" s="24"/>
      <c r="AA42" s="25">
        <f t="shared" si="13"/>
        <v>0</v>
      </c>
      <c r="AB42" s="26">
        <f t="shared" si="14"/>
        <v>0</v>
      </c>
      <c r="AC42" s="26" t="str">
        <f t="shared" si="15"/>
        <v/>
      </c>
      <c r="AD42" s="27" t="str">
        <f t="shared" si="16"/>
        <v/>
      </c>
      <c r="AE42" s="39" t="str">
        <f t="shared" si="17"/>
        <v/>
      </c>
      <c r="AF42" s="39" t="str">
        <f t="shared" si="18"/>
        <v/>
      </c>
      <c r="AG42" s="40" t="str">
        <f t="shared" si="19"/>
        <v/>
      </c>
      <c r="AH42" s="41" t="str">
        <f t="shared" si="20"/>
        <v/>
      </c>
      <c r="AI42" s="39" t="str">
        <f>IF(B42="","",ROUND(GEOMEAN((J42,P42,V42)),0))</f>
        <v/>
      </c>
      <c r="AJ42" s="39" t="str">
        <f>IF(B42="","",ROUND(GEOMEAN((L42,R42,X42)),0))</f>
        <v/>
      </c>
      <c r="AK42" s="40" t="str">
        <f t="shared" si="21"/>
        <v/>
      </c>
      <c r="AL42" s="40" t="str">
        <f t="shared" si="22"/>
        <v/>
      </c>
      <c r="AM42" s="42" t="e">
        <f t="shared" si="23"/>
        <v>#DIV/0!</v>
      </c>
      <c r="AN42" s="42" t="e">
        <f t="shared" si="24"/>
        <v>#DIV/0!</v>
      </c>
      <c r="AO42" s="39" t="str">
        <f t="shared" si="25"/>
        <v/>
      </c>
      <c r="AP42" s="39" t="str">
        <f t="shared" si="26"/>
        <v/>
      </c>
      <c r="AQ42" s="40" t="str">
        <f t="shared" si="27"/>
        <v/>
      </c>
      <c r="AR42" s="41" t="str">
        <f t="shared" si="28"/>
        <v/>
      </c>
      <c r="AS42" s="39" t="str">
        <f>IF(L42="","",ROUND(GEOMEAN((J42,P42,V42,AB42)),0))</f>
        <v/>
      </c>
      <c r="AT42" s="39" t="str">
        <f>IF(L42="","",ROUND(GEOMEAN((L42,R42,X42,AD42)),0))</f>
        <v/>
      </c>
      <c r="AU42" s="40" t="str">
        <f t="shared" si="29"/>
        <v/>
      </c>
      <c r="AV42" s="40" t="str">
        <f t="shared" si="30"/>
        <v/>
      </c>
      <c r="AW42" s="42">
        <f t="shared" si="31"/>
        <v>0</v>
      </c>
      <c r="AX42" s="42">
        <f t="shared" si="32"/>
        <v>0</v>
      </c>
      <c r="AY42" s="5"/>
      <c r="CN42" s="7">
        <v>32</v>
      </c>
    </row>
    <row r="43" spans="1:92" s="7" customFormat="1">
      <c r="A43" s="6" t="str">
        <f t="shared" ref="A43:A74" si="35">IF(B43&lt;&gt;"",CN43,"")</f>
        <v/>
      </c>
      <c r="B43" s="43"/>
      <c r="C43" s="6"/>
      <c r="D43" s="6"/>
      <c r="E43" s="43"/>
      <c r="F43" s="44"/>
      <c r="G43" s="22"/>
      <c r="H43" s="23"/>
      <c r="I43" s="47">
        <f t="shared" ref="I43:I74" si="36">H43*19%</f>
        <v>0</v>
      </c>
      <c r="J43" s="47">
        <f t="shared" ref="J43:J74" si="37">H43+I43</f>
        <v>0</v>
      </c>
      <c r="K43" s="58" t="str">
        <f t="shared" ref="K43:K74" si="38">IF(B43="","",(H43*F43))</f>
        <v/>
      </c>
      <c r="L43" s="58" t="str">
        <f t="shared" ref="L43:L74" si="39">IF(B43="","",(J43*F43))</f>
        <v/>
      </c>
      <c r="M43" s="24"/>
      <c r="N43" s="25"/>
      <c r="O43" s="26">
        <f t="shared" ref="O43:O74" si="40">N43*19%</f>
        <v>0</v>
      </c>
      <c r="P43" s="26">
        <f t="shared" ref="P43:P74" si="41">N43+O43</f>
        <v>0</v>
      </c>
      <c r="Q43" s="27" t="str">
        <f t="shared" ref="Q43:Q74" si="42">IF(B43="","",(N43*F43))</f>
        <v/>
      </c>
      <c r="R43" s="27" t="str">
        <f t="shared" ref="R43:R74" si="43">IF(B43="","",(P43*F43))</f>
        <v/>
      </c>
      <c r="S43" s="29"/>
      <c r="T43" s="30"/>
      <c r="U43" s="31">
        <f t="shared" ref="U43:U74" si="44">T43*19%</f>
        <v>0</v>
      </c>
      <c r="V43" s="31">
        <f t="shared" ref="V43:V74" si="45">T43+U43</f>
        <v>0</v>
      </c>
      <c r="W43" s="32" t="str">
        <f t="shared" ref="W43:W74" si="46">IF(B43="","",(T43*F43))</f>
        <v/>
      </c>
      <c r="X43" s="32" t="str">
        <f t="shared" ref="X43:X74" si="47">IF(B43="","",(V43*F43))</f>
        <v/>
      </c>
      <c r="Y43" s="24"/>
      <c r="Z43" s="24"/>
      <c r="AA43" s="25">
        <f t="shared" ref="AA43:AA74" si="48">Z43*19%</f>
        <v>0</v>
      </c>
      <c r="AB43" s="26">
        <f t="shared" ref="AB43:AB74" si="49">Z43+AA43</f>
        <v>0</v>
      </c>
      <c r="AC43" s="26" t="str">
        <f t="shared" ref="AC43:AC74" si="50">IF(E43="","",(Z43*F43))</f>
        <v/>
      </c>
      <c r="AD43" s="27" t="str">
        <f t="shared" ref="AD43:AD74" si="51">IF(E43="","",(AB43*F43))</f>
        <v/>
      </c>
      <c r="AE43" s="39" t="str">
        <f t="shared" ref="AE43:AE74" si="52">IF(A43="","",ROUND(AVERAGE(J43,P43,V43),0))</f>
        <v/>
      </c>
      <c r="AF43" s="39" t="str">
        <f t="shared" ref="AF43:AF74" si="53">IF(B43="","",ROUND(AVERAGE(L43,R43,X43),0))</f>
        <v/>
      </c>
      <c r="AG43" s="40" t="str">
        <f t="shared" ref="AG43:AG74" si="54">IF(B43="","",ROUND(STDEV(L43,R43,X43),0))</f>
        <v/>
      </c>
      <c r="AH43" s="41" t="str">
        <f t="shared" ref="AH43:AH74" si="55">IF(B43="","",(AG43/AF43))</f>
        <v/>
      </c>
      <c r="AI43" s="39" t="str">
        <f>IF(B43="","",ROUND(GEOMEAN((J43,P43,V43)),0))</f>
        <v/>
      </c>
      <c r="AJ43" s="39" t="str">
        <f>IF(B43="","",ROUND(GEOMEAN((L43,R43,X43)),0))</f>
        <v/>
      </c>
      <c r="AK43" s="40" t="str">
        <f t="shared" ref="AK43:AK74" si="56">IF(B43="","",(AF43-AG43))</f>
        <v/>
      </c>
      <c r="AL43" s="40" t="str">
        <f t="shared" ref="AL43:AL74" si="57">IF(B43="","",(AF43+AG43))</f>
        <v/>
      </c>
      <c r="AM43" s="42" t="e">
        <f t="shared" ref="AM43:AM74" si="58">ROUND(AVERAGE(L43,R43,X43),0)</f>
        <v>#DIV/0!</v>
      </c>
      <c r="AN43" s="42" t="e">
        <f t="shared" ref="AN43:AN74" si="59">AM43*F43</f>
        <v>#DIV/0!</v>
      </c>
      <c r="AO43" s="39" t="str">
        <f t="shared" ref="AO43:AO74" si="60">IF(A43="","",ROUND(AVERAGE(J43,P43,V43,AB43),0))</f>
        <v/>
      </c>
      <c r="AP43" s="39" t="str">
        <f t="shared" ref="AP43:AP74" si="61">IF(B43="","",ROUND(AVERAGE(L43,R43,X43,AD43),0))</f>
        <v/>
      </c>
      <c r="AQ43" s="40" t="str">
        <f t="shared" ref="AQ43:AQ74" si="62">IF(B43="","",ROUND(STDEV(L43,R43,X43,AD43),0))</f>
        <v/>
      </c>
      <c r="AR43" s="41" t="str">
        <f t="shared" ref="AR43:AR74" si="63">IF(B43="","",(AQ43/AP43))</f>
        <v/>
      </c>
      <c r="AS43" s="39" t="str">
        <f>IF(L43="","",ROUND(GEOMEAN((J43,P43,V43,AB43)),0))</f>
        <v/>
      </c>
      <c r="AT43" s="39" t="str">
        <f>IF(L43="","",ROUND(GEOMEAN((L43,R43,X43,AD43)),0))</f>
        <v/>
      </c>
      <c r="AU43" s="40" t="str">
        <f t="shared" ref="AU43:AU74" si="64">IF(B43="","",(AP43-AQ43))</f>
        <v/>
      </c>
      <c r="AV43" s="40" t="str">
        <f t="shared" ref="AV43:AV74" si="65">IF(B43="","",(AP43+AQ43))</f>
        <v/>
      </c>
      <c r="AW43" s="42">
        <f t="shared" ref="AW43:AW74" si="66">ROUND(AVERAGE(L43,R43,X43,AB43),0)</f>
        <v>0</v>
      </c>
      <c r="AX43" s="42">
        <f t="shared" ref="AX43:AX74" si="67">AW43*F43</f>
        <v>0</v>
      </c>
      <c r="AY43" s="5"/>
      <c r="CN43" s="7">
        <v>33</v>
      </c>
    </row>
    <row r="44" spans="1:92" s="7" customFormat="1">
      <c r="A44" s="6" t="str">
        <f t="shared" si="35"/>
        <v/>
      </c>
      <c r="B44" s="43"/>
      <c r="C44" s="6"/>
      <c r="D44" s="6"/>
      <c r="E44" s="43"/>
      <c r="F44" s="44"/>
      <c r="G44" s="22"/>
      <c r="H44" s="23"/>
      <c r="I44" s="47">
        <f t="shared" si="36"/>
        <v>0</v>
      </c>
      <c r="J44" s="47">
        <f t="shared" si="37"/>
        <v>0</v>
      </c>
      <c r="K44" s="58" t="str">
        <f t="shared" si="38"/>
        <v/>
      </c>
      <c r="L44" s="58" t="str">
        <f t="shared" si="39"/>
        <v/>
      </c>
      <c r="M44" s="24"/>
      <c r="N44" s="25"/>
      <c r="O44" s="26">
        <f t="shared" si="40"/>
        <v>0</v>
      </c>
      <c r="P44" s="26">
        <f t="shared" si="41"/>
        <v>0</v>
      </c>
      <c r="Q44" s="27" t="str">
        <f t="shared" si="42"/>
        <v/>
      </c>
      <c r="R44" s="27" t="str">
        <f t="shared" si="43"/>
        <v/>
      </c>
      <c r="S44" s="29"/>
      <c r="T44" s="30"/>
      <c r="U44" s="31">
        <f t="shared" si="44"/>
        <v>0</v>
      </c>
      <c r="V44" s="31">
        <f t="shared" si="45"/>
        <v>0</v>
      </c>
      <c r="W44" s="32" t="str">
        <f t="shared" si="46"/>
        <v/>
      </c>
      <c r="X44" s="32" t="str">
        <f t="shared" si="47"/>
        <v/>
      </c>
      <c r="Y44" s="24"/>
      <c r="Z44" s="24"/>
      <c r="AA44" s="25">
        <f t="shared" si="48"/>
        <v>0</v>
      </c>
      <c r="AB44" s="26">
        <f t="shared" si="49"/>
        <v>0</v>
      </c>
      <c r="AC44" s="26" t="str">
        <f t="shared" si="50"/>
        <v/>
      </c>
      <c r="AD44" s="27" t="str">
        <f t="shared" si="51"/>
        <v/>
      </c>
      <c r="AE44" s="39" t="str">
        <f t="shared" si="52"/>
        <v/>
      </c>
      <c r="AF44" s="39" t="str">
        <f t="shared" si="53"/>
        <v/>
      </c>
      <c r="AG44" s="40" t="str">
        <f t="shared" si="54"/>
        <v/>
      </c>
      <c r="AH44" s="41" t="str">
        <f t="shared" si="55"/>
        <v/>
      </c>
      <c r="AI44" s="39" t="str">
        <f>IF(B44="","",ROUND(GEOMEAN((J44,P44,V44)),0))</f>
        <v/>
      </c>
      <c r="AJ44" s="39" t="str">
        <f>IF(B44="","",ROUND(GEOMEAN((L44,R44,X44)),0))</f>
        <v/>
      </c>
      <c r="AK44" s="40" t="str">
        <f t="shared" si="56"/>
        <v/>
      </c>
      <c r="AL44" s="40" t="str">
        <f t="shared" si="57"/>
        <v/>
      </c>
      <c r="AM44" s="42" t="e">
        <f t="shared" si="58"/>
        <v>#DIV/0!</v>
      </c>
      <c r="AN44" s="42" t="e">
        <f t="shared" si="59"/>
        <v>#DIV/0!</v>
      </c>
      <c r="AO44" s="39" t="str">
        <f t="shared" si="60"/>
        <v/>
      </c>
      <c r="AP44" s="39" t="str">
        <f t="shared" si="61"/>
        <v/>
      </c>
      <c r="AQ44" s="40" t="str">
        <f t="shared" si="62"/>
        <v/>
      </c>
      <c r="AR44" s="41" t="str">
        <f t="shared" si="63"/>
        <v/>
      </c>
      <c r="AS44" s="39" t="str">
        <f>IF(L44="","",ROUND(GEOMEAN((J44,P44,V44,AB44)),0))</f>
        <v/>
      </c>
      <c r="AT44" s="39" t="str">
        <f>IF(L44="","",ROUND(GEOMEAN((L44,R44,X44,AD44)),0))</f>
        <v/>
      </c>
      <c r="AU44" s="40" t="str">
        <f t="shared" si="64"/>
        <v/>
      </c>
      <c r="AV44" s="40" t="str">
        <f t="shared" si="65"/>
        <v/>
      </c>
      <c r="AW44" s="42">
        <f t="shared" si="66"/>
        <v>0</v>
      </c>
      <c r="AX44" s="42">
        <f t="shared" si="67"/>
        <v>0</v>
      </c>
      <c r="AY44" s="5"/>
      <c r="CN44" s="7">
        <v>34</v>
      </c>
    </row>
    <row r="45" spans="1:92" s="7" customFormat="1">
      <c r="A45" s="6" t="str">
        <f t="shared" si="35"/>
        <v/>
      </c>
      <c r="B45" s="43"/>
      <c r="C45" s="6"/>
      <c r="D45" s="6"/>
      <c r="E45" s="43"/>
      <c r="F45" s="44"/>
      <c r="G45" s="22"/>
      <c r="H45" s="23"/>
      <c r="I45" s="47">
        <f t="shared" si="36"/>
        <v>0</v>
      </c>
      <c r="J45" s="47">
        <f t="shared" si="37"/>
        <v>0</v>
      </c>
      <c r="K45" s="58" t="str">
        <f t="shared" si="38"/>
        <v/>
      </c>
      <c r="L45" s="58" t="str">
        <f t="shared" si="39"/>
        <v/>
      </c>
      <c r="M45" s="24"/>
      <c r="N45" s="25"/>
      <c r="O45" s="26">
        <f t="shared" si="40"/>
        <v>0</v>
      </c>
      <c r="P45" s="26">
        <f t="shared" si="41"/>
        <v>0</v>
      </c>
      <c r="Q45" s="27" t="str">
        <f t="shared" si="42"/>
        <v/>
      </c>
      <c r="R45" s="27" t="str">
        <f t="shared" si="43"/>
        <v/>
      </c>
      <c r="S45" s="29"/>
      <c r="T45" s="30"/>
      <c r="U45" s="31">
        <f t="shared" si="44"/>
        <v>0</v>
      </c>
      <c r="V45" s="31">
        <f t="shared" si="45"/>
        <v>0</v>
      </c>
      <c r="W45" s="32" t="str">
        <f t="shared" si="46"/>
        <v/>
      </c>
      <c r="X45" s="32" t="str">
        <f t="shared" si="47"/>
        <v/>
      </c>
      <c r="Y45" s="24"/>
      <c r="Z45" s="24"/>
      <c r="AA45" s="25">
        <f t="shared" si="48"/>
        <v>0</v>
      </c>
      <c r="AB45" s="26">
        <f t="shared" si="49"/>
        <v>0</v>
      </c>
      <c r="AC45" s="26" t="str">
        <f t="shared" si="50"/>
        <v/>
      </c>
      <c r="AD45" s="27" t="str">
        <f t="shared" si="51"/>
        <v/>
      </c>
      <c r="AE45" s="39" t="str">
        <f t="shared" si="52"/>
        <v/>
      </c>
      <c r="AF45" s="39" t="str">
        <f t="shared" si="53"/>
        <v/>
      </c>
      <c r="AG45" s="40" t="str">
        <f t="shared" si="54"/>
        <v/>
      </c>
      <c r="AH45" s="41" t="str">
        <f t="shared" si="55"/>
        <v/>
      </c>
      <c r="AI45" s="39" t="str">
        <f>IF(B45="","",ROUND(GEOMEAN((J45,P45,V45)),0))</f>
        <v/>
      </c>
      <c r="AJ45" s="39" t="str">
        <f>IF(B45="","",ROUND(GEOMEAN((L45,R45,X45)),0))</f>
        <v/>
      </c>
      <c r="AK45" s="40" t="str">
        <f t="shared" si="56"/>
        <v/>
      </c>
      <c r="AL45" s="40" t="str">
        <f t="shared" si="57"/>
        <v/>
      </c>
      <c r="AM45" s="42" t="e">
        <f t="shared" si="58"/>
        <v>#DIV/0!</v>
      </c>
      <c r="AN45" s="42" t="e">
        <f t="shared" si="59"/>
        <v>#DIV/0!</v>
      </c>
      <c r="AO45" s="39" t="str">
        <f t="shared" si="60"/>
        <v/>
      </c>
      <c r="AP45" s="39" t="str">
        <f t="shared" si="61"/>
        <v/>
      </c>
      <c r="AQ45" s="40" t="str">
        <f t="shared" si="62"/>
        <v/>
      </c>
      <c r="AR45" s="41" t="str">
        <f t="shared" si="63"/>
        <v/>
      </c>
      <c r="AS45" s="39" t="str">
        <f>IF(L45="","",ROUND(GEOMEAN((J45,P45,V45,AB45)),0))</f>
        <v/>
      </c>
      <c r="AT45" s="39" t="str">
        <f>IF(L45="","",ROUND(GEOMEAN((L45,R45,X45,AD45)),0))</f>
        <v/>
      </c>
      <c r="AU45" s="40" t="str">
        <f t="shared" si="64"/>
        <v/>
      </c>
      <c r="AV45" s="40" t="str">
        <f t="shared" si="65"/>
        <v/>
      </c>
      <c r="AW45" s="42">
        <f t="shared" si="66"/>
        <v>0</v>
      </c>
      <c r="AX45" s="42">
        <f t="shared" si="67"/>
        <v>0</v>
      </c>
      <c r="AY45" s="5"/>
      <c r="CN45" s="7">
        <v>35</v>
      </c>
    </row>
    <row r="46" spans="1:92" s="7" customFormat="1" ht="14.65" customHeight="1">
      <c r="A46" s="6" t="str">
        <f t="shared" si="35"/>
        <v/>
      </c>
      <c r="B46" s="43"/>
      <c r="C46" s="6"/>
      <c r="D46" s="6"/>
      <c r="E46" s="43"/>
      <c r="F46" s="44"/>
      <c r="G46" s="22"/>
      <c r="H46" s="23"/>
      <c r="I46" s="47">
        <f t="shared" si="36"/>
        <v>0</v>
      </c>
      <c r="J46" s="47">
        <f t="shared" si="37"/>
        <v>0</v>
      </c>
      <c r="K46" s="58" t="str">
        <f t="shared" si="38"/>
        <v/>
      </c>
      <c r="L46" s="58" t="str">
        <f t="shared" si="39"/>
        <v/>
      </c>
      <c r="M46" s="24"/>
      <c r="N46" s="25"/>
      <c r="O46" s="26">
        <f t="shared" si="40"/>
        <v>0</v>
      </c>
      <c r="P46" s="26">
        <f t="shared" si="41"/>
        <v>0</v>
      </c>
      <c r="Q46" s="27" t="str">
        <f t="shared" si="42"/>
        <v/>
      </c>
      <c r="R46" s="27" t="str">
        <f t="shared" si="43"/>
        <v/>
      </c>
      <c r="S46" s="29"/>
      <c r="T46" s="30"/>
      <c r="U46" s="31">
        <f t="shared" si="44"/>
        <v>0</v>
      </c>
      <c r="V46" s="31">
        <f t="shared" si="45"/>
        <v>0</v>
      </c>
      <c r="W46" s="32" t="str">
        <f t="shared" si="46"/>
        <v/>
      </c>
      <c r="X46" s="32" t="str">
        <f t="shared" si="47"/>
        <v/>
      </c>
      <c r="Y46" s="24"/>
      <c r="Z46" s="24"/>
      <c r="AA46" s="25">
        <f t="shared" si="48"/>
        <v>0</v>
      </c>
      <c r="AB46" s="26">
        <f t="shared" si="49"/>
        <v>0</v>
      </c>
      <c r="AC46" s="26" t="str">
        <f t="shared" si="50"/>
        <v/>
      </c>
      <c r="AD46" s="27" t="str">
        <f t="shared" si="51"/>
        <v/>
      </c>
      <c r="AE46" s="39" t="str">
        <f t="shared" si="52"/>
        <v/>
      </c>
      <c r="AF46" s="39" t="str">
        <f t="shared" si="53"/>
        <v/>
      </c>
      <c r="AG46" s="40" t="str">
        <f t="shared" si="54"/>
        <v/>
      </c>
      <c r="AH46" s="41" t="str">
        <f t="shared" si="55"/>
        <v/>
      </c>
      <c r="AI46" s="39" t="str">
        <f>IF(B46="","",ROUND(GEOMEAN((J46,P46,V46)),0))</f>
        <v/>
      </c>
      <c r="AJ46" s="39" t="str">
        <f>IF(B46="","",ROUND(GEOMEAN((L46,R46,X46)),0))</f>
        <v/>
      </c>
      <c r="AK46" s="40" t="str">
        <f t="shared" si="56"/>
        <v/>
      </c>
      <c r="AL46" s="40" t="str">
        <f t="shared" si="57"/>
        <v/>
      </c>
      <c r="AM46" s="42" t="e">
        <f t="shared" si="58"/>
        <v>#DIV/0!</v>
      </c>
      <c r="AN46" s="42" t="e">
        <f t="shared" si="59"/>
        <v>#DIV/0!</v>
      </c>
      <c r="AO46" s="39" t="str">
        <f t="shared" si="60"/>
        <v/>
      </c>
      <c r="AP46" s="39" t="str">
        <f t="shared" si="61"/>
        <v/>
      </c>
      <c r="AQ46" s="40" t="str">
        <f t="shared" si="62"/>
        <v/>
      </c>
      <c r="AR46" s="41" t="str">
        <f t="shared" si="63"/>
        <v/>
      </c>
      <c r="AS46" s="39" t="str">
        <f>IF(L46="","",ROUND(GEOMEAN((J46,P46,V46,AB46)),0))</f>
        <v/>
      </c>
      <c r="AT46" s="39" t="str">
        <f>IF(L46="","",ROUND(GEOMEAN((L46,R46,X46,AD46)),0))</f>
        <v/>
      </c>
      <c r="AU46" s="40" t="str">
        <f t="shared" si="64"/>
        <v/>
      </c>
      <c r="AV46" s="40" t="str">
        <f t="shared" si="65"/>
        <v/>
      </c>
      <c r="AW46" s="42">
        <f t="shared" si="66"/>
        <v>0</v>
      </c>
      <c r="AX46" s="42">
        <f t="shared" si="67"/>
        <v>0</v>
      </c>
      <c r="AY46" s="5"/>
      <c r="BC46" s="592" t="s">
        <v>57</v>
      </c>
      <c r="BD46" s="619"/>
      <c r="BE46" s="619"/>
      <c r="BF46" s="619"/>
      <c r="BG46" s="619"/>
      <c r="BH46" s="619"/>
      <c r="BI46" s="619"/>
      <c r="BJ46" s="620"/>
      <c r="BK46" s="586" t="s">
        <v>58</v>
      </c>
      <c r="BL46" s="582" t="e">
        <f>SUM(AP98,BN37)</f>
        <v>#DIV/0!</v>
      </c>
      <c r="BM46" s="622"/>
      <c r="CN46" s="7">
        <v>36</v>
      </c>
    </row>
    <row r="47" spans="1:92" s="7" customFormat="1" ht="14.65" customHeight="1">
      <c r="A47" s="6" t="str">
        <f t="shared" si="35"/>
        <v/>
      </c>
      <c r="B47" s="43"/>
      <c r="C47" s="6"/>
      <c r="D47" s="6"/>
      <c r="E47" s="43"/>
      <c r="F47" s="44"/>
      <c r="G47" s="22"/>
      <c r="H47" s="23"/>
      <c r="I47" s="47">
        <f t="shared" si="36"/>
        <v>0</v>
      </c>
      <c r="J47" s="47">
        <f t="shared" si="37"/>
        <v>0</v>
      </c>
      <c r="K47" s="58" t="str">
        <f t="shared" si="38"/>
        <v/>
      </c>
      <c r="L47" s="58" t="str">
        <f t="shared" si="39"/>
        <v/>
      </c>
      <c r="M47" s="24"/>
      <c r="N47" s="25"/>
      <c r="O47" s="26">
        <f t="shared" si="40"/>
        <v>0</v>
      </c>
      <c r="P47" s="26">
        <f t="shared" si="41"/>
        <v>0</v>
      </c>
      <c r="Q47" s="27" t="str">
        <f t="shared" si="42"/>
        <v/>
      </c>
      <c r="R47" s="27" t="str">
        <f t="shared" si="43"/>
        <v/>
      </c>
      <c r="S47" s="29"/>
      <c r="T47" s="30"/>
      <c r="U47" s="31">
        <f t="shared" si="44"/>
        <v>0</v>
      </c>
      <c r="V47" s="31">
        <f t="shared" si="45"/>
        <v>0</v>
      </c>
      <c r="W47" s="32" t="str">
        <f t="shared" si="46"/>
        <v/>
      </c>
      <c r="X47" s="32" t="str">
        <f t="shared" si="47"/>
        <v/>
      </c>
      <c r="Y47" s="24"/>
      <c r="Z47" s="24"/>
      <c r="AA47" s="25">
        <f t="shared" si="48"/>
        <v>0</v>
      </c>
      <c r="AB47" s="26">
        <f t="shared" si="49"/>
        <v>0</v>
      </c>
      <c r="AC47" s="26" t="str">
        <f t="shared" si="50"/>
        <v/>
      </c>
      <c r="AD47" s="27" t="str">
        <f t="shared" si="51"/>
        <v/>
      </c>
      <c r="AE47" s="39" t="str">
        <f t="shared" si="52"/>
        <v/>
      </c>
      <c r="AF47" s="39" t="str">
        <f t="shared" si="53"/>
        <v/>
      </c>
      <c r="AG47" s="40" t="str">
        <f t="shared" si="54"/>
        <v/>
      </c>
      <c r="AH47" s="41" t="str">
        <f t="shared" si="55"/>
        <v/>
      </c>
      <c r="AI47" s="39" t="str">
        <f>IF(B47="","",ROUND(GEOMEAN((J47,P47,V47)),0))</f>
        <v/>
      </c>
      <c r="AJ47" s="39" t="str">
        <f>IF(B47="","",ROUND(GEOMEAN((L47,R47,X47)),0))</f>
        <v/>
      </c>
      <c r="AK47" s="40" t="str">
        <f t="shared" si="56"/>
        <v/>
      </c>
      <c r="AL47" s="40" t="str">
        <f t="shared" si="57"/>
        <v/>
      </c>
      <c r="AM47" s="42" t="e">
        <f t="shared" si="58"/>
        <v>#DIV/0!</v>
      </c>
      <c r="AN47" s="42" t="e">
        <f t="shared" si="59"/>
        <v>#DIV/0!</v>
      </c>
      <c r="AO47" s="39" t="str">
        <f t="shared" si="60"/>
        <v/>
      </c>
      <c r="AP47" s="39" t="str">
        <f t="shared" si="61"/>
        <v/>
      </c>
      <c r="AQ47" s="40" t="str">
        <f t="shared" si="62"/>
        <v/>
      </c>
      <c r="AR47" s="41" t="str">
        <f t="shared" si="63"/>
        <v/>
      </c>
      <c r="AS47" s="39" t="str">
        <f>IF(L47="","",ROUND(GEOMEAN((J47,P47,V47,AB47)),0))</f>
        <v/>
      </c>
      <c r="AT47" s="39" t="str">
        <f>IF(L47="","",ROUND(GEOMEAN((L47,R47,X47,AD47)),0))</f>
        <v/>
      </c>
      <c r="AU47" s="40" t="str">
        <f t="shared" si="64"/>
        <v/>
      </c>
      <c r="AV47" s="40" t="str">
        <f t="shared" si="65"/>
        <v/>
      </c>
      <c r="AW47" s="42">
        <f t="shared" si="66"/>
        <v>0</v>
      </c>
      <c r="AX47" s="42">
        <f t="shared" si="67"/>
        <v>0</v>
      </c>
      <c r="AY47" s="5"/>
      <c r="BC47" s="588" t="s">
        <v>59</v>
      </c>
      <c r="BD47" s="621"/>
      <c r="BE47" s="621"/>
      <c r="BF47" s="621"/>
      <c r="BG47" s="621"/>
      <c r="BH47" s="621"/>
      <c r="BI47" s="621"/>
      <c r="BJ47" s="622"/>
      <c r="BK47" s="629"/>
      <c r="BL47" s="623"/>
      <c r="BM47" s="624"/>
      <c r="CN47" s="7">
        <v>37</v>
      </c>
    </row>
    <row r="48" spans="1:92" s="7" customFormat="1" ht="14.65" customHeight="1">
      <c r="A48" s="6" t="str">
        <f t="shared" si="35"/>
        <v/>
      </c>
      <c r="B48" s="43"/>
      <c r="C48" s="6"/>
      <c r="D48" s="6"/>
      <c r="E48" s="43"/>
      <c r="F48" s="44"/>
      <c r="G48" s="22"/>
      <c r="H48" s="23"/>
      <c r="I48" s="47">
        <f t="shared" si="36"/>
        <v>0</v>
      </c>
      <c r="J48" s="47">
        <f t="shared" si="37"/>
        <v>0</v>
      </c>
      <c r="K48" s="58" t="str">
        <f t="shared" si="38"/>
        <v/>
      </c>
      <c r="L48" s="58" t="str">
        <f t="shared" si="39"/>
        <v/>
      </c>
      <c r="M48" s="24"/>
      <c r="N48" s="25"/>
      <c r="O48" s="26">
        <f t="shared" si="40"/>
        <v>0</v>
      </c>
      <c r="P48" s="26">
        <f t="shared" si="41"/>
        <v>0</v>
      </c>
      <c r="Q48" s="27" t="str">
        <f t="shared" si="42"/>
        <v/>
      </c>
      <c r="R48" s="27" t="str">
        <f t="shared" si="43"/>
        <v/>
      </c>
      <c r="S48" s="29"/>
      <c r="T48" s="30"/>
      <c r="U48" s="31">
        <f t="shared" si="44"/>
        <v>0</v>
      </c>
      <c r="V48" s="31">
        <f t="shared" si="45"/>
        <v>0</v>
      </c>
      <c r="W48" s="32" t="str">
        <f t="shared" si="46"/>
        <v/>
      </c>
      <c r="X48" s="32" t="str">
        <f t="shared" si="47"/>
        <v/>
      </c>
      <c r="Y48" s="24"/>
      <c r="Z48" s="24"/>
      <c r="AA48" s="25">
        <f t="shared" si="48"/>
        <v>0</v>
      </c>
      <c r="AB48" s="26">
        <f t="shared" si="49"/>
        <v>0</v>
      </c>
      <c r="AC48" s="26" t="str">
        <f t="shared" si="50"/>
        <v/>
      </c>
      <c r="AD48" s="27" t="str">
        <f t="shared" si="51"/>
        <v/>
      </c>
      <c r="AE48" s="39" t="str">
        <f t="shared" si="52"/>
        <v/>
      </c>
      <c r="AF48" s="39" t="str">
        <f t="shared" si="53"/>
        <v/>
      </c>
      <c r="AG48" s="40" t="str">
        <f t="shared" si="54"/>
        <v/>
      </c>
      <c r="AH48" s="41" t="str">
        <f t="shared" si="55"/>
        <v/>
      </c>
      <c r="AI48" s="39" t="str">
        <f>IF(B48="","",ROUND(GEOMEAN((J48,P48,V48)),0))</f>
        <v/>
      </c>
      <c r="AJ48" s="39" t="str">
        <f>IF(B48="","",ROUND(GEOMEAN((L48,R48,X48)),0))</f>
        <v/>
      </c>
      <c r="AK48" s="40" t="str">
        <f t="shared" si="56"/>
        <v/>
      </c>
      <c r="AL48" s="40" t="str">
        <f t="shared" si="57"/>
        <v/>
      </c>
      <c r="AM48" s="42" t="e">
        <f t="shared" si="58"/>
        <v>#DIV/0!</v>
      </c>
      <c r="AN48" s="42" t="e">
        <f t="shared" si="59"/>
        <v>#DIV/0!</v>
      </c>
      <c r="AO48" s="39" t="str">
        <f t="shared" si="60"/>
        <v/>
      </c>
      <c r="AP48" s="39" t="str">
        <f t="shared" si="61"/>
        <v/>
      </c>
      <c r="AQ48" s="40" t="str">
        <f t="shared" si="62"/>
        <v/>
      </c>
      <c r="AR48" s="41" t="str">
        <f t="shared" si="63"/>
        <v/>
      </c>
      <c r="AS48" s="39" t="str">
        <f>IF(L48="","",ROUND(GEOMEAN((J48,P48,V48,AB48)),0))</f>
        <v/>
      </c>
      <c r="AT48" s="39" t="str">
        <f>IF(L48="","",ROUND(GEOMEAN((L48,R48,X48,AD48)),0))</f>
        <v/>
      </c>
      <c r="AU48" s="40" t="str">
        <f t="shared" si="64"/>
        <v/>
      </c>
      <c r="AV48" s="40" t="str">
        <f t="shared" si="65"/>
        <v/>
      </c>
      <c r="AW48" s="42">
        <f t="shared" si="66"/>
        <v>0</v>
      </c>
      <c r="AX48" s="42">
        <f t="shared" si="67"/>
        <v>0</v>
      </c>
      <c r="AY48" s="5"/>
      <c r="BC48" s="623"/>
      <c r="BD48" s="589"/>
      <c r="BE48" s="589"/>
      <c r="BF48" s="589"/>
      <c r="BG48" s="589"/>
      <c r="BH48" s="589"/>
      <c r="BI48" s="589"/>
      <c r="BJ48" s="624"/>
      <c r="BK48" s="629"/>
      <c r="BL48" s="623"/>
      <c r="BM48" s="624"/>
      <c r="CN48" s="7">
        <v>38</v>
      </c>
    </row>
    <row r="49" spans="1:92" s="7" customFormat="1" ht="14.65" customHeight="1">
      <c r="A49" s="6" t="str">
        <f t="shared" si="35"/>
        <v/>
      </c>
      <c r="B49" s="43"/>
      <c r="C49" s="6"/>
      <c r="D49" s="6"/>
      <c r="E49" s="43"/>
      <c r="F49" s="44"/>
      <c r="G49" s="22"/>
      <c r="H49" s="23"/>
      <c r="I49" s="47">
        <f t="shared" si="36"/>
        <v>0</v>
      </c>
      <c r="J49" s="47">
        <f t="shared" si="37"/>
        <v>0</v>
      </c>
      <c r="K49" s="58" t="str">
        <f t="shared" si="38"/>
        <v/>
      </c>
      <c r="L49" s="58" t="str">
        <f t="shared" si="39"/>
        <v/>
      </c>
      <c r="M49" s="24"/>
      <c r="N49" s="25"/>
      <c r="O49" s="26">
        <f t="shared" si="40"/>
        <v>0</v>
      </c>
      <c r="P49" s="26">
        <f t="shared" si="41"/>
        <v>0</v>
      </c>
      <c r="Q49" s="27" t="str">
        <f t="shared" si="42"/>
        <v/>
      </c>
      <c r="R49" s="27" t="str">
        <f t="shared" si="43"/>
        <v/>
      </c>
      <c r="S49" s="29"/>
      <c r="T49" s="30"/>
      <c r="U49" s="31">
        <f t="shared" si="44"/>
        <v>0</v>
      </c>
      <c r="V49" s="31">
        <f t="shared" si="45"/>
        <v>0</v>
      </c>
      <c r="W49" s="32" t="str">
        <f t="shared" si="46"/>
        <v/>
      </c>
      <c r="X49" s="32" t="str">
        <f t="shared" si="47"/>
        <v/>
      </c>
      <c r="Y49" s="24"/>
      <c r="Z49" s="24"/>
      <c r="AA49" s="25">
        <f t="shared" si="48"/>
        <v>0</v>
      </c>
      <c r="AB49" s="26">
        <f t="shared" si="49"/>
        <v>0</v>
      </c>
      <c r="AC49" s="26" t="str">
        <f t="shared" si="50"/>
        <v/>
      </c>
      <c r="AD49" s="27" t="str">
        <f t="shared" si="51"/>
        <v/>
      </c>
      <c r="AE49" s="39" t="str">
        <f t="shared" si="52"/>
        <v/>
      </c>
      <c r="AF49" s="39" t="str">
        <f t="shared" si="53"/>
        <v/>
      </c>
      <c r="AG49" s="40" t="str">
        <f t="shared" si="54"/>
        <v/>
      </c>
      <c r="AH49" s="41" t="str">
        <f t="shared" si="55"/>
        <v/>
      </c>
      <c r="AI49" s="39" t="str">
        <f>IF(B49="","",ROUND(GEOMEAN((J49,P49,V49)),0))</f>
        <v/>
      </c>
      <c r="AJ49" s="39" t="str">
        <f>IF(B49="","",ROUND(GEOMEAN((L49,R49,X49)),0))</f>
        <v/>
      </c>
      <c r="AK49" s="40" t="str">
        <f t="shared" si="56"/>
        <v/>
      </c>
      <c r="AL49" s="40" t="str">
        <f t="shared" si="57"/>
        <v/>
      </c>
      <c r="AM49" s="42" t="e">
        <f t="shared" si="58"/>
        <v>#DIV/0!</v>
      </c>
      <c r="AN49" s="42" t="e">
        <f t="shared" si="59"/>
        <v>#DIV/0!</v>
      </c>
      <c r="AO49" s="39" t="str">
        <f t="shared" si="60"/>
        <v/>
      </c>
      <c r="AP49" s="39" t="str">
        <f t="shared" si="61"/>
        <v/>
      </c>
      <c r="AQ49" s="40" t="str">
        <f t="shared" si="62"/>
        <v/>
      </c>
      <c r="AR49" s="41" t="str">
        <f t="shared" si="63"/>
        <v/>
      </c>
      <c r="AS49" s="39" t="str">
        <f>IF(L49="","",ROUND(GEOMEAN((J49,P49,V49,AB49)),0))</f>
        <v/>
      </c>
      <c r="AT49" s="39" t="str">
        <f>IF(L49="","",ROUND(GEOMEAN((L49,R49,X49,AD49)),0))</f>
        <v/>
      </c>
      <c r="AU49" s="40" t="str">
        <f t="shared" si="64"/>
        <v/>
      </c>
      <c r="AV49" s="40" t="str">
        <f t="shared" si="65"/>
        <v/>
      </c>
      <c r="AW49" s="42">
        <f t="shared" si="66"/>
        <v>0</v>
      </c>
      <c r="AX49" s="42">
        <f t="shared" si="67"/>
        <v>0</v>
      </c>
      <c r="AY49" s="5"/>
      <c r="BC49" s="623"/>
      <c r="BD49" s="589"/>
      <c r="BE49" s="589"/>
      <c r="BF49" s="589"/>
      <c r="BG49" s="589"/>
      <c r="BH49" s="589"/>
      <c r="BI49" s="589"/>
      <c r="BJ49" s="624"/>
      <c r="BK49" s="629"/>
      <c r="BL49" s="623"/>
      <c r="BM49" s="624"/>
      <c r="CN49" s="7">
        <v>39</v>
      </c>
    </row>
    <row r="50" spans="1:92" s="7" customFormat="1" ht="14.65" customHeight="1">
      <c r="A50" s="6" t="str">
        <f t="shared" si="35"/>
        <v/>
      </c>
      <c r="B50" s="43"/>
      <c r="C50" s="6"/>
      <c r="D50" s="6"/>
      <c r="E50" s="43"/>
      <c r="F50" s="44"/>
      <c r="G50" s="22"/>
      <c r="H50" s="23"/>
      <c r="I50" s="47">
        <f t="shared" si="36"/>
        <v>0</v>
      </c>
      <c r="J50" s="47">
        <f t="shared" si="37"/>
        <v>0</v>
      </c>
      <c r="K50" s="58" t="str">
        <f t="shared" si="38"/>
        <v/>
      </c>
      <c r="L50" s="58" t="str">
        <f t="shared" si="39"/>
        <v/>
      </c>
      <c r="M50" s="24"/>
      <c r="N50" s="25"/>
      <c r="O50" s="26">
        <f t="shared" si="40"/>
        <v>0</v>
      </c>
      <c r="P50" s="26">
        <f t="shared" si="41"/>
        <v>0</v>
      </c>
      <c r="Q50" s="27" t="str">
        <f t="shared" si="42"/>
        <v/>
      </c>
      <c r="R50" s="27" t="str">
        <f t="shared" si="43"/>
        <v/>
      </c>
      <c r="S50" s="29"/>
      <c r="T50" s="30"/>
      <c r="U50" s="31">
        <f t="shared" si="44"/>
        <v>0</v>
      </c>
      <c r="V50" s="31">
        <f t="shared" si="45"/>
        <v>0</v>
      </c>
      <c r="W50" s="32" t="str">
        <f t="shared" si="46"/>
        <v/>
      </c>
      <c r="X50" s="32" t="str">
        <f t="shared" si="47"/>
        <v/>
      </c>
      <c r="Y50" s="24"/>
      <c r="Z50" s="24"/>
      <c r="AA50" s="25">
        <f t="shared" si="48"/>
        <v>0</v>
      </c>
      <c r="AB50" s="26">
        <f t="shared" si="49"/>
        <v>0</v>
      </c>
      <c r="AC50" s="26" t="str">
        <f t="shared" si="50"/>
        <v/>
      </c>
      <c r="AD50" s="27" t="str">
        <f t="shared" si="51"/>
        <v/>
      </c>
      <c r="AE50" s="39" t="str">
        <f t="shared" si="52"/>
        <v/>
      </c>
      <c r="AF50" s="39" t="str">
        <f t="shared" si="53"/>
        <v/>
      </c>
      <c r="AG50" s="40" t="str">
        <f t="shared" si="54"/>
        <v/>
      </c>
      <c r="AH50" s="41" t="str">
        <f t="shared" si="55"/>
        <v/>
      </c>
      <c r="AI50" s="39" t="str">
        <f>IF(B50="","",ROUND(GEOMEAN((J50,P50,V50)),0))</f>
        <v/>
      </c>
      <c r="AJ50" s="39" t="str">
        <f>IF(B50="","",ROUND(GEOMEAN((L50,R50,X50)),0))</f>
        <v/>
      </c>
      <c r="AK50" s="40" t="str">
        <f t="shared" si="56"/>
        <v/>
      </c>
      <c r="AL50" s="40" t="str">
        <f t="shared" si="57"/>
        <v/>
      </c>
      <c r="AM50" s="42" t="e">
        <f t="shared" si="58"/>
        <v>#DIV/0!</v>
      </c>
      <c r="AN50" s="42" t="e">
        <f t="shared" si="59"/>
        <v>#DIV/0!</v>
      </c>
      <c r="AO50" s="39" t="str">
        <f t="shared" si="60"/>
        <v/>
      </c>
      <c r="AP50" s="39" t="str">
        <f t="shared" si="61"/>
        <v/>
      </c>
      <c r="AQ50" s="40" t="str">
        <f t="shared" si="62"/>
        <v/>
      </c>
      <c r="AR50" s="41" t="str">
        <f t="shared" si="63"/>
        <v/>
      </c>
      <c r="AS50" s="39" t="str">
        <f>IF(L50="","",ROUND(GEOMEAN((J50,P50,V50,AB50)),0))</f>
        <v/>
      </c>
      <c r="AT50" s="39" t="str">
        <f>IF(L50="","",ROUND(GEOMEAN((L50,R50,X50,AD50)),0))</f>
        <v/>
      </c>
      <c r="AU50" s="40" t="str">
        <f t="shared" si="64"/>
        <v/>
      </c>
      <c r="AV50" s="40" t="str">
        <f t="shared" si="65"/>
        <v/>
      </c>
      <c r="AW50" s="42">
        <f t="shared" si="66"/>
        <v>0</v>
      </c>
      <c r="AX50" s="42">
        <f t="shared" si="67"/>
        <v>0</v>
      </c>
      <c r="AY50" s="5"/>
      <c r="BC50" s="623"/>
      <c r="BD50" s="589"/>
      <c r="BE50" s="589"/>
      <c r="BF50" s="589"/>
      <c r="BG50" s="589"/>
      <c r="BH50" s="589"/>
      <c r="BI50" s="589"/>
      <c r="BJ50" s="624"/>
      <c r="BK50" s="629"/>
      <c r="BL50" s="623"/>
      <c r="BM50" s="624"/>
      <c r="CN50" s="7">
        <v>40</v>
      </c>
    </row>
    <row r="51" spans="1:92" s="7" customFormat="1" ht="14.65" customHeight="1">
      <c r="A51" s="6" t="str">
        <f t="shared" si="35"/>
        <v/>
      </c>
      <c r="B51" s="43"/>
      <c r="C51" s="6"/>
      <c r="D51" s="6"/>
      <c r="E51" s="43"/>
      <c r="F51" s="44"/>
      <c r="G51" s="22"/>
      <c r="H51" s="23"/>
      <c r="I51" s="47">
        <f t="shared" si="36"/>
        <v>0</v>
      </c>
      <c r="J51" s="47">
        <f t="shared" si="37"/>
        <v>0</v>
      </c>
      <c r="K51" s="58" t="str">
        <f t="shared" si="38"/>
        <v/>
      </c>
      <c r="L51" s="58" t="str">
        <f t="shared" si="39"/>
        <v/>
      </c>
      <c r="M51" s="24"/>
      <c r="N51" s="25"/>
      <c r="O51" s="26">
        <f t="shared" si="40"/>
        <v>0</v>
      </c>
      <c r="P51" s="26">
        <f t="shared" si="41"/>
        <v>0</v>
      </c>
      <c r="Q51" s="27" t="str">
        <f t="shared" si="42"/>
        <v/>
      </c>
      <c r="R51" s="27" t="str">
        <f t="shared" si="43"/>
        <v/>
      </c>
      <c r="S51" s="29"/>
      <c r="T51" s="30"/>
      <c r="U51" s="31">
        <f t="shared" si="44"/>
        <v>0</v>
      </c>
      <c r="V51" s="31">
        <f t="shared" si="45"/>
        <v>0</v>
      </c>
      <c r="W51" s="32" t="str">
        <f t="shared" si="46"/>
        <v/>
      </c>
      <c r="X51" s="32" t="str">
        <f t="shared" si="47"/>
        <v/>
      </c>
      <c r="Y51" s="24"/>
      <c r="Z51" s="24"/>
      <c r="AA51" s="25">
        <f t="shared" si="48"/>
        <v>0</v>
      </c>
      <c r="AB51" s="26">
        <f t="shared" si="49"/>
        <v>0</v>
      </c>
      <c r="AC51" s="26" t="str">
        <f t="shared" si="50"/>
        <v/>
      </c>
      <c r="AD51" s="27" t="str">
        <f t="shared" si="51"/>
        <v/>
      </c>
      <c r="AE51" s="39" t="str">
        <f t="shared" si="52"/>
        <v/>
      </c>
      <c r="AF51" s="39" t="str">
        <f t="shared" si="53"/>
        <v/>
      </c>
      <c r="AG51" s="40" t="str">
        <f t="shared" si="54"/>
        <v/>
      </c>
      <c r="AH51" s="41" t="str">
        <f t="shared" si="55"/>
        <v/>
      </c>
      <c r="AI51" s="39" t="str">
        <f>IF(B51="","",ROUND(GEOMEAN((J51,P51,V51)),0))</f>
        <v/>
      </c>
      <c r="AJ51" s="39" t="str">
        <f>IF(B51="","",ROUND(GEOMEAN((L51,R51,X51)),0))</f>
        <v/>
      </c>
      <c r="AK51" s="40" t="str">
        <f t="shared" si="56"/>
        <v/>
      </c>
      <c r="AL51" s="40" t="str">
        <f t="shared" si="57"/>
        <v/>
      </c>
      <c r="AM51" s="42" t="e">
        <f t="shared" si="58"/>
        <v>#DIV/0!</v>
      </c>
      <c r="AN51" s="42" t="e">
        <f t="shared" si="59"/>
        <v>#DIV/0!</v>
      </c>
      <c r="AO51" s="39" t="str">
        <f t="shared" si="60"/>
        <v/>
      </c>
      <c r="AP51" s="39" t="str">
        <f t="shared" si="61"/>
        <v/>
      </c>
      <c r="AQ51" s="40" t="str">
        <f t="shared" si="62"/>
        <v/>
      </c>
      <c r="AR51" s="41" t="str">
        <f t="shared" si="63"/>
        <v/>
      </c>
      <c r="AS51" s="39" t="str">
        <f>IF(L51="","",ROUND(GEOMEAN((J51,P51,V51,AB51)),0))</f>
        <v/>
      </c>
      <c r="AT51" s="39" t="str">
        <f>IF(L51="","",ROUND(GEOMEAN((L51,R51,X51,AD51)),0))</f>
        <v/>
      </c>
      <c r="AU51" s="40" t="str">
        <f t="shared" si="64"/>
        <v/>
      </c>
      <c r="AV51" s="40" t="str">
        <f t="shared" si="65"/>
        <v/>
      </c>
      <c r="AW51" s="42">
        <f t="shared" si="66"/>
        <v>0</v>
      </c>
      <c r="AX51" s="42">
        <f t="shared" si="67"/>
        <v>0</v>
      </c>
      <c r="AY51" s="5"/>
      <c r="BC51" s="623"/>
      <c r="BD51" s="589"/>
      <c r="BE51" s="589"/>
      <c r="BF51" s="589"/>
      <c r="BG51" s="589"/>
      <c r="BH51" s="589"/>
      <c r="BI51" s="589"/>
      <c r="BJ51" s="624"/>
      <c r="BK51" s="629"/>
      <c r="BL51" s="623"/>
      <c r="BM51" s="624"/>
      <c r="CN51" s="7">
        <v>41</v>
      </c>
    </row>
    <row r="52" spans="1:92" s="7" customFormat="1" ht="14.65" customHeight="1">
      <c r="A52" s="6" t="str">
        <f t="shared" si="35"/>
        <v/>
      </c>
      <c r="B52" s="43"/>
      <c r="C52" s="6"/>
      <c r="D52" s="6"/>
      <c r="E52" s="43"/>
      <c r="F52" s="44"/>
      <c r="G52" s="22"/>
      <c r="H52" s="23"/>
      <c r="I52" s="47">
        <f t="shared" si="36"/>
        <v>0</v>
      </c>
      <c r="J52" s="47">
        <f t="shared" si="37"/>
        <v>0</v>
      </c>
      <c r="K52" s="58" t="str">
        <f t="shared" si="38"/>
        <v/>
      </c>
      <c r="L52" s="58" t="str">
        <f t="shared" si="39"/>
        <v/>
      </c>
      <c r="M52" s="24"/>
      <c r="N52" s="25"/>
      <c r="O52" s="26">
        <f t="shared" si="40"/>
        <v>0</v>
      </c>
      <c r="P52" s="26">
        <f t="shared" si="41"/>
        <v>0</v>
      </c>
      <c r="Q52" s="27" t="str">
        <f t="shared" si="42"/>
        <v/>
      </c>
      <c r="R52" s="27" t="str">
        <f t="shared" si="43"/>
        <v/>
      </c>
      <c r="S52" s="29"/>
      <c r="T52" s="30"/>
      <c r="U52" s="31">
        <f t="shared" si="44"/>
        <v>0</v>
      </c>
      <c r="V52" s="31">
        <f t="shared" si="45"/>
        <v>0</v>
      </c>
      <c r="W52" s="32" t="str">
        <f t="shared" si="46"/>
        <v/>
      </c>
      <c r="X52" s="32" t="str">
        <f t="shared" si="47"/>
        <v/>
      </c>
      <c r="Y52" s="24"/>
      <c r="Z52" s="24"/>
      <c r="AA52" s="25">
        <f t="shared" si="48"/>
        <v>0</v>
      </c>
      <c r="AB52" s="26">
        <f t="shared" si="49"/>
        <v>0</v>
      </c>
      <c r="AC52" s="26" t="str">
        <f t="shared" si="50"/>
        <v/>
      </c>
      <c r="AD52" s="27" t="str">
        <f t="shared" si="51"/>
        <v/>
      </c>
      <c r="AE52" s="39" t="str">
        <f t="shared" si="52"/>
        <v/>
      </c>
      <c r="AF52" s="39" t="str">
        <f t="shared" si="53"/>
        <v/>
      </c>
      <c r="AG52" s="40" t="str">
        <f t="shared" si="54"/>
        <v/>
      </c>
      <c r="AH52" s="41" t="str">
        <f t="shared" si="55"/>
        <v/>
      </c>
      <c r="AI52" s="39" t="str">
        <f>IF(B52="","",ROUND(GEOMEAN((J52,P52,V52)),0))</f>
        <v/>
      </c>
      <c r="AJ52" s="39" t="str">
        <f>IF(B52="","",ROUND(GEOMEAN((L52,R52,X52)),0))</f>
        <v/>
      </c>
      <c r="AK52" s="40" t="str">
        <f t="shared" si="56"/>
        <v/>
      </c>
      <c r="AL52" s="40" t="str">
        <f t="shared" si="57"/>
        <v/>
      </c>
      <c r="AM52" s="42" t="e">
        <f t="shared" si="58"/>
        <v>#DIV/0!</v>
      </c>
      <c r="AN52" s="42" t="e">
        <f t="shared" si="59"/>
        <v>#DIV/0!</v>
      </c>
      <c r="AO52" s="39" t="str">
        <f t="shared" si="60"/>
        <v/>
      </c>
      <c r="AP52" s="39" t="str">
        <f t="shared" si="61"/>
        <v/>
      </c>
      <c r="AQ52" s="40" t="str">
        <f t="shared" si="62"/>
        <v/>
      </c>
      <c r="AR52" s="41" t="str">
        <f t="shared" si="63"/>
        <v/>
      </c>
      <c r="AS52" s="39" t="str">
        <f>IF(L52="","",ROUND(GEOMEAN((J52,P52,V52,AB52)),0))</f>
        <v/>
      </c>
      <c r="AT52" s="39" t="str">
        <f>IF(L52="","",ROUND(GEOMEAN((L52,R52,X52,AD52)),0))</f>
        <v/>
      </c>
      <c r="AU52" s="40" t="str">
        <f t="shared" si="64"/>
        <v/>
      </c>
      <c r="AV52" s="40" t="str">
        <f t="shared" si="65"/>
        <v/>
      </c>
      <c r="AW52" s="42">
        <f t="shared" si="66"/>
        <v>0</v>
      </c>
      <c r="AX52" s="42">
        <f t="shared" si="67"/>
        <v>0</v>
      </c>
      <c r="AY52" s="5"/>
      <c r="BC52" s="623"/>
      <c r="BD52" s="589"/>
      <c r="BE52" s="589"/>
      <c r="BF52" s="589"/>
      <c r="BG52" s="589"/>
      <c r="BH52" s="589"/>
      <c r="BI52" s="589"/>
      <c r="BJ52" s="624"/>
      <c r="BK52" s="629"/>
      <c r="BL52" s="623"/>
      <c r="BM52" s="624"/>
      <c r="CN52" s="7">
        <v>42</v>
      </c>
    </row>
    <row r="53" spans="1:92" s="7" customFormat="1" ht="14.65" customHeight="1">
      <c r="A53" s="6" t="str">
        <f t="shared" si="35"/>
        <v/>
      </c>
      <c r="B53" s="43"/>
      <c r="C53" s="6"/>
      <c r="D53" s="6"/>
      <c r="E53" s="43"/>
      <c r="F53" s="44"/>
      <c r="G53" s="22"/>
      <c r="H53" s="23"/>
      <c r="I53" s="47">
        <f t="shared" si="36"/>
        <v>0</v>
      </c>
      <c r="J53" s="47">
        <f t="shared" si="37"/>
        <v>0</v>
      </c>
      <c r="K53" s="58" t="str">
        <f t="shared" si="38"/>
        <v/>
      </c>
      <c r="L53" s="58" t="str">
        <f t="shared" si="39"/>
        <v/>
      </c>
      <c r="M53" s="24"/>
      <c r="N53" s="25"/>
      <c r="O53" s="26">
        <f t="shared" si="40"/>
        <v>0</v>
      </c>
      <c r="P53" s="26">
        <f t="shared" si="41"/>
        <v>0</v>
      </c>
      <c r="Q53" s="27" t="str">
        <f t="shared" si="42"/>
        <v/>
      </c>
      <c r="R53" s="27" t="str">
        <f t="shared" si="43"/>
        <v/>
      </c>
      <c r="S53" s="29"/>
      <c r="T53" s="30"/>
      <c r="U53" s="31">
        <f t="shared" si="44"/>
        <v>0</v>
      </c>
      <c r="V53" s="31">
        <f t="shared" si="45"/>
        <v>0</v>
      </c>
      <c r="W53" s="32" t="str">
        <f t="shared" si="46"/>
        <v/>
      </c>
      <c r="X53" s="32" t="str">
        <f t="shared" si="47"/>
        <v/>
      </c>
      <c r="Y53" s="24"/>
      <c r="Z53" s="24"/>
      <c r="AA53" s="25">
        <f t="shared" si="48"/>
        <v>0</v>
      </c>
      <c r="AB53" s="26">
        <f t="shared" si="49"/>
        <v>0</v>
      </c>
      <c r="AC53" s="26" t="str">
        <f t="shared" si="50"/>
        <v/>
      </c>
      <c r="AD53" s="27" t="str">
        <f t="shared" si="51"/>
        <v/>
      </c>
      <c r="AE53" s="39" t="str">
        <f t="shared" si="52"/>
        <v/>
      </c>
      <c r="AF53" s="39" t="str">
        <f t="shared" si="53"/>
        <v/>
      </c>
      <c r="AG53" s="40" t="str">
        <f t="shared" si="54"/>
        <v/>
      </c>
      <c r="AH53" s="41" t="str">
        <f t="shared" si="55"/>
        <v/>
      </c>
      <c r="AI53" s="39" t="str">
        <f>IF(B53="","",ROUND(GEOMEAN((J53,P53,V53)),0))</f>
        <v/>
      </c>
      <c r="AJ53" s="39" t="str">
        <f>IF(B53="","",ROUND(GEOMEAN((L53,R53,X53)),0))</f>
        <v/>
      </c>
      <c r="AK53" s="40" t="str">
        <f t="shared" si="56"/>
        <v/>
      </c>
      <c r="AL53" s="40" t="str">
        <f t="shared" si="57"/>
        <v/>
      </c>
      <c r="AM53" s="42" t="e">
        <f t="shared" si="58"/>
        <v>#DIV/0!</v>
      </c>
      <c r="AN53" s="42" t="e">
        <f t="shared" si="59"/>
        <v>#DIV/0!</v>
      </c>
      <c r="AO53" s="39" t="str">
        <f t="shared" si="60"/>
        <v/>
      </c>
      <c r="AP53" s="39" t="str">
        <f t="shared" si="61"/>
        <v/>
      </c>
      <c r="AQ53" s="40" t="str">
        <f t="shared" si="62"/>
        <v/>
      </c>
      <c r="AR53" s="41" t="str">
        <f t="shared" si="63"/>
        <v/>
      </c>
      <c r="AS53" s="39" t="str">
        <f>IF(L53="","",ROUND(GEOMEAN((J53,P53,V53,AB53)),0))</f>
        <v/>
      </c>
      <c r="AT53" s="39" t="str">
        <f>IF(L53="","",ROUND(GEOMEAN((L53,R53,X53,AD53)),0))</f>
        <v/>
      </c>
      <c r="AU53" s="40" t="str">
        <f t="shared" si="64"/>
        <v/>
      </c>
      <c r="AV53" s="40" t="str">
        <f t="shared" si="65"/>
        <v/>
      </c>
      <c r="AW53" s="42">
        <f t="shared" si="66"/>
        <v>0</v>
      </c>
      <c r="AX53" s="42">
        <f t="shared" si="67"/>
        <v>0</v>
      </c>
      <c r="AY53" s="5"/>
      <c r="BC53" s="623"/>
      <c r="BD53" s="589"/>
      <c r="BE53" s="589"/>
      <c r="BF53" s="589"/>
      <c r="BG53" s="589"/>
      <c r="BH53" s="589"/>
      <c r="BI53" s="589"/>
      <c r="BJ53" s="624"/>
      <c r="BK53" s="629"/>
      <c r="BL53" s="623"/>
      <c r="BM53" s="624"/>
      <c r="CN53" s="7">
        <v>43</v>
      </c>
    </row>
    <row r="54" spans="1:92" s="7" customFormat="1" ht="14.65" customHeight="1">
      <c r="A54" s="6" t="str">
        <f t="shared" si="35"/>
        <v/>
      </c>
      <c r="B54" s="43"/>
      <c r="C54" s="6"/>
      <c r="D54" s="6"/>
      <c r="E54" s="43"/>
      <c r="F54" s="44"/>
      <c r="G54" s="22"/>
      <c r="H54" s="23"/>
      <c r="I54" s="47">
        <f t="shared" si="36"/>
        <v>0</v>
      </c>
      <c r="J54" s="47">
        <f t="shared" si="37"/>
        <v>0</v>
      </c>
      <c r="K54" s="58" t="str">
        <f t="shared" si="38"/>
        <v/>
      </c>
      <c r="L54" s="58" t="str">
        <f t="shared" si="39"/>
        <v/>
      </c>
      <c r="M54" s="24"/>
      <c r="N54" s="25"/>
      <c r="O54" s="26">
        <f t="shared" si="40"/>
        <v>0</v>
      </c>
      <c r="P54" s="26">
        <f t="shared" si="41"/>
        <v>0</v>
      </c>
      <c r="Q54" s="27" t="str">
        <f t="shared" si="42"/>
        <v/>
      </c>
      <c r="R54" s="27" t="str">
        <f t="shared" si="43"/>
        <v/>
      </c>
      <c r="S54" s="29"/>
      <c r="T54" s="30"/>
      <c r="U54" s="31">
        <f t="shared" si="44"/>
        <v>0</v>
      </c>
      <c r="V54" s="31">
        <f t="shared" si="45"/>
        <v>0</v>
      </c>
      <c r="W54" s="32" t="str">
        <f t="shared" si="46"/>
        <v/>
      </c>
      <c r="X54" s="32" t="str">
        <f t="shared" si="47"/>
        <v/>
      </c>
      <c r="Y54" s="24"/>
      <c r="Z54" s="24"/>
      <c r="AA54" s="25">
        <f t="shared" si="48"/>
        <v>0</v>
      </c>
      <c r="AB54" s="26">
        <f t="shared" si="49"/>
        <v>0</v>
      </c>
      <c r="AC54" s="26" t="str">
        <f t="shared" si="50"/>
        <v/>
      </c>
      <c r="AD54" s="27" t="str">
        <f t="shared" si="51"/>
        <v/>
      </c>
      <c r="AE54" s="39" t="str">
        <f t="shared" si="52"/>
        <v/>
      </c>
      <c r="AF54" s="39" t="str">
        <f t="shared" si="53"/>
        <v/>
      </c>
      <c r="AG54" s="40" t="str">
        <f t="shared" si="54"/>
        <v/>
      </c>
      <c r="AH54" s="41" t="str">
        <f t="shared" si="55"/>
        <v/>
      </c>
      <c r="AI54" s="39" t="str">
        <f>IF(B54="","",ROUND(GEOMEAN((J54,P54,V54)),0))</f>
        <v/>
      </c>
      <c r="AJ54" s="39" t="str">
        <f>IF(B54="","",ROUND(GEOMEAN((L54,R54,X54)),0))</f>
        <v/>
      </c>
      <c r="AK54" s="40" t="str">
        <f t="shared" si="56"/>
        <v/>
      </c>
      <c r="AL54" s="40" t="str">
        <f t="shared" si="57"/>
        <v/>
      </c>
      <c r="AM54" s="42" t="e">
        <f t="shared" si="58"/>
        <v>#DIV/0!</v>
      </c>
      <c r="AN54" s="42" t="e">
        <f t="shared" si="59"/>
        <v>#DIV/0!</v>
      </c>
      <c r="AO54" s="39" t="str">
        <f t="shared" si="60"/>
        <v/>
      </c>
      <c r="AP54" s="39" t="str">
        <f t="shared" si="61"/>
        <v/>
      </c>
      <c r="AQ54" s="40" t="str">
        <f t="shared" si="62"/>
        <v/>
      </c>
      <c r="AR54" s="41" t="str">
        <f t="shared" si="63"/>
        <v/>
      </c>
      <c r="AS54" s="39" t="str">
        <f>IF(L54="","",ROUND(GEOMEAN((J54,P54,V54,AB54)),0))</f>
        <v/>
      </c>
      <c r="AT54" s="39" t="str">
        <f>IF(L54="","",ROUND(GEOMEAN((L54,R54,X54,AD54)),0))</f>
        <v/>
      </c>
      <c r="AU54" s="40" t="str">
        <f t="shared" si="64"/>
        <v/>
      </c>
      <c r="AV54" s="40" t="str">
        <f t="shared" si="65"/>
        <v/>
      </c>
      <c r="AW54" s="42">
        <f t="shared" si="66"/>
        <v>0</v>
      </c>
      <c r="AX54" s="42">
        <f t="shared" si="67"/>
        <v>0</v>
      </c>
      <c r="AY54" s="5"/>
      <c r="BC54" s="623"/>
      <c r="BD54" s="589"/>
      <c r="BE54" s="589"/>
      <c r="BF54" s="589"/>
      <c r="BG54" s="589"/>
      <c r="BH54" s="589"/>
      <c r="BI54" s="589"/>
      <c r="BJ54" s="624"/>
      <c r="BK54" s="629"/>
      <c r="BL54" s="623"/>
      <c r="BM54" s="624"/>
      <c r="CN54" s="7">
        <v>44</v>
      </c>
    </row>
    <row r="55" spans="1:92" s="7" customFormat="1" ht="14.65" customHeight="1">
      <c r="A55" s="6" t="str">
        <f t="shared" si="35"/>
        <v/>
      </c>
      <c r="B55" s="43"/>
      <c r="C55" s="6"/>
      <c r="D55" s="6"/>
      <c r="E55" s="43"/>
      <c r="F55" s="44"/>
      <c r="G55" s="22"/>
      <c r="H55" s="23"/>
      <c r="I55" s="47">
        <f t="shared" si="36"/>
        <v>0</v>
      </c>
      <c r="J55" s="47">
        <f t="shared" si="37"/>
        <v>0</v>
      </c>
      <c r="K55" s="58" t="str">
        <f t="shared" si="38"/>
        <v/>
      </c>
      <c r="L55" s="58" t="str">
        <f t="shared" si="39"/>
        <v/>
      </c>
      <c r="M55" s="24"/>
      <c r="N55" s="25"/>
      <c r="O55" s="26">
        <f t="shared" si="40"/>
        <v>0</v>
      </c>
      <c r="P55" s="26">
        <f t="shared" si="41"/>
        <v>0</v>
      </c>
      <c r="Q55" s="27" t="str">
        <f t="shared" si="42"/>
        <v/>
      </c>
      <c r="R55" s="27" t="str">
        <f t="shared" si="43"/>
        <v/>
      </c>
      <c r="S55" s="29"/>
      <c r="T55" s="30"/>
      <c r="U55" s="31">
        <f t="shared" si="44"/>
        <v>0</v>
      </c>
      <c r="V55" s="31">
        <f t="shared" si="45"/>
        <v>0</v>
      </c>
      <c r="W55" s="32" t="str">
        <f t="shared" si="46"/>
        <v/>
      </c>
      <c r="X55" s="32" t="str">
        <f t="shared" si="47"/>
        <v/>
      </c>
      <c r="Y55" s="24"/>
      <c r="Z55" s="24"/>
      <c r="AA55" s="25">
        <f t="shared" si="48"/>
        <v>0</v>
      </c>
      <c r="AB55" s="26">
        <f t="shared" si="49"/>
        <v>0</v>
      </c>
      <c r="AC55" s="26" t="str">
        <f t="shared" si="50"/>
        <v/>
      </c>
      <c r="AD55" s="27" t="str">
        <f t="shared" si="51"/>
        <v/>
      </c>
      <c r="AE55" s="39" t="str">
        <f t="shared" si="52"/>
        <v/>
      </c>
      <c r="AF55" s="39" t="str">
        <f t="shared" si="53"/>
        <v/>
      </c>
      <c r="AG55" s="40" t="str">
        <f t="shared" si="54"/>
        <v/>
      </c>
      <c r="AH55" s="41" t="str">
        <f t="shared" si="55"/>
        <v/>
      </c>
      <c r="AI55" s="39" t="str">
        <f>IF(B55="","",ROUND(GEOMEAN((J55,P55,V55)),0))</f>
        <v/>
      </c>
      <c r="AJ55" s="39" t="str">
        <f>IF(B55="","",ROUND(GEOMEAN((L55,R55,X55)),0))</f>
        <v/>
      </c>
      <c r="AK55" s="40" t="str">
        <f t="shared" si="56"/>
        <v/>
      </c>
      <c r="AL55" s="40" t="str">
        <f t="shared" si="57"/>
        <v/>
      </c>
      <c r="AM55" s="42" t="e">
        <f t="shared" si="58"/>
        <v>#DIV/0!</v>
      </c>
      <c r="AN55" s="42" t="e">
        <f t="shared" si="59"/>
        <v>#DIV/0!</v>
      </c>
      <c r="AO55" s="39" t="str">
        <f t="shared" si="60"/>
        <v/>
      </c>
      <c r="AP55" s="39" t="str">
        <f t="shared" si="61"/>
        <v/>
      </c>
      <c r="AQ55" s="40" t="str">
        <f t="shared" si="62"/>
        <v/>
      </c>
      <c r="AR55" s="41" t="str">
        <f t="shared" si="63"/>
        <v/>
      </c>
      <c r="AS55" s="39" t="str">
        <f>IF(L55="","",ROUND(GEOMEAN((J55,P55,V55,AB55)),0))</f>
        <v/>
      </c>
      <c r="AT55" s="39" t="str">
        <f>IF(L55="","",ROUND(GEOMEAN((L55,R55,X55,AD55)),0))</f>
        <v/>
      </c>
      <c r="AU55" s="40" t="str">
        <f t="shared" si="64"/>
        <v/>
      </c>
      <c r="AV55" s="40" t="str">
        <f t="shared" si="65"/>
        <v/>
      </c>
      <c r="AW55" s="42">
        <f t="shared" si="66"/>
        <v>0</v>
      </c>
      <c r="AX55" s="42">
        <f t="shared" si="67"/>
        <v>0</v>
      </c>
      <c r="AY55" s="5"/>
      <c r="BC55" s="623"/>
      <c r="BD55" s="589"/>
      <c r="BE55" s="589"/>
      <c r="BF55" s="589"/>
      <c r="BG55" s="589"/>
      <c r="BH55" s="589"/>
      <c r="BI55" s="589"/>
      <c r="BJ55" s="624"/>
      <c r="BK55" s="629"/>
      <c r="BL55" s="623"/>
      <c r="BM55" s="624"/>
      <c r="CN55" s="7">
        <v>45</v>
      </c>
    </row>
    <row r="56" spans="1:92" s="7" customFormat="1" ht="14.65" customHeight="1">
      <c r="A56" s="6" t="str">
        <f t="shared" si="35"/>
        <v/>
      </c>
      <c r="B56" s="43"/>
      <c r="C56" s="6"/>
      <c r="D56" s="6"/>
      <c r="E56" s="43"/>
      <c r="F56" s="44"/>
      <c r="G56" s="22"/>
      <c r="H56" s="23"/>
      <c r="I56" s="47">
        <f t="shared" si="36"/>
        <v>0</v>
      </c>
      <c r="J56" s="47">
        <f t="shared" si="37"/>
        <v>0</v>
      </c>
      <c r="K56" s="58" t="str">
        <f t="shared" si="38"/>
        <v/>
      </c>
      <c r="L56" s="58" t="str">
        <f t="shared" si="39"/>
        <v/>
      </c>
      <c r="M56" s="24"/>
      <c r="N56" s="25"/>
      <c r="O56" s="26">
        <f t="shared" si="40"/>
        <v>0</v>
      </c>
      <c r="P56" s="26">
        <f t="shared" si="41"/>
        <v>0</v>
      </c>
      <c r="Q56" s="27" t="str">
        <f t="shared" si="42"/>
        <v/>
      </c>
      <c r="R56" s="27" t="str">
        <f t="shared" si="43"/>
        <v/>
      </c>
      <c r="S56" s="29"/>
      <c r="T56" s="30"/>
      <c r="U56" s="31">
        <f t="shared" si="44"/>
        <v>0</v>
      </c>
      <c r="V56" s="31">
        <f t="shared" si="45"/>
        <v>0</v>
      </c>
      <c r="W56" s="32" t="str">
        <f t="shared" si="46"/>
        <v/>
      </c>
      <c r="X56" s="32" t="str">
        <f t="shared" si="47"/>
        <v/>
      </c>
      <c r="Y56" s="24"/>
      <c r="Z56" s="24"/>
      <c r="AA56" s="25">
        <f t="shared" si="48"/>
        <v>0</v>
      </c>
      <c r="AB56" s="26">
        <f t="shared" si="49"/>
        <v>0</v>
      </c>
      <c r="AC56" s="26" t="str">
        <f t="shared" si="50"/>
        <v/>
      </c>
      <c r="AD56" s="27" t="str">
        <f t="shared" si="51"/>
        <v/>
      </c>
      <c r="AE56" s="39" t="str">
        <f t="shared" si="52"/>
        <v/>
      </c>
      <c r="AF56" s="39" t="str">
        <f t="shared" si="53"/>
        <v/>
      </c>
      <c r="AG56" s="40" t="str">
        <f t="shared" si="54"/>
        <v/>
      </c>
      <c r="AH56" s="41" t="str">
        <f t="shared" si="55"/>
        <v/>
      </c>
      <c r="AI56" s="39" t="str">
        <f>IF(B56="","",ROUND(GEOMEAN((J56,P56,V56)),0))</f>
        <v/>
      </c>
      <c r="AJ56" s="39" t="str">
        <f>IF(B56="","",ROUND(GEOMEAN((L56,R56,X56)),0))</f>
        <v/>
      </c>
      <c r="AK56" s="40" t="str">
        <f t="shared" si="56"/>
        <v/>
      </c>
      <c r="AL56" s="40" t="str">
        <f t="shared" si="57"/>
        <v/>
      </c>
      <c r="AM56" s="42" t="e">
        <f t="shared" si="58"/>
        <v>#DIV/0!</v>
      </c>
      <c r="AN56" s="42" t="e">
        <f t="shared" si="59"/>
        <v>#DIV/0!</v>
      </c>
      <c r="AO56" s="39" t="str">
        <f t="shared" si="60"/>
        <v/>
      </c>
      <c r="AP56" s="39" t="str">
        <f t="shared" si="61"/>
        <v/>
      </c>
      <c r="AQ56" s="40" t="str">
        <f t="shared" si="62"/>
        <v/>
      </c>
      <c r="AR56" s="41" t="str">
        <f t="shared" si="63"/>
        <v/>
      </c>
      <c r="AS56" s="39" t="str">
        <f>IF(L56="","",ROUND(GEOMEAN((J56,P56,V56,AB56)),0))</f>
        <v/>
      </c>
      <c r="AT56" s="39" t="str">
        <f>IF(L56="","",ROUND(GEOMEAN((L56,R56,X56,AD56)),0))</f>
        <v/>
      </c>
      <c r="AU56" s="40" t="str">
        <f t="shared" si="64"/>
        <v/>
      </c>
      <c r="AV56" s="40" t="str">
        <f t="shared" si="65"/>
        <v/>
      </c>
      <c r="AW56" s="42">
        <f t="shared" si="66"/>
        <v>0</v>
      </c>
      <c r="AX56" s="42">
        <f t="shared" si="67"/>
        <v>0</v>
      </c>
      <c r="AY56" s="5"/>
      <c r="BC56" s="623"/>
      <c r="BD56" s="589"/>
      <c r="BE56" s="589"/>
      <c r="BF56" s="589"/>
      <c r="BG56" s="589"/>
      <c r="BH56" s="589"/>
      <c r="BI56" s="589"/>
      <c r="BJ56" s="624"/>
      <c r="BK56" s="629"/>
      <c r="BL56" s="623"/>
      <c r="BM56" s="624"/>
      <c r="CN56" s="7">
        <v>46</v>
      </c>
    </row>
    <row r="57" spans="1:92" s="7" customFormat="1" ht="14.65" customHeight="1">
      <c r="A57" s="6" t="str">
        <f t="shared" si="35"/>
        <v/>
      </c>
      <c r="B57" s="43"/>
      <c r="C57" s="6"/>
      <c r="D57" s="6"/>
      <c r="E57" s="43"/>
      <c r="F57" s="44"/>
      <c r="G57" s="22"/>
      <c r="H57" s="23"/>
      <c r="I57" s="47">
        <f t="shared" si="36"/>
        <v>0</v>
      </c>
      <c r="J57" s="47">
        <f t="shared" si="37"/>
        <v>0</v>
      </c>
      <c r="K57" s="58" t="str">
        <f t="shared" si="38"/>
        <v/>
      </c>
      <c r="L57" s="58" t="str">
        <f t="shared" si="39"/>
        <v/>
      </c>
      <c r="M57" s="24"/>
      <c r="N57" s="25"/>
      <c r="O57" s="26">
        <f t="shared" si="40"/>
        <v>0</v>
      </c>
      <c r="P57" s="26">
        <f t="shared" si="41"/>
        <v>0</v>
      </c>
      <c r="Q57" s="27" t="str">
        <f t="shared" si="42"/>
        <v/>
      </c>
      <c r="R57" s="27" t="str">
        <f t="shared" si="43"/>
        <v/>
      </c>
      <c r="S57" s="29"/>
      <c r="T57" s="30"/>
      <c r="U57" s="31">
        <f t="shared" si="44"/>
        <v>0</v>
      </c>
      <c r="V57" s="31">
        <f t="shared" si="45"/>
        <v>0</v>
      </c>
      <c r="W57" s="32" t="str">
        <f t="shared" si="46"/>
        <v/>
      </c>
      <c r="X57" s="32" t="str">
        <f t="shared" si="47"/>
        <v/>
      </c>
      <c r="Y57" s="24"/>
      <c r="Z57" s="24"/>
      <c r="AA57" s="25">
        <f t="shared" si="48"/>
        <v>0</v>
      </c>
      <c r="AB57" s="26">
        <f t="shared" si="49"/>
        <v>0</v>
      </c>
      <c r="AC57" s="26" t="str">
        <f t="shared" si="50"/>
        <v/>
      </c>
      <c r="AD57" s="27" t="str">
        <f t="shared" si="51"/>
        <v/>
      </c>
      <c r="AE57" s="39" t="str">
        <f t="shared" si="52"/>
        <v/>
      </c>
      <c r="AF57" s="39" t="str">
        <f t="shared" si="53"/>
        <v/>
      </c>
      <c r="AG57" s="40" t="str">
        <f t="shared" si="54"/>
        <v/>
      </c>
      <c r="AH57" s="41" t="str">
        <f t="shared" si="55"/>
        <v/>
      </c>
      <c r="AI57" s="39" t="str">
        <f>IF(B57="","",ROUND(GEOMEAN((J57,P57,V57)),0))</f>
        <v/>
      </c>
      <c r="AJ57" s="39" t="str">
        <f>IF(B57="","",ROUND(GEOMEAN((L57,R57,X57)),0))</f>
        <v/>
      </c>
      <c r="AK57" s="40" t="str">
        <f t="shared" si="56"/>
        <v/>
      </c>
      <c r="AL57" s="40" t="str">
        <f t="shared" si="57"/>
        <v/>
      </c>
      <c r="AM57" s="42" t="e">
        <f t="shared" si="58"/>
        <v>#DIV/0!</v>
      </c>
      <c r="AN57" s="42" t="e">
        <f t="shared" si="59"/>
        <v>#DIV/0!</v>
      </c>
      <c r="AO57" s="39" t="str">
        <f t="shared" si="60"/>
        <v/>
      </c>
      <c r="AP57" s="39" t="str">
        <f t="shared" si="61"/>
        <v/>
      </c>
      <c r="AQ57" s="40" t="str">
        <f t="shared" si="62"/>
        <v/>
      </c>
      <c r="AR57" s="41" t="str">
        <f t="shared" si="63"/>
        <v/>
      </c>
      <c r="AS57" s="39" t="str">
        <f>IF(L57="","",ROUND(GEOMEAN((J57,P57,V57,AB57)),0))</f>
        <v/>
      </c>
      <c r="AT57" s="39" t="str">
        <f>IF(L57="","",ROUND(GEOMEAN((L57,R57,X57,AD57)),0))</f>
        <v/>
      </c>
      <c r="AU57" s="40" t="str">
        <f t="shared" si="64"/>
        <v/>
      </c>
      <c r="AV57" s="40" t="str">
        <f t="shared" si="65"/>
        <v/>
      </c>
      <c r="AW57" s="42">
        <f t="shared" si="66"/>
        <v>0</v>
      </c>
      <c r="AX57" s="42">
        <f t="shared" si="67"/>
        <v>0</v>
      </c>
      <c r="AY57" s="5"/>
      <c r="BC57" s="623"/>
      <c r="BD57" s="589"/>
      <c r="BE57" s="589"/>
      <c r="BF57" s="589"/>
      <c r="BG57" s="589"/>
      <c r="BH57" s="589"/>
      <c r="BI57" s="589"/>
      <c r="BJ57" s="624"/>
      <c r="BK57" s="629"/>
      <c r="BL57" s="623"/>
      <c r="BM57" s="624"/>
      <c r="CN57" s="7">
        <v>47</v>
      </c>
    </row>
    <row r="58" spans="1:92" s="7" customFormat="1" ht="14.65" customHeight="1">
      <c r="A58" s="6" t="str">
        <f t="shared" si="35"/>
        <v/>
      </c>
      <c r="B58" s="43"/>
      <c r="C58" s="6"/>
      <c r="D58" s="6"/>
      <c r="E58" s="43"/>
      <c r="F58" s="44"/>
      <c r="G58" s="22"/>
      <c r="H58" s="23"/>
      <c r="I58" s="47">
        <f t="shared" si="36"/>
        <v>0</v>
      </c>
      <c r="J58" s="47">
        <f t="shared" si="37"/>
        <v>0</v>
      </c>
      <c r="K58" s="58" t="str">
        <f t="shared" si="38"/>
        <v/>
      </c>
      <c r="L58" s="58" t="str">
        <f t="shared" si="39"/>
        <v/>
      </c>
      <c r="M58" s="24"/>
      <c r="N58" s="25"/>
      <c r="O58" s="26">
        <f t="shared" si="40"/>
        <v>0</v>
      </c>
      <c r="P58" s="26">
        <f t="shared" si="41"/>
        <v>0</v>
      </c>
      <c r="Q58" s="27" t="str">
        <f t="shared" si="42"/>
        <v/>
      </c>
      <c r="R58" s="27" t="str">
        <f t="shared" si="43"/>
        <v/>
      </c>
      <c r="S58" s="29"/>
      <c r="T58" s="30"/>
      <c r="U58" s="31">
        <f t="shared" si="44"/>
        <v>0</v>
      </c>
      <c r="V58" s="31">
        <f t="shared" si="45"/>
        <v>0</v>
      </c>
      <c r="W58" s="32" t="str">
        <f t="shared" si="46"/>
        <v/>
      </c>
      <c r="X58" s="32" t="str">
        <f t="shared" si="47"/>
        <v/>
      </c>
      <c r="Y58" s="24"/>
      <c r="Z58" s="24"/>
      <c r="AA58" s="25">
        <f t="shared" si="48"/>
        <v>0</v>
      </c>
      <c r="AB58" s="26">
        <f t="shared" si="49"/>
        <v>0</v>
      </c>
      <c r="AC58" s="26" t="str">
        <f t="shared" si="50"/>
        <v/>
      </c>
      <c r="AD58" s="27" t="str">
        <f t="shared" si="51"/>
        <v/>
      </c>
      <c r="AE58" s="39" t="str">
        <f t="shared" si="52"/>
        <v/>
      </c>
      <c r="AF58" s="39" t="str">
        <f t="shared" si="53"/>
        <v/>
      </c>
      <c r="AG58" s="40" t="str">
        <f t="shared" si="54"/>
        <v/>
      </c>
      <c r="AH58" s="41" t="str">
        <f t="shared" si="55"/>
        <v/>
      </c>
      <c r="AI58" s="39" t="str">
        <f>IF(B58="","",ROUND(GEOMEAN((J58,P58,V58)),0))</f>
        <v/>
      </c>
      <c r="AJ58" s="39" t="str">
        <f>IF(B58="","",ROUND(GEOMEAN((L58,R58,X58)),0))</f>
        <v/>
      </c>
      <c r="AK58" s="40" t="str">
        <f t="shared" si="56"/>
        <v/>
      </c>
      <c r="AL58" s="40" t="str">
        <f t="shared" si="57"/>
        <v/>
      </c>
      <c r="AM58" s="42" t="e">
        <f t="shared" si="58"/>
        <v>#DIV/0!</v>
      </c>
      <c r="AN58" s="42" t="e">
        <f t="shared" si="59"/>
        <v>#DIV/0!</v>
      </c>
      <c r="AO58" s="39" t="str">
        <f t="shared" si="60"/>
        <v/>
      </c>
      <c r="AP58" s="39" t="str">
        <f t="shared" si="61"/>
        <v/>
      </c>
      <c r="AQ58" s="40" t="str">
        <f t="shared" si="62"/>
        <v/>
      </c>
      <c r="AR58" s="41" t="str">
        <f t="shared" si="63"/>
        <v/>
      </c>
      <c r="AS58" s="39" t="str">
        <f>IF(L58="","",ROUND(GEOMEAN((J58,P58,V58,AB58)),0))</f>
        <v/>
      </c>
      <c r="AT58" s="39" t="str">
        <f>IF(L58="","",ROUND(GEOMEAN((L58,R58,X58,AD58)),0))</f>
        <v/>
      </c>
      <c r="AU58" s="40" t="str">
        <f t="shared" si="64"/>
        <v/>
      </c>
      <c r="AV58" s="40" t="str">
        <f t="shared" si="65"/>
        <v/>
      </c>
      <c r="AW58" s="42">
        <f t="shared" si="66"/>
        <v>0</v>
      </c>
      <c r="AX58" s="42">
        <f t="shared" si="67"/>
        <v>0</v>
      </c>
      <c r="AY58" s="5"/>
      <c r="BC58" s="623"/>
      <c r="BD58" s="589"/>
      <c r="BE58" s="589"/>
      <c r="BF58" s="589"/>
      <c r="BG58" s="589"/>
      <c r="BH58" s="589"/>
      <c r="BI58" s="589"/>
      <c r="BJ58" s="624"/>
      <c r="BK58" s="629"/>
      <c r="BL58" s="623"/>
      <c r="BM58" s="624"/>
      <c r="CN58" s="7">
        <v>48</v>
      </c>
    </row>
    <row r="59" spans="1:92" s="7" customFormat="1" ht="14.65" customHeight="1">
      <c r="A59" s="6" t="str">
        <f t="shared" si="35"/>
        <v/>
      </c>
      <c r="B59" s="43"/>
      <c r="C59" s="6"/>
      <c r="D59" s="6"/>
      <c r="E59" s="43"/>
      <c r="F59" s="44"/>
      <c r="G59" s="22"/>
      <c r="H59" s="23"/>
      <c r="I59" s="47">
        <f t="shared" si="36"/>
        <v>0</v>
      </c>
      <c r="J59" s="47">
        <f t="shared" si="37"/>
        <v>0</v>
      </c>
      <c r="K59" s="58" t="str">
        <f t="shared" si="38"/>
        <v/>
      </c>
      <c r="L59" s="58" t="str">
        <f t="shared" si="39"/>
        <v/>
      </c>
      <c r="M59" s="24"/>
      <c r="N59" s="25"/>
      <c r="O59" s="26">
        <f t="shared" si="40"/>
        <v>0</v>
      </c>
      <c r="P59" s="26">
        <f t="shared" si="41"/>
        <v>0</v>
      </c>
      <c r="Q59" s="27" t="str">
        <f t="shared" si="42"/>
        <v/>
      </c>
      <c r="R59" s="27" t="str">
        <f t="shared" si="43"/>
        <v/>
      </c>
      <c r="S59" s="29"/>
      <c r="T59" s="30"/>
      <c r="U59" s="31">
        <f t="shared" si="44"/>
        <v>0</v>
      </c>
      <c r="V59" s="31">
        <f t="shared" si="45"/>
        <v>0</v>
      </c>
      <c r="W59" s="32" t="str">
        <f t="shared" si="46"/>
        <v/>
      </c>
      <c r="X59" s="32" t="str">
        <f t="shared" si="47"/>
        <v/>
      </c>
      <c r="Y59" s="24"/>
      <c r="Z59" s="24"/>
      <c r="AA59" s="25">
        <f t="shared" si="48"/>
        <v>0</v>
      </c>
      <c r="AB59" s="26">
        <f t="shared" si="49"/>
        <v>0</v>
      </c>
      <c r="AC59" s="26" t="str">
        <f t="shared" si="50"/>
        <v/>
      </c>
      <c r="AD59" s="27" t="str">
        <f t="shared" si="51"/>
        <v/>
      </c>
      <c r="AE59" s="39" t="str">
        <f t="shared" si="52"/>
        <v/>
      </c>
      <c r="AF59" s="39" t="str">
        <f t="shared" si="53"/>
        <v/>
      </c>
      <c r="AG59" s="40" t="str">
        <f t="shared" si="54"/>
        <v/>
      </c>
      <c r="AH59" s="41" t="str">
        <f t="shared" si="55"/>
        <v/>
      </c>
      <c r="AI59" s="39" t="str">
        <f>IF(B59="","",ROUND(GEOMEAN((J59,P59,V59)),0))</f>
        <v/>
      </c>
      <c r="AJ59" s="39" t="str">
        <f>IF(B59="","",ROUND(GEOMEAN((L59,R59,X59)),0))</f>
        <v/>
      </c>
      <c r="AK59" s="40" t="str">
        <f t="shared" si="56"/>
        <v/>
      </c>
      <c r="AL59" s="40" t="str">
        <f t="shared" si="57"/>
        <v/>
      </c>
      <c r="AM59" s="42" t="e">
        <f t="shared" si="58"/>
        <v>#DIV/0!</v>
      </c>
      <c r="AN59" s="42" t="e">
        <f t="shared" si="59"/>
        <v>#DIV/0!</v>
      </c>
      <c r="AO59" s="39" t="str">
        <f t="shared" si="60"/>
        <v/>
      </c>
      <c r="AP59" s="39" t="str">
        <f t="shared" si="61"/>
        <v/>
      </c>
      <c r="AQ59" s="40" t="str">
        <f t="shared" si="62"/>
        <v/>
      </c>
      <c r="AR59" s="41" t="str">
        <f t="shared" si="63"/>
        <v/>
      </c>
      <c r="AS59" s="39" t="str">
        <f>IF(L59="","",ROUND(GEOMEAN((J59,P59,V59,AB59)),0))</f>
        <v/>
      </c>
      <c r="AT59" s="39" t="str">
        <f>IF(L59="","",ROUND(GEOMEAN((L59,R59,X59,AD59)),0))</f>
        <v/>
      </c>
      <c r="AU59" s="40" t="str">
        <f t="shared" si="64"/>
        <v/>
      </c>
      <c r="AV59" s="40" t="str">
        <f t="shared" si="65"/>
        <v/>
      </c>
      <c r="AW59" s="42">
        <f t="shared" si="66"/>
        <v>0</v>
      </c>
      <c r="AX59" s="42">
        <f t="shared" si="67"/>
        <v>0</v>
      </c>
      <c r="AY59" s="5"/>
      <c r="BC59" s="625"/>
      <c r="BD59" s="627"/>
      <c r="BE59" s="627"/>
      <c r="BF59" s="627"/>
      <c r="BG59" s="627"/>
      <c r="BH59" s="627"/>
      <c r="BI59" s="627"/>
      <c r="BJ59" s="626"/>
      <c r="BK59" s="630"/>
      <c r="BL59" s="625"/>
      <c r="BM59" s="626"/>
      <c r="CN59" s="7">
        <v>49</v>
      </c>
    </row>
    <row r="60" spans="1:92" s="7" customFormat="1">
      <c r="A60" s="6" t="str">
        <f t="shared" si="35"/>
        <v/>
      </c>
      <c r="B60" s="43"/>
      <c r="C60" s="6"/>
      <c r="D60" s="6"/>
      <c r="E60" s="43"/>
      <c r="F60" s="44"/>
      <c r="G60" s="22"/>
      <c r="H60" s="23"/>
      <c r="I60" s="47">
        <f t="shared" si="36"/>
        <v>0</v>
      </c>
      <c r="J60" s="47">
        <f t="shared" si="37"/>
        <v>0</v>
      </c>
      <c r="K60" s="58" t="str">
        <f t="shared" si="38"/>
        <v/>
      </c>
      <c r="L60" s="58" t="str">
        <f t="shared" si="39"/>
        <v/>
      </c>
      <c r="M60" s="24"/>
      <c r="N60" s="25"/>
      <c r="O60" s="26">
        <f t="shared" si="40"/>
        <v>0</v>
      </c>
      <c r="P60" s="26">
        <f t="shared" si="41"/>
        <v>0</v>
      </c>
      <c r="Q60" s="27" t="str">
        <f t="shared" si="42"/>
        <v/>
      </c>
      <c r="R60" s="27" t="str">
        <f t="shared" si="43"/>
        <v/>
      </c>
      <c r="S60" s="29"/>
      <c r="T60" s="30"/>
      <c r="U60" s="31">
        <f t="shared" si="44"/>
        <v>0</v>
      </c>
      <c r="V60" s="31">
        <f t="shared" si="45"/>
        <v>0</v>
      </c>
      <c r="W60" s="32" t="str">
        <f t="shared" si="46"/>
        <v/>
      </c>
      <c r="X60" s="32" t="str">
        <f t="shared" si="47"/>
        <v/>
      </c>
      <c r="Y60" s="24"/>
      <c r="Z60" s="24"/>
      <c r="AA60" s="25">
        <f t="shared" si="48"/>
        <v>0</v>
      </c>
      <c r="AB60" s="26">
        <f t="shared" si="49"/>
        <v>0</v>
      </c>
      <c r="AC60" s="26" t="str">
        <f t="shared" si="50"/>
        <v/>
      </c>
      <c r="AD60" s="27" t="str">
        <f t="shared" si="51"/>
        <v/>
      </c>
      <c r="AE60" s="39" t="str">
        <f t="shared" si="52"/>
        <v/>
      </c>
      <c r="AF60" s="39" t="str">
        <f t="shared" si="53"/>
        <v/>
      </c>
      <c r="AG60" s="40" t="str">
        <f t="shared" si="54"/>
        <v/>
      </c>
      <c r="AH60" s="41" t="str">
        <f t="shared" si="55"/>
        <v/>
      </c>
      <c r="AI60" s="39" t="str">
        <f>IF(B60="","",ROUND(GEOMEAN((J60,P60,V60)),0))</f>
        <v/>
      </c>
      <c r="AJ60" s="39" t="str">
        <f>IF(B60="","",ROUND(GEOMEAN((L60,R60,X60)),0))</f>
        <v/>
      </c>
      <c r="AK60" s="40" t="str">
        <f t="shared" si="56"/>
        <v/>
      </c>
      <c r="AL60" s="40" t="str">
        <f t="shared" si="57"/>
        <v/>
      </c>
      <c r="AM60" s="42" t="e">
        <f t="shared" si="58"/>
        <v>#DIV/0!</v>
      </c>
      <c r="AN60" s="42" t="e">
        <f t="shared" si="59"/>
        <v>#DIV/0!</v>
      </c>
      <c r="AO60" s="39" t="str">
        <f t="shared" si="60"/>
        <v/>
      </c>
      <c r="AP60" s="39" t="str">
        <f t="shared" si="61"/>
        <v/>
      </c>
      <c r="AQ60" s="40" t="str">
        <f t="shared" si="62"/>
        <v/>
      </c>
      <c r="AR60" s="41" t="str">
        <f t="shared" si="63"/>
        <v/>
      </c>
      <c r="AS60" s="39" t="str">
        <f>IF(L60="","",ROUND(GEOMEAN((J60,P60,V60,AB60)),0))</f>
        <v/>
      </c>
      <c r="AT60" s="39" t="str">
        <f>IF(L60="","",ROUND(GEOMEAN((L60,R60,X60,AD60)),0))</f>
        <v/>
      </c>
      <c r="AU60" s="40" t="str">
        <f t="shared" si="64"/>
        <v/>
      </c>
      <c r="AV60" s="40" t="str">
        <f t="shared" si="65"/>
        <v/>
      </c>
      <c r="AW60" s="42">
        <f t="shared" si="66"/>
        <v>0</v>
      </c>
      <c r="AX60" s="42">
        <f t="shared" si="67"/>
        <v>0</v>
      </c>
      <c r="AY60" s="5"/>
      <c r="CN60" s="7">
        <v>50</v>
      </c>
    </row>
    <row r="61" spans="1:92" s="7" customFormat="1">
      <c r="A61" s="6" t="str">
        <f t="shared" si="35"/>
        <v/>
      </c>
      <c r="B61" s="43"/>
      <c r="C61" s="6"/>
      <c r="D61" s="6"/>
      <c r="E61" s="43"/>
      <c r="F61" s="44"/>
      <c r="G61" s="22"/>
      <c r="H61" s="23"/>
      <c r="I61" s="47">
        <f t="shared" si="36"/>
        <v>0</v>
      </c>
      <c r="J61" s="47">
        <f t="shared" si="37"/>
        <v>0</v>
      </c>
      <c r="K61" s="58" t="str">
        <f t="shared" si="38"/>
        <v/>
      </c>
      <c r="L61" s="58" t="str">
        <f t="shared" si="39"/>
        <v/>
      </c>
      <c r="M61" s="24"/>
      <c r="N61" s="25"/>
      <c r="O61" s="26">
        <f t="shared" si="40"/>
        <v>0</v>
      </c>
      <c r="P61" s="26">
        <f t="shared" si="41"/>
        <v>0</v>
      </c>
      <c r="Q61" s="27" t="str">
        <f t="shared" si="42"/>
        <v/>
      </c>
      <c r="R61" s="27" t="str">
        <f t="shared" si="43"/>
        <v/>
      </c>
      <c r="S61" s="29"/>
      <c r="T61" s="30"/>
      <c r="U61" s="31">
        <f t="shared" si="44"/>
        <v>0</v>
      </c>
      <c r="V61" s="31">
        <f t="shared" si="45"/>
        <v>0</v>
      </c>
      <c r="W61" s="32" t="str">
        <f t="shared" si="46"/>
        <v/>
      </c>
      <c r="X61" s="32" t="str">
        <f t="shared" si="47"/>
        <v/>
      </c>
      <c r="Y61" s="24"/>
      <c r="Z61" s="24"/>
      <c r="AA61" s="25">
        <f t="shared" si="48"/>
        <v>0</v>
      </c>
      <c r="AB61" s="26">
        <f t="shared" si="49"/>
        <v>0</v>
      </c>
      <c r="AC61" s="26" t="str">
        <f t="shared" si="50"/>
        <v/>
      </c>
      <c r="AD61" s="27" t="str">
        <f t="shared" si="51"/>
        <v/>
      </c>
      <c r="AE61" s="39" t="str">
        <f t="shared" si="52"/>
        <v/>
      </c>
      <c r="AF61" s="39" t="str">
        <f t="shared" si="53"/>
        <v/>
      </c>
      <c r="AG61" s="40" t="str">
        <f t="shared" si="54"/>
        <v/>
      </c>
      <c r="AH61" s="41" t="str">
        <f t="shared" si="55"/>
        <v/>
      </c>
      <c r="AI61" s="39" t="str">
        <f>IF(B61="","",ROUND(GEOMEAN((J61,P61,V61)),0))</f>
        <v/>
      </c>
      <c r="AJ61" s="39" t="str">
        <f>IF(B61="","",ROUND(GEOMEAN((L61,R61,X61)),0))</f>
        <v/>
      </c>
      <c r="AK61" s="40" t="str">
        <f t="shared" si="56"/>
        <v/>
      </c>
      <c r="AL61" s="40" t="str">
        <f t="shared" si="57"/>
        <v/>
      </c>
      <c r="AM61" s="42" t="e">
        <f t="shared" si="58"/>
        <v>#DIV/0!</v>
      </c>
      <c r="AN61" s="42" t="e">
        <f t="shared" si="59"/>
        <v>#DIV/0!</v>
      </c>
      <c r="AO61" s="39" t="str">
        <f t="shared" si="60"/>
        <v/>
      </c>
      <c r="AP61" s="39" t="str">
        <f t="shared" si="61"/>
        <v/>
      </c>
      <c r="AQ61" s="40" t="str">
        <f t="shared" si="62"/>
        <v/>
      </c>
      <c r="AR61" s="41" t="str">
        <f t="shared" si="63"/>
        <v/>
      </c>
      <c r="AS61" s="39" t="str">
        <f>IF(L61="","",ROUND(GEOMEAN((J61,P61,V61,AB61)),0))</f>
        <v/>
      </c>
      <c r="AT61" s="39" t="str">
        <f>IF(L61="","",ROUND(GEOMEAN((L61,R61,X61,AD61)),0))</f>
        <v/>
      </c>
      <c r="AU61" s="40" t="str">
        <f t="shared" si="64"/>
        <v/>
      </c>
      <c r="AV61" s="40" t="str">
        <f t="shared" si="65"/>
        <v/>
      </c>
      <c r="AW61" s="42">
        <f t="shared" si="66"/>
        <v>0</v>
      </c>
      <c r="AX61" s="42">
        <f t="shared" si="67"/>
        <v>0</v>
      </c>
      <c r="AY61" s="5"/>
      <c r="CN61" s="7">
        <v>51</v>
      </c>
    </row>
    <row r="62" spans="1:92" s="7" customFormat="1">
      <c r="A62" s="6" t="str">
        <f t="shared" si="35"/>
        <v/>
      </c>
      <c r="B62" s="43"/>
      <c r="C62" s="6"/>
      <c r="D62" s="6"/>
      <c r="E62" s="43"/>
      <c r="F62" s="44"/>
      <c r="G62" s="22"/>
      <c r="H62" s="23"/>
      <c r="I62" s="47">
        <f t="shared" si="36"/>
        <v>0</v>
      </c>
      <c r="J62" s="47">
        <f t="shared" si="37"/>
        <v>0</v>
      </c>
      <c r="K62" s="58" t="str">
        <f t="shared" si="38"/>
        <v/>
      </c>
      <c r="L62" s="58" t="str">
        <f t="shared" si="39"/>
        <v/>
      </c>
      <c r="M62" s="24"/>
      <c r="N62" s="25"/>
      <c r="O62" s="26">
        <f t="shared" si="40"/>
        <v>0</v>
      </c>
      <c r="P62" s="26">
        <f t="shared" si="41"/>
        <v>0</v>
      </c>
      <c r="Q62" s="27" t="str">
        <f t="shared" si="42"/>
        <v/>
      </c>
      <c r="R62" s="27" t="str">
        <f t="shared" si="43"/>
        <v/>
      </c>
      <c r="S62" s="29"/>
      <c r="T62" s="30"/>
      <c r="U62" s="31">
        <f t="shared" si="44"/>
        <v>0</v>
      </c>
      <c r="V62" s="31">
        <f t="shared" si="45"/>
        <v>0</v>
      </c>
      <c r="W62" s="32" t="str">
        <f t="shared" si="46"/>
        <v/>
      </c>
      <c r="X62" s="32" t="str">
        <f t="shared" si="47"/>
        <v/>
      </c>
      <c r="Y62" s="24"/>
      <c r="Z62" s="24"/>
      <c r="AA62" s="25">
        <f t="shared" si="48"/>
        <v>0</v>
      </c>
      <c r="AB62" s="26">
        <f t="shared" si="49"/>
        <v>0</v>
      </c>
      <c r="AC62" s="26" t="str">
        <f t="shared" si="50"/>
        <v/>
      </c>
      <c r="AD62" s="27" t="str">
        <f t="shared" si="51"/>
        <v/>
      </c>
      <c r="AE62" s="39" t="str">
        <f t="shared" si="52"/>
        <v/>
      </c>
      <c r="AF62" s="39" t="str">
        <f t="shared" si="53"/>
        <v/>
      </c>
      <c r="AG62" s="40" t="str">
        <f t="shared" si="54"/>
        <v/>
      </c>
      <c r="AH62" s="41" t="str">
        <f t="shared" si="55"/>
        <v/>
      </c>
      <c r="AI62" s="39" t="str">
        <f>IF(B62="","",ROUND(GEOMEAN((J62,P62,V62)),0))</f>
        <v/>
      </c>
      <c r="AJ62" s="39" t="str">
        <f>IF(B62="","",ROUND(GEOMEAN((L62,R62,X62)),0))</f>
        <v/>
      </c>
      <c r="AK62" s="40" t="str">
        <f t="shared" si="56"/>
        <v/>
      </c>
      <c r="AL62" s="40" t="str">
        <f t="shared" si="57"/>
        <v/>
      </c>
      <c r="AM62" s="42" t="e">
        <f t="shared" si="58"/>
        <v>#DIV/0!</v>
      </c>
      <c r="AN62" s="42" t="e">
        <f t="shared" si="59"/>
        <v>#DIV/0!</v>
      </c>
      <c r="AO62" s="39" t="str">
        <f t="shared" si="60"/>
        <v/>
      </c>
      <c r="AP62" s="39" t="str">
        <f t="shared" si="61"/>
        <v/>
      </c>
      <c r="AQ62" s="40" t="str">
        <f t="shared" si="62"/>
        <v/>
      </c>
      <c r="AR62" s="41" t="str">
        <f t="shared" si="63"/>
        <v/>
      </c>
      <c r="AS62" s="39" t="str">
        <f>IF(L62="","",ROUND(GEOMEAN((J62,P62,V62,AB62)),0))</f>
        <v/>
      </c>
      <c r="AT62" s="39" t="str">
        <f>IF(L62="","",ROUND(GEOMEAN((L62,R62,X62,AD62)),0))</f>
        <v/>
      </c>
      <c r="AU62" s="40" t="str">
        <f t="shared" si="64"/>
        <v/>
      </c>
      <c r="AV62" s="40" t="str">
        <f t="shared" si="65"/>
        <v/>
      </c>
      <c r="AW62" s="42">
        <f t="shared" si="66"/>
        <v>0</v>
      </c>
      <c r="AX62" s="42">
        <f t="shared" si="67"/>
        <v>0</v>
      </c>
      <c r="AY62" s="5"/>
      <c r="CN62" s="7">
        <v>52</v>
      </c>
    </row>
    <row r="63" spans="1:92" s="7" customFormat="1">
      <c r="A63" s="6" t="str">
        <f t="shared" si="35"/>
        <v/>
      </c>
      <c r="B63" s="43"/>
      <c r="C63" s="6"/>
      <c r="D63" s="6"/>
      <c r="E63" s="43"/>
      <c r="F63" s="44"/>
      <c r="G63" s="22"/>
      <c r="H63" s="23"/>
      <c r="I63" s="47">
        <f t="shared" si="36"/>
        <v>0</v>
      </c>
      <c r="J63" s="47">
        <f t="shared" si="37"/>
        <v>0</v>
      </c>
      <c r="K63" s="58" t="str">
        <f t="shared" si="38"/>
        <v/>
      </c>
      <c r="L63" s="58" t="str">
        <f t="shared" si="39"/>
        <v/>
      </c>
      <c r="M63" s="24"/>
      <c r="N63" s="25"/>
      <c r="O63" s="26">
        <f t="shared" si="40"/>
        <v>0</v>
      </c>
      <c r="P63" s="26">
        <f t="shared" si="41"/>
        <v>0</v>
      </c>
      <c r="Q63" s="27" t="str">
        <f t="shared" si="42"/>
        <v/>
      </c>
      <c r="R63" s="27" t="str">
        <f t="shared" si="43"/>
        <v/>
      </c>
      <c r="S63" s="29"/>
      <c r="T63" s="30"/>
      <c r="U63" s="31">
        <f t="shared" si="44"/>
        <v>0</v>
      </c>
      <c r="V63" s="31">
        <f t="shared" si="45"/>
        <v>0</v>
      </c>
      <c r="W63" s="32" t="str">
        <f t="shared" si="46"/>
        <v/>
      </c>
      <c r="X63" s="32" t="str">
        <f t="shared" si="47"/>
        <v/>
      </c>
      <c r="Y63" s="24"/>
      <c r="Z63" s="24"/>
      <c r="AA63" s="25">
        <f t="shared" si="48"/>
        <v>0</v>
      </c>
      <c r="AB63" s="26">
        <f t="shared" si="49"/>
        <v>0</v>
      </c>
      <c r="AC63" s="26" t="str">
        <f t="shared" si="50"/>
        <v/>
      </c>
      <c r="AD63" s="27" t="str">
        <f t="shared" si="51"/>
        <v/>
      </c>
      <c r="AE63" s="39" t="str">
        <f t="shared" si="52"/>
        <v/>
      </c>
      <c r="AF63" s="39" t="str">
        <f t="shared" si="53"/>
        <v/>
      </c>
      <c r="AG63" s="40" t="str">
        <f t="shared" si="54"/>
        <v/>
      </c>
      <c r="AH63" s="41" t="str">
        <f t="shared" si="55"/>
        <v/>
      </c>
      <c r="AI63" s="39" t="str">
        <f>IF(B63="","",ROUND(GEOMEAN((J63,P63,V63)),0))</f>
        <v/>
      </c>
      <c r="AJ63" s="39" t="str">
        <f>IF(B63="","",ROUND(GEOMEAN((L63,R63,X63)),0))</f>
        <v/>
      </c>
      <c r="AK63" s="40" t="str">
        <f t="shared" si="56"/>
        <v/>
      </c>
      <c r="AL63" s="40" t="str">
        <f t="shared" si="57"/>
        <v/>
      </c>
      <c r="AM63" s="42" t="e">
        <f t="shared" si="58"/>
        <v>#DIV/0!</v>
      </c>
      <c r="AN63" s="42" t="e">
        <f t="shared" si="59"/>
        <v>#DIV/0!</v>
      </c>
      <c r="AO63" s="39" t="str">
        <f t="shared" si="60"/>
        <v/>
      </c>
      <c r="AP63" s="39" t="str">
        <f t="shared" si="61"/>
        <v/>
      </c>
      <c r="AQ63" s="40" t="str">
        <f t="shared" si="62"/>
        <v/>
      </c>
      <c r="AR63" s="41" t="str">
        <f t="shared" si="63"/>
        <v/>
      </c>
      <c r="AS63" s="39" t="str">
        <f>IF(L63="","",ROUND(GEOMEAN((J63,P63,V63,AB63)),0))</f>
        <v/>
      </c>
      <c r="AT63" s="39" t="str">
        <f>IF(L63="","",ROUND(GEOMEAN((L63,R63,X63,AD63)),0))</f>
        <v/>
      </c>
      <c r="AU63" s="40" t="str">
        <f t="shared" si="64"/>
        <v/>
      </c>
      <c r="AV63" s="40" t="str">
        <f t="shared" si="65"/>
        <v/>
      </c>
      <c r="AW63" s="42">
        <f t="shared" si="66"/>
        <v>0</v>
      </c>
      <c r="AX63" s="42">
        <f t="shared" si="67"/>
        <v>0</v>
      </c>
      <c r="AY63" s="5"/>
      <c r="CN63" s="7">
        <v>53</v>
      </c>
    </row>
    <row r="64" spans="1:92" s="7" customFormat="1">
      <c r="A64" s="6" t="str">
        <f t="shared" si="35"/>
        <v/>
      </c>
      <c r="B64" s="43"/>
      <c r="C64" s="6"/>
      <c r="D64" s="6"/>
      <c r="E64" s="43"/>
      <c r="F64" s="44"/>
      <c r="G64" s="22"/>
      <c r="H64" s="23"/>
      <c r="I64" s="47">
        <f t="shared" si="36"/>
        <v>0</v>
      </c>
      <c r="J64" s="47">
        <f t="shared" si="37"/>
        <v>0</v>
      </c>
      <c r="K64" s="58" t="str">
        <f t="shared" si="38"/>
        <v/>
      </c>
      <c r="L64" s="58" t="str">
        <f t="shared" si="39"/>
        <v/>
      </c>
      <c r="M64" s="24"/>
      <c r="N64" s="25"/>
      <c r="O64" s="26">
        <f t="shared" si="40"/>
        <v>0</v>
      </c>
      <c r="P64" s="26">
        <f t="shared" si="41"/>
        <v>0</v>
      </c>
      <c r="Q64" s="27" t="str">
        <f t="shared" si="42"/>
        <v/>
      </c>
      <c r="R64" s="27" t="str">
        <f t="shared" si="43"/>
        <v/>
      </c>
      <c r="S64" s="29"/>
      <c r="T64" s="30"/>
      <c r="U64" s="31">
        <f t="shared" si="44"/>
        <v>0</v>
      </c>
      <c r="V64" s="31">
        <f t="shared" si="45"/>
        <v>0</v>
      </c>
      <c r="W64" s="32" t="str">
        <f t="shared" si="46"/>
        <v/>
      </c>
      <c r="X64" s="32" t="str">
        <f t="shared" si="47"/>
        <v/>
      </c>
      <c r="Y64" s="24"/>
      <c r="Z64" s="24"/>
      <c r="AA64" s="25">
        <f t="shared" si="48"/>
        <v>0</v>
      </c>
      <c r="AB64" s="26">
        <f t="shared" si="49"/>
        <v>0</v>
      </c>
      <c r="AC64" s="26" t="str">
        <f t="shared" si="50"/>
        <v/>
      </c>
      <c r="AD64" s="27" t="str">
        <f t="shared" si="51"/>
        <v/>
      </c>
      <c r="AE64" s="39" t="str">
        <f t="shared" si="52"/>
        <v/>
      </c>
      <c r="AF64" s="39" t="str">
        <f t="shared" si="53"/>
        <v/>
      </c>
      <c r="AG64" s="40" t="str">
        <f t="shared" si="54"/>
        <v/>
      </c>
      <c r="AH64" s="41" t="str">
        <f t="shared" si="55"/>
        <v/>
      </c>
      <c r="AI64" s="39" t="str">
        <f>IF(B64="","",ROUND(GEOMEAN((J64,P64,V64)),0))</f>
        <v/>
      </c>
      <c r="AJ64" s="39" t="str">
        <f>IF(B64="","",ROUND(GEOMEAN((L64,R64,X64)),0))</f>
        <v/>
      </c>
      <c r="AK64" s="40" t="str">
        <f t="shared" si="56"/>
        <v/>
      </c>
      <c r="AL64" s="40" t="str">
        <f t="shared" si="57"/>
        <v/>
      </c>
      <c r="AM64" s="42" t="e">
        <f t="shared" si="58"/>
        <v>#DIV/0!</v>
      </c>
      <c r="AN64" s="42" t="e">
        <f t="shared" si="59"/>
        <v>#DIV/0!</v>
      </c>
      <c r="AO64" s="39" t="str">
        <f t="shared" si="60"/>
        <v/>
      </c>
      <c r="AP64" s="39" t="str">
        <f t="shared" si="61"/>
        <v/>
      </c>
      <c r="AQ64" s="40" t="str">
        <f t="shared" si="62"/>
        <v/>
      </c>
      <c r="AR64" s="41" t="str">
        <f t="shared" si="63"/>
        <v/>
      </c>
      <c r="AS64" s="39" t="str">
        <f>IF(L64="","",ROUND(GEOMEAN((J64,P64,V64,AB64)),0))</f>
        <v/>
      </c>
      <c r="AT64" s="39" t="str">
        <f>IF(L64="","",ROUND(GEOMEAN((L64,R64,X64,AD64)),0))</f>
        <v/>
      </c>
      <c r="AU64" s="40" t="str">
        <f t="shared" si="64"/>
        <v/>
      </c>
      <c r="AV64" s="40" t="str">
        <f t="shared" si="65"/>
        <v/>
      </c>
      <c r="AW64" s="42">
        <f t="shared" si="66"/>
        <v>0</v>
      </c>
      <c r="AX64" s="42">
        <f t="shared" si="67"/>
        <v>0</v>
      </c>
      <c r="AY64" s="5"/>
      <c r="CN64" s="7">
        <v>54</v>
      </c>
    </row>
    <row r="65" spans="1:92" s="7" customFormat="1">
      <c r="A65" s="6" t="str">
        <f t="shared" si="35"/>
        <v/>
      </c>
      <c r="B65" s="43"/>
      <c r="C65" s="6"/>
      <c r="D65" s="6"/>
      <c r="E65" s="43"/>
      <c r="F65" s="44"/>
      <c r="G65" s="22"/>
      <c r="H65" s="23"/>
      <c r="I65" s="47">
        <f t="shared" si="36"/>
        <v>0</v>
      </c>
      <c r="J65" s="47">
        <f t="shared" si="37"/>
        <v>0</v>
      </c>
      <c r="K65" s="58" t="str">
        <f t="shared" si="38"/>
        <v/>
      </c>
      <c r="L65" s="58" t="str">
        <f t="shared" si="39"/>
        <v/>
      </c>
      <c r="M65" s="24"/>
      <c r="N65" s="25"/>
      <c r="O65" s="26">
        <f t="shared" si="40"/>
        <v>0</v>
      </c>
      <c r="P65" s="26">
        <f t="shared" si="41"/>
        <v>0</v>
      </c>
      <c r="Q65" s="27" t="str">
        <f t="shared" si="42"/>
        <v/>
      </c>
      <c r="R65" s="27" t="str">
        <f t="shared" si="43"/>
        <v/>
      </c>
      <c r="S65" s="29"/>
      <c r="T65" s="30"/>
      <c r="U65" s="31">
        <f t="shared" si="44"/>
        <v>0</v>
      </c>
      <c r="V65" s="31">
        <f t="shared" si="45"/>
        <v>0</v>
      </c>
      <c r="W65" s="32" t="str">
        <f t="shared" si="46"/>
        <v/>
      </c>
      <c r="X65" s="32" t="str">
        <f t="shared" si="47"/>
        <v/>
      </c>
      <c r="Y65" s="24"/>
      <c r="Z65" s="24"/>
      <c r="AA65" s="25">
        <f t="shared" si="48"/>
        <v>0</v>
      </c>
      <c r="AB65" s="26">
        <f t="shared" si="49"/>
        <v>0</v>
      </c>
      <c r="AC65" s="26" t="str">
        <f t="shared" si="50"/>
        <v/>
      </c>
      <c r="AD65" s="27" t="str">
        <f t="shared" si="51"/>
        <v/>
      </c>
      <c r="AE65" s="39" t="str">
        <f t="shared" si="52"/>
        <v/>
      </c>
      <c r="AF65" s="39" t="str">
        <f t="shared" si="53"/>
        <v/>
      </c>
      <c r="AG65" s="40" t="str">
        <f t="shared" si="54"/>
        <v/>
      </c>
      <c r="AH65" s="41" t="str">
        <f t="shared" si="55"/>
        <v/>
      </c>
      <c r="AI65" s="39" t="str">
        <f>IF(B65="","",ROUND(GEOMEAN((J65,P65,V65)),0))</f>
        <v/>
      </c>
      <c r="AJ65" s="39" t="str">
        <f>IF(B65="","",ROUND(GEOMEAN((L65,R65,X65)),0))</f>
        <v/>
      </c>
      <c r="AK65" s="40" t="str">
        <f t="shared" si="56"/>
        <v/>
      </c>
      <c r="AL65" s="40" t="str">
        <f t="shared" si="57"/>
        <v/>
      </c>
      <c r="AM65" s="42" t="e">
        <f t="shared" si="58"/>
        <v>#DIV/0!</v>
      </c>
      <c r="AN65" s="42" t="e">
        <f t="shared" si="59"/>
        <v>#DIV/0!</v>
      </c>
      <c r="AO65" s="39" t="str">
        <f t="shared" si="60"/>
        <v/>
      </c>
      <c r="AP65" s="39" t="str">
        <f t="shared" si="61"/>
        <v/>
      </c>
      <c r="AQ65" s="40" t="str">
        <f t="shared" si="62"/>
        <v/>
      </c>
      <c r="AR65" s="41" t="str">
        <f t="shared" si="63"/>
        <v/>
      </c>
      <c r="AS65" s="39" t="str">
        <f>IF(L65="","",ROUND(GEOMEAN((J65,P65,V65,AB65)),0))</f>
        <v/>
      </c>
      <c r="AT65" s="39" t="str">
        <f>IF(L65="","",ROUND(GEOMEAN((L65,R65,X65,AD65)),0))</f>
        <v/>
      </c>
      <c r="AU65" s="40" t="str">
        <f t="shared" si="64"/>
        <v/>
      </c>
      <c r="AV65" s="40" t="str">
        <f t="shared" si="65"/>
        <v/>
      </c>
      <c r="AW65" s="42">
        <f t="shared" si="66"/>
        <v>0</v>
      </c>
      <c r="AX65" s="42">
        <f t="shared" si="67"/>
        <v>0</v>
      </c>
      <c r="AY65" s="5"/>
      <c r="CN65" s="7">
        <v>55</v>
      </c>
    </row>
    <row r="66" spans="1:92" s="7" customFormat="1">
      <c r="A66" s="6" t="str">
        <f t="shared" si="35"/>
        <v/>
      </c>
      <c r="B66" s="43"/>
      <c r="C66" s="6"/>
      <c r="D66" s="6"/>
      <c r="E66" s="43"/>
      <c r="F66" s="44"/>
      <c r="G66" s="22"/>
      <c r="H66" s="23"/>
      <c r="I66" s="47">
        <f t="shared" si="36"/>
        <v>0</v>
      </c>
      <c r="J66" s="47">
        <f t="shared" si="37"/>
        <v>0</v>
      </c>
      <c r="K66" s="58" t="str">
        <f t="shared" si="38"/>
        <v/>
      </c>
      <c r="L66" s="58" t="str">
        <f t="shared" si="39"/>
        <v/>
      </c>
      <c r="M66" s="24"/>
      <c r="N66" s="25"/>
      <c r="O66" s="26">
        <f t="shared" si="40"/>
        <v>0</v>
      </c>
      <c r="P66" s="26">
        <f t="shared" si="41"/>
        <v>0</v>
      </c>
      <c r="Q66" s="27" t="str">
        <f t="shared" si="42"/>
        <v/>
      </c>
      <c r="R66" s="27" t="str">
        <f t="shared" si="43"/>
        <v/>
      </c>
      <c r="S66" s="29"/>
      <c r="T66" s="30"/>
      <c r="U66" s="31">
        <f t="shared" si="44"/>
        <v>0</v>
      </c>
      <c r="V66" s="31">
        <f t="shared" si="45"/>
        <v>0</v>
      </c>
      <c r="W66" s="32" t="str">
        <f t="shared" si="46"/>
        <v/>
      </c>
      <c r="X66" s="32" t="str">
        <f t="shared" si="47"/>
        <v/>
      </c>
      <c r="Y66" s="24"/>
      <c r="Z66" s="24"/>
      <c r="AA66" s="25">
        <f t="shared" si="48"/>
        <v>0</v>
      </c>
      <c r="AB66" s="26">
        <f t="shared" si="49"/>
        <v>0</v>
      </c>
      <c r="AC66" s="26" t="str">
        <f t="shared" si="50"/>
        <v/>
      </c>
      <c r="AD66" s="27" t="str">
        <f t="shared" si="51"/>
        <v/>
      </c>
      <c r="AE66" s="39" t="str">
        <f t="shared" si="52"/>
        <v/>
      </c>
      <c r="AF66" s="39" t="str">
        <f t="shared" si="53"/>
        <v/>
      </c>
      <c r="AG66" s="40" t="str">
        <f t="shared" si="54"/>
        <v/>
      </c>
      <c r="AH66" s="41" t="str">
        <f t="shared" si="55"/>
        <v/>
      </c>
      <c r="AI66" s="39" t="str">
        <f>IF(B66="","",ROUND(GEOMEAN((J66,P66,V66)),0))</f>
        <v/>
      </c>
      <c r="AJ66" s="39" t="str">
        <f>IF(B66="","",ROUND(GEOMEAN((L66,R66,X66)),0))</f>
        <v/>
      </c>
      <c r="AK66" s="40" t="str">
        <f t="shared" si="56"/>
        <v/>
      </c>
      <c r="AL66" s="40" t="str">
        <f t="shared" si="57"/>
        <v/>
      </c>
      <c r="AM66" s="42" t="e">
        <f t="shared" si="58"/>
        <v>#DIV/0!</v>
      </c>
      <c r="AN66" s="42" t="e">
        <f t="shared" si="59"/>
        <v>#DIV/0!</v>
      </c>
      <c r="AO66" s="39" t="str">
        <f t="shared" si="60"/>
        <v/>
      </c>
      <c r="AP66" s="39" t="str">
        <f t="shared" si="61"/>
        <v/>
      </c>
      <c r="AQ66" s="40" t="str">
        <f t="shared" si="62"/>
        <v/>
      </c>
      <c r="AR66" s="41" t="str">
        <f t="shared" si="63"/>
        <v/>
      </c>
      <c r="AS66" s="39" t="str">
        <f>IF(L66="","",ROUND(GEOMEAN((J66,P66,V66,AB66)),0))</f>
        <v/>
      </c>
      <c r="AT66" s="39" t="str">
        <f>IF(L66="","",ROUND(GEOMEAN((L66,R66,X66,AD66)),0))</f>
        <v/>
      </c>
      <c r="AU66" s="40" t="str">
        <f t="shared" si="64"/>
        <v/>
      </c>
      <c r="AV66" s="40" t="str">
        <f t="shared" si="65"/>
        <v/>
      </c>
      <c r="AW66" s="42">
        <f t="shared" si="66"/>
        <v>0</v>
      </c>
      <c r="AX66" s="42">
        <f t="shared" si="67"/>
        <v>0</v>
      </c>
      <c r="AY66" s="5"/>
      <c r="CN66" s="7">
        <v>56</v>
      </c>
    </row>
    <row r="67" spans="1:92" s="7" customFormat="1">
      <c r="A67" s="6" t="str">
        <f t="shared" si="35"/>
        <v/>
      </c>
      <c r="B67" s="43"/>
      <c r="C67" s="6"/>
      <c r="D67" s="6"/>
      <c r="E67" s="43"/>
      <c r="F67" s="44"/>
      <c r="G67" s="22"/>
      <c r="H67" s="23"/>
      <c r="I67" s="47">
        <f t="shared" si="36"/>
        <v>0</v>
      </c>
      <c r="J67" s="47">
        <f t="shared" si="37"/>
        <v>0</v>
      </c>
      <c r="K67" s="58" t="str">
        <f t="shared" si="38"/>
        <v/>
      </c>
      <c r="L67" s="58" t="str">
        <f t="shared" si="39"/>
        <v/>
      </c>
      <c r="M67" s="24"/>
      <c r="N67" s="25"/>
      <c r="O67" s="26">
        <f t="shared" si="40"/>
        <v>0</v>
      </c>
      <c r="P67" s="26">
        <f t="shared" si="41"/>
        <v>0</v>
      </c>
      <c r="Q67" s="27" t="str">
        <f t="shared" si="42"/>
        <v/>
      </c>
      <c r="R67" s="27" t="str">
        <f t="shared" si="43"/>
        <v/>
      </c>
      <c r="S67" s="29"/>
      <c r="T67" s="30"/>
      <c r="U67" s="31">
        <f t="shared" si="44"/>
        <v>0</v>
      </c>
      <c r="V67" s="31">
        <f t="shared" si="45"/>
        <v>0</v>
      </c>
      <c r="W67" s="32" t="str">
        <f t="shared" si="46"/>
        <v/>
      </c>
      <c r="X67" s="32" t="str">
        <f t="shared" si="47"/>
        <v/>
      </c>
      <c r="Y67" s="24"/>
      <c r="Z67" s="24"/>
      <c r="AA67" s="25">
        <f t="shared" si="48"/>
        <v>0</v>
      </c>
      <c r="AB67" s="26">
        <f t="shared" si="49"/>
        <v>0</v>
      </c>
      <c r="AC67" s="26" t="str">
        <f t="shared" si="50"/>
        <v/>
      </c>
      <c r="AD67" s="27" t="str">
        <f t="shared" si="51"/>
        <v/>
      </c>
      <c r="AE67" s="39" t="str">
        <f t="shared" si="52"/>
        <v/>
      </c>
      <c r="AF67" s="39" t="str">
        <f t="shared" si="53"/>
        <v/>
      </c>
      <c r="AG67" s="40" t="str">
        <f t="shared" si="54"/>
        <v/>
      </c>
      <c r="AH67" s="41" t="str">
        <f t="shared" si="55"/>
        <v/>
      </c>
      <c r="AI67" s="39" t="str">
        <f>IF(B67="","",ROUND(GEOMEAN((J67,P67,V67)),0))</f>
        <v/>
      </c>
      <c r="AJ67" s="39" t="str">
        <f>IF(B67="","",ROUND(GEOMEAN((L67,R67,X67)),0))</f>
        <v/>
      </c>
      <c r="AK67" s="40" t="str">
        <f t="shared" si="56"/>
        <v/>
      </c>
      <c r="AL67" s="40" t="str">
        <f t="shared" si="57"/>
        <v/>
      </c>
      <c r="AM67" s="42" t="e">
        <f t="shared" si="58"/>
        <v>#DIV/0!</v>
      </c>
      <c r="AN67" s="42" t="e">
        <f t="shared" si="59"/>
        <v>#DIV/0!</v>
      </c>
      <c r="AO67" s="39" t="str">
        <f t="shared" si="60"/>
        <v/>
      </c>
      <c r="AP67" s="39" t="str">
        <f t="shared" si="61"/>
        <v/>
      </c>
      <c r="AQ67" s="40" t="str">
        <f t="shared" si="62"/>
        <v/>
      </c>
      <c r="AR67" s="41" t="str">
        <f t="shared" si="63"/>
        <v/>
      </c>
      <c r="AS67" s="39" t="str">
        <f>IF(L67="","",ROUND(GEOMEAN((J67,P67,V67,AB67)),0))</f>
        <v/>
      </c>
      <c r="AT67" s="39" t="str">
        <f>IF(L67="","",ROUND(GEOMEAN((L67,R67,X67,AD67)),0))</f>
        <v/>
      </c>
      <c r="AU67" s="40" t="str">
        <f t="shared" si="64"/>
        <v/>
      </c>
      <c r="AV67" s="40" t="str">
        <f t="shared" si="65"/>
        <v/>
      </c>
      <c r="AW67" s="42">
        <f t="shared" si="66"/>
        <v>0</v>
      </c>
      <c r="AX67" s="42">
        <f t="shared" si="67"/>
        <v>0</v>
      </c>
      <c r="AY67" s="5"/>
      <c r="CN67" s="7">
        <v>57</v>
      </c>
    </row>
    <row r="68" spans="1:92" s="7" customFormat="1" ht="14.65" customHeight="1">
      <c r="A68" s="6" t="str">
        <f t="shared" si="35"/>
        <v/>
      </c>
      <c r="B68" s="43"/>
      <c r="C68" s="6"/>
      <c r="D68" s="6"/>
      <c r="E68" s="43"/>
      <c r="F68" s="44"/>
      <c r="G68" s="22"/>
      <c r="H68" s="23"/>
      <c r="I68" s="47">
        <f t="shared" si="36"/>
        <v>0</v>
      </c>
      <c r="J68" s="47">
        <f t="shared" si="37"/>
        <v>0</v>
      </c>
      <c r="K68" s="58" t="str">
        <f t="shared" si="38"/>
        <v/>
      </c>
      <c r="L68" s="58" t="str">
        <f t="shared" si="39"/>
        <v/>
      </c>
      <c r="M68" s="24"/>
      <c r="N68" s="25"/>
      <c r="O68" s="26">
        <f t="shared" si="40"/>
        <v>0</v>
      </c>
      <c r="P68" s="26">
        <f t="shared" si="41"/>
        <v>0</v>
      </c>
      <c r="Q68" s="27" t="str">
        <f t="shared" si="42"/>
        <v/>
      </c>
      <c r="R68" s="27" t="str">
        <f t="shared" si="43"/>
        <v/>
      </c>
      <c r="S68" s="29"/>
      <c r="T68" s="30"/>
      <c r="U68" s="31">
        <f t="shared" si="44"/>
        <v>0</v>
      </c>
      <c r="V68" s="31">
        <f t="shared" si="45"/>
        <v>0</v>
      </c>
      <c r="W68" s="32" t="str">
        <f t="shared" si="46"/>
        <v/>
      </c>
      <c r="X68" s="32" t="str">
        <f t="shared" si="47"/>
        <v/>
      </c>
      <c r="Y68" s="24"/>
      <c r="Z68" s="24"/>
      <c r="AA68" s="25">
        <f t="shared" si="48"/>
        <v>0</v>
      </c>
      <c r="AB68" s="26">
        <f t="shared" si="49"/>
        <v>0</v>
      </c>
      <c r="AC68" s="26" t="str">
        <f t="shared" si="50"/>
        <v/>
      </c>
      <c r="AD68" s="27" t="str">
        <f t="shared" si="51"/>
        <v/>
      </c>
      <c r="AE68" s="39" t="str">
        <f t="shared" si="52"/>
        <v/>
      </c>
      <c r="AF68" s="39" t="str">
        <f t="shared" si="53"/>
        <v/>
      </c>
      <c r="AG68" s="40" t="str">
        <f t="shared" si="54"/>
        <v/>
      </c>
      <c r="AH68" s="41" t="str">
        <f t="shared" si="55"/>
        <v/>
      </c>
      <c r="AI68" s="39" t="str">
        <f>IF(B68="","",ROUND(GEOMEAN((J68,P68,V68)),0))</f>
        <v/>
      </c>
      <c r="AJ68" s="39" t="str">
        <f>IF(B68="","",ROUND(GEOMEAN((L68,R68,X68)),0))</f>
        <v/>
      </c>
      <c r="AK68" s="40" t="str">
        <f t="shared" si="56"/>
        <v/>
      </c>
      <c r="AL68" s="40" t="str">
        <f t="shared" si="57"/>
        <v/>
      </c>
      <c r="AM68" s="42" t="e">
        <f t="shared" si="58"/>
        <v>#DIV/0!</v>
      </c>
      <c r="AN68" s="42" t="e">
        <f t="shared" si="59"/>
        <v>#DIV/0!</v>
      </c>
      <c r="AO68" s="39" t="str">
        <f t="shared" si="60"/>
        <v/>
      </c>
      <c r="AP68" s="39" t="str">
        <f t="shared" si="61"/>
        <v/>
      </c>
      <c r="AQ68" s="40" t="str">
        <f t="shared" si="62"/>
        <v/>
      </c>
      <c r="AR68" s="41" t="str">
        <f t="shared" si="63"/>
        <v/>
      </c>
      <c r="AS68" s="39" t="str">
        <f>IF(L68="","",ROUND(GEOMEAN((J68,P68,V68,AB68)),0))</f>
        <v/>
      </c>
      <c r="AT68" s="39" t="str">
        <f>IF(L68="","",ROUND(GEOMEAN((L68,R68,X68,AD68)),0))</f>
        <v/>
      </c>
      <c r="AU68" s="40" t="str">
        <f t="shared" si="64"/>
        <v/>
      </c>
      <c r="AV68" s="40" t="str">
        <f t="shared" si="65"/>
        <v/>
      </c>
      <c r="AW68" s="42">
        <f t="shared" si="66"/>
        <v>0</v>
      </c>
      <c r="AX68" s="42">
        <f t="shared" si="67"/>
        <v>0</v>
      </c>
      <c r="AY68" s="5"/>
      <c r="CN68" s="7">
        <v>58</v>
      </c>
    </row>
    <row r="69" spans="1:92" s="7" customFormat="1" ht="14.65" customHeight="1">
      <c r="A69" s="6" t="str">
        <f t="shared" si="35"/>
        <v/>
      </c>
      <c r="B69" s="43"/>
      <c r="C69" s="6"/>
      <c r="D69" s="6"/>
      <c r="E69" s="43"/>
      <c r="F69" s="44"/>
      <c r="G69" s="22"/>
      <c r="H69" s="23"/>
      <c r="I69" s="47">
        <f t="shared" si="36"/>
        <v>0</v>
      </c>
      <c r="J69" s="47">
        <f t="shared" si="37"/>
        <v>0</v>
      </c>
      <c r="K69" s="58" t="str">
        <f t="shared" si="38"/>
        <v/>
      </c>
      <c r="L69" s="58" t="str">
        <f t="shared" si="39"/>
        <v/>
      </c>
      <c r="M69" s="24"/>
      <c r="N69" s="25"/>
      <c r="O69" s="26">
        <f t="shared" si="40"/>
        <v>0</v>
      </c>
      <c r="P69" s="26">
        <f t="shared" si="41"/>
        <v>0</v>
      </c>
      <c r="Q69" s="27" t="str">
        <f t="shared" si="42"/>
        <v/>
      </c>
      <c r="R69" s="27" t="str">
        <f t="shared" si="43"/>
        <v/>
      </c>
      <c r="S69" s="29"/>
      <c r="T69" s="30"/>
      <c r="U69" s="31">
        <f t="shared" si="44"/>
        <v>0</v>
      </c>
      <c r="V69" s="31">
        <f t="shared" si="45"/>
        <v>0</v>
      </c>
      <c r="W69" s="32" t="str">
        <f t="shared" si="46"/>
        <v/>
      </c>
      <c r="X69" s="32" t="str">
        <f t="shared" si="47"/>
        <v/>
      </c>
      <c r="Y69" s="24"/>
      <c r="Z69" s="24"/>
      <c r="AA69" s="25">
        <f t="shared" si="48"/>
        <v>0</v>
      </c>
      <c r="AB69" s="26">
        <f t="shared" si="49"/>
        <v>0</v>
      </c>
      <c r="AC69" s="26" t="str">
        <f t="shared" si="50"/>
        <v/>
      </c>
      <c r="AD69" s="27" t="str">
        <f t="shared" si="51"/>
        <v/>
      </c>
      <c r="AE69" s="39" t="str">
        <f t="shared" si="52"/>
        <v/>
      </c>
      <c r="AF69" s="39" t="str">
        <f t="shared" si="53"/>
        <v/>
      </c>
      <c r="AG69" s="40" t="str">
        <f t="shared" si="54"/>
        <v/>
      </c>
      <c r="AH69" s="41" t="str">
        <f t="shared" si="55"/>
        <v/>
      </c>
      <c r="AI69" s="39" t="str">
        <f>IF(B69="","",ROUND(GEOMEAN((J69,P69,V69)),0))</f>
        <v/>
      </c>
      <c r="AJ69" s="39" t="str">
        <f>IF(B69="","",ROUND(GEOMEAN((L69,R69,X69)),0))</f>
        <v/>
      </c>
      <c r="AK69" s="40" t="str">
        <f t="shared" si="56"/>
        <v/>
      </c>
      <c r="AL69" s="40" t="str">
        <f t="shared" si="57"/>
        <v/>
      </c>
      <c r="AM69" s="42" t="e">
        <f t="shared" si="58"/>
        <v>#DIV/0!</v>
      </c>
      <c r="AN69" s="42" t="e">
        <f t="shared" si="59"/>
        <v>#DIV/0!</v>
      </c>
      <c r="AO69" s="39" t="str">
        <f t="shared" si="60"/>
        <v/>
      </c>
      <c r="AP69" s="39" t="str">
        <f t="shared" si="61"/>
        <v/>
      </c>
      <c r="AQ69" s="40" t="str">
        <f t="shared" si="62"/>
        <v/>
      </c>
      <c r="AR69" s="41" t="str">
        <f t="shared" si="63"/>
        <v/>
      </c>
      <c r="AS69" s="39" t="str">
        <f>IF(L69="","",ROUND(GEOMEAN((J69,P69,V69,AB69)),0))</f>
        <v/>
      </c>
      <c r="AT69" s="39" t="str">
        <f>IF(L69="","",ROUND(GEOMEAN((L69,R69,X69,AD69)),0))</f>
        <v/>
      </c>
      <c r="AU69" s="40" t="str">
        <f t="shared" si="64"/>
        <v/>
      </c>
      <c r="AV69" s="40" t="str">
        <f t="shared" si="65"/>
        <v/>
      </c>
      <c r="AW69" s="42">
        <f t="shared" si="66"/>
        <v>0</v>
      </c>
      <c r="AX69" s="42">
        <f t="shared" si="67"/>
        <v>0</v>
      </c>
      <c r="AY69" s="5"/>
      <c r="BY69" s="592" t="s">
        <v>57</v>
      </c>
      <c r="BZ69" s="619"/>
      <c r="CA69" s="619"/>
      <c r="CB69" s="619"/>
      <c r="CC69" s="619"/>
      <c r="CD69" s="619"/>
      <c r="CE69" s="619"/>
      <c r="CF69" s="620"/>
      <c r="CG69" s="586" t="s">
        <v>58</v>
      </c>
      <c r="CH69" s="582">
        <f>SUM(AF120,BN59)</f>
        <v>0</v>
      </c>
      <c r="CI69" s="622"/>
      <c r="CN69" s="7">
        <v>59</v>
      </c>
    </row>
    <row r="70" spans="1:92" s="7" customFormat="1" ht="14.65" customHeight="1">
      <c r="A70" s="6" t="str">
        <f t="shared" si="35"/>
        <v/>
      </c>
      <c r="B70" s="43"/>
      <c r="C70" s="6"/>
      <c r="D70" s="6"/>
      <c r="E70" s="43"/>
      <c r="F70" s="44"/>
      <c r="G70" s="22"/>
      <c r="H70" s="23"/>
      <c r="I70" s="47">
        <f t="shared" si="36"/>
        <v>0</v>
      </c>
      <c r="J70" s="47">
        <f t="shared" si="37"/>
        <v>0</v>
      </c>
      <c r="K70" s="58" t="str">
        <f t="shared" si="38"/>
        <v/>
      </c>
      <c r="L70" s="58" t="str">
        <f t="shared" si="39"/>
        <v/>
      </c>
      <c r="M70" s="24"/>
      <c r="N70" s="25"/>
      <c r="O70" s="26">
        <f t="shared" si="40"/>
        <v>0</v>
      </c>
      <c r="P70" s="26">
        <f t="shared" si="41"/>
        <v>0</v>
      </c>
      <c r="Q70" s="27" t="str">
        <f t="shared" si="42"/>
        <v/>
      </c>
      <c r="R70" s="27" t="str">
        <f t="shared" si="43"/>
        <v/>
      </c>
      <c r="S70" s="29"/>
      <c r="T70" s="30"/>
      <c r="U70" s="31">
        <f t="shared" si="44"/>
        <v>0</v>
      </c>
      <c r="V70" s="31">
        <f t="shared" si="45"/>
        <v>0</v>
      </c>
      <c r="W70" s="32" t="str">
        <f t="shared" si="46"/>
        <v/>
      </c>
      <c r="X70" s="32" t="str">
        <f t="shared" si="47"/>
        <v/>
      </c>
      <c r="Y70" s="24"/>
      <c r="Z70" s="24"/>
      <c r="AA70" s="25">
        <f t="shared" si="48"/>
        <v>0</v>
      </c>
      <c r="AB70" s="26">
        <f t="shared" si="49"/>
        <v>0</v>
      </c>
      <c r="AC70" s="26" t="str">
        <f t="shared" si="50"/>
        <v/>
      </c>
      <c r="AD70" s="27" t="str">
        <f t="shared" si="51"/>
        <v/>
      </c>
      <c r="AE70" s="39" t="str">
        <f t="shared" si="52"/>
        <v/>
      </c>
      <c r="AF70" s="39" t="str">
        <f t="shared" si="53"/>
        <v/>
      </c>
      <c r="AG70" s="40" t="str">
        <f t="shared" si="54"/>
        <v/>
      </c>
      <c r="AH70" s="41" t="str">
        <f t="shared" si="55"/>
        <v/>
      </c>
      <c r="AI70" s="39" t="str">
        <f>IF(B70="","",ROUND(GEOMEAN((J70,P70,V70)),0))</f>
        <v/>
      </c>
      <c r="AJ70" s="39" t="str">
        <f>IF(B70="","",ROUND(GEOMEAN((L70,R70,X70)),0))</f>
        <v/>
      </c>
      <c r="AK70" s="40" t="str">
        <f t="shared" si="56"/>
        <v/>
      </c>
      <c r="AL70" s="40" t="str">
        <f t="shared" si="57"/>
        <v/>
      </c>
      <c r="AM70" s="42" t="e">
        <f t="shared" si="58"/>
        <v>#DIV/0!</v>
      </c>
      <c r="AN70" s="42" t="e">
        <f t="shared" si="59"/>
        <v>#DIV/0!</v>
      </c>
      <c r="AO70" s="39" t="str">
        <f t="shared" si="60"/>
        <v/>
      </c>
      <c r="AP70" s="39" t="str">
        <f t="shared" si="61"/>
        <v/>
      </c>
      <c r="AQ70" s="40" t="str">
        <f t="shared" si="62"/>
        <v/>
      </c>
      <c r="AR70" s="41" t="str">
        <f t="shared" si="63"/>
        <v/>
      </c>
      <c r="AS70" s="39" t="str">
        <f>IF(L70="","",ROUND(GEOMEAN((J70,P70,V70,AB70)),0))</f>
        <v/>
      </c>
      <c r="AT70" s="39" t="str">
        <f>IF(L70="","",ROUND(GEOMEAN((L70,R70,X70,AD70)),0))</f>
        <v/>
      </c>
      <c r="AU70" s="40" t="str">
        <f t="shared" si="64"/>
        <v/>
      </c>
      <c r="AV70" s="40" t="str">
        <f t="shared" si="65"/>
        <v/>
      </c>
      <c r="AW70" s="42">
        <f t="shared" si="66"/>
        <v>0</v>
      </c>
      <c r="AX70" s="42">
        <f t="shared" si="67"/>
        <v>0</v>
      </c>
      <c r="AY70" s="5"/>
      <c r="BY70" s="588" t="s">
        <v>59</v>
      </c>
      <c r="BZ70" s="621"/>
      <c r="CA70" s="621"/>
      <c r="CB70" s="621"/>
      <c r="CC70" s="621"/>
      <c r="CD70" s="621"/>
      <c r="CE70" s="621"/>
      <c r="CF70" s="622"/>
      <c r="CG70" s="629"/>
      <c r="CH70" s="623"/>
      <c r="CI70" s="624"/>
      <c r="CN70" s="7">
        <v>60</v>
      </c>
    </row>
    <row r="71" spans="1:92" s="7" customFormat="1" ht="14.65" customHeight="1">
      <c r="A71" s="6" t="str">
        <f t="shared" si="35"/>
        <v/>
      </c>
      <c r="B71" s="43"/>
      <c r="C71" s="6"/>
      <c r="D71" s="6"/>
      <c r="E71" s="43"/>
      <c r="F71" s="44"/>
      <c r="G71" s="22"/>
      <c r="H71" s="23"/>
      <c r="I71" s="47">
        <f t="shared" si="36"/>
        <v>0</v>
      </c>
      <c r="J71" s="47">
        <f t="shared" si="37"/>
        <v>0</v>
      </c>
      <c r="K71" s="58" t="str">
        <f t="shared" si="38"/>
        <v/>
      </c>
      <c r="L71" s="58" t="str">
        <f t="shared" si="39"/>
        <v/>
      </c>
      <c r="M71" s="24"/>
      <c r="N71" s="25"/>
      <c r="O71" s="26">
        <f t="shared" si="40"/>
        <v>0</v>
      </c>
      <c r="P71" s="26">
        <f t="shared" si="41"/>
        <v>0</v>
      </c>
      <c r="Q71" s="27" t="str">
        <f t="shared" si="42"/>
        <v/>
      </c>
      <c r="R71" s="27" t="str">
        <f t="shared" si="43"/>
        <v/>
      </c>
      <c r="S71" s="29"/>
      <c r="T71" s="30"/>
      <c r="U71" s="31">
        <f t="shared" si="44"/>
        <v>0</v>
      </c>
      <c r="V71" s="31">
        <f t="shared" si="45"/>
        <v>0</v>
      </c>
      <c r="W71" s="32" t="str">
        <f t="shared" si="46"/>
        <v/>
      </c>
      <c r="X71" s="32" t="str">
        <f t="shared" si="47"/>
        <v/>
      </c>
      <c r="Y71" s="24"/>
      <c r="Z71" s="24"/>
      <c r="AA71" s="25">
        <f t="shared" si="48"/>
        <v>0</v>
      </c>
      <c r="AB71" s="26">
        <f t="shared" si="49"/>
        <v>0</v>
      </c>
      <c r="AC71" s="26" t="str">
        <f t="shared" si="50"/>
        <v/>
      </c>
      <c r="AD71" s="27" t="str">
        <f t="shared" si="51"/>
        <v/>
      </c>
      <c r="AE71" s="39" t="str">
        <f t="shared" si="52"/>
        <v/>
      </c>
      <c r="AF71" s="39" t="str">
        <f t="shared" si="53"/>
        <v/>
      </c>
      <c r="AG71" s="40" t="str">
        <f t="shared" si="54"/>
        <v/>
      </c>
      <c r="AH71" s="41" t="str">
        <f t="shared" si="55"/>
        <v/>
      </c>
      <c r="AI71" s="39" t="str">
        <f>IF(B71="","",ROUND(GEOMEAN((J71,P71,V71)),0))</f>
        <v/>
      </c>
      <c r="AJ71" s="39" t="str">
        <f>IF(B71="","",ROUND(GEOMEAN((L71,R71,X71)),0))</f>
        <v/>
      </c>
      <c r="AK71" s="40" t="str">
        <f t="shared" si="56"/>
        <v/>
      </c>
      <c r="AL71" s="40" t="str">
        <f t="shared" si="57"/>
        <v/>
      </c>
      <c r="AM71" s="42" t="e">
        <f t="shared" si="58"/>
        <v>#DIV/0!</v>
      </c>
      <c r="AN71" s="42" t="e">
        <f t="shared" si="59"/>
        <v>#DIV/0!</v>
      </c>
      <c r="AO71" s="39" t="str">
        <f t="shared" si="60"/>
        <v/>
      </c>
      <c r="AP71" s="39" t="str">
        <f t="shared" si="61"/>
        <v/>
      </c>
      <c r="AQ71" s="40" t="str">
        <f t="shared" si="62"/>
        <v/>
      </c>
      <c r="AR71" s="41" t="str">
        <f t="shared" si="63"/>
        <v/>
      </c>
      <c r="AS71" s="39" t="str">
        <f>IF(L71="","",ROUND(GEOMEAN((J71,P71,V71,AB71)),0))</f>
        <v/>
      </c>
      <c r="AT71" s="39" t="str">
        <f>IF(L71="","",ROUND(GEOMEAN((L71,R71,X71,AD71)),0))</f>
        <v/>
      </c>
      <c r="AU71" s="40" t="str">
        <f t="shared" si="64"/>
        <v/>
      </c>
      <c r="AV71" s="40" t="str">
        <f t="shared" si="65"/>
        <v/>
      </c>
      <c r="AW71" s="42">
        <f t="shared" si="66"/>
        <v>0</v>
      </c>
      <c r="AX71" s="42">
        <f t="shared" si="67"/>
        <v>0</v>
      </c>
      <c r="AY71" s="5"/>
      <c r="BY71" s="623"/>
      <c r="BZ71" s="589"/>
      <c r="CA71" s="589"/>
      <c r="CB71" s="589"/>
      <c r="CC71" s="589"/>
      <c r="CD71" s="589"/>
      <c r="CE71" s="589"/>
      <c r="CF71" s="624"/>
      <c r="CG71" s="629"/>
      <c r="CH71" s="623"/>
      <c r="CI71" s="624"/>
      <c r="CN71" s="7">
        <v>61</v>
      </c>
    </row>
    <row r="72" spans="1:92" s="7" customFormat="1" ht="14.65" customHeight="1">
      <c r="A72" s="6" t="str">
        <f t="shared" si="35"/>
        <v/>
      </c>
      <c r="B72" s="43"/>
      <c r="C72" s="6"/>
      <c r="D72" s="6"/>
      <c r="E72" s="43"/>
      <c r="F72" s="44"/>
      <c r="G72" s="22"/>
      <c r="H72" s="23"/>
      <c r="I72" s="47">
        <f t="shared" si="36"/>
        <v>0</v>
      </c>
      <c r="J72" s="47">
        <f t="shared" si="37"/>
        <v>0</v>
      </c>
      <c r="K72" s="58" t="str">
        <f t="shared" si="38"/>
        <v/>
      </c>
      <c r="L72" s="58" t="str">
        <f t="shared" si="39"/>
        <v/>
      </c>
      <c r="M72" s="24"/>
      <c r="N72" s="25"/>
      <c r="O72" s="26">
        <f t="shared" si="40"/>
        <v>0</v>
      </c>
      <c r="P72" s="26">
        <f t="shared" si="41"/>
        <v>0</v>
      </c>
      <c r="Q72" s="27" t="str">
        <f t="shared" si="42"/>
        <v/>
      </c>
      <c r="R72" s="27" t="str">
        <f t="shared" si="43"/>
        <v/>
      </c>
      <c r="S72" s="29"/>
      <c r="T72" s="30"/>
      <c r="U72" s="31">
        <f t="shared" si="44"/>
        <v>0</v>
      </c>
      <c r="V72" s="31">
        <f t="shared" si="45"/>
        <v>0</v>
      </c>
      <c r="W72" s="32" t="str">
        <f t="shared" si="46"/>
        <v/>
      </c>
      <c r="X72" s="32" t="str">
        <f t="shared" si="47"/>
        <v/>
      </c>
      <c r="Y72" s="24"/>
      <c r="Z72" s="24"/>
      <c r="AA72" s="25">
        <f t="shared" si="48"/>
        <v>0</v>
      </c>
      <c r="AB72" s="26">
        <f t="shared" si="49"/>
        <v>0</v>
      </c>
      <c r="AC72" s="26" t="str">
        <f t="shared" si="50"/>
        <v/>
      </c>
      <c r="AD72" s="27" t="str">
        <f t="shared" si="51"/>
        <v/>
      </c>
      <c r="AE72" s="39" t="str">
        <f t="shared" si="52"/>
        <v/>
      </c>
      <c r="AF72" s="39" t="str">
        <f t="shared" si="53"/>
        <v/>
      </c>
      <c r="AG72" s="40" t="str">
        <f t="shared" si="54"/>
        <v/>
      </c>
      <c r="AH72" s="41" t="str">
        <f t="shared" si="55"/>
        <v/>
      </c>
      <c r="AI72" s="39" t="str">
        <f>IF(B72="","",ROUND(GEOMEAN((J72,P72,V72)),0))</f>
        <v/>
      </c>
      <c r="AJ72" s="39" t="str">
        <f>IF(B72="","",ROUND(GEOMEAN((L72,R72,X72)),0))</f>
        <v/>
      </c>
      <c r="AK72" s="40" t="str">
        <f t="shared" si="56"/>
        <v/>
      </c>
      <c r="AL72" s="40" t="str">
        <f t="shared" si="57"/>
        <v/>
      </c>
      <c r="AM72" s="42" t="e">
        <f t="shared" si="58"/>
        <v>#DIV/0!</v>
      </c>
      <c r="AN72" s="42" t="e">
        <f t="shared" si="59"/>
        <v>#DIV/0!</v>
      </c>
      <c r="AO72" s="39" t="str">
        <f t="shared" si="60"/>
        <v/>
      </c>
      <c r="AP72" s="39" t="str">
        <f t="shared" si="61"/>
        <v/>
      </c>
      <c r="AQ72" s="40" t="str">
        <f t="shared" si="62"/>
        <v/>
      </c>
      <c r="AR72" s="41" t="str">
        <f t="shared" si="63"/>
        <v/>
      </c>
      <c r="AS72" s="39" t="str">
        <f>IF(L72="","",ROUND(GEOMEAN((J72,P72,V72,AB72)),0))</f>
        <v/>
      </c>
      <c r="AT72" s="39" t="str">
        <f>IF(L72="","",ROUND(GEOMEAN((L72,R72,X72,AD72)),0))</f>
        <v/>
      </c>
      <c r="AU72" s="40" t="str">
        <f t="shared" si="64"/>
        <v/>
      </c>
      <c r="AV72" s="40" t="str">
        <f t="shared" si="65"/>
        <v/>
      </c>
      <c r="AW72" s="42">
        <f t="shared" si="66"/>
        <v>0</v>
      </c>
      <c r="AX72" s="42">
        <f t="shared" si="67"/>
        <v>0</v>
      </c>
      <c r="AY72" s="5"/>
      <c r="BY72" s="623"/>
      <c r="BZ72" s="589"/>
      <c r="CA72" s="589"/>
      <c r="CB72" s="589"/>
      <c r="CC72" s="589"/>
      <c r="CD72" s="589"/>
      <c r="CE72" s="589"/>
      <c r="CF72" s="624"/>
      <c r="CG72" s="629"/>
      <c r="CH72" s="623"/>
      <c r="CI72" s="624"/>
      <c r="CN72" s="7">
        <v>62</v>
      </c>
    </row>
    <row r="73" spans="1:92" s="7" customFormat="1" ht="14.65" customHeight="1">
      <c r="A73" s="6" t="str">
        <f t="shared" si="35"/>
        <v/>
      </c>
      <c r="B73" s="43"/>
      <c r="C73" s="6"/>
      <c r="D73" s="6"/>
      <c r="E73" s="43"/>
      <c r="F73" s="44"/>
      <c r="G73" s="22"/>
      <c r="H73" s="23"/>
      <c r="I73" s="47">
        <f t="shared" si="36"/>
        <v>0</v>
      </c>
      <c r="J73" s="47">
        <f t="shared" si="37"/>
        <v>0</v>
      </c>
      <c r="K73" s="58" t="str">
        <f t="shared" si="38"/>
        <v/>
      </c>
      <c r="L73" s="58" t="str">
        <f t="shared" si="39"/>
        <v/>
      </c>
      <c r="M73" s="24"/>
      <c r="N73" s="25"/>
      <c r="O73" s="26">
        <f t="shared" si="40"/>
        <v>0</v>
      </c>
      <c r="P73" s="26">
        <f t="shared" si="41"/>
        <v>0</v>
      </c>
      <c r="Q73" s="27" t="str">
        <f t="shared" si="42"/>
        <v/>
      </c>
      <c r="R73" s="27" t="str">
        <f t="shared" si="43"/>
        <v/>
      </c>
      <c r="S73" s="29"/>
      <c r="T73" s="30"/>
      <c r="U73" s="31">
        <f t="shared" si="44"/>
        <v>0</v>
      </c>
      <c r="V73" s="31">
        <f t="shared" si="45"/>
        <v>0</v>
      </c>
      <c r="W73" s="32" t="str">
        <f t="shared" si="46"/>
        <v/>
      </c>
      <c r="X73" s="32" t="str">
        <f t="shared" si="47"/>
        <v/>
      </c>
      <c r="Y73" s="24"/>
      <c r="Z73" s="24"/>
      <c r="AA73" s="25">
        <f t="shared" si="48"/>
        <v>0</v>
      </c>
      <c r="AB73" s="26">
        <f t="shared" si="49"/>
        <v>0</v>
      </c>
      <c r="AC73" s="26" t="str">
        <f t="shared" si="50"/>
        <v/>
      </c>
      <c r="AD73" s="27" t="str">
        <f t="shared" si="51"/>
        <v/>
      </c>
      <c r="AE73" s="39" t="str">
        <f t="shared" si="52"/>
        <v/>
      </c>
      <c r="AF73" s="39" t="str">
        <f t="shared" si="53"/>
        <v/>
      </c>
      <c r="AG73" s="40" t="str">
        <f t="shared" si="54"/>
        <v/>
      </c>
      <c r="AH73" s="41" t="str">
        <f t="shared" si="55"/>
        <v/>
      </c>
      <c r="AI73" s="39" t="str">
        <f>IF(B73="","",ROUND(GEOMEAN((J73,P73,V73)),0))</f>
        <v/>
      </c>
      <c r="AJ73" s="39" t="str">
        <f>IF(B73="","",ROUND(GEOMEAN((L73,R73,X73)),0))</f>
        <v/>
      </c>
      <c r="AK73" s="40" t="str">
        <f t="shared" si="56"/>
        <v/>
      </c>
      <c r="AL73" s="40" t="str">
        <f t="shared" si="57"/>
        <v/>
      </c>
      <c r="AM73" s="42" t="e">
        <f t="shared" si="58"/>
        <v>#DIV/0!</v>
      </c>
      <c r="AN73" s="42" t="e">
        <f t="shared" si="59"/>
        <v>#DIV/0!</v>
      </c>
      <c r="AO73" s="39" t="str">
        <f t="shared" si="60"/>
        <v/>
      </c>
      <c r="AP73" s="39" t="str">
        <f t="shared" si="61"/>
        <v/>
      </c>
      <c r="AQ73" s="40" t="str">
        <f t="shared" si="62"/>
        <v/>
      </c>
      <c r="AR73" s="41" t="str">
        <f t="shared" si="63"/>
        <v/>
      </c>
      <c r="AS73" s="39" t="str">
        <f>IF(L73="","",ROUND(GEOMEAN((J73,P73,V73,AB73)),0))</f>
        <v/>
      </c>
      <c r="AT73" s="39" t="str">
        <f>IF(L73="","",ROUND(GEOMEAN((L73,R73,X73,AD73)),0))</f>
        <v/>
      </c>
      <c r="AU73" s="40" t="str">
        <f t="shared" si="64"/>
        <v/>
      </c>
      <c r="AV73" s="40" t="str">
        <f t="shared" si="65"/>
        <v/>
      </c>
      <c r="AW73" s="42">
        <f t="shared" si="66"/>
        <v>0</v>
      </c>
      <c r="AX73" s="42">
        <f t="shared" si="67"/>
        <v>0</v>
      </c>
      <c r="AY73" s="5"/>
      <c r="BY73" s="623"/>
      <c r="BZ73" s="589"/>
      <c r="CA73" s="589"/>
      <c r="CB73" s="589"/>
      <c r="CC73" s="589"/>
      <c r="CD73" s="589"/>
      <c r="CE73" s="589"/>
      <c r="CF73" s="624"/>
      <c r="CG73" s="629"/>
      <c r="CH73" s="623"/>
      <c r="CI73" s="624"/>
      <c r="CN73" s="7">
        <v>63</v>
      </c>
    </row>
    <row r="74" spans="1:92" s="7" customFormat="1" ht="14.65" customHeight="1">
      <c r="A74" s="6" t="str">
        <f t="shared" si="35"/>
        <v/>
      </c>
      <c r="B74" s="43"/>
      <c r="C74" s="6"/>
      <c r="D74" s="6"/>
      <c r="E74" s="43"/>
      <c r="F74" s="44"/>
      <c r="G74" s="22"/>
      <c r="H74" s="23"/>
      <c r="I74" s="47">
        <f t="shared" si="36"/>
        <v>0</v>
      </c>
      <c r="J74" s="47">
        <f t="shared" si="37"/>
        <v>0</v>
      </c>
      <c r="K74" s="58" t="str">
        <f t="shared" si="38"/>
        <v/>
      </c>
      <c r="L74" s="58" t="str">
        <f t="shared" si="39"/>
        <v/>
      </c>
      <c r="M74" s="24"/>
      <c r="N74" s="25"/>
      <c r="O74" s="26">
        <f t="shared" si="40"/>
        <v>0</v>
      </c>
      <c r="P74" s="26">
        <f t="shared" si="41"/>
        <v>0</v>
      </c>
      <c r="Q74" s="27" t="str">
        <f t="shared" si="42"/>
        <v/>
      </c>
      <c r="R74" s="27" t="str">
        <f t="shared" si="43"/>
        <v/>
      </c>
      <c r="S74" s="29"/>
      <c r="T74" s="30"/>
      <c r="U74" s="31">
        <f t="shared" si="44"/>
        <v>0</v>
      </c>
      <c r="V74" s="31">
        <f t="shared" si="45"/>
        <v>0</v>
      </c>
      <c r="W74" s="32" t="str">
        <f t="shared" si="46"/>
        <v/>
      </c>
      <c r="X74" s="32" t="str">
        <f t="shared" si="47"/>
        <v/>
      </c>
      <c r="Y74" s="24"/>
      <c r="Z74" s="24"/>
      <c r="AA74" s="25">
        <f t="shared" si="48"/>
        <v>0</v>
      </c>
      <c r="AB74" s="26">
        <f t="shared" si="49"/>
        <v>0</v>
      </c>
      <c r="AC74" s="26" t="str">
        <f t="shared" si="50"/>
        <v/>
      </c>
      <c r="AD74" s="27" t="str">
        <f t="shared" si="51"/>
        <v/>
      </c>
      <c r="AE74" s="39" t="str">
        <f t="shared" si="52"/>
        <v/>
      </c>
      <c r="AF74" s="39" t="str">
        <f t="shared" si="53"/>
        <v/>
      </c>
      <c r="AG74" s="40" t="str">
        <f t="shared" si="54"/>
        <v/>
      </c>
      <c r="AH74" s="41" t="str">
        <f t="shared" si="55"/>
        <v/>
      </c>
      <c r="AI74" s="39" t="str">
        <f>IF(B74="","",ROUND(GEOMEAN((J74,P74,V74)),0))</f>
        <v/>
      </c>
      <c r="AJ74" s="39" t="str">
        <f>IF(B74="","",ROUND(GEOMEAN((L74,R74,X74)),0))</f>
        <v/>
      </c>
      <c r="AK74" s="40" t="str">
        <f t="shared" si="56"/>
        <v/>
      </c>
      <c r="AL74" s="40" t="str">
        <f t="shared" si="57"/>
        <v/>
      </c>
      <c r="AM74" s="42" t="e">
        <f t="shared" si="58"/>
        <v>#DIV/0!</v>
      </c>
      <c r="AN74" s="42" t="e">
        <f t="shared" si="59"/>
        <v>#DIV/0!</v>
      </c>
      <c r="AO74" s="39" t="str">
        <f t="shared" si="60"/>
        <v/>
      </c>
      <c r="AP74" s="39" t="str">
        <f t="shared" si="61"/>
        <v/>
      </c>
      <c r="AQ74" s="40" t="str">
        <f t="shared" si="62"/>
        <v/>
      </c>
      <c r="AR74" s="41" t="str">
        <f t="shared" si="63"/>
        <v/>
      </c>
      <c r="AS74" s="39" t="str">
        <f>IF(L74="","",ROUND(GEOMEAN((J74,P74,V74,AB74)),0))</f>
        <v/>
      </c>
      <c r="AT74" s="39" t="str">
        <f>IF(L74="","",ROUND(GEOMEAN((L74,R74,X74,AD74)),0))</f>
        <v/>
      </c>
      <c r="AU74" s="40" t="str">
        <f t="shared" si="64"/>
        <v/>
      </c>
      <c r="AV74" s="40" t="str">
        <f t="shared" si="65"/>
        <v/>
      </c>
      <c r="AW74" s="42">
        <f t="shared" si="66"/>
        <v>0</v>
      </c>
      <c r="AX74" s="42">
        <f t="shared" si="67"/>
        <v>0</v>
      </c>
      <c r="AY74" s="5"/>
      <c r="BY74" s="623"/>
      <c r="BZ74" s="589"/>
      <c r="CA74" s="589"/>
      <c r="CB74" s="589"/>
      <c r="CC74" s="589"/>
      <c r="CD74" s="589"/>
      <c r="CE74" s="589"/>
      <c r="CF74" s="624"/>
      <c r="CG74" s="629"/>
      <c r="CH74" s="623"/>
      <c r="CI74" s="624"/>
      <c r="CN74" s="7">
        <v>64</v>
      </c>
    </row>
    <row r="75" spans="1:92" s="7" customFormat="1" ht="14.65" customHeight="1">
      <c r="A75" s="6" t="str">
        <f t="shared" ref="A75:A97" si="68">IF(B75&lt;&gt;"",CN75,"")</f>
        <v/>
      </c>
      <c r="B75" s="43"/>
      <c r="C75" s="6"/>
      <c r="D75" s="6"/>
      <c r="E75" s="43"/>
      <c r="F75" s="44"/>
      <c r="G75" s="22"/>
      <c r="H75" s="23"/>
      <c r="I75" s="47">
        <f t="shared" ref="I75:I97" si="69">H75*19%</f>
        <v>0</v>
      </c>
      <c r="J75" s="47">
        <f t="shared" ref="J75:J97" si="70">H75+I75</f>
        <v>0</v>
      </c>
      <c r="K75" s="58" t="str">
        <f t="shared" ref="K75:K97" si="71">IF(B75="","",(H75*F75))</f>
        <v/>
      </c>
      <c r="L75" s="58" t="str">
        <f t="shared" ref="L75:L97" si="72">IF(B75="","",(J75*F75))</f>
        <v/>
      </c>
      <c r="M75" s="24"/>
      <c r="N75" s="25"/>
      <c r="O75" s="26">
        <f t="shared" ref="O75:O97" si="73">N75*19%</f>
        <v>0</v>
      </c>
      <c r="P75" s="26">
        <f t="shared" ref="P75:P97" si="74">N75+O75</f>
        <v>0</v>
      </c>
      <c r="Q75" s="27" t="str">
        <f t="shared" ref="Q75:Q97" si="75">IF(B75="","",(N75*F75))</f>
        <v/>
      </c>
      <c r="R75" s="27" t="str">
        <f t="shared" ref="R75:R97" si="76">IF(B75="","",(P75*F75))</f>
        <v/>
      </c>
      <c r="S75" s="29"/>
      <c r="T75" s="30"/>
      <c r="U75" s="31">
        <f t="shared" ref="U75:U97" si="77">T75*19%</f>
        <v>0</v>
      </c>
      <c r="V75" s="31">
        <f t="shared" ref="V75:V97" si="78">T75+U75</f>
        <v>0</v>
      </c>
      <c r="W75" s="32" t="str">
        <f t="shared" ref="W75:W97" si="79">IF(B75="","",(T75*F75))</f>
        <v/>
      </c>
      <c r="X75" s="32" t="str">
        <f t="shared" ref="X75:X97" si="80">IF(B75="","",(V75*F75))</f>
        <v/>
      </c>
      <c r="Y75" s="24"/>
      <c r="Z75" s="24"/>
      <c r="AA75" s="25">
        <f t="shared" ref="AA75:AA97" si="81">Z75*19%</f>
        <v>0</v>
      </c>
      <c r="AB75" s="26">
        <f t="shared" ref="AB75:AB97" si="82">Z75+AA75</f>
        <v>0</v>
      </c>
      <c r="AC75" s="26" t="str">
        <f t="shared" ref="AC75:AC97" si="83">IF(E75="","",(Z75*F75))</f>
        <v/>
      </c>
      <c r="AD75" s="27" t="str">
        <f t="shared" ref="AD75:AD97" si="84">IF(E75="","",(AB75*F75))</f>
        <v/>
      </c>
      <c r="AE75" s="39" t="str">
        <f t="shared" ref="AE75:AE97" si="85">IF(A75="","",ROUND(AVERAGE(J75,P75,V75),0))</f>
        <v/>
      </c>
      <c r="AF75" s="39" t="str">
        <f t="shared" ref="AF75:AF97" si="86">IF(B75="","",ROUND(AVERAGE(L75,R75,X75),0))</f>
        <v/>
      </c>
      <c r="AG75" s="40" t="str">
        <f t="shared" ref="AG75:AG97" si="87">IF(B75="","",ROUND(STDEV(L75,R75,X75),0))</f>
        <v/>
      </c>
      <c r="AH75" s="41" t="str">
        <f t="shared" ref="AH75:AH97" si="88">IF(B75="","",(AG75/AF75))</f>
        <v/>
      </c>
      <c r="AI75" s="39" t="str">
        <f>IF(B75="","",ROUND(GEOMEAN((J75,P75,V75)),0))</f>
        <v/>
      </c>
      <c r="AJ75" s="39" t="str">
        <f>IF(B75="","",ROUND(GEOMEAN((L75,R75,X75)),0))</f>
        <v/>
      </c>
      <c r="AK75" s="40" t="str">
        <f t="shared" ref="AK75:AK97" si="89">IF(B75="","",(AF75-AG75))</f>
        <v/>
      </c>
      <c r="AL75" s="40" t="str">
        <f t="shared" ref="AL75:AL97" si="90">IF(B75="","",(AF75+AG75))</f>
        <v/>
      </c>
      <c r="AM75" s="42" t="e">
        <f t="shared" ref="AM75:AM97" si="91">ROUND(AVERAGE(L75,R75,X75),0)</f>
        <v>#DIV/0!</v>
      </c>
      <c r="AN75" s="42" t="e">
        <f t="shared" ref="AN75:AN97" si="92">AM75*F75</f>
        <v>#DIV/0!</v>
      </c>
      <c r="AO75" s="39" t="str">
        <f t="shared" ref="AO75:AO97" si="93">IF(A75="","",ROUND(AVERAGE(J75,P75,V75,AB75),0))</f>
        <v/>
      </c>
      <c r="AP75" s="39" t="str">
        <f t="shared" ref="AP75:AP97" si="94">IF(B75="","",ROUND(AVERAGE(L75,R75,X75,AD75),0))</f>
        <v/>
      </c>
      <c r="AQ75" s="40" t="str">
        <f t="shared" ref="AQ75:AQ97" si="95">IF(B75="","",ROUND(STDEV(L75,R75,X75,AD75),0))</f>
        <v/>
      </c>
      <c r="AR75" s="41" t="str">
        <f t="shared" ref="AR75:AR97" si="96">IF(B75="","",(AQ75/AP75))</f>
        <v/>
      </c>
      <c r="AS75" s="39" t="str">
        <f>IF(L75="","",ROUND(GEOMEAN((J75,P75,V75,AB75)),0))</f>
        <v/>
      </c>
      <c r="AT75" s="39" t="str">
        <f>IF(L75="","",ROUND(GEOMEAN((L75,R75,X75,AD75)),0))</f>
        <v/>
      </c>
      <c r="AU75" s="40" t="str">
        <f t="shared" ref="AU75:AU97" si="97">IF(B75="","",(AP75-AQ75))</f>
        <v/>
      </c>
      <c r="AV75" s="40" t="str">
        <f t="shared" ref="AV75:AV97" si="98">IF(B75="","",(AP75+AQ75))</f>
        <v/>
      </c>
      <c r="AW75" s="42">
        <f t="shared" ref="AW75:AW97" si="99">ROUND(AVERAGE(L75,R75,X75,AB75),0)</f>
        <v>0</v>
      </c>
      <c r="AX75" s="42">
        <f t="shared" ref="AX75:AX97" si="100">AW75*F75</f>
        <v>0</v>
      </c>
      <c r="AY75" s="5"/>
      <c r="BY75" s="623"/>
      <c r="BZ75" s="589"/>
      <c r="CA75" s="589"/>
      <c r="CB75" s="589"/>
      <c r="CC75" s="589"/>
      <c r="CD75" s="589"/>
      <c r="CE75" s="589"/>
      <c r="CF75" s="624"/>
      <c r="CG75" s="629"/>
      <c r="CH75" s="623"/>
      <c r="CI75" s="624"/>
      <c r="CN75" s="7">
        <v>65</v>
      </c>
    </row>
    <row r="76" spans="1:92" s="7" customFormat="1" ht="14.65" customHeight="1">
      <c r="A76" s="6" t="str">
        <f t="shared" si="68"/>
        <v/>
      </c>
      <c r="B76" s="43"/>
      <c r="C76" s="6"/>
      <c r="D76" s="6"/>
      <c r="E76" s="43"/>
      <c r="F76" s="44"/>
      <c r="G76" s="22"/>
      <c r="H76" s="23"/>
      <c r="I76" s="47">
        <f t="shared" si="69"/>
        <v>0</v>
      </c>
      <c r="J76" s="47">
        <f t="shared" si="70"/>
        <v>0</v>
      </c>
      <c r="K76" s="58" t="str">
        <f t="shared" si="71"/>
        <v/>
      </c>
      <c r="L76" s="58" t="str">
        <f t="shared" si="72"/>
        <v/>
      </c>
      <c r="M76" s="24"/>
      <c r="N76" s="25"/>
      <c r="O76" s="26">
        <f t="shared" si="73"/>
        <v>0</v>
      </c>
      <c r="P76" s="26">
        <f t="shared" si="74"/>
        <v>0</v>
      </c>
      <c r="Q76" s="27" t="str">
        <f t="shared" si="75"/>
        <v/>
      </c>
      <c r="R76" s="27" t="str">
        <f t="shared" si="76"/>
        <v/>
      </c>
      <c r="S76" s="29"/>
      <c r="T76" s="30"/>
      <c r="U76" s="31">
        <f t="shared" si="77"/>
        <v>0</v>
      </c>
      <c r="V76" s="31">
        <f t="shared" si="78"/>
        <v>0</v>
      </c>
      <c r="W76" s="32" t="str">
        <f t="shared" si="79"/>
        <v/>
      </c>
      <c r="X76" s="32" t="str">
        <f t="shared" si="80"/>
        <v/>
      </c>
      <c r="Y76" s="24"/>
      <c r="Z76" s="24"/>
      <c r="AA76" s="25">
        <f t="shared" si="81"/>
        <v>0</v>
      </c>
      <c r="AB76" s="26">
        <f t="shared" si="82"/>
        <v>0</v>
      </c>
      <c r="AC76" s="26" t="str">
        <f t="shared" si="83"/>
        <v/>
      </c>
      <c r="AD76" s="27" t="str">
        <f t="shared" si="84"/>
        <v/>
      </c>
      <c r="AE76" s="39" t="str">
        <f t="shared" si="85"/>
        <v/>
      </c>
      <c r="AF76" s="39" t="str">
        <f t="shared" si="86"/>
        <v/>
      </c>
      <c r="AG76" s="40" t="str">
        <f t="shared" si="87"/>
        <v/>
      </c>
      <c r="AH76" s="41" t="str">
        <f t="shared" si="88"/>
        <v/>
      </c>
      <c r="AI76" s="39" t="str">
        <f>IF(B76="","",ROUND(GEOMEAN((J76,P76,V76)),0))</f>
        <v/>
      </c>
      <c r="AJ76" s="39" t="str">
        <f>IF(B76="","",ROUND(GEOMEAN((L76,R76,X76)),0))</f>
        <v/>
      </c>
      <c r="AK76" s="40" t="str">
        <f t="shared" si="89"/>
        <v/>
      </c>
      <c r="AL76" s="40" t="str">
        <f t="shared" si="90"/>
        <v/>
      </c>
      <c r="AM76" s="42" t="e">
        <f t="shared" si="91"/>
        <v>#DIV/0!</v>
      </c>
      <c r="AN76" s="42" t="e">
        <f t="shared" si="92"/>
        <v>#DIV/0!</v>
      </c>
      <c r="AO76" s="39" t="str">
        <f t="shared" si="93"/>
        <v/>
      </c>
      <c r="AP76" s="39" t="str">
        <f t="shared" si="94"/>
        <v/>
      </c>
      <c r="AQ76" s="40" t="str">
        <f t="shared" si="95"/>
        <v/>
      </c>
      <c r="AR76" s="41" t="str">
        <f t="shared" si="96"/>
        <v/>
      </c>
      <c r="AS76" s="39" t="str">
        <f>IF(L76="","",ROUND(GEOMEAN((J76,P76,V76,AB76)),0))</f>
        <v/>
      </c>
      <c r="AT76" s="39" t="str">
        <f>IF(L76="","",ROUND(GEOMEAN((L76,R76,X76,AD76)),0))</f>
        <v/>
      </c>
      <c r="AU76" s="40" t="str">
        <f t="shared" si="97"/>
        <v/>
      </c>
      <c r="AV76" s="40" t="str">
        <f t="shared" si="98"/>
        <v/>
      </c>
      <c r="AW76" s="42">
        <f t="shared" si="99"/>
        <v>0</v>
      </c>
      <c r="AX76" s="42">
        <f t="shared" si="100"/>
        <v>0</v>
      </c>
      <c r="AY76" s="5"/>
      <c r="BY76" s="623"/>
      <c r="BZ76" s="589"/>
      <c r="CA76" s="589"/>
      <c r="CB76" s="589"/>
      <c r="CC76" s="589"/>
      <c r="CD76" s="589"/>
      <c r="CE76" s="589"/>
      <c r="CF76" s="624"/>
      <c r="CG76" s="629"/>
      <c r="CH76" s="623"/>
      <c r="CI76" s="624"/>
      <c r="CN76" s="7">
        <v>66</v>
      </c>
    </row>
    <row r="77" spans="1:92" s="7" customFormat="1" ht="14.65" customHeight="1">
      <c r="A77" s="6" t="str">
        <f t="shared" si="68"/>
        <v/>
      </c>
      <c r="B77" s="43"/>
      <c r="C77" s="6"/>
      <c r="D77" s="6"/>
      <c r="E77" s="43"/>
      <c r="F77" s="44"/>
      <c r="G77" s="22"/>
      <c r="H77" s="23"/>
      <c r="I77" s="47">
        <f t="shared" si="69"/>
        <v>0</v>
      </c>
      <c r="J77" s="47">
        <f t="shared" si="70"/>
        <v>0</v>
      </c>
      <c r="K77" s="58" t="str">
        <f t="shared" si="71"/>
        <v/>
      </c>
      <c r="L77" s="58" t="str">
        <f t="shared" si="72"/>
        <v/>
      </c>
      <c r="M77" s="24"/>
      <c r="N77" s="25"/>
      <c r="O77" s="26">
        <f t="shared" si="73"/>
        <v>0</v>
      </c>
      <c r="P77" s="26">
        <f t="shared" si="74"/>
        <v>0</v>
      </c>
      <c r="Q77" s="27" t="str">
        <f t="shared" si="75"/>
        <v/>
      </c>
      <c r="R77" s="27" t="str">
        <f t="shared" si="76"/>
        <v/>
      </c>
      <c r="S77" s="29"/>
      <c r="T77" s="30"/>
      <c r="U77" s="31">
        <f t="shared" si="77"/>
        <v>0</v>
      </c>
      <c r="V77" s="31">
        <f t="shared" si="78"/>
        <v>0</v>
      </c>
      <c r="W77" s="32" t="str">
        <f t="shared" si="79"/>
        <v/>
      </c>
      <c r="X77" s="32" t="str">
        <f t="shared" si="80"/>
        <v/>
      </c>
      <c r="Y77" s="24"/>
      <c r="Z77" s="24"/>
      <c r="AA77" s="25">
        <f t="shared" si="81"/>
        <v>0</v>
      </c>
      <c r="AB77" s="26">
        <f t="shared" si="82"/>
        <v>0</v>
      </c>
      <c r="AC77" s="26" t="str">
        <f t="shared" si="83"/>
        <v/>
      </c>
      <c r="AD77" s="27" t="str">
        <f t="shared" si="84"/>
        <v/>
      </c>
      <c r="AE77" s="39" t="str">
        <f t="shared" si="85"/>
        <v/>
      </c>
      <c r="AF77" s="39" t="str">
        <f t="shared" si="86"/>
        <v/>
      </c>
      <c r="AG77" s="40" t="str">
        <f t="shared" si="87"/>
        <v/>
      </c>
      <c r="AH77" s="41" t="str">
        <f t="shared" si="88"/>
        <v/>
      </c>
      <c r="AI77" s="39" t="str">
        <f>IF(B77="","",ROUND(GEOMEAN((J77,P77,V77)),0))</f>
        <v/>
      </c>
      <c r="AJ77" s="39" t="str">
        <f>IF(B77="","",ROUND(GEOMEAN((L77,R77,X77)),0))</f>
        <v/>
      </c>
      <c r="AK77" s="40" t="str">
        <f t="shared" si="89"/>
        <v/>
      </c>
      <c r="AL77" s="40" t="str">
        <f t="shared" si="90"/>
        <v/>
      </c>
      <c r="AM77" s="42" t="e">
        <f t="shared" si="91"/>
        <v>#DIV/0!</v>
      </c>
      <c r="AN77" s="42" t="e">
        <f t="shared" si="92"/>
        <v>#DIV/0!</v>
      </c>
      <c r="AO77" s="39" t="str">
        <f t="shared" si="93"/>
        <v/>
      </c>
      <c r="AP77" s="39" t="str">
        <f t="shared" si="94"/>
        <v/>
      </c>
      <c r="AQ77" s="40" t="str">
        <f t="shared" si="95"/>
        <v/>
      </c>
      <c r="AR77" s="41" t="str">
        <f t="shared" si="96"/>
        <v/>
      </c>
      <c r="AS77" s="39" t="str">
        <f>IF(L77="","",ROUND(GEOMEAN((J77,P77,V77,AB77)),0))</f>
        <v/>
      </c>
      <c r="AT77" s="39" t="str">
        <f>IF(L77="","",ROUND(GEOMEAN((L77,R77,X77,AD77)),0))</f>
        <v/>
      </c>
      <c r="AU77" s="40" t="str">
        <f t="shared" si="97"/>
        <v/>
      </c>
      <c r="AV77" s="40" t="str">
        <f t="shared" si="98"/>
        <v/>
      </c>
      <c r="AW77" s="42">
        <f t="shared" si="99"/>
        <v>0</v>
      </c>
      <c r="AX77" s="42">
        <f t="shared" si="100"/>
        <v>0</v>
      </c>
      <c r="AY77" s="5"/>
      <c r="BY77" s="623"/>
      <c r="BZ77" s="589"/>
      <c r="CA77" s="589"/>
      <c r="CB77" s="589"/>
      <c r="CC77" s="589"/>
      <c r="CD77" s="589"/>
      <c r="CE77" s="589"/>
      <c r="CF77" s="624"/>
      <c r="CG77" s="629"/>
      <c r="CH77" s="623"/>
      <c r="CI77" s="624"/>
      <c r="CN77" s="7">
        <v>67</v>
      </c>
    </row>
    <row r="78" spans="1:92" s="7" customFormat="1" ht="14.65" customHeight="1">
      <c r="A78" s="6" t="str">
        <f t="shared" si="68"/>
        <v/>
      </c>
      <c r="B78" s="43"/>
      <c r="C78" s="6"/>
      <c r="D78" s="6"/>
      <c r="E78" s="43"/>
      <c r="F78" s="44"/>
      <c r="G78" s="22"/>
      <c r="H78" s="23"/>
      <c r="I78" s="47">
        <f t="shared" si="69"/>
        <v>0</v>
      </c>
      <c r="J78" s="47">
        <f t="shared" si="70"/>
        <v>0</v>
      </c>
      <c r="K78" s="58" t="str">
        <f t="shared" si="71"/>
        <v/>
      </c>
      <c r="L78" s="58" t="str">
        <f t="shared" si="72"/>
        <v/>
      </c>
      <c r="M78" s="24"/>
      <c r="N78" s="25"/>
      <c r="O78" s="26">
        <f t="shared" si="73"/>
        <v>0</v>
      </c>
      <c r="P78" s="26">
        <f t="shared" si="74"/>
        <v>0</v>
      </c>
      <c r="Q78" s="27" t="str">
        <f t="shared" si="75"/>
        <v/>
      </c>
      <c r="R78" s="27" t="str">
        <f t="shared" si="76"/>
        <v/>
      </c>
      <c r="S78" s="29"/>
      <c r="T78" s="30"/>
      <c r="U78" s="31">
        <f t="shared" si="77"/>
        <v>0</v>
      </c>
      <c r="V78" s="31">
        <f t="shared" si="78"/>
        <v>0</v>
      </c>
      <c r="W78" s="32" t="str">
        <f t="shared" si="79"/>
        <v/>
      </c>
      <c r="X78" s="32" t="str">
        <f t="shared" si="80"/>
        <v/>
      </c>
      <c r="Y78" s="24"/>
      <c r="Z78" s="24"/>
      <c r="AA78" s="25">
        <f t="shared" si="81"/>
        <v>0</v>
      </c>
      <c r="AB78" s="26">
        <f t="shared" si="82"/>
        <v>0</v>
      </c>
      <c r="AC78" s="26" t="str">
        <f t="shared" si="83"/>
        <v/>
      </c>
      <c r="AD78" s="27" t="str">
        <f t="shared" si="84"/>
        <v/>
      </c>
      <c r="AE78" s="39" t="str">
        <f t="shared" si="85"/>
        <v/>
      </c>
      <c r="AF78" s="39" t="str">
        <f t="shared" si="86"/>
        <v/>
      </c>
      <c r="AG78" s="40" t="str">
        <f t="shared" si="87"/>
        <v/>
      </c>
      <c r="AH78" s="41" t="str">
        <f t="shared" si="88"/>
        <v/>
      </c>
      <c r="AI78" s="39" t="str">
        <f>IF(B78="","",ROUND(GEOMEAN((J78,P78,V78)),0))</f>
        <v/>
      </c>
      <c r="AJ78" s="39" t="str">
        <f>IF(B78="","",ROUND(GEOMEAN((L78,R78,X78)),0))</f>
        <v/>
      </c>
      <c r="AK78" s="40" t="str">
        <f t="shared" si="89"/>
        <v/>
      </c>
      <c r="AL78" s="40" t="str">
        <f t="shared" si="90"/>
        <v/>
      </c>
      <c r="AM78" s="42" t="e">
        <f t="shared" si="91"/>
        <v>#DIV/0!</v>
      </c>
      <c r="AN78" s="42" t="e">
        <f t="shared" si="92"/>
        <v>#DIV/0!</v>
      </c>
      <c r="AO78" s="39" t="str">
        <f t="shared" si="93"/>
        <v/>
      </c>
      <c r="AP78" s="39" t="str">
        <f t="shared" si="94"/>
        <v/>
      </c>
      <c r="AQ78" s="40" t="str">
        <f t="shared" si="95"/>
        <v/>
      </c>
      <c r="AR78" s="41" t="str">
        <f t="shared" si="96"/>
        <v/>
      </c>
      <c r="AS78" s="39" t="str">
        <f>IF(L78="","",ROUND(GEOMEAN((J78,P78,V78,AB78)),0))</f>
        <v/>
      </c>
      <c r="AT78" s="39" t="str">
        <f>IF(L78="","",ROUND(GEOMEAN((L78,R78,X78,AD78)),0))</f>
        <v/>
      </c>
      <c r="AU78" s="40" t="str">
        <f t="shared" si="97"/>
        <v/>
      </c>
      <c r="AV78" s="40" t="str">
        <f t="shared" si="98"/>
        <v/>
      </c>
      <c r="AW78" s="42">
        <f t="shared" si="99"/>
        <v>0</v>
      </c>
      <c r="AX78" s="42">
        <f t="shared" si="100"/>
        <v>0</v>
      </c>
      <c r="AY78" s="5"/>
      <c r="BY78" s="623"/>
      <c r="BZ78" s="589"/>
      <c r="CA78" s="589"/>
      <c r="CB78" s="589"/>
      <c r="CC78" s="589"/>
      <c r="CD78" s="589"/>
      <c r="CE78" s="589"/>
      <c r="CF78" s="624"/>
      <c r="CG78" s="629"/>
      <c r="CH78" s="623"/>
      <c r="CI78" s="624"/>
      <c r="CN78" s="7">
        <v>68</v>
      </c>
    </row>
    <row r="79" spans="1:92" s="7" customFormat="1" ht="14.65" customHeight="1">
      <c r="A79" s="6" t="str">
        <f t="shared" si="68"/>
        <v/>
      </c>
      <c r="B79" s="43"/>
      <c r="C79" s="6"/>
      <c r="D79" s="6"/>
      <c r="E79" s="43"/>
      <c r="F79" s="44"/>
      <c r="G79" s="22"/>
      <c r="H79" s="23"/>
      <c r="I79" s="47">
        <f t="shared" si="69"/>
        <v>0</v>
      </c>
      <c r="J79" s="47">
        <f t="shared" si="70"/>
        <v>0</v>
      </c>
      <c r="K79" s="58" t="str">
        <f t="shared" si="71"/>
        <v/>
      </c>
      <c r="L79" s="58" t="str">
        <f t="shared" si="72"/>
        <v/>
      </c>
      <c r="M79" s="24"/>
      <c r="N79" s="25"/>
      <c r="O79" s="26">
        <f t="shared" si="73"/>
        <v>0</v>
      </c>
      <c r="P79" s="26">
        <f t="shared" si="74"/>
        <v>0</v>
      </c>
      <c r="Q79" s="27" t="str">
        <f t="shared" si="75"/>
        <v/>
      </c>
      <c r="R79" s="27" t="str">
        <f t="shared" si="76"/>
        <v/>
      </c>
      <c r="S79" s="29"/>
      <c r="T79" s="30"/>
      <c r="U79" s="31">
        <f t="shared" si="77"/>
        <v>0</v>
      </c>
      <c r="V79" s="31">
        <f t="shared" si="78"/>
        <v>0</v>
      </c>
      <c r="W79" s="32" t="str">
        <f t="shared" si="79"/>
        <v/>
      </c>
      <c r="X79" s="32" t="str">
        <f t="shared" si="80"/>
        <v/>
      </c>
      <c r="Y79" s="24"/>
      <c r="Z79" s="24"/>
      <c r="AA79" s="25">
        <f t="shared" si="81"/>
        <v>0</v>
      </c>
      <c r="AB79" s="26">
        <f t="shared" si="82"/>
        <v>0</v>
      </c>
      <c r="AC79" s="26" t="str">
        <f t="shared" si="83"/>
        <v/>
      </c>
      <c r="AD79" s="27" t="str">
        <f t="shared" si="84"/>
        <v/>
      </c>
      <c r="AE79" s="39" t="str">
        <f t="shared" si="85"/>
        <v/>
      </c>
      <c r="AF79" s="39" t="str">
        <f t="shared" si="86"/>
        <v/>
      </c>
      <c r="AG79" s="40" t="str">
        <f t="shared" si="87"/>
        <v/>
      </c>
      <c r="AH79" s="41" t="str">
        <f t="shared" si="88"/>
        <v/>
      </c>
      <c r="AI79" s="39" t="str">
        <f>IF(B79="","",ROUND(GEOMEAN((J79,P79,V79)),0))</f>
        <v/>
      </c>
      <c r="AJ79" s="39" t="str">
        <f>IF(B79="","",ROUND(GEOMEAN((L79,R79,X79)),0))</f>
        <v/>
      </c>
      <c r="AK79" s="40" t="str">
        <f t="shared" si="89"/>
        <v/>
      </c>
      <c r="AL79" s="40" t="str">
        <f t="shared" si="90"/>
        <v/>
      </c>
      <c r="AM79" s="42" t="e">
        <f t="shared" si="91"/>
        <v>#DIV/0!</v>
      </c>
      <c r="AN79" s="42" t="e">
        <f t="shared" si="92"/>
        <v>#DIV/0!</v>
      </c>
      <c r="AO79" s="39" t="str">
        <f t="shared" si="93"/>
        <v/>
      </c>
      <c r="AP79" s="39" t="str">
        <f t="shared" si="94"/>
        <v/>
      </c>
      <c r="AQ79" s="40" t="str">
        <f t="shared" si="95"/>
        <v/>
      </c>
      <c r="AR79" s="41" t="str">
        <f t="shared" si="96"/>
        <v/>
      </c>
      <c r="AS79" s="39" t="str">
        <f>IF(L79="","",ROUND(GEOMEAN((J79,P79,V79,AB79)),0))</f>
        <v/>
      </c>
      <c r="AT79" s="39" t="str">
        <f>IF(L79="","",ROUND(GEOMEAN((L79,R79,X79,AD79)),0))</f>
        <v/>
      </c>
      <c r="AU79" s="40" t="str">
        <f t="shared" si="97"/>
        <v/>
      </c>
      <c r="AV79" s="40" t="str">
        <f t="shared" si="98"/>
        <v/>
      </c>
      <c r="AW79" s="42">
        <f t="shared" si="99"/>
        <v>0</v>
      </c>
      <c r="AX79" s="42">
        <f t="shared" si="100"/>
        <v>0</v>
      </c>
      <c r="AY79" s="5"/>
      <c r="BY79" s="623"/>
      <c r="BZ79" s="589"/>
      <c r="CA79" s="589"/>
      <c r="CB79" s="589"/>
      <c r="CC79" s="589"/>
      <c r="CD79" s="589"/>
      <c r="CE79" s="589"/>
      <c r="CF79" s="624"/>
      <c r="CG79" s="629"/>
      <c r="CH79" s="623"/>
      <c r="CI79" s="624"/>
      <c r="CN79" s="7">
        <v>69</v>
      </c>
    </row>
    <row r="80" spans="1:92" s="7" customFormat="1" ht="14.65" customHeight="1">
      <c r="A80" s="6" t="str">
        <f t="shared" si="68"/>
        <v/>
      </c>
      <c r="B80" s="43"/>
      <c r="C80" s="6"/>
      <c r="D80" s="6"/>
      <c r="E80" s="43"/>
      <c r="F80" s="44"/>
      <c r="G80" s="22"/>
      <c r="H80" s="23"/>
      <c r="I80" s="47">
        <f t="shared" si="69"/>
        <v>0</v>
      </c>
      <c r="J80" s="47">
        <f t="shared" si="70"/>
        <v>0</v>
      </c>
      <c r="K80" s="58" t="str">
        <f t="shared" si="71"/>
        <v/>
      </c>
      <c r="L80" s="58" t="str">
        <f t="shared" si="72"/>
        <v/>
      </c>
      <c r="M80" s="24"/>
      <c r="N80" s="25"/>
      <c r="O80" s="26">
        <f t="shared" si="73"/>
        <v>0</v>
      </c>
      <c r="P80" s="26">
        <f t="shared" si="74"/>
        <v>0</v>
      </c>
      <c r="Q80" s="27" t="str">
        <f t="shared" si="75"/>
        <v/>
      </c>
      <c r="R80" s="27" t="str">
        <f t="shared" si="76"/>
        <v/>
      </c>
      <c r="S80" s="29"/>
      <c r="T80" s="30"/>
      <c r="U80" s="31">
        <f t="shared" si="77"/>
        <v>0</v>
      </c>
      <c r="V80" s="31">
        <f t="shared" si="78"/>
        <v>0</v>
      </c>
      <c r="W80" s="32" t="str">
        <f t="shared" si="79"/>
        <v/>
      </c>
      <c r="X80" s="32" t="str">
        <f t="shared" si="80"/>
        <v/>
      </c>
      <c r="Y80" s="24"/>
      <c r="Z80" s="24"/>
      <c r="AA80" s="25">
        <f t="shared" si="81"/>
        <v>0</v>
      </c>
      <c r="AB80" s="26">
        <f t="shared" si="82"/>
        <v>0</v>
      </c>
      <c r="AC80" s="26" t="str">
        <f t="shared" si="83"/>
        <v/>
      </c>
      <c r="AD80" s="27" t="str">
        <f t="shared" si="84"/>
        <v/>
      </c>
      <c r="AE80" s="39" t="str">
        <f t="shared" si="85"/>
        <v/>
      </c>
      <c r="AF80" s="39" t="str">
        <f t="shared" si="86"/>
        <v/>
      </c>
      <c r="AG80" s="40" t="str">
        <f t="shared" si="87"/>
        <v/>
      </c>
      <c r="AH80" s="41" t="str">
        <f t="shared" si="88"/>
        <v/>
      </c>
      <c r="AI80" s="39" t="str">
        <f>IF(B80="","",ROUND(GEOMEAN((J80,P80,V80)),0))</f>
        <v/>
      </c>
      <c r="AJ80" s="39" t="str">
        <f>IF(B80="","",ROUND(GEOMEAN((L80,R80,X80)),0))</f>
        <v/>
      </c>
      <c r="AK80" s="40" t="str">
        <f t="shared" si="89"/>
        <v/>
      </c>
      <c r="AL80" s="40" t="str">
        <f t="shared" si="90"/>
        <v/>
      </c>
      <c r="AM80" s="42" t="e">
        <f t="shared" si="91"/>
        <v>#DIV/0!</v>
      </c>
      <c r="AN80" s="42" t="e">
        <f t="shared" si="92"/>
        <v>#DIV/0!</v>
      </c>
      <c r="AO80" s="39" t="str">
        <f t="shared" si="93"/>
        <v/>
      </c>
      <c r="AP80" s="39" t="str">
        <f t="shared" si="94"/>
        <v/>
      </c>
      <c r="AQ80" s="40" t="str">
        <f t="shared" si="95"/>
        <v/>
      </c>
      <c r="AR80" s="41" t="str">
        <f t="shared" si="96"/>
        <v/>
      </c>
      <c r="AS80" s="39" t="str">
        <f>IF(L80="","",ROUND(GEOMEAN((J80,P80,V80,AB80)),0))</f>
        <v/>
      </c>
      <c r="AT80" s="39" t="str">
        <f>IF(L80="","",ROUND(GEOMEAN((L80,R80,X80,AD80)),0))</f>
        <v/>
      </c>
      <c r="AU80" s="40" t="str">
        <f t="shared" si="97"/>
        <v/>
      </c>
      <c r="AV80" s="40" t="str">
        <f t="shared" si="98"/>
        <v/>
      </c>
      <c r="AW80" s="42">
        <f t="shared" si="99"/>
        <v>0</v>
      </c>
      <c r="AX80" s="42">
        <f t="shared" si="100"/>
        <v>0</v>
      </c>
      <c r="AY80" s="5"/>
      <c r="BY80" s="623"/>
      <c r="BZ80" s="589"/>
      <c r="CA80" s="589"/>
      <c r="CB80" s="589"/>
      <c r="CC80" s="589"/>
      <c r="CD80" s="589"/>
      <c r="CE80" s="589"/>
      <c r="CF80" s="624"/>
      <c r="CG80" s="629"/>
      <c r="CH80" s="623"/>
      <c r="CI80" s="624"/>
      <c r="CN80" s="7">
        <v>70</v>
      </c>
    </row>
    <row r="81" spans="1:92" s="7" customFormat="1">
      <c r="A81" s="6" t="str">
        <f t="shared" si="68"/>
        <v/>
      </c>
      <c r="B81" s="43"/>
      <c r="C81" s="6"/>
      <c r="D81" s="6"/>
      <c r="E81" s="43"/>
      <c r="F81" s="44"/>
      <c r="G81" s="22"/>
      <c r="H81" s="23"/>
      <c r="I81" s="47">
        <f t="shared" si="69"/>
        <v>0</v>
      </c>
      <c r="J81" s="47">
        <f t="shared" si="70"/>
        <v>0</v>
      </c>
      <c r="K81" s="58" t="str">
        <f t="shared" si="71"/>
        <v/>
      </c>
      <c r="L81" s="58" t="str">
        <f t="shared" si="72"/>
        <v/>
      </c>
      <c r="M81" s="24"/>
      <c r="N81" s="25"/>
      <c r="O81" s="26">
        <f t="shared" si="73"/>
        <v>0</v>
      </c>
      <c r="P81" s="26">
        <f t="shared" si="74"/>
        <v>0</v>
      </c>
      <c r="Q81" s="27" t="str">
        <f t="shared" si="75"/>
        <v/>
      </c>
      <c r="R81" s="27" t="str">
        <f t="shared" si="76"/>
        <v/>
      </c>
      <c r="S81" s="29"/>
      <c r="T81" s="30"/>
      <c r="U81" s="31">
        <f t="shared" si="77"/>
        <v>0</v>
      </c>
      <c r="V81" s="31">
        <f t="shared" si="78"/>
        <v>0</v>
      </c>
      <c r="W81" s="32" t="str">
        <f t="shared" si="79"/>
        <v/>
      </c>
      <c r="X81" s="32" t="str">
        <f t="shared" si="80"/>
        <v/>
      </c>
      <c r="Y81" s="24"/>
      <c r="Z81" s="24"/>
      <c r="AA81" s="25">
        <f t="shared" si="81"/>
        <v>0</v>
      </c>
      <c r="AB81" s="26">
        <f t="shared" si="82"/>
        <v>0</v>
      </c>
      <c r="AC81" s="26" t="str">
        <f t="shared" si="83"/>
        <v/>
      </c>
      <c r="AD81" s="27" t="str">
        <f t="shared" si="84"/>
        <v/>
      </c>
      <c r="AE81" s="39" t="str">
        <f t="shared" si="85"/>
        <v/>
      </c>
      <c r="AF81" s="39" t="str">
        <f t="shared" si="86"/>
        <v/>
      </c>
      <c r="AG81" s="40" t="str">
        <f t="shared" si="87"/>
        <v/>
      </c>
      <c r="AH81" s="41" t="str">
        <f t="shared" si="88"/>
        <v/>
      </c>
      <c r="AI81" s="39" t="str">
        <f>IF(B81="","",ROUND(GEOMEAN((J81,P81,V81)),0))</f>
        <v/>
      </c>
      <c r="AJ81" s="39" t="str">
        <f>IF(B81="","",ROUND(GEOMEAN((L81,R81,X81)),0))</f>
        <v/>
      </c>
      <c r="AK81" s="40" t="str">
        <f t="shared" si="89"/>
        <v/>
      </c>
      <c r="AL81" s="40" t="str">
        <f t="shared" si="90"/>
        <v/>
      </c>
      <c r="AM81" s="42" t="e">
        <f t="shared" si="91"/>
        <v>#DIV/0!</v>
      </c>
      <c r="AN81" s="42" t="e">
        <f t="shared" si="92"/>
        <v>#DIV/0!</v>
      </c>
      <c r="AO81" s="39" t="str">
        <f t="shared" si="93"/>
        <v/>
      </c>
      <c r="AP81" s="39" t="str">
        <f t="shared" si="94"/>
        <v/>
      </c>
      <c r="AQ81" s="40" t="str">
        <f t="shared" si="95"/>
        <v/>
      </c>
      <c r="AR81" s="41" t="str">
        <f t="shared" si="96"/>
        <v/>
      </c>
      <c r="AS81" s="39" t="str">
        <f>IF(L81="","",ROUND(GEOMEAN((J81,P81,V81,AB81)),0))</f>
        <v/>
      </c>
      <c r="AT81" s="39" t="str">
        <f>IF(L81="","",ROUND(GEOMEAN((L81,R81,X81,AD81)),0))</f>
        <v/>
      </c>
      <c r="AU81" s="40" t="str">
        <f t="shared" si="97"/>
        <v/>
      </c>
      <c r="AV81" s="40" t="str">
        <f t="shared" si="98"/>
        <v/>
      </c>
      <c r="AW81" s="42">
        <f t="shared" si="99"/>
        <v>0</v>
      </c>
      <c r="AX81" s="42">
        <f t="shared" si="100"/>
        <v>0</v>
      </c>
      <c r="AY81" s="5"/>
      <c r="BY81" s="623"/>
      <c r="BZ81" s="589"/>
      <c r="CA81" s="589"/>
      <c r="CB81" s="589"/>
      <c r="CC81" s="589"/>
      <c r="CD81" s="589"/>
      <c r="CE81" s="589"/>
      <c r="CF81" s="624"/>
      <c r="CG81" s="629"/>
      <c r="CH81" s="623"/>
      <c r="CI81" s="624"/>
      <c r="CN81" s="7">
        <v>71</v>
      </c>
    </row>
    <row r="82" spans="1:92" s="7" customFormat="1">
      <c r="A82" s="6" t="str">
        <f t="shared" si="68"/>
        <v/>
      </c>
      <c r="B82" s="43"/>
      <c r="C82" s="6"/>
      <c r="D82" s="6"/>
      <c r="E82" s="43"/>
      <c r="F82" s="44"/>
      <c r="G82" s="22"/>
      <c r="H82" s="23"/>
      <c r="I82" s="47">
        <f t="shared" si="69"/>
        <v>0</v>
      </c>
      <c r="J82" s="47">
        <f t="shared" si="70"/>
        <v>0</v>
      </c>
      <c r="K82" s="58" t="str">
        <f t="shared" si="71"/>
        <v/>
      </c>
      <c r="L82" s="58" t="str">
        <f t="shared" si="72"/>
        <v/>
      </c>
      <c r="M82" s="24"/>
      <c r="N82" s="25"/>
      <c r="O82" s="26">
        <f t="shared" si="73"/>
        <v>0</v>
      </c>
      <c r="P82" s="26">
        <f t="shared" si="74"/>
        <v>0</v>
      </c>
      <c r="Q82" s="27" t="str">
        <f t="shared" si="75"/>
        <v/>
      </c>
      <c r="R82" s="27" t="str">
        <f t="shared" si="76"/>
        <v/>
      </c>
      <c r="S82" s="29"/>
      <c r="T82" s="30"/>
      <c r="U82" s="31">
        <f t="shared" si="77"/>
        <v>0</v>
      </c>
      <c r="V82" s="31">
        <f t="shared" si="78"/>
        <v>0</v>
      </c>
      <c r="W82" s="32" t="str">
        <f t="shared" si="79"/>
        <v/>
      </c>
      <c r="X82" s="32" t="str">
        <f t="shared" si="80"/>
        <v/>
      </c>
      <c r="Y82" s="24"/>
      <c r="Z82" s="24"/>
      <c r="AA82" s="25">
        <f t="shared" si="81"/>
        <v>0</v>
      </c>
      <c r="AB82" s="26">
        <f t="shared" si="82"/>
        <v>0</v>
      </c>
      <c r="AC82" s="26" t="str">
        <f t="shared" si="83"/>
        <v/>
      </c>
      <c r="AD82" s="27" t="str">
        <f t="shared" si="84"/>
        <v/>
      </c>
      <c r="AE82" s="39" t="str">
        <f t="shared" si="85"/>
        <v/>
      </c>
      <c r="AF82" s="39" t="str">
        <f t="shared" si="86"/>
        <v/>
      </c>
      <c r="AG82" s="40" t="str">
        <f t="shared" si="87"/>
        <v/>
      </c>
      <c r="AH82" s="41" t="str">
        <f t="shared" si="88"/>
        <v/>
      </c>
      <c r="AI82" s="39" t="str">
        <f>IF(B82="","",ROUND(GEOMEAN((J82,P82,V82)),0))</f>
        <v/>
      </c>
      <c r="AJ82" s="39" t="str">
        <f>IF(B82="","",ROUND(GEOMEAN((L82,R82,X82)),0))</f>
        <v/>
      </c>
      <c r="AK82" s="40" t="str">
        <f t="shared" si="89"/>
        <v/>
      </c>
      <c r="AL82" s="40" t="str">
        <f t="shared" si="90"/>
        <v/>
      </c>
      <c r="AM82" s="42" t="e">
        <f t="shared" si="91"/>
        <v>#DIV/0!</v>
      </c>
      <c r="AN82" s="42" t="e">
        <f t="shared" si="92"/>
        <v>#DIV/0!</v>
      </c>
      <c r="AO82" s="39" t="str">
        <f t="shared" si="93"/>
        <v/>
      </c>
      <c r="AP82" s="39" t="str">
        <f t="shared" si="94"/>
        <v/>
      </c>
      <c r="AQ82" s="40" t="str">
        <f t="shared" si="95"/>
        <v/>
      </c>
      <c r="AR82" s="41" t="str">
        <f t="shared" si="96"/>
        <v/>
      </c>
      <c r="AS82" s="39" t="str">
        <f>IF(L82="","",ROUND(GEOMEAN((J82,P82,V82,AB82)),0))</f>
        <v/>
      </c>
      <c r="AT82" s="39" t="str">
        <f>IF(L82="","",ROUND(GEOMEAN((L82,R82,X82,AD82)),0))</f>
        <v/>
      </c>
      <c r="AU82" s="40" t="str">
        <f t="shared" si="97"/>
        <v/>
      </c>
      <c r="AV82" s="40" t="str">
        <f t="shared" si="98"/>
        <v/>
      </c>
      <c r="AW82" s="42">
        <f t="shared" si="99"/>
        <v>0</v>
      </c>
      <c r="AX82" s="42">
        <f t="shared" si="100"/>
        <v>0</v>
      </c>
      <c r="AY82" s="5"/>
      <c r="BY82" s="625"/>
      <c r="BZ82" s="627"/>
      <c r="CA82" s="627"/>
      <c r="CB82" s="627"/>
      <c r="CC82" s="627"/>
      <c r="CD82" s="627"/>
      <c r="CE82" s="627"/>
      <c r="CF82" s="626"/>
      <c r="CG82" s="630"/>
      <c r="CH82" s="625"/>
      <c r="CI82" s="626"/>
      <c r="CN82" s="7">
        <v>72</v>
      </c>
    </row>
    <row r="83" spans="1:92" s="7" customFormat="1">
      <c r="A83" s="6" t="str">
        <f t="shared" si="68"/>
        <v/>
      </c>
      <c r="B83" s="43"/>
      <c r="C83" s="6"/>
      <c r="D83" s="6"/>
      <c r="E83" s="43"/>
      <c r="F83" s="44"/>
      <c r="G83" s="22"/>
      <c r="H83" s="23"/>
      <c r="I83" s="47">
        <f t="shared" si="69"/>
        <v>0</v>
      </c>
      <c r="J83" s="47">
        <f t="shared" si="70"/>
        <v>0</v>
      </c>
      <c r="K83" s="58" t="str">
        <f t="shared" si="71"/>
        <v/>
      </c>
      <c r="L83" s="58" t="str">
        <f t="shared" si="72"/>
        <v/>
      </c>
      <c r="M83" s="24"/>
      <c r="N83" s="25"/>
      <c r="O83" s="26">
        <f t="shared" si="73"/>
        <v>0</v>
      </c>
      <c r="P83" s="26">
        <f t="shared" si="74"/>
        <v>0</v>
      </c>
      <c r="Q83" s="27" t="str">
        <f t="shared" si="75"/>
        <v/>
      </c>
      <c r="R83" s="27" t="str">
        <f t="shared" si="76"/>
        <v/>
      </c>
      <c r="S83" s="29"/>
      <c r="T83" s="30"/>
      <c r="U83" s="31">
        <f t="shared" si="77"/>
        <v>0</v>
      </c>
      <c r="V83" s="31">
        <f t="shared" si="78"/>
        <v>0</v>
      </c>
      <c r="W83" s="32" t="str">
        <f t="shared" si="79"/>
        <v/>
      </c>
      <c r="X83" s="32" t="str">
        <f t="shared" si="80"/>
        <v/>
      </c>
      <c r="Y83" s="24"/>
      <c r="Z83" s="24"/>
      <c r="AA83" s="25">
        <f t="shared" si="81"/>
        <v>0</v>
      </c>
      <c r="AB83" s="26">
        <f t="shared" si="82"/>
        <v>0</v>
      </c>
      <c r="AC83" s="26" t="str">
        <f t="shared" si="83"/>
        <v/>
      </c>
      <c r="AD83" s="27" t="str">
        <f t="shared" si="84"/>
        <v/>
      </c>
      <c r="AE83" s="39" t="str">
        <f t="shared" si="85"/>
        <v/>
      </c>
      <c r="AF83" s="39" t="str">
        <f t="shared" si="86"/>
        <v/>
      </c>
      <c r="AG83" s="40" t="str">
        <f t="shared" si="87"/>
        <v/>
      </c>
      <c r="AH83" s="41" t="str">
        <f t="shared" si="88"/>
        <v/>
      </c>
      <c r="AI83" s="39" t="str">
        <f>IF(B83="","",ROUND(GEOMEAN((J83,P83,V83)),0))</f>
        <v/>
      </c>
      <c r="AJ83" s="39" t="str">
        <f>IF(B83="","",ROUND(GEOMEAN((L83,R83,X83)),0))</f>
        <v/>
      </c>
      <c r="AK83" s="40" t="str">
        <f t="shared" si="89"/>
        <v/>
      </c>
      <c r="AL83" s="40" t="str">
        <f t="shared" si="90"/>
        <v/>
      </c>
      <c r="AM83" s="42" t="e">
        <f t="shared" si="91"/>
        <v>#DIV/0!</v>
      </c>
      <c r="AN83" s="42" t="e">
        <f t="shared" si="92"/>
        <v>#DIV/0!</v>
      </c>
      <c r="AO83" s="39" t="str">
        <f t="shared" si="93"/>
        <v/>
      </c>
      <c r="AP83" s="39" t="str">
        <f t="shared" si="94"/>
        <v/>
      </c>
      <c r="AQ83" s="40" t="str">
        <f t="shared" si="95"/>
        <v/>
      </c>
      <c r="AR83" s="41" t="str">
        <f t="shared" si="96"/>
        <v/>
      </c>
      <c r="AS83" s="39" t="str">
        <f>IF(L83="","",ROUND(GEOMEAN((J83,P83,V83,AB83)),0))</f>
        <v/>
      </c>
      <c r="AT83" s="39" t="str">
        <f>IF(L83="","",ROUND(GEOMEAN((L83,R83,X83,AD83)),0))</f>
        <v/>
      </c>
      <c r="AU83" s="40" t="str">
        <f t="shared" si="97"/>
        <v/>
      </c>
      <c r="AV83" s="40" t="str">
        <f t="shared" si="98"/>
        <v/>
      </c>
      <c r="AW83" s="42">
        <f t="shared" si="99"/>
        <v>0</v>
      </c>
      <c r="AX83" s="42">
        <f t="shared" si="100"/>
        <v>0</v>
      </c>
      <c r="AY83" s="5"/>
      <c r="CN83" s="7">
        <v>73</v>
      </c>
    </row>
    <row r="84" spans="1:92" s="7" customFormat="1">
      <c r="A84" s="6" t="str">
        <f t="shared" si="68"/>
        <v/>
      </c>
      <c r="B84" s="43"/>
      <c r="C84" s="6"/>
      <c r="D84" s="6"/>
      <c r="E84" s="43"/>
      <c r="F84" s="44"/>
      <c r="G84" s="22"/>
      <c r="H84" s="23"/>
      <c r="I84" s="47">
        <f t="shared" si="69"/>
        <v>0</v>
      </c>
      <c r="J84" s="47">
        <f t="shared" si="70"/>
        <v>0</v>
      </c>
      <c r="K84" s="58" t="str">
        <f t="shared" si="71"/>
        <v/>
      </c>
      <c r="L84" s="58" t="str">
        <f t="shared" si="72"/>
        <v/>
      </c>
      <c r="M84" s="24"/>
      <c r="N84" s="25"/>
      <c r="O84" s="26">
        <f t="shared" si="73"/>
        <v>0</v>
      </c>
      <c r="P84" s="26">
        <f t="shared" si="74"/>
        <v>0</v>
      </c>
      <c r="Q84" s="27" t="str">
        <f t="shared" si="75"/>
        <v/>
      </c>
      <c r="R84" s="27" t="str">
        <f t="shared" si="76"/>
        <v/>
      </c>
      <c r="S84" s="29"/>
      <c r="T84" s="30"/>
      <c r="U84" s="31">
        <f t="shared" si="77"/>
        <v>0</v>
      </c>
      <c r="V84" s="31">
        <f t="shared" si="78"/>
        <v>0</v>
      </c>
      <c r="W84" s="32" t="str">
        <f t="shared" si="79"/>
        <v/>
      </c>
      <c r="X84" s="32" t="str">
        <f t="shared" si="80"/>
        <v/>
      </c>
      <c r="Y84" s="24"/>
      <c r="Z84" s="24"/>
      <c r="AA84" s="25">
        <f t="shared" si="81"/>
        <v>0</v>
      </c>
      <c r="AB84" s="26">
        <f t="shared" si="82"/>
        <v>0</v>
      </c>
      <c r="AC84" s="26" t="str">
        <f t="shared" si="83"/>
        <v/>
      </c>
      <c r="AD84" s="27" t="str">
        <f t="shared" si="84"/>
        <v/>
      </c>
      <c r="AE84" s="39" t="str">
        <f t="shared" si="85"/>
        <v/>
      </c>
      <c r="AF84" s="39" t="str">
        <f t="shared" si="86"/>
        <v/>
      </c>
      <c r="AG84" s="40" t="str">
        <f t="shared" si="87"/>
        <v/>
      </c>
      <c r="AH84" s="41" t="str">
        <f t="shared" si="88"/>
        <v/>
      </c>
      <c r="AI84" s="39" t="str">
        <f>IF(B84="","",ROUND(GEOMEAN((J84,P84,V84)),0))</f>
        <v/>
      </c>
      <c r="AJ84" s="39" t="str">
        <f>IF(B84="","",ROUND(GEOMEAN((L84,R84,X84)),0))</f>
        <v/>
      </c>
      <c r="AK84" s="40" t="str">
        <f t="shared" si="89"/>
        <v/>
      </c>
      <c r="AL84" s="40" t="str">
        <f t="shared" si="90"/>
        <v/>
      </c>
      <c r="AM84" s="42" t="e">
        <f t="shared" si="91"/>
        <v>#DIV/0!</v>
      </c>
      <c r="AN84" s="42" t="e">
        <f t="shared" si="92"/>
        <v>#DIV/0!</v>
      </c>
      <c r="AO84" s="39" t="str">
        <f t="shared" si="93"/>
        <v/>
      </c>
      <c r="AP84" s="39" t="str">
        <f t="shared" si="94"/>
        <v/>
      </c>
      <c r="AQ84" s="40" t="str">
        <f t="shared" si="95"/>
        <v/>
      </c>
      <c r="AR84" s="41" t="str">
        <f t="shared" si="96"/>
        <v/>
      </c>
      <c r="AS84" s="39" t="str">
        <f>IF(L84="","",ROUND(GEOMEAN((J84,P84,V84,AB84)),0))</f>
        <v/>
      </c>
      <c r="AT84" s="39" t="str">
        <f>IF(L84="","",ROUND(GEOMEAN((L84,R84,X84,AD84)),0))</f>
        <v/>
      </c>
      <c r="AU84" s="40" t="str">
        <f t="shared" si="97"/>
        <v/>
      </c>
      <c r="AV84" s="40" t="str">
        <f t="shared" si="98"/>
        <v/>
      </c>
      <c r="AW84" s="42">
        <f t="shared" si="99"/>
        <v>0</v>
      </c>
      <c r="AX84" s="42">
        <f t="shared" si="100"/>
        <v>0</v>
      </c>
      <c r="AY84" s="5"/>
      <c r="CN84" s="7">
        <v>74</v>
      </c>
    </row>
    <row r="85" spans="1:92" s="7" customFormat="1">
      <c r="A85" s="6" t="str">
        <f t="shared" si="68"/>
        <v/>
      </c>
      <c r="B85" s="43"/>
      <c r="C85" s="6"/>
      <c r="D85" s="6"/>
      <c r="E85" s="43"/>
      <c r="F85" s="44"/>
      <c r="G85" s="22"/>
      <c r="H85" s="23"/>
      <c r="I85" s="47">
        <f t="shared" si="69"/>
        <v>0</v>
      </c>
      <c r="J85" s="47">
        <f t="shared" si="70"/>
        <v>0</v>
      </c>
      <c r="K85" s="58" t="str">
        <f t="shared" si="71"/>
        <v/>
      </c>
      <c r="L85" s="58" t="str">
        <f t="shared" si="72"/>
        <v/>
      </c>
      <c r="M85" s="24"/>
      <c r="N85" s="25"/>
      <c r="O85" s="26">
        <f t="shared" si="73"/>
        <v>0</v>
      </c>
      <c r="P85" s="26">
        <f t="shared" si="74"/>
        <v>0</v>
      </c>
      <c r="Q85" s="27" t="str">
        <f t="shared" si="75"/>
        <v/>
      </c>
      <c r="R85" s="27" t="str">
        <f t="shared" si="76"/>
        <v/>
      </c>
      <c r="S85" s="29"/>
      <c r="T85" s="30"/>
      <c r="U85" s="31">
        <f t="shared" si="77"/>
        <v>0</v>
      </c>
      <c r="V85" s="31">
        <f t="shared" si="78"/>
        <v>0</v>
      </c>
      <c r="W85" s="32" t="str">
        <f t="shared" si="79"/>
        <v/>
      </c>
      <c r="X85" s="32" t="str">
        <f t="shared" si="80"/>
        <v/>
      </c>
      <c r="Y85" s="24"/>
      <c r="Z85" s="24"/>
      <c r="AA85" s="25">
        <f t="shared" si="81"/>
        <v>0</v>
      </c>
      <c r="AB85" s="26">
        <f t="shared" si="82"/>
        <v>0</v>
      </c>
      <c r="AC85" s="26" t="str">
        <f t="shared" si="83"/>
        <v/>
      </c>
      <c r="AD85" s="27" t="str">
        <f t="shared" si="84"/>
        <v/>
      </c>
      <c r="AE85" s="39" t="str">
        <f t="shared" si="85"/>
        <v/>
      </c>
      <c r="AF85" s="39" t="str">
        <f t="shared" si="86"/>
        <v/>
      </c>
      <c r="AG85" s="40" t="str">
        <f t="shared" si="87"/>
        <v/>
      </c>
      <c r="AH85" s="41" t="str">
        <f t="shared" si="88"/>
        <v/>
      </c>
      <c r="AI85" s="39" t="str">
        <f>IF(B85="","",ROUND(GEOMEAN((J85,P85,V85)),0))</f>
        <v/>
      </c>
      <c r="AJ85" s="39" t="str">
        <f>IF(B85="","",ROUND(GEOMEAN((L85,R85,X85)),0))</f>
        <v/>
      </c>
      <c r="AK85" s="40" t="str">
        <f t="shared" si="89"/>
        <v/>
      </c>
      <c r="AL85" s="40" t="str">
        <f t="shared" si="90"/>
        <v/>
      </c>
      <c r="AM85" s="42" t="e">
        <f t="shared" si="91"/>
        <v>#DIV/0!</v>
      </c>
      <c r="AN85" s="42" t="e">
        <f t="shared" si="92"/>
        <v>#DIV/0!</v>
      </c>
      <c r="AO85" s="39" t="str">
        <f t="shared" si="93"/>
        <v/>
      </c>
      <c r="AP85" s="39" t="str">
        <f t="shared" si="94"/>
        <v/>
      </c>
      <c r="AQ85" s="40" t="str">
        <f t="shared" si="95"/>
        <v/>
      </c>
      <c r="AR85" s="41" t="str">
        <f t="shared" si="96"/>
        <v/>
      </c>
      <c r="AS85" s="39" t="str">
        <f>IF(L85="","",ROUND(GEOMEAN((J85,P85,V85,AB85)),0))</f>
        <v/>
      </c>
      <c r="AT85" s="39" t="str">
        <f>IF(L85="","",ROUND(GEOMEAN((L85,R85,X85,AD85)),0))</f>
        <v/>
      </c>
      <c r="AU85" s="40" t="str">
        <f t="shared" si="97"/>
        <v/>
      </c>
      <c r="AV85" s="40" t="str">
        <f t="shared" si="98"/>
        <v/>
      </c>
      <c r="AW85" s="42">
        <f t="shared" si="99"/>
        <v>0</v>
      </c>
      <c r="AX85" s="42">
        <f t="shared" si="100"/>
        <v>0</v>
      </c>
      <c r="AY85" s="5"/>
      <c r="CN85" s="7">
        <v>75</v>
      </c>
    </row>
    <row r="86" spans="1:92" s="7" customFormat="1">
      <c r="A86" s="6" t="str">
        <f t="shared" si="68"/>
        <v/>
      </c>
      <c r="B86" s="43"/>
      <c r="C86" s="6"/>
      <c r="D86" s="6"/>
      <c r="E86" s="43"/>
      <c r="F86" s="44"/>
      <c r="G86" s="22"/>
      <c r="H86" s="23"/>
      <c r="I86" s="47">
        <f t="shared" si="69"/>
        <v>0</v>
      </c>
      <c r="J86" s="47">
        <f t="shared" si="70"/>
        <v>0</v>
      </c>
      <c r="K86" s="58" t="str">
        <f t="shared" si="71"/>
        <v/>
      </c>
      <c r="L86" s="58" t="str">
        <f t="shared" si="72"/>
        <v/>
      </c>
      <c r="M86" s="24"/>
      <c r="N86" s="25"/>
      <c r="O86" s="26">
        <f t="shared" si="73"/>
        <v>0</v>
      </c>
      <c r="P86" s="26">
        <f t="shared" si="74"/>
        <v>0</v>
      </c>
      <c r="Q86" s="27" t="str">
        <f t="shared" si="75"/>
        <v/>
      </c>
      <c r="R86" s="27" t="str">
        <f t="shared" si="76"/>
        <v/>
      </c>
      <c r="S86" s="29"/>
      <c r="T86" s="30"/>
      <c r="U86" s="31">
        <f t="shared" si="77"/>
        <v>0</v>
      </c>
      <c r="V86" s="31">
        <f t="shared" si="78"/>
        <v>0</v>
      </c>
      <c r="W86" s="32" t="str">
        <f t="shared" si="79"/>
        <v/>
      </c>
      <c r="X86" s="32" t="str">
        <f t="shared" si="80"/>
        <v/>
      </c>
      <c r="Y86" s="24"/>
      <c r="Z86" s="24"/>
      <c r="AA86" s="25">
        <f t="shared" si="81"/>
        <v>0</v>
      </c>
      <c r="AB86" s="26">
        <f t="shared" si="82"/>
        <v>0</v>
      </c>
      <c r="AC86" s="26" t="str">
        <f t="shared" si="83"/>
        <v/>
      </c>
      <c r="AD86" s="27" t="str">
        <f t="shared" si="84"/>
        <v/>
      </c>
      <c r="AE86" s="39" t="str">
        <f t="shared" si="85"/>
        <v/>
      </c>
      <c r="AF86" s="39" t="str">
        <f t="shared" si="86"/>
        <v/>
      </c>
      <c r="AG86" s="40" t="str">
        <f t="shared" si="87"/>
        <v/>
      </c>
      <c r="AH86" s="41" t="str">
        <f t="shared" si="88"/>
        <v/>
      </c>
      <c r="AI86" s="39" t="str">
        <f>IF(B86="","",ROUND(GEOMEAN((J86,P86,V86)),0))</f>
        <v/>
      </c>
      <c r="AJ86" s="39" t="str">
        <f>IF(B86="","",ROUND(GEOMEAN((L86,R86,X86)),0))</f>
        <v/>
      </c>
      <c r="AK86" s="40" t="str">
        <f t="shared" si="89"/>
        <v/>
      </c>
      <c r="AL86" s="40" t="str">
        <f t="shared" si="90"/>
        <v/>
      </c>
      <c r="AM86" s="42" t="e">
        <f t="shared" si="91"/>
        <v>#DIV/0!</v>
      </c>
      <c r="AN86" s="42" t="e">
        <f t="shared" si="92"/>
        <v>#DIV/0!</v>
      </c>
      <c r="AO86" s="39" t="str">
        <f t="shared" si="93"/>
        <v/>
      </c>
      <c r="AP86" s="39" t="str">
        <f t="shared" si="94"/>
        <v/>
      </c>
      <c r="AQ86" s="40" t="str">
        <f t="shared" si="95"/>
        <v/>
      </c>
      <c r="AR86" s="41" t="str">
        <f t="shared" si="96"/>
        <v/>
      </c>
      <c r="AS86" s="39" t="str">
        <f>IF(L86="","",ROUND(GEOMEAN((J86,P86,V86,AB86)),0))</f>
        <v/>
      </c>
      <c r="AT86" s="39" t="str">
        <f>IF(L86="","",ROUND(GEOMEAN((L86,R86,X86,AD86)),0))</f>
        <v/>
      </c>
      <c r="AU86" s="40" t="str">
        <f t="shared" si="97"/>
        <v/>
      </c>
      <c r="AV86" s="40" t="str">
        <f t="shared" si="98"/>
        <v/>
      </c>
      <c r="AW86" s="42">
        <f t="shared" si="99"/>
        <v>0</v>
      </c>
      <c r="AX86" s="42">
        <f t="shared" si="100"/>
        <v>0</v>
      </c>
      <c r="AY86" s="5"/>
      <c r="CN86" s="7">
        <v>76</v>
      </c>
    </row>
    <row r="87" spans="1:92" s="7" customFormat="1">
      <c r="A87" s="6" t="str">
        <f t="shared" si="68"/>
        <v/>
      </c>
      <c r="B87" s="43"/>
      <c r="C87" s="6"/>
      <c r="D87" s="6"/>
      <c r="E87" s="43"/>
      <c r="F87" s="44"/>
      <c r="G87" s="22"/>
      <c r="H87" s="23"/>
      <c r="I87" s="47">
        <f t="shared" si="69"/>
        <v>0</v>
      </c>
      <c r="J87" s="47">
        <f t="shared" si="70"/>
        <v>0</v>
      </c>
      <c r="K87" s="58" t="str">
        <f t="shared" si="71"/>
        <v/>
      </c>
      <c r="L87" s="58" t="str">
        <f t="shared" si="72"/>
        <v/>
      </c>
      <c r="M87" s="24"/>
      <c r="N87" s="25"/>
      <c r="O87" s="26">
        <f t="shared" si="73"/>
        <v>0</v>
      </c>
      <c r="P87" s="26">
        <f t="shared" si="74"/>
        <v>0</v>
      </c>
      <c r="Q87" s="27" t="str">
        <f t="shared" si="75"/>
        <v/>
      </c>
      <c r="R87" s="27" t="str">
        <f t="shared" si="76"/>
        <v/>
      </c>
      <c r="S87" s="29"/>
      <c r="T87" s="30"/>
      <c r="U87" s="31">
        <f t="shared" si="77"/>
        <v>0</v>
      </c>
      <c r="V87" s="31">
        <f t="shared" si="78"/>
        <v>0</v>
      </c>
      <c r="W87" s="32" t="str">
        <f t="shared" si="79"/>
        <v/>
      </c>
      <c r="X87" s="32" t="str">
        <f t="shared" si="80"/>
        <v/>
      </c>
      <c r="Y87" s="24"/>
      <c r="Z87" s="24"/>
      <c r="AA87" s="25">
        <f t="shared" si="81"/>
        <v>0</v>
      </c>
      <c r="AB87" s="26">
        <f t="shared" si="82"/>
        <v>0</v>
      </c>
      <c r="AC87" s="26" t="str">
        <f t="shared" si="83"/>
        <v/>
      </c>
      <c r="AD87" s="27" t="str">
        <f t="shared" si="84"/>
        <v/>
      </c>
      <c r="AE87" s="39" t="str">
        <f t="shared" si="85"/>
        <v/>
      </c>
      <c r="AF87" s="39" t="str">
        <f t="shared" si="86"/>
        <v/>
      </c>
      <c r="AG87" s="40" t="str">
        <f t="shared" si="87"/>
        <v/>
      </c>
      <c r="AH87" s="41" t="str">
        <f t="shared" si="88"/>
        <v/>
      </c>
      <c r="AI87" s="39" t="str">
        <f>IF(B87="","",ROUND(GEOMEAN((J87,P87,V87)),0))</f>
        <v/>
      </c>
      <c r="AJ87" s="39" t="str">
        <f>IF(B87="","",ROUND(GEOMEAN((L87,R87,X87)),0))</f>
        <v/>
      </c>
      <c r="AK87" s="40" t="str">
        <f t="shared" si="89"/>
        <v/>
      </c>
      <c r="AL87" s="40" t="str">
        <f t="shared" si="90"/>
        <v/>
      </c>
      <c r="AM87" s="42" t="e">
        <f t="shared" si="91"/>
        <v>#DIV/0!</v>
      </c>
      <c r="AN87" s="42" t="e">
        <f t="shared" si="92"/>
        <v>#DIV/0!</v>
      </c>
      <c r="AO87" s="39" t="str">
        <f t="shared" si="93"/>
        <v/>
      </c>
      <c r="AP87" s="39" t="str">
        <f t="shared" si="94"/>
        <v/>
      </c>
      <c r="AQ87" s="40" t="str">
        <f t="shared" si="95"/>
        <v/>
      </c>
      <c r="AR87" s="41" t="str">
        <f t="shared" si="96"/>
        <v/>
      </c>
      <c r="AS87" s="39" t="str">
        <f>IF(L87="","",ROUND(GEOMEAN((J87,P87,V87,AB87)),0))</f>
        <v/>
      </c>
      <c r="AT87" s="39" t="str">
        <f>IF(L87="","",ROUND(GEOMEAN((L87,R87,X87,AD87)),0))</f>
        <v/>
      </c>
      <c r="AU87" s="40" t="str">
        <f t="shared" si="97"/>
        <v/>
      </c>
      <c r="AV87" s="40" t="str">
        <f t="shared" si="98"/>
        <v/>
      </c>
      <c r="AW87" s="42">
        <f t="shared" si="99"/>
        <v>0</v>
      </c>
      <c r="AX87" s="42">
        <f t="shared" si="100"/>
        <v>0</v>
      </c>
      <c r="AY87" s="5"/>
      <c r="CN87" s="7">
        <v>77</v>
      </c>
    </row>
    <row r="88" spans="1:92" s="7" customFormat="1">
      <c r="A88" s="6" t="str">
        <f t="shared" si="68"/>
        <v/>
      </c>
      <c r="B88" s="43"/>
      <c r="C88" s="6"/>
      <c r="D88" s="6"/>
      <c r="E88" s="43"/>
      <c r="F88" s="44"/>
      <c r="G88" s="22"/>
      <c r="H88" s="23"/>
      <c r="I88" s="47">
        <f t="shared" si="69"/>
        <v>0</v>
      </c>
      <c r="J88" s="47">
        <f t="shared" si="70"/>
        <v>0</v>
      </c>
      <c r="K88" s="58" t="str">
        <f t="shared" si="71"/>
        <v/>
      </c>
      <c r="L88" s="58" t="str">
        <f t="shared" si="72"/>
        <v/>
      </c>
      <c r="M88" s="24"/>
      <c r="N88" s="25"/>
      <c r="O88" s="26">
        <f t="shared" si="73"/>
        <v>0</v>
      </c>
      <c r="P88" s="26">
        <f t="shared" si="74"/>
        <v>0</v>
      </c>
      <c r="Q88" s="27" t="str">
        <f t="shared" si="75"/>
        <v/>
      </c>
      <c r="R88" s="27" t="str">
        <f t="shared" si="76"/>
        <v/>
      </c>
      <c r="S88" s="29"/>
      <c r="T88" s="30"/>
      <c r="U88" s="31">
        <f t="shared" si="77"/>
        <v>0</v>
      </c>
      <c r="V88" s="31">
        <f t="shared" si="78"/>
        <v>0</v>
      </c>
      <c r="W88" s="32" t="str">
        <f t="shared" si="79"/>
        <v/>
      </c>
      <c r="X88" s="32" t="str">
        <f t="shared" si="80"/>
        <v/>
      </c>
      <c r="Y88" s="24"/>
      <c r="Z88" s="24"/>
      <c r="AA88" s="25">
        <f t="shared" si="81"/>
        <v>0</v>
      </c>
      <c r="AB88" s="26">
        <f t="shared" si="82"/>
        <v>0</v>
      </c>
      <c r="AC88" s="26" t="str">
        <f t="shared" si="83"/>
        <v/>
      </c>
      <c r="AD88" s="27" t="str">
        <f t="shared" si="84"/>
        <v/>
      </c>
      <c r="AE88" s="39" t="str">
        <f t="shared" si="85"/>
        <v/>
      </c>
      <c r="AF88" s="39" t="str">
        <f t="shared" si="86"/>
        <v/>
      </c>
      <c r="AG88" s="40" t="str">
        <f t="shared" si="87"/>
        <v/>
      </c>
      <c r="AH88" s="41" t="str">
        <f t="shared" si="88"/>
        <v/>
      </c>
      <c r="AI88" s="39" t="str">
        <f>IF(B88="","",ROUND(GEOMEAN((J88,P88,V88)),0))</f>
        <v/>
      </c>
      <c r="AJ88" s="39" t="str">
        <f>IF(B88="","",ROUND(GEOMEAN((L88,R88,X88)),0))</f>
        <v/>
      </c>
      <c r="AK88" s="40" t="str">
        <f t="shared" si="89"/>
        <v/>
      </c>
      <c r="AL88" s="40" t="str">
        <f t="shared" si="90"/>
        <v/>
      </c>
      <c r="AM88" s="42" t="e">
        <f t="shared" si="91"/>
        <v>#DIV/0!</v>
      </c>
      <c r="AN88" s="42" t="e">
        <f t="shared" si="92"/>
        <v>#DIV/0!</v>
      </c>
      <c r="AO88" s="39" t="str">
        <f t="shared" si="93"/>
        <v/>
      </c>
      <c r="AP88" s="39" t="str">
        <f t="shared" si="94"/>
        <v/>
      </c>
      <c r="AQ88" s="40" t="str">
        <f t="shared" si="95"/>
        <v/>
      </c>
      <c r="AR88" s="41" t="str">
        <f t="shared" si="96"/>
        <v/>
      </c>
      <c r="AS88" s="39" t="str">
        <f>IF(L88="","",ROUND(GEOMEAN((J88,P88,V88,AB88)),0))</f>
        <v/>
      </c>
      <c r="AT88" s="39" t="str">
        <f>IF(L88="","",ROUND(GEOMEAN((L88,R88,X88,AD88)),0))</f>
        <v/>
      </c>
      <c r="AU88" s="40" t="str">
        <f t="shared" si="97"/>
        <v/>
      </c>
      <c r="AV88" s="40" t="str">
        <f t="shared" si="98"/>
        <v/>
      </c>
      <c r="AW88" s="42">
        <f t="shared" si="99"/>
        <v>0</v>
      </c>
      <c r="AX88" s="42">
        <f t="shared" si="100"/>
        <v>0</v>
      </c>
      <c r="AY88" s="5"/>
      <c r="CN88" s="7">
        <v>78</v>
      </c>
    </row>
    <row r="89" spans="1:92" s="7" customFormat="1">
      <c r="A89" s="6" t="str">
        <f t="shared" si="68"/>
        <v/>
      </c>
      <c r="B89" s="43"/>
      <c r="C89" s="6"/>
      <c r="D89" s="6"/>
      <c r="E89" s="43"/>
      <c r="F89" s="44"/>
      <c r="G89" s="22"/>
      <c r="H89" s="23"/>
      <c r="I89" s="47">
        <f t="shared" si="69"/>
        <v>0</v>
      </c>
      <c r="J89" s="47">
        <f t="shared" si="70"/>
        <v>0</v>
      </c>
      <c r="K89" s="58" t="str">
        <f t="shared" si="71"/>
        <v/>
      </c>
      <c r="L89" s="58" t="str">
        <f t="shared" si="72"/>
        <v/>
      </c>
      <c r="M89" s="24"/>
      <c r="N89" s="25"/>
      <c r="O89" s="26">
        <f t="shared" si="73"/>
        <v>0</v>
      </c>
      <c r="P89" s="26">
        <f t="shared" si="74"/>
        <v>0</v>
      </c>
      <c r="Q89" s="27" t="str">
        <f t="shared" si="75"/>
        <v/>
      </c>
      <c r="R89" s="27" t="str">
        <f t="shared" si="76"/>
        <v/>
      </c>
      <c r="S89" s="29"/>
      <c r="T89" s="30"/>
      <c r="U89" s="31">
        <f t="shared" si="77"/>
        <v>0</v>
      </c>
      <c r="V89" s="31">
        <f t="shared" si="78"/>
        <v>0</v>
      </c>
      <c r="W89" s="32" t="str">
        <f t="shared" si="79"/>
        <v/>
      </c>
      <c r="X89" s="32" t="str">
        <f t="shared" si="80"/>
        <v/>
      </c>
      <c r="Y89" s="24"/>
      <c r="Z89" s="24"/>
      <c r="AA89" s="25">
        <f t="shared" si="81"/>
        <v>0</v>
      </c>
      <c r="AB89" s="26">
        <f t="shared" si="82"/>
        <v>0</v>
      </c>
      <c r="AC89" s="26" t="str">
        <f t="shared" si="83"/>
        <v/>
      </c>
      <c r="AD89" s="27" t="str">
        <f t="shared" si="84"/>
        <v/>
      </c>
      <c r="AE89" s="39" t="str">
        <f t="shared" si="85"/>
        <v/>
      </c>
      <c r="AF89" s="39" t="str">
        <f t="shared" si="86"/>
        <v/>
      </c>
      <c r="AG89" s="40" t="str">
        <f t="shared" si="87"/>
        <v/>
      </c>
      <c r="AH89" s="41" t="str">
        <f t="shared" si="88"/>
        <v/>
      </c>
      <c r="AI89" s="39" t="str">
        <f>IF(B89="","",ROUND(GEOMEAN((J89,P89,V89)),0))</f>
        <v/>
      </c>
      <c r="AJ89" s="39" t="str">
        <f>IF(B89="","",ROUND(GEOMEAN((L89,R89,X89)),0))</f>
        <v/>
      </c>
      <c r="AK89" s="40" t="str">
        <f t="shared" si="89"/>
        <v/>
      </c>
      <c r="AL89" s="40" t="str">
        <f t="shared" si="90"/>
        <v/>
      </c>
      <c r="AM89" s="42" t="e">
        <f t="shared" si="91"/>
        <v>#DIV/0!</v>
      </c>
      <c r="AN89" s="42" t="e">
        <f t="shared" si="92"/>
        <v>#DIV/0!</v>
      </c>
      <c r="AO89" s="39" t="str">
        <f t="shared" si="93"/>
        <v/>
      </c>
      <c r="AP89" s="39" t="str">
        <f t="shared" si="94"/>
        <v/>
      </c>
      <c r="AQ89" s="40" t="str">
        <f t="shared" si="95"/>
        <v/>
      </c>
      <c r="AR89" s="41" t="str">
        <f t="shared" si="96"/>
        <v/>
      </c>
      <c r="AS89" s="39" t="str">
        <f>IF(L89="","",ROUND(GEOMEAN((J89,P89,V89,AB89)),0))</f>
        <v/>
      </c>
      <c r="AT89" s="39" t="str">
        <f>IF(L89="","",ROUND(GEOMEAN((L89,R89,X89,AD89)),0))</f>
        <v/>
      </c>
      <c r="AU89" s="40" t="str">
        <f t="shared" si="97"/>
        <v/>
      </c>
      <c r="AV89" s="40" t="str">
        <f t="shared" si="98"/>
        <v/>
      </c>
      <c r="AW89" s="42">
        <f t="shared" si="99"/>
        <v>0</v>
      </c>
      <c r="AX89" s="42">
        <f t="shared" si="100"/>
        <v>0</v>
      </c>
      <c r="AY89" s="5"/>
      <c r="CN89" s="7">
        <v>79</v>
      </c>
    </row>
    <row r="90" spans="1:92" s="7" customFormat="1">
      <c r="A90" s="6" t="str">
        <f t="shared" si="68"/>
        <v/>
      </c>
      <c r="B90" s="43"/>
      <c r="C90" s="6"/>
      <c r="D90" s="6"/>
      <c r="E90" s="43"/>
      <c r="F90" s="44"/>
      <c r="G90" s="22"/>
      <c r="H90" s="23"/>
      <c r="I90" s="47">
        <f t="shared" si="69"/>
        <v>0</v>
      </c>
      <c r="J90" s="47">
        <f t="shared" si="70"/>
        <v>0</v>
      </c>
      <c r="K90" s="58" t="str">
        <f t="shared" si="71"/>
        <v/>
      </c>
      <c r="L90" s="58" t="str">
        <f t="shared" si="72"/>
        <v/>
      </c>
      <c r="M90" s="24"/>
      <c r="N90" s="25"/>
      <c r="O90" s="26">
        <f t="shared" si="73"/>
        <v>0</v>
      </c>
      <c r="P90" s="26">
        <f t="shared" si="74"/>
        <v>0</v>
      </c>
      <c r="Q90" s="27" t="str">
        <f t="shared" si="75"/>
        <v/>
      </c>
      <c r="R90" s="27" t="str">
        <f t="shared" si="76"/>
        <v/>
      </c>
      <c r="S90" s="29"/>
      <c r="T90" s="30"/>
      <c r="U90" s="31">
        <f t="shared" si="77"/>
        <v>0</v>
      </c>
      <c r="V90" s="31">
        <f t="shared" si="78"/>
        <v>0</v>
      </c>
      <c r="W90" s="32" t="str">
        <f t="shared" si="79"/>
        <v/>
      </c>
      <c r="X90" s="32" t="str">
        <f t="shared" si="80"/>
        <v/>
      </c>
      <c r="Y90" s="24"/>
      <c r="Z90" s="24"/>
      <c r="AA90" s="25">
        <f t="shared" si="81"/>
        <v>0</v>
      </c>
      <c r="AB90" s="26">
        <f t="shared" si="82"/>
        <v>0</v>
      </c>
      <c r="AC90" s="26" t="str">
        <f t="shared" si="83"/>
        <v/>
      </c>
      <c r="AD90" s="27" t="str">
        <f t="shared" si="84"/>
        <v/>
      </c>
      <c r="AE90" s="39" t="str">
        <f t="shared" si="85"/>
        <v/>
      </c>
      <c r="AF90" s="39" t="str">
        <f t="shared" si="86"/>
        <v/>
      </c>
      <c r="AG90" s="40" t="str">
        <f t="shared" si="87"/>
        <v/>
      </c>
      <c r="AH90" s="41" t="str">
        <f t="shared" si="88"/>
        <v/>
      </c>
      <c r="AI90" s="39" t="str">
        <f>IF(B90="","",ROUND(GEOMEAN((J90,P90,V90)),0))</f>
        <v/>
      </c>
      <c r="AJ90" s="39" t="str">
        <f>IF(B90="","",ROUND(GEOMEAN((L90,R90,X90)),0))</f>
        <v/>
      </c>
      <c r="AK90" s="40" t="str">
        <f t="shared" si="89"/>
        <v/>
      </c>
      <c r="AL90" s="40" t="str">
        <f t="shared" si="90"/>
        <v/>
      </c>
      <c r="AM90" s="42" t="e">
        <f t="shared" si="91"/>
        <v>#DIV/0!</v>
      </c>
      <c r="AN90" s="42" t="e">
        <f t="shared" si="92"/>
        <v>#DIV/0!</v>
      </c>
      <c r="AO90" s="39" t="str">
        <f t="shared" si="93"/>
        <v/>
      </c>
      <c r="AP90" s="39" t="str">
        <f t="shared" si="94"/>
        <v/>
      </c>
      <c r="AQ90" s="40" t="str">
        <f t="shared" si="95"/>
        <v/>
      </c>
      <c r="AR90" s="41" t="str">
        <f t="shared" si="96"/>
        <v/>
      </c>
      <c r="AS90" s="39" t="str">
        <f>IF(L90="","",ROUND(GEOMEAN((J90,P90,V90,AB90)),0))</f>
        <v/>
      </c>
      <c r="AT90" s="39" t="str">
        <f>IF(L90="","",ROUND(GEOMEAN((L90,R90,X90,AD90)),0))</f>
        <v/>
      </c>
      <c r="AU90" s="40" t="str">
        <f t="shared" si="97"/>
        <v/>
      </c>
      <c r="AV90" s="40" t="str">
        <f t="shared" si="98"/>
        <v/>
      </c>
      <c r="AW90" s="42">
        <f t="shared" si="99"/>
        <v>0</v>
      </c>
      <c r="AX90" s="42">
        <f t="shared" si="100"/>
        <v>0</v>
      </c>
      <c r="AY90" s="5"/>
      <c r="CN90" s="7">
        <v>80</v>
      </c>
    </row>
    <row r="91" spans="1:92" s="7" customFormat="1">
      <c r="A91" s="6" t="str">
        <f t="shared" si="68"/>
        <v/>
      </c>
      <c r="B91" s="43"/>
      <c r="C91" s="6"/>
      <c r="D91" s="6"/>
      <c r="E91" s="43"/>
      <c r="F91" s="44"/>
      <c r="G91" s="22"/>
      <c r="H91" s="23"/>
      <c r="I91" s="47">
        <f t="shared" si="69"/>
        <v>0</v>
      </c>
      <c r="J91" s="47">
        <f t="shared" si="70"/>
        <v>0</v>
      </c>
      <c r="K91" s="58" t="str">
        <f t="shared" si="71"/>
        <v/>
      </c>
      <c r="L91" s="58" t="str">
        <f t="shared" si="72"/>
        <v/>
      </c>
      <c r="M91" s="24"/>
      <c r="N91" s="25"/>
      <c r="O91" s="26">
        <f t="shared" si="73"/>
        <v>0</v>
      </c>
      <c r="P91" s="26">
        <f t="shared" si="74"/>
        <v>0</v>
      </c>
      <c r="Q91" s="27" t="str">
        <f t="shared" si="75"/>
        <v/>
      </c>
      <c r="R91" s="27" t="str">
        <f t="shared" si="76"/>
        <v/>
      </c>
      <c r="S91" s="29"/>
      <c r="T91" s="30"/>
      <c r="U91" s="31">
        <f t="shared" si="77"/>
        <v>0</v>
      </c>
      <c r="V91" s="31">
        <f t="shared" si="78"/>
        <v>0</v>
      </c>
      <c r="W91" s="32" t="str">
        <f t="shared" si="79"/>
        <v/>
      </c>
      <c r="X91" s="32" t="str">
        <f t="shared" si="80"/>
        <v/>
      </c>
      <c r="Y91" s="24"/>
      <c r="Z91" s="24"/>
      <c r="AA91" s="25">
        <f t="shared" si="81"/>
        <v>0</v>
      </c>
      <c r="AB91" s="26">
        <f t="shared" si="82"/>
        <v>0</v>
      </c>
      <c r="AC91" s="26" t="str">
        <f t="shared" si="83"/>
        <v/>
      </c>
      <c r="AD91" s="27" t="str">
        <f t="shared" si="84"/>
        <v/>
      </c>
      <c r="AE91" s="39" t="str">
        <f t="shared" si="85"/>
        <v/>
      </c>
      <c r="AF91" s="39" t="str">
        <f t="shared" si="86"/>
        <v/>
      </c>
      <c r="AG91" s="40" t="str">
        <f t="shared" si="87"/>
        <v/>
      </c>
      <c r="AH91" s="41" t="str">
        <f t="shared" si="88"/>
        <v/>
      </c>
      <c r="AI91" s="39" t="str">
        <f>IF(B91="","",ROUND(GEOMEAN((J91,P91,V91)),0))</f>
        <v/>
      </c>
      <c r="AJ91" s="39" t="str">
        <f>IF(B91="","",ROUND(GEOMEAN((L91,R91,X91)),0))</f>
        <v/>
      </c>
      <c r="AK91" s="40" t="str">
        <f t="shared" si="89"/>
        <v/>
      </c>
      <c r="AL91" s="40" t="str">
        <f t="shared" si="90"/>
        <v/>
      </c>
      <c r="AM91" s="42" t="e">
        <f t="shared" si="91"/>
        <v>#DIV/0!</v>
      </c>
      <c r="AN91" s="42" t="e">
        <f t="shared" si="92"/>
        <v>#DIV/0!</v>
      </c>
      <c r="AO91" s="39" t="str">
        <f t="shared" si="93"/>
        <v/>
      </c>
      <c r="AP91" s="39" t="str">
        <f t="shared" si="94"/>
        <v/>
      </c>
      <c r="AQ91" s="40" t="str">
        <f t="shared" si="95"/>
        <v/>
      </c>
      <c r="AR91" s="41" t="str">
        <f t="shared" si="96"/>
        <v/>
      </c>
      <c r="AS91" s="39" t="str">
        <f>IF(L91="","",ROUND(GEOMEAN((J91,P91,V91,AB91)),0))</f>
        <v/>
      </c>
      <c r="AT91" s="39" t="str">
        <f>IF(L91="","",ROUND(GEOMEAN((L91,R91,X91,AD91)),0))</f>
        <v/>
      </c>
      <c r="AU91" s="40" t="str">
        <f t="shared" si="97"/>
        <v/>
      </c>
      <c r="AV91" s="40" t="str">
        <f t="shared" si="98"/>
        <v/>
      </c>
      <c r="AW91" s="42">
        <f t="shared" si="99"/>
        <v>0</v>
      </c>
      <c r="AX91" s="42">
        <f t="shared" si="100"/>
        <v>0</v>
      </c>
      <c r="AY91" s="5"/>
      <c r="CN91" s="7">
        <v>81</v>
      </c>
    </row>
    <row r="92" spans="1:92" s="7" customFormat="1">
      <c r="A92" s="6" t="str">
        <f t="shared" si="68"/>
        <v/>
      </c>
      <c r="B92" s="43"/>
      <c r="C92" s="6"/>
      <c r="D92" s="6"/>
      <c r="E92" s="43"/>
      <c r="F92" s="44"/>
      <c r="G92" s="22"/>
      <c r="H92" s="23"/>
      <c r="I92" s="47">
        <f t="shared" si="69"/>
        <v>0</v>
      </c>
      <c r="J92" s="47">
        <f t="shared" si="70"/>
        <v>0</v>
      </c>
      <c r="K92" s="58" t="str">
        <f t="shared" si="71"/>
        <v/>
      </c>
      <c r="L92" s="58" t="str">
        <f t="shared" si="72"/>
        <v/>
      </c>
      <c r="M92" s="24"/>
      <c r="N92" s="25"/>
      <c r="O92" s="26">
        <f t="shared" si="73"/>
        <v>0</v>
      </c>
      <c r="P92" s="26">
        <f t="shared" si="74"/>
        <v>0</v>
      </c>
      <c r="Q92" s="27" t="str">
        <f t="shared" si="75"/>
        <v/>
      </c>
      <c r="R92" s="27" t="str">
        <f t="shared" si="76"/>
        <v/>
      </c>
      <c r="S92" s="29"/>
      <c r="T92" s="30"/>
      <c r="U92" s="31">
        <f t="shared" si="77"/>
        <v>0</v>
      </c>
      <c r="V92" s="31">
        <f t="shared" si="78"/>
        <v>0</v>
      </c>
      <c r="W92" s="32" t="str">
        <f t="shared" si="79"/>
        <v/>
      </c>
      <c r="X92" s="32" t="str">
        <f t="shared" si="80"/>
        <v/>
      </c>
      <c r="Y92" s="24"/>
      <c r="Z92" s="24"/>
      <c r="AA92" s="25">
        <f t="shared" si="81"/>
        <v>0</v>
      </c>
      <c r="AB92" s="26">
        <f t="shared" si="82"/>
        <v>0</v>
      </c>
      <c r="AC92" s="26" t="str">
        <f t="shared" si="83"/>
        <v/>
      </c>
      <c r="AD92" s="27" t="str">
        <f t="shared" si="84"/>
        <v/>
      </c>
      <c r="AE92" s="39" t="str">
        <f t="shared" si="85"/>
        <v/>
      </c>
      <c r="AF92" s="39" t="str">
        <f t="shared" si="86"/>
        <v/>
      </c>
      <c r="AG92" s="40" t="str">
        <f t="shared" si="87"/>
        <v/>
      </c>
      <c r="AH92" s="41" t="str">
        <f t="shared" si="88"/>
        <v/>
      </c>
      <c r="AI92" s="39" t="str">
        <f>IF(B92="","",ROUND(GEOMEAN((J92,P92,V92)),0))</f>
        <v/>
      </c>
      <c r="AJ92" s="39" t="str">
        <f>IF(B92="","",ROUND(GEOMEAN((L92,R92,X92)),0))</f>
        <v/>
      </c>
      <c r="AK92" s="40" t="str">
        <f t="shared" si="89"/>
        <v/>
      </c>
      <c r="AL92" s="40" t="str">
        <f t="shared" si="90"/>
        <v/>
      </c>
      <c r="AM92" s="42" t="e">
        <f t="shared" si="91"/>
        <v>#DIV/0!</v>
      </c>
      <c r="AN92" s="42" t="e">
        <f t="shared" si="92"/>
        <v>#DIV/0!</v>
      </c>
      <c r="AO92" s="39" t="str">
        <f t="shared" si="93"/>
        <v/>
      </c>
      <c r="AP92" s="39" t="str">
        <f t="shared" si="94"/>
        <v/>
      </c>
      <c r="AQ92" s="40" t="str">
        <f t="shared" si="95"/>
        <v/>
      </c>
      <c r="AR92" s="41" t="str">
        <f t="shared" si="96"/>
        <v/>
      </c>
      <c r="AS92" s="39" t="str">
        <f>IF(L92="","",ROUND(GEOMEAN((J92,P92,V92,AB92)),0))</f>
        <v/>
      </c>
      <c r="AT92" s="39" t="str">
        <f>IF(L92="","",ROUND(GEOMEAN((L92,R92,X92,AD92)),0))</f>
        <v/>
      </c>
      <c r="AU92" s="40" t="str">
        <f t="shared" si="97"/>
        <v/>
      </c>
      <c r="AV92" s="40" t="str">
        <f t="shared" si="98"/>
        <v/>
      </c>
      <c r="AW92" s="42">
        <f t="shared" si="99"/>
        <v>0</v>
      </c>
      <c r="AX92" s="42">
        <f t="shared" si="100"/>
        <v>0</v>
      </c>
      <c r="AY92" s="5"/>
      <c r="CN92" s="7">
        <v>82</v>
      </c>
    </row>
    <row r="93" spans="1:92" s="7" customFormat="1">
      <c r="A93" s="6" t="str">
        <f t="shared" si="68"/>
        <v/>
      </c>
      <c r="B93" s="43"/>
      <c r="C93" s="6"/>
      <c r="D93" s="6"/>
      <c r="E93" s="43"/>
      <c r="F93" s="44"/>
      <c r="G93" s="22"/>
      <c r="H93" s="23"/>
      <c r="I93" s="47">
        <f t="shared" si="69"/>
        <v>0</v>
      </c>
      <c r="J93" s="47">
        <f t="shared" si="70"/>
        <v>0</v>
      </c>
      <c r="K93" s="58" t="str">
        <f t="shared" si="71"/>
        <v/>
      </c>
      <c r="L93" s="58" t="str">
        <f t="shared" si="72"/>
        <v/>
      </c>
      <c r="M93" s="24"/>
      <c r="N93" s="25"/>
      <c r="O93" s="26">
        <f t="shared" si="73"/>
        <v>0</v>
      </c>
      <c r="P93" s="26">
        <f t="shared" si="74"/>
        <v>0</v>
      </c>
      <c r="Q93" s="27" t="str">
        <f t="shared" si="75"/>
        <v/>
      </c>
      <c r="R93" s="27" t="str">
        <f t="shared" si="76"/>
        <v/>
      </c>
      <c r="S93" s="29"/>
      <c r="T93" s="30"/>
      <c r="U93" s="31">
        <f t="shared" si="77"/>
        <v>0</v>
      </c>
      <c r="V93" s="31">
        <f t="shared" si="78"/>
        <v>0</v>
      </c>
      <c r="W93" s="32" t="str">
        <f t="shared" si="79"/>
        <v/>
      </c>
      <c r="X93" s="32" t="str">
        <f t="shared" si="80"/>
        <v/>
      </c>
      <c r="Y93" s="24"/>
      <c r="Z93" s="24"/>
      <c r="AA93" s="25">
        <f t="shared" si="81"/>
        <v>0</v>
      </c>
      <c r="AB93" s="26">
        <f t="shared" si="82"/>
        <v>0</v>
      </c>
      <c r="AC93" s="26" t="str">
        <f t="shared" si="83"/>
        <v/>
      </c>
      <c r="AD93" s="27" t="str">
        <f t="shared" si="84"/>
        <v/>
      </c>
      <c r="AE93" s="39" t="str">
        <f t="shared" si="85"/>
        <v/>
      </c>
      <c r="AF93" s="39" t="str">
        <f t="shared" si="86"/>
        <v/>
      </c>
      <c r="AG93" s="40" t="str">
        <f t="shared" si="87"/>
        <v/>
      </c>
      <c r="AH93" s="41" t="str">
        <f t="shared" si="88"/>
        <v/>
      </c>
      <c r="AI93" s="39" t="str">
        <f>IF(B93="","",ROUND(GEOMEAN((J93,P93,V93)),0))</f>
        <v/>
      </c>
      <c r="AJ93" s="39" t="str">
        <f>IF(B93="","",ROUND(GEOMEAN((L93,R93,X93)),0))</f>
        <v/>
      </c>
      <c r="AK93" s="40" t="str">
        <f t="shared" si="89"/>
        <v/>
      </c>
      <c r="AL93" s="40" t="str">
        <f t="shared" si="90"/>
        <v/>
      </c>
      <c r="AM93" s="42" t="e">
        <f t="shared" si="91"/>
        <v>#DIV/0!</v>
      </c>
      <c r="AN93" s="42" t="e">
        <f t="shared" si="92"/>
        <v>#DIV/0!</v>
      </c>
      <c r="AO93" s="39" t="str">
        <f t="shared" si="93"/>
        <v/>
      </c>
      <c r="AP93" s="39" t="str">
        <f t="shared" si="94"/>
        <v/>
      </c>
      <c r="AQ93" s="40" t="str">
        <f t="shared" si="95"/>
        <v/>
      </c>
      <c r="AR93" s="41" t="str">
        <f t="shared" si="96"/>
        <v/>
      </c>
      <c r="AS93" s="39" t="str">
        <f>IF(L93="","",ROUND(GEOMEAN((J93,P93,V93,AB93)),0))</f>
        <v/>
      </c>
      <c r="AT93" s="39" t="str">
        <f>IF(L93="","",ROUND(GEOMEAN((L93,R93,X93,AD93)),0))</f>
        <v/>
      </c>
      <c r="AU93" s="40" t="str">
        <f t="shared" si="97"/>
        <v/>
      </c>
      <c r="AV93" s="40" t="str">
        <f t="shared" si="98"/>
        <v/>
      </c>
      <c r="AW93" s="42">
        <f t="shared" si="99"/>
        <v>0</v>
      </c>
      <c r="AX93" s="42">
        <f t="shared" si="100"/>
        <v>0</v>
      </c>
      <c r="AY93" s="5"/>
      <c r="CN93" s="7">
        <v>83</v>
      </c>
    </row>
    <row r="94" spans="1:92" s="7" customFormat="1">
      <c r="A94" s="6" t="str">
        <f t="shared" si="68"/>
        <v/>
      </c>
      <c r="B94" s="43"/>
      <c r="C94" s="6"/>
      <c r="D94" s="6"/>
      <c r="E94" s="43"/>
      <c r="F94" s="44"/>
      <c r="G94" s="22"/>
      <c r="H94" s="23"/>
      <c r="I94" s="47">
        <f t="shared" si="69"/>
        <v>0</v>
      </c>
      <c r="J94" s="47">
        <f t="shared" si="70"/>
        <v>0</v>
      </c>
      <c r="K94" s="58" t="str">
        <f t="shared" si="71"/>
        <v/>
      </c>
      <c r="L94" s="58" t="str">
        <f t="shared" si="72"/>
        <v/>
      </c>
      <c r="M94" s="24"/>
      <c r="N94" s="25"/>
      <c r="O94" s="26">
        <f t="shared" si="73"/>
        <v>0</v>
      </c>
      <c r="P94" s="26">
        <f t="shared" si="74"/>
        <v>0</v>
      </c>
      <c r="Q94" s="27" t="str">
        <f t="shared" si="75"/>
        <v/>
      </c>
      <c r="R94" s="27" t="str">
        <f t="shared" si="76"/>
        <v/>
      </c>
      <c r="S94" s="29"/>
      <c r="T94" s="30"/>
      <c r="U94" s="31">
        <f t="shared" si="77"/>
        <v>0</v>
      </c>
      <c r="V94" s="31">
        <f t="shared" si="78"/>
        <v>0</v>
      </c>
      <c r="W94" s="32" t="str">
        <f t="shared" si="79"/>
        <v/>
      </c>
      <c r="X94" s="32" t="str">
        <f t="shared" si="80"/>
        <v/>
      </c>
      <c r="Y94" s="24"/>
      <c r="Z94" s="24"/>
      <c r="AA94" s="25">
        <f t="shared" si="81"/>
        <v>0</v>
      </c>
      <c r="AB94" s="26">
        <f t="shared" si="82"/>
        <v>0</v>
      </c>
      <c r="AC94" s="26" t="str">
        <f t="shared" si="83"/>
        <v/>
      </c>
      <c r="AD94" s="27" t="str">
        <f t="shared" si="84"/>
        <v/>
      </c>
      <c r="AE94" s="39" t="str">
        <f t="shared" si="85"/>
        <v/>
      </c>
      <c r="AF94" s="39" t="str">
        <f t="shared" si="86"/>
        <v/>
      </c>
      <c r="AG94" s="40" t="str">
        <f t="shared" si="87"/>
        <v/>
      </c>
      <c r="AH94" s="41" t="str">
        <f t="shared" si="88"/>
        <v/>
      </c>
      <c r="AI94" s="39" t="str">
        <f>IF(B94="","",ROUND(GEOMEAN((J94,P94,V94)),0))</f>
        <v/>
      </c>
      <c r="AJ94" s="39" t="str">
        <f>IF(B94="","",ROUND(GEOMEAN((L94,R94,X94)),0))</f>
        <v/>
      </c>
      <c r="AK94" s="40" t="str">
        <f t="shared" si="89"/>
        <v/>
      </c>
      <c r="AL94" s="40" t="str">
        <f t="shared" si="90"/>
        <v/>
      </c>
      <c r="AM94" s="42" t="e">
        <f t="shared" si="91"/>
        <v>#DIV/0!</v>
      </c>
      <c r="AN94" s="42" t="e">
        <f t="shared" si="92"/>
        <v>#DIV/0!</v>
      </c>
      <c r="AO94" s="39" t="str">
        <f t="shared" si="93"/>
        <v/>
      </c>
      <c r="AP94" s="39" t="str">
        <f t="shared" si="94"/>
        <v/>
      </c>
      <c r="AQ94" s="40" t="str">
        <f t="shared" si="95"/>
        <v/>
      </c>
      <c r="AR94" s="41" t="str">
        <f t="shared" si="96"/>
        <v/>
      </c>
      <c r="AS94" s="39" t="str">
        <f>IF(L94="","",ROUND(GEOMEAN((J94,P94,V94,AB94)),0))</f>
        <v/>
      </c>
      <c r="AT94" s="39" t="str">
        <f>IF(L94="","",ROUND(GEOMEAN((L94,R94,X94,AD94)),0))</f>
        <v/>
      </c>
      <c r="AU94" s="40" t="str">
        <f t="shared" si="97"/>
        <v/>
      </c>
      <c r="AV94" s="40" t="str">
        <f t="shared" si="98"/>
        <v/>
      </c>
      <c r="AW94" s="42">
        <f t="shared" si="99"/>
        <v>0</v>
      </c>
      <c r="AX94" s="42">
        <f t="shared" si="100"/>
        <v>0</v>
      </c>
      <c r="AY94" s="5"/>
      <c r="CN94" s="7">
        <v>84</v>
      </c>
    </row>
    <row r="95" spans="1:92" s="7" customFormat="1">
      <c r="A95" s="6" t="str">
        <f t="shared" si="68"/>
        <v/>
      </c>
      <c r="B95" s="43"/>
      <c r="C95" s="6"/>
      <c r="D95" s="6"/>
      <c r="E95" s="43"/>
      <c r="F95" s="44"/>
      <c r="G95" s="22"/>
      <c r="H95" s="23"/>
      <c r="I95" s="47">
        <f t="shared" si="69"/>
        <v>0</v>
      </c>
      <c r="J95" s="47">
        <f t="shared" si="70"/>
        <v>0</v>
      </c>
      <c r="K95" s="58" t="str">
        <f t="shared" si="71"/>
        <v/>
      </c>
      <c r="L95" s="58" t="str">
        <f t="shared" si="72"/>
        <v/>
      </c>
      <c r="M95" s="24"/>
      <c r="N95" s="25"/>
      <c r="O95" s="26">
        <f t="shared" si="73"/>
        <v>0</v>
      </c>
      <c r="P95" s="26">
        <f t="shared" si="74"/>
        <v>0</v>
      </c>
      <c r="Q95" s="27" t="str">
        <f t="shared" si="75"/>
        <v/>
      </c>
      <c r="R95" s="27" t="str">
        <f t="shared" si="76"/>
        <v/>
      </c>
      <c r="S95" s="29"/>
      <c r="T95" s="30"/>
      <c r="U95" s="31">
        <f t="shared" si="77"/>
        <v>0</v>
      </c>
      <c r="V95" s="31">
        <f t="shared" si="78"/>
        <v>0</v>
      </c>
      <c r="W95" s="32" t="str">
        <f t="shared" si="79"/>
        <v/>
      </c>
      <c r="X95" s="32" t="str">
        <f t="shared" si="80"/>
        <v/>
      </c>
      <c r="Y95" s="24"/>
      <c r="Z95" s="24"/>
      <c r="AA95" s="25">
        <f t="shared" si="81"/>
        <v>0</v>
      </c>
      <c r="AB95" s="26">
        <f t="shared" si="82"/>
        <v>0</v>
      </c>
      <c r="AC95" s="26" t="str">
        <f t="shared" si="83"/>
        <v/>
      </c>
      <c r="AD95" s="27" t="str">
        <f t="shared" si="84"/>
        <v/>
      </c>
      <c r="AE95" s="39" t="str">
        <f t="shared" si="85"/>
        <v/>
      </c>
      <c r="AF95" s="39" t="str">
        <f t="shared" si="86"/>
        <v/>
      </c>
      <c r="AG95" s="40" t="str">
        <f t="shared" si="87"/>
        <v/>
      </c>
      <c r="AH95" s="41" t="str">
        <f t="shared" si="88"/>
        <v/>
      </c>
      <c r="AI95" s="39" t="str">
        <f>IF(B95="","",ROUND(GEOMEAN((J95,P95,V95)),0))</f>
        <v/>
      </c>
      <c r="AJ95" s="39" t="str">
        <f>IF(B95="","",ROUND(GEOMEAN((L95,R95,X95)),0))</f>
        <v/>
      </c>
      <c r="AK95" s="40" t="str">
        <f t="shared" si="89"/>
        <v/>
      </c>
      <c r="AL95" s="40" t="str">
        <f t="shared" si="90"/>
        <v/>
      </c>
      <c r="AM95" s="42" t="e">
        <f t="shared" si="91"/>
        <v>#DIV/0!</v>
      </c>
      <c r="AN95" s="42" t="e">
        <f t="shared" si="92"/>
        <v>#DIV/0!</v>
      </c>
      <c r="AO95" s="39" t="str">
        <f t="shared" si="93"/>
        <v/>
      </c>
      <c r="AP95" s="39" t="str">
        <f t="shared" si="94"/>
        <v/>
      </c>
      <c r="AQ95" s="40" t="str">
        <f t="shared" si="95"/>
        <v/>
      </c>
      <c r="AR95" s="41" t="str">
        <f t="shared" si="96"/>
        <v/>
      </c>
      <c r="AS95" s="39" t="str">
        <f>IF(L95="","",ROUND(GEOMEAN((J95,P95,V95,AB95)),0))</f>
        <v/>
      </c>
      <c r="AT95" s="39" t="str">
        <f>IF(L95="","",ROUND(GEOMEAN((L95,R95,X95,AD95)),0))</f>
        <v/>
      </c>
      <c r="AU95" s="40" t="str">
        <f t="shared" si="97"/>
        <v/>
      </c>
      <c r="AV95" s="40" t="str">
        <f t="shared" si="98"/>
        <v/>
      </c>
      <c r="AW95" s="42">
        <f t="shared" si="99"/>
        <v>0</v>
      </c>
      <c r="AX95" s="42">
        <f t="shared" si="100"/>
        <v>0</v>
      </c>
      <c r="AY95" s="5"/>
      <c r="CN95" s="7">
        <v>85</v>
      </c>
    </row>
    <row r="96" spans="1:92" s="7" customFormat="1">
      <c r="A96" s="6" t="str">
        <f t="shared" si="68"/>
        <v/>
      </c>
      <c r="B96" s="43"/>
      <c r="C96" s="6"/>
      <c r="D96" s="6"/>
      <c r="E96" s="43"/>
      <c r="F96" s="44"/>
      <c r="G96" s="22"/>
      <c r="H96" s="23"/>
      <c r="I96" s="47">
        <f t="shared" si="69"/>
        <v>0</v>
      </c>
      <c r="J96" s="47">
        <f t="shared" si="70"/>
        <v>0</v>
      </c>
      <c r="K96" s="58" t="str">
        <f t="shared" si="71"/>
        <v/>
      </c>
      <c r="L96" s="58" t="str">
        <f t="shared" si="72"/>
        <v/>
      </c>
      <c r="M96" s="24"/>
      <c r="N96" s="25"/>
      <c r="O96" s="26">
        <f t="shared" si="73"/>
        <v>0</v>
      </c>
      <c r="P96" s="26">
        <f t="shared" si="74"/>
        <v>0</v>
      </c>
      <c r="Q96" s="27" t="str">
        <f t="shared" si="75"/>
        <v/>
      </c>
      <c r="R96" s="27" t="str">
        <f t="shared" si="76"/>
        <v/>
      </c>
      <c r="S96" s="29"/>
      <c r="T96" s="30"/>
      <c r="U96" s="31">
        <f t="shared" si="77"/>
        <v>0</v>
      </c>
      <c r="V96" s="31">
        <f t="shared" si="78"/>
        <v>0</v>
      </c>
      <c r="W96" s="32" t="str">
        <f t="shared" si="79"/>
        <v/>
      </c>
      <c r="X96" s="32" t="str">
        <f t="shared" si="80"/>
        <v/>
      </c>
      <c r="Y96" s="24"/>
      <c r="Z96" s="24"/>
      <c r="AA96" s="25">
        <f t="shared" si="81"/>
        <v>0</v>
      </c>
      <c r="AB96" s="26">
        <f t="shared" si="82"/>
        <v>0</v>
      </c>
      <c r="AC96" s="26" t="str">
        <f t="shared" si="83"/>
        <v/>
      </c>
      <c r="AD96" s="27" t="str">
        <f t="shared" si="84"/>
        <v/>
      </c>
      <c r="AE96" s="39" t="str">
        <f t="shared" si="85"/>
        <v/>
      </c>
      <c r="AF96" s="39" t="str">
        <f t="shared" si="86"/>
        <v/>
      </c>
      <c r="AG96" s="40" t="str">
        <f t="shared" si="87"/>
        <v/>
      </c>
      <c r="AH96" s="41" t="str">
        <f t="shared" si="88"/>
        <v/>
      </c>
      <c r="AI96" s="39" t="str">
        <f>IF(B96="","",ROUND(GEOMEAN((J96,P96,V96)),0))</f>
        <v/>
      </c>
      <c r="AJ96" s="39" t="str">
        <f>IF(B96="","",ROUND(GEOMEAN((L96,R96,X96)),0))</f>
        <v/>
      </c>
      <c r="AK96" s="40" t="str">
        <f t="shared" si="89"/>
        <v/>
      </c>
      <c r="AL96" s="40" t="str">
        <f t="shared" si="90"/>
        <v/>
      </c>
      <c r="AM96" s="42" t="e">
        <f t="shared" si="91"/>
        <v>#DIV/0!</v>
      </c>
      <c r="AN96" s="42" t="e">
        <f t="shared" si="92"/>
        <v>#DIV/0!</v>
      </c>
      <c r="AO96" s="39" t="str">
        <f t="shared" si="93"/>
        <v/>
      </c>
      <c r="AP96" s="39" t="str">
        <f t="shared" si="94"/>
        <v/>
      </c>
      <c r="AQ96" s="40" t="str">
        <f t="shared" si="95"/>
        <v/>
      </c>
      <c r="AR96" s="41" t="str">
        <f t="shared" si="96"/>
        <v/>
      </c>
      <c r="AS96" s="39" t="str">
        <f>IF(L96="","",ROUND(GEOMEAN((J96,P96,V96,AB96)),0))</f>
        <v/>
      </c>
      <c r="AT96" s="39" t="str">
        <f>IF(L96="","",ROUND(GEOMEAN((L96,R96,X96,AD96)),0))</f>
        <v/>
      </c>
      <c r="AU96" s="40" t="str">
        <f t="shared" si="97"/>
        <v/>
      </c>
      <c r="AV96" s="40" t="str">
        <f t="shared" si="98"/>
        <v/>
      </c>
      <c r="AW96" s="42">
        <f t="shared" si="99"/>
        <v>0</v>
      </c>
      <c r="AX96" s="42">
        <f t="shared" si="100"/>
        <v>0</v>
      </c>
      <c r="AY96" s="5"/>
      <c r="CN96" s="7">
        <v>86</v>
      </c>
    </row>
    <row r="97" spans="1:92" s="7" customFormat="1">
      <c r="A97" s="6" t="str">
        <f t="shared" si="68"/>
        <v/>
      </c>
      <c r="B97" s="43"/>
      <c r="C97" s="6"/>
      <c r="D97" s="6"/>
      <c r="E97" s="43"/>
      <c r="F97" s="44"/>
      <c r="G97" s="22"/>
      <c r="H97" s="23"/>
      <c r="I97" s="47">
        <f t="shared" si="69"/>
        <v>0</v>
      </c>
      <c r="J97" s="47">
        <f t="shared" si="70"/>
        <v>0</v>
      </c>
      <c r="K97" s="58" t="str">
        <f t="shared" si="71"/>
        <v/>
      </c>
      <c r="L97" s="58" t="str">
        <f t="shared" si="72"/>
        <v/>
      </c>
      <c r="M97" s="24"/>
      <c r="N97" s="25"/>
      <c r="O97" s="26">
        <f t="shared" si="73"/>
        <v>0</v>
      </c>
      <c r="P97" s="26">
        <f t="shared" si="74"/>
        <v>0</v>
      </c>
      <c r="Q97" s="27" t="str">
        <f t="shared" si="75"/>
        <v/>
      </c>
      <c r="R97" s="27" t="str">
        <f t="shared" si="76"/>
        <v/>
      </c>
      <c r="S97" s="29"/>
      <c r="T97" s="30"/>
      <c r="U97" s="31">
        <f t="shared" si="77"/>
        <v>0</v>
      </c>
      <c r="V97" s="31">
        <f t="shared" si="78"/>
        <v>0</v>
      </c>
      <c r="W97" s="32" t="str">
        <f t="shared" si="79"/>
        <v/>
      </c>
      <c r="X97" s="32" t="str">
        <f t="shared" si="80"/>
        <v/>
      </c>
      <c r="Y97" s="24"/>
      <c r="Z97" s="24"/>
      <c r="AA97" s="25">
        <f t="shared" si="81"/>
        <v>0</v>
      </c>
      <c r="AB97" s="26">
        <f t="shared" si="82"/>
        <v>0</v>
      </c>
      <c r="AC97" s="26" t="str">
        <f t="shared" si="83"/>
        <v/>
      </c>
      <c r="AD97" s="27" t="str">
        <f t="shared" si="84"/>
        <v/>
      </c>
      <c r="AE97" s="39" t="str">
        <f t="shared" si="85"/>
        <v/>
      </c>
      <c r="AF97" s="39" t="str">
        <f t="shared" si="86"/>
        <v/>
      </c>
      <c r="AG97" s="40" t="str">
        <f t="shared" si="87"/>
        <v/>
      </c>
      <c r="AH97" s="41" t="str">
        <f t="shared" si="88"/>
        <v/>
      </c>
      <c r="AI97" s="39" t="str">
        <f>IF(B97="","",ROUND(GEOMEAN((J97,P97,V97)),0))</f>
        <v/>
      </c>
      <c r="AJ97" s="39" t="str">
        <f>IF(B97="","",ROUND(GEOMEAN((L97,R97,X97)),0))</f>
        <v/>
      </c>
      <c r="AK97" s="40" t="str">
        <f t="shared" si="89"/>
        <v/>
      </c>
      <c r="AL97" s="40" t="str">
        <f t="shared" si="90"/>
        <v/>
      </c>
      <c r="AM97" s="42" t="e">
        <f t="shared" si="91"/>
        <v>#DIV/0!</v>
      </c>
      <c r="AN97" s="42" t="e">
        <f t="shared" si="92"/>
        <v>#DIV/0!</v>
      </c>
      <c r="AO97" s="39" t="str">
        <f t="shared" si="93"/>
        <v/>
      </c>
      <c r="AP97" s="39" t="str">
        <f t="shared" si="94"/>
        <v/>
      </c>
      <c r="AQ97" s="40" t="str">
        <f t="shared" si="95"/>
        <v/>
      </c>
      <c r="AR97" s="41" t="str">
        <f t="shared" si="96"/>
        <v/>
      </c>
      <c r="AS97" s="39" t="str">
        <f>IF(L97="","",ROUND(GEOMEAN((J97,P97,V97,AB97)),0))</f>
        <v/>
      </c>
      <c r="AT97" s="39" t="str">
        <f>IF(L97="","",ROUND(GEOMEAN((L97,R97,X97,AD97)),0))</f>
        <v/>
      </c>
      <c r="AU97" s="40" t="str">
        <f t="shared" si="97"/>
        <v/>
      </c>
      <c r="AV97" s="40" t="str">
        <f t="shared" si="98"/>
        <v/>
      </c>
      <c r="AW97" s="42">
        <f t="shared" si="99"/>
        <v>0</v>
      </c>
      <c r="AX97" s="42">
        <f t="shared" si="100"/>
        <v>0</v>
      </c>
      <c r="AY97" s="5"/>
      <c r="CN97" s="7">
        <v>87</v>
      </c>
    </row>
    <row r="98" spans="1:92" s="7" customFormat="1" ht="14.65" customHeight="1">
      <c r="A98" s="587" t="s">
        <v>60</v>
      </c>
      <c r="B98" s="621"/>
      <c r="C98" s="621"/>
      <c r="D98" s="621"/>
      <c r="E98" s="621"/>
      <c r="F98" s="621"/>
      <c r="G98" s="621"/>
      <c r="H98" s="621"/>
      <c r="I98" s="621"/>
      <c r="J98" s="621"/>
      <c r="K98" s="621"/>
      <c r="L98" s="621"/>
      <c r="M98" s="621"/>
      <c r="N98" s="621"/>
      <c r="O98" s="621"/>
      <c r="P98" s="621"/>
      <c r="Q98" s="621"/>
      <c r="R98" s="621"/>
      <c r="S98" s="621"/>
      <c r="T98" s="621"/>
      <c r="U98" s="621"/>
      <c r="V98" s="621"/>
      <c r="W98" s="621"/>
      <c r="X98" s="621"/>
      <c r="Y98" s="621"/>
      <c r="Z98" s="621"/>
      <c r="AA98" s="621"/>
      <c r="AB98" s="621"/>
      <c r="AC98" s="621"/>
      <c r="AD98" s="621"/>
      <c r="AE98" s="621"/>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600000000000001" customHeight="1">
      <c r="A100" s="575"/>
      <c r="B100" s="576"/>
      <c r="C100" s="576"/>
      <c r="D100" s="576"/>
      <c r="E100" s="576"/>
      <c r="F100" s="576"/>
      <c r="G100" s="576"/>
      <c r="H100" s="576"/>
      <c r="I100" s="576"/>
      <c r="J100" s="576"/>
      <c r="K100" s="576"/>
      <c r="L100" s="576"/>
      <c r="M100" s="576"/>
      <c r="N100" s="576"/>
      <c r="O100" s="576"/>
      <c r="P100" s="576"/>
      <c r="Q100" s="576"/>
      <c r="R100" s="576"/>
      <c r="S100" s="576"/>
      <c r="T100" s="576"/>
      <c r="U100" s="576"/>
      <c r="V100" s="576"/>
      <c r="W100" s="576"/>
      <c r="X100" s="576"/>
      <c r="Y100" s="576"/>
      <c r="Z100" s="576"/>
      <c r="AA100" s="576"/>
      <c r="AB100" s="576"/>
      <c r="AC100" s="576"/>
      <c r="AD100" s="576"/>
      <c r="AE100" s="576"/>
      <c r="AF100" s="576"/>
      <c r="AG100" s="576"/>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mergeCells count="29">
    <mergeCell ref="CH69:CI82"/>
    <mergeCell ref="G4:L4"/>
    <mergeCell ref="BK46:BK59"/>
    <mergeCell ref="D5:F5"/>
    <mergeCell ref="A98:AE98"/>
    <mergeCell ref="BY70:CF82"/>
    <mergeCell ref="CG69:CG82"/>
    <mergeCell ref="K5:L5"/>
    <mergeCell ref="AS9:AT9"/>
    <mergeCell ref="AI9:AJ9"/>
    <mergeCell ref="E4:F4"/>
    <mergeCell ref="S9:X9"/>
    <mergeCell ref="BC46:BJ46"/>
    <mergeCell ref="BC47:BJ59"/>
    <mergeCell ref="AE9:AH9"/>
    <mergeCell ref="BY69:CF69"/>
    <mergeCell ref="A100:AG100"/>
    <mergeCell ref="G9:L9"/>
    <mergeCell ref="M3:V6"/>
    <mergeCell ref="BC6:BN6"/>
    <mergeCell ref="M9:R9"/>
    <mergeCell ref="Y9:AD9"/>
    <mergeCell ref="BL46:BM59"/>
    <mergeCell ref="H5:I5"/>
    <mergeCell ref="A4:B6"/>
    <mergeCell ref="D6:L6"/>
    <mergeCell ref="A3:L3"/>
    <mergeCell ref="AO9:AR9"/>
    <mergeCell ref="BF37:BM37"/>
  </mergeCells>
  <conditionalFormatting sqref="AH11:AH97">
    <cfRule type="cellIs" dxfId="28" priority="2" stopIfTrue="1" operator="greaterThan">
      <formula>0.2</formula>
    </cfRule>
  </conditionalFormatting>
  <conditionalFormatting sqref="AR11:AR97">
    <cfRule type="cellIs" dxfId="27" priority="1" stopIfTrue="1" operator="greaterThan">
      <formula>0.2</formula>
    </cfRule>
  </conditionalFormatting>
  <dataValidations count="1">
    <dataValidation type="list" allowBlank="1" showInputMessage="1" showErrorMessage="1" sqref="BG11:BG17 BG26:BG36" xr:uid="{00000000-0002-0000-0200-000000000000}">
      <formula1>"Tabla,Cotizacion"</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dimension ref="A3:C20"/>
  <sheetViews>
    <sheetView workbookViewId="0">
      <selection activeCell="C15" sqref="C15"/>
    </sheetView>
  </sheetViews>
  <sheetFormatPr defaultColWidth="11.28515625" defaultRowHeight="14.4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2:V27"/>
  <sheetViews>
    <sheetView workbookViewId="0">
      <selection activeCell="L8" sqref="L8"/>
    </sheetView>
  </sheetViews>
  <sheetFormatPr defaultColWidth="11.28515625" defaultRowHeight="14.45"/>
  <cols>
    <col min="12" max="12" width="36.28515625" customWidth="1"/>
    <col min="14" max="14" width="16.28515625" customWidth="1"/>
    <col min="16" max="16" width="49.28515625" customWidth="1"/>
  </cols>
  <sheetData>
    <row r="2" spans="1:22">
      <c r="A2" t="s">
        <v>61</v>
      </c>
      <c r="C2" t="s">
        <v>62</v>
      </c>
    </row>
    <row r="3" spans="1:22">
      <c r="A3" t="s">
        <v>63</v>
      </c>
      <c r="C3" t="s">
        <v>64</v>
      </c>
    </row>
    <row r="7" spans="1:22" ht="72.599999999999994" customHeight="1">
      <c r="A7" s="11" t="s">
        <v>65</v>
      </c>
      <c r="C7" s="11" t="s">
        <v>66</v>
      </c>
      <c r="F7" s="11" t="s">
        <v>67</v>
      </c>
      <c r="H7" s="11" t="s">
        <v>68</v>
      </c>
      <c r="J7" s="11" t="s">
        <v>69</v>
      </c>
      <c r="L7" s="48" t="s">
        <v>70</v>
      </c>
      <c r="N7" s="11" t="s">
        <v>71</v>
      </c>
      <c r="P7" s="11" t="s">
        <v>72</v>
      </c>
      <c r="R7" s="11" t="s">
        <v>73</v>
      </c>
      <c r="T7" t="s">
        <v>74</v>
      </c>
      <c r="V7" t="s">
        <v>75</v>
      </c>
    </row>
    <row r="8" spans="1:22">
      <c r="A8" t="s">
        <v>76</v>
      </c>
      <c r="C8" t="s">
        <v>77</v>
      </c>
      <c r="F8" t="s">
        <v>78</v>
      </c>
      <c r="H8" t="s">
        <v>79</v>
      </c>
      <c r="J8" t="s">
        <v>80</v>
      </c>
      <c r="L8" s="14" t="s">
        <v>81</v>
      </c>
      <c r="N8" t="s">
        <v>82</v>
      </c>
      <c r="P8" s="13" t="s">
        <v>83</v>
      </c>
      <c r="R8" t="s">
        <v>84</v>
      </c>
      <c r="T8" t="s">
        <v>85</v>
      </c>
      <c r="V8" t="s">
        <v>86</v>
      </c>
    </row>
    <row r="9" spans="1:22">
      <c r="A9" t="s">
        <v>87</v>
      </c>
      <c r="C9" t="s">
        <v>88</v>
      </c>
      <c r="F9" t="s">
        <v>89</v>
      </c>
      <c r="H9" t="s">
        <v>90</v>
      </c>
      <c r="J9" t="s">
        <v>91</v>
      </c>
      <c r="L9" s="14" t="s">
        <v>92</v>
      </c>
      <c r="N9" t="s">
        <v>93</v>
      </c>
      <c r="P9" s="13" t="s">
        <v>94</v>
      </c>
      <c r="R9" t="s">
        <v>95</v>
      </c>
      <c r="T9" t="s">
        <v>96</v>
      </c>
      <c r="V9" t="s">
        <v>97</v>
      </c>
    </row>
    <row r="10" spans="1:22">
      <c r="A10" t="s">
        <v>98</v>
      </c>
      <c r="C10" t="s">
        <v>99</v>
      </c>
      <c r="H10" t="s">
        <v>100</v>
      </c>
      <c r="J10" t="s">
        <v>101</v>
      </c>
      <c r="L10" s="14" t="s">
        <v>102</v>
      </c>
      <c r="N10" t="s">
        <v>103</v>
      </c>
      <c r="P10" s="13" t="s">
        <v>104</v>
      </c>
      <c r="R10" t="s">
        <v>105</v>
      </c>
      <c r="T10" t="s">
        <v>106</v>
      </c>
      <c r="V10" t="s">
        <v>107</v>
      </c>
    </row>
    <row r="11" spans="1:22">
      <c r="A11" t="s">
        <v>108</v>
      </c>
      <c r="C11" t="s">
        <v>109</v>
      </c>
      <c r="H11" t="s">
        <v>110</v>
      </c>
      <c r="J11" t="s">
        <v>111</v>
      </c>
      <c r="L11" s="14" t="s">
        <v>112</v>
      </c>
      <c r="T11" t="s">
        <v>113</v>
      </c>
      <c r="V11" t="s">
        <v>114</v>
      </c>
    </row>
    <row r="12" spans="1:22" ht="29.1" customHeight="1">
      <c r="C12" s="7"/>
      <c r="D12" s="7"/>
      <c r="E12" s="7"/>
      <c r="F12" s="7"/>
      <c r="G12" s="7"/>
      <c r="H12" s="7" t="s">
        <v>115</v>
      </c>
      <c r="I12" s="7"/>
      <c r="J12" s="7" t="s">
        <v>116</v>
      </c>
      <c r="K12" s="7"/>
      <c r="L12" s="14" t="s">
        <v>117</v>
      </c>
      <c r="M12" s="7"/>
      <c r="N12" s="7"/>
      <c r="T12" t="s">
        <v>118</v>
      </c>
      <c r="V12" t="s">
        <v>119</v>
      </c>
    </row>
    <row r="13" spans="1:22">
      <c r="H13" t="s">
        <v>120</v>
      </c>
      <c r="I13" s="15"/>
      <c r="J13" s="15" t="s">
        <v>121</v>
      </c>
      <c r="L13" s="14" t="s">
        <v>122</v>
      </c>
      <c r="T13" t="s">
        <v>123</v>
      </c>
      <c r="V13" t="s">
        <v>124</v>
      </c>
    </row>
    <row r="14" spans="1:22">
      <c r="H14" t="s">
        <v>125</v>
      </c>
      <c r="I14" s="15"/>
      <c r="J14" s="15" t="s">
        <v>126</v>
      </c>
      <c r="L14" s="14" t="s">
        <v>127</v>
      </c>
      <c r="T14" t="s">
        <v>128</v>
      </c>
      <c r="V14" t="s">
        <v>129</v>
      </c>
    </row>
    <row r="15" spans="1:22">
      <c r="G15" s="15"/>
      <c r="H15" s="15" t="s">
        <v>130</v>
      </c>
      <c r="I15" s="15"/>
      <c r="J15" s="15" t="s">
        <v>131</v>
      </c>
      <c r="K15" s="15"/>
      <c r="L15" s="14" t="s">
        <v>132</v>
      </c>
      <c r="M15" s="15"/>
      <c r="N15" s="15"/>
      <c r="T15" t="s">
        <v>133</v>
      </c>
    </row>
    <row r="16" spans="1:22" ht="43.5" customHeight="1">
      <c r="A16" s="11" t="s">
        <v>134</v>
      </c>
      <c r="J16" t="s">
        <v>135</v>
      </c>
      <c r="L16" s="14" t="s">
        <v>136</v>
      </c>
      <c r="T16" t="s">
        <v>137</v>
      </c>
    </row>
    <row r="17" spans="1:20">
      <c r="A17" t="s">
        <v>138</v>
      </c>
      <c r="J17" t="s">
        <v>139</v>
      </c>
      <c r="L17" s="14" t="s">
        <v>140</v>
      </c>
      <c r="T17" t="s">
        <v>141</v>
      </c>
    </row>
    <row r="18" spans="1:20">
      <c r="A18" t="s">
        <v>142</v>
      </c>
      <c r="J18" t="s">
        <v>143</v>
      </c>
      <c r="L18" s="14" t="s">
        <v>144</v>
      </c>
      <c r="T18" t="s">
        <v>145</v>
      </c>
    </row>
    <row r="19" spans="1:20">
      <c r="J19" t="s">
        <v>146</v>
      </c>
      <c r="L19" s="14" t="s">
        <v>147</v>
      </c>
    </row>
    <row r="20" spans="1:20">
      <c r="J20" t="s">
        <v>148</v>
      </c>
      <c r="L20" s="14" t="s">
        <v>149</v>
      </c>
    </row>
    <row r="21" spans="1:20">
      <c r="J21" t="s">
        <v>150</v>
      </c>
      <c r="L21" s="12"/>
    </row>
    <row r="22" spans="1:20">
      <c r="J22" t="s">
        <v>151</v>
      </c>
    </row>
    <row r="23" spans="1:20">
      <c r="J23" t="s">
        <v>152</v>
      </c>
    </row>
    <row r="24" spans="1:20">
      <c r="J24" t="s">
        <v>153</v>
      </c>
    </row>
    <row r="25" spans="1:20">
      <c r="A25" t="s">
        <v>154</v>
      </c>
      <c r="J25" t="s">
        <v>155</v>
      </c>
    </row>
    <row r="26" spans="1:20">
      <c r="J26" t="s">
        <v>156</v>
      </c>
    </row>
    <row r="27" spans="1:20">
      <c r="J27" t="s">
        <v>157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03D21-1EA3-4328-A441-5A69C9BDA90B}">
  <sheetPr codeName="Hoja5">
    <pageSetUpPr fitToPage="1"/>
  </sheetPr>
  <dimension ref="A3:DR282"/>
  <sheetViews>
    <sheetView view="pageBreakPreview" topLeftCell="C4" zoomScale="58" zoomScaleNormal="40" zoomScaleSheetLayoutView="58" workbookViewId="0">
      <pane xSplit="11832" ySplit="4080" topLeftCell="W257" activePane="bottomRight"/>
      <selection pane="bottomRight" activeCell="AA121" sqref="AA121"/>
      <selection pane="bottomLeft" activeCell="F12" sqref="F12"/>
      <selection pane="topRight" activeCell="Z4" sqref="Z4:AA4"/>
    </sheetView>
  </sheetViews>
  <sheetFormatPr defaultColWidth="11.28515625" defaultRowHeight="21"/>
  <cols>
    <col min="1" max="1" width="17.28515625" style="3" customWidth="1"/>
    <col min="2" max="2" width="24.28515625" style="3" customWidth="1"/>
    <col min="3" max="3" width="33.28515625" style="3" customWidth="1"/>
    <col min="4" max="4" width="73.28515625" style="3" customWidth="1"/>
    <col min="5" max="6" width="28.28515625" style="3" customWidth="1"/>
    <col min="7" max="7" width="28.28515625" style="204" customWidth="1"/>
    <col min="8" max="8" width="40.42578125" style="3" customWidth="1"/>
    <col min="9" max="9" width="29.7109375" style="3" customWidth="1"/>
    <col min="10" max="11" width="25.28515625" style="3" customWidth="1"/>
    <col min="12" max="12" width="32.5703125" style="3" customWidth="1"/>
    <col min="13" max="13" width="25.28515625" style="3" customWidth="1"/>
    <col min="14" max="14" width="39" style="3" customWidth="1"/>
    <col min="15" max="15" width="29.7109375" style="3" bestFit="1" customWidth="1"/>
    <col min="16" max="16" width="24.28515625" style="3" customWidth="1"/>
    <col min="17" max="17" width="29.7109375" style="3" customWidth="1"/>
    <col min="18" max="18" width="30.42578125" style="3" customWidth="1"/>
    <col min="19" max="19" width="31.28515625" style="3" customWidth="1"/>
    <col min="20" max="20" width="52.28515625" style="3" bestFit="1" customWidth="1"/>
    <col min="21" max="21" width="29.7109375" style="3" bestFit="1" customWidth="1"/>
    <col min="22" max="22" width="23.7109375" style="3" bestFit="1" customWidth="1"/>
    <col min="23" max="23" width="29.7109375" style="3" bestFit="1" customWidth="1"/>
    <col min="24" max="24" width="30.42578125" style="3" bestFit="1" customWidth="1"/>
    <col min="25" max="25" width="31.28515625" style="3" bestFit="1" customWidth="1"/>
    <col min="26" max="26" width="33" style="3" bestFit="1" customWidth="1"/>
    <col min="27" max="27" width="35.7109375" style="3" customWidth="1"/>
    <col min="28" max="28" width="34.42578125" style="3" bestFit="1" customWidth="1"/>
    <col min="29" max="29" width="24.28515625" style="3" customWidth="1"/>
    <col min="30" max="30" width="56.28515625" style="3" customWidth="1"/>
    <col min="31" max="31" width="18.7109375" style="3" bestFit="1" customWidth="1"/>
    <col min="32" max="32" width="39.28515625" style="3" customWidth="1"/>
    <col min="33" max="55" width="11.28515625" style="3" customWidth="1"/>
    <col min="56" max="56" width="5.28515625" style="3" customWidth="1"/>
    <col min="57" max="104" width="11.28515625" style="3" customWidth="1"/>
    <col min="105" max="105" width="26.42578125" style="3" hidden="1" customWidth="1"/>
    <col min="106" max="106" width="40.28515625" style="3" hidden="1" customWidth="1"/>
    <col min="107" max="113" width="11.28515625" style="3"/>
    <col min="114" max="114" width="24.28515625" style="3" hidden="1" customWidth="1"/>
    <col min="115" max="118" width="15.28515625" style="3" hidden="1" customWidth="1"/>
    <col min="119" max="119" width="11.28515625" style="3" hidden="1" customWidth="1"/>
    <col min="120" max="122" width="15.28515625" style="3" hidden="1" customWidth="1"/>
    <col min="123" max="123" width="11.28515625" style="3" customWidth="1"/>
    <col min="124" max="16384" width="11.28515625" style="3"/>
  </cols>
  <sheetData>
    <row r="3" spans="1:122" s="1" customFormat="1" ht="93.6" customHeight="1">
      <c r="A3" s="551" t="s">
        <v>158</v>
      </c>
      <c r="B3" s="619"/>
      <c r="C3" s="619"/>
      <c r="D3" s="619"/>
      <c r="E3" s="619"/>
      <c r="F3" s="619"/>
      <c r="G3" s="619"/>
      <c r="H3" s="619"/>
      <c r="I3" s="619"/>
      <c r="J3" s="619"/>
      <c r="K3" s="619"/>
      <c r="L3" s="619"/>
      <c r="M3" s="620"/>
      <c r="N3" s="578" t="s">
        <v>9</v>
      </c>
      <c r="O3" s="621"/>
      <c r="P3" s="621"/>
      <c r="Q3" s="621"/>
      <c r="R3" s="621"/>
      <c r="S3" s="621"/>
      <c r="T3" s="621"/>
      <c r="U3" s="621"/>
      <c r="V3" s="621"/>
      <c r="W3" s="621"/>
      <c r="X3" s="33"/>
      <c r="Y3" s="33"/>
      <c r="Z3" s="557" t="s">
        <v>159</v>
      </c>
      <c r="AA3" s="579"/>
      <c r="AB3" s="237">
        <f>AA116</f>
        <v>199729407.78947419</v>
      </c>
      <c r="AC3" s="33"/>
    </row>
    <row r="4" spans="1:122" s="2" customFormat="1" ht="93.6" customHeight="1">
      <c r="A4" s="554"/>
      <c r="B4" s="622"/>
      <c r="C4" s="45" t="s">
        <v>160</v>
      </c>
      <c r="D4" s="182">
        <v>46182</v>
      </c>
      <c r="E4" s="552" t="s">
        <v>11</v>
      </c>
      <c r="F4" s="620"/>
      <c r="G4" s="201" t="s">
        <v>161</v>
      </c>
      <c r="H4" s="585"/>
      <c r="I4" s="619"/>
      <c r="J4" s="619"/>
      <c r="K4" s="619"/>
      <c r="L4" s="619"/>
      <c r="M4" s="620"/>
      <c r="N4" s="623"/>
      <c r="O4" s="579"/>
      <c r="P4" s="579"/>
      <c r="Q4" s="579"/>
      <c r="R4" s="579"/>
      <c r="S4" s="579"/>
      <c r="T4" s="579"/>
      <c r="U4" s="579"/>
      <c r="V4" s="579"/>
      <c r="W4" s="579"/>
      <c r="Z4" s="557" t="s">
        <v>162</v>
      </c>
      <c r="AA4" s="579"/>
      <c r="AB4" s="73">
        <f>IF(B12="","",AA265)</f>
        <v>24217155.242997196</v>
      </c>
      <c r="AC4" s="38"/>
    </row>
    <row r="5" spans="1:122" s="2" customFormat="1" ht="93.6" customHeight="1">
      <c r="A5" s="623"/>
      <c r="B5" s="624"/>
      <c r="C5" s="114" t="s">
        <v>12</v>
      </c>
      <c r="D5" s="554" t="s">
        <v>163</v>
      </c>
      <c r="E5" s="619"/>
      <c r="F5" s="620"/>
      <c r="G5" s="203"/>
      <c r="H5" s="114" t="s">
        <v>13</v>
      </c>
      <c r="I5" s="554"/>
      <c r="J5" s="620"/>
      <c r="K5" s="114" t="s">
        <v>14</v>
      </c>
      <c r="L5" s="554"/>
      <c r="M5" s="620"/>
      <c r="N5" s="623"/>
      <c r="O5" s="579"/>
      <c r="P5" s="579"/>
      <c r="Q5" s="579"/>
      <c r="R5" s="579"/>
      <c r="S5" s="579"/>
      <c r="T5" s="579"/>
      <c r="U5" s="579"/>
      <c r="V5" s="579"/>
      <c r="W5" s="579"/>
      <c r="Z5" s="557" t="s">
        <v>164</v>
      </c>
      <c r="AA5" s="579"/>
      <c r="AB5" s="73">
        <f>I276</f>
        <v>175800030</v>
      </c>
      <c r="AC5" s="38"/>
      <c r="AD5" s="105" t="s">
        <v>165</v>
      </c>
      <c r="AE5" s="2" t="s">
        <v>166</v>
      </c>
    </row>
    <row r="6" spans="1:122" s="2" customFormat="1" ht="87.6" customHeight="1">
      <c r="A6" s="625"/>
      <c r="B6" s="626"/>
      <c r="C6" s="115" t="s">
        <v>15</v>
      </c>
      <c r="D6" s="555" t="s">
        <v>167</v>
      </c>
      <c r="E6" s="619"/>
      <c r="F6" s="619"/>
      <c r="G6" s="619"/>
      <c r="H6" s="619"/>
      <c r="I6" s="619"/>
      <c r="J6" s="619"/>
      <c r="K6" s="619"/>
      <c r="L6" s="619"/>
      <c r="M6" s="620"/>
      <c r="N6" s="625"/>
      <c r="O6" s="627"/>
      <c r="P6" s="627"/>
      <c r="Q6" s="627"/>
      <c r="R6" s="627"/>
      <c r="S6" s="627"/>
      <c r="T6" s="627"/>
      <c r="U6" s="627"/>
      <c r="V6" s="627"/>
      <c r="W6" s="627"/>
      <c r="Z6" s="557" t="s">
        <v>168</v>
      </c>
      <c r="AA6" s="579"/>
      <c r="AB6" s="74">
        <f>IF(B12="","",(AB4+AB5+AB3))</f>
        <v>399746593.03247142</v>
      </c>
      <c r="AD6" s="103"/>
      <c r="AE6" s="104"/>
      <c r="DA6">
        <v>1</v>
      </c>
      <c r="DB6">
        <v>2</v>
      </c>
      <c r="DC6">
        <v>10</v>
      </c>
      <c r="DD6">
        <v>14</v>
      </c>
      <c r="DE6">
        <v>23</v>
      </c>
      <c r="DF6">
        <v>29</v>
      </c>
      <c r="DG6">
        <v>36</v>
      </c>
      <c r="DH6">
        <v>40</v>
      </c>
      <c r="DJ6">
        <v>48</v>
      </c>
    </row>
    <row r="7" spans="1:122" ht="59.65" customHeight="1">
      <c r="H7" s="601" t="s">
        <v>169</v>
      </c>
      <c r="I7" s="621"/>
      <c r="J7" s="621"/>
      <c r="K7" s="621"/>
      <c r="L7" s="621"/>
      <c r="M7" s="621"/>
      <c r="N7" s="621"/>
      <c r="O7" s="621"/>
      <c r="P7" s="621"/>
      <c r="Q7" s="621"/>
      <c r="R7" s="621"/>
      <c r="S7" s="621"/>
      <c r="T7" s="621"/>
      <c r="U7" s="621"/>
      <c r="V7" s="621"/>
      <c r="DA7" t="s">
        <v>25</v>
      </c>
      <c r="DB7" t="s">
        <v>26</v>
      </c>
      <c r="DC7" t="s">
        <v>29</v>
      </c>
      <c r="DD7" t="s">
        <v>170</v>
      </c>
      <c r="DE7" t="s">
        <v>35</v>
      </c>
      <c r="DF7" t="s">
        <v>32</v>
      </c>
      <c r="DG7" t="s">
        <v>36</v>
      </c>
      <c r="DH7" t="s">
        <v>30</v>
      </c>
      <c r="DJ7" t="s">
        <v>41</v>
      </c>
    </row>
    <row r="8" spans="1:122">
      <c r="A8" s="4"/>
      <c r="J8" s="16"/>
      <c r="K8" s="16"/>
      <c r="L8" s="16"/>
      <c r="M8" s="16"/>
      <c r="P8" s="16"/>
      <c r="Q8" s="16"/>
      <c r="R8" s="16"/>
      <c r="S8" s="16"/>
      <c r="V8" s="16"/>
      <c r="W8" s="16"/>
      <c r="X8" s="16"/>
      <c r="Y8" s="16"/>
      <c r="Z8" s="16"/>
    </row>
    <row r="9" spans="1:122" s="18" customFormat="1" ht="23.65" customHeight="1">
      <c r="G9" s="205"/>
      <c r="H9" s="602" t="s">
        <v>17</v>
      </c>
      <c r="I9" s="627"/>
      <c r="J9" s="627"/>
      <c r="K9" s="627"/>
      <c r="L9" s="627"/>
      <c r="M9" s="626"/>
      <c r="N9" s="603" t="s">
        <v>18</v>
      </c>
      <c r="O9" s="627"/>
      <c r="P9" s="627"/>
      <c r="Q9" s="627"/>
      <c r="R9" s="627"/>
      <c r="S9" s="626"/>
      <c r="T9" s="604" t="s">
        <v>19</v>
      </c>
      <c r="U9" s="627"/>
      <c r="V9" s="627"/>
      <c r="W9" s="627"/>
      <c r="X9" s="627"/>
      <c r="Y9" s="626"/>
      <c r="Z9" s="567" t="s">
        <v>21</v>
      </c>
      <c r="AA9" s="627"/>
      <c r="AB9" s="627"/>
      <c r="AC9" s="627"/>
      <c r="DA9" s="18" t="s">
        <v>171</v>
      </c>
      <c r="DJ9" s="18" t="s">
        <v>172</v>
      </c>
    </row>
    <row r="10" spans="1:122" s="18" customFormat="1" ht="42" customHeight="1">
      <c r="A10" s="595" t="s">
        <v>173</v>
      </c>
      <c r="B10" s="627"/>
      <c r="C10" s="627"/>
      <c r="D10" s="627"/>
      <c r="E10" s="627"/>
      <c r="F10" s="627"/>
      <c r="G10" s="627"/>
      <c r="H10" s="627"/>
      <c r="I10" s="627"/>
      <c r="J10" s="627"/>
      <c r="K10" s="627"/>
      <c r="L10" s="627"/>
      <c r="M10" s="627"/>
      <c r="N10" s="627"/>
      <c r="O10" s="627"/>
      <c r="P10" s="627"/>
      <c r="Q10" s="627"/>
      <c r="R10" s="627"/>
      <c r="S10" s="627"/>
      <c r="T10" s="627"/>
      <c r="U10" s="627"/>
      <c r="V10" s="627"/>
      <c r="W10" s="627"/>
      <c r="X10" s="627"/>
      <c r="Y10" s="627"/>
      <c r="Z10" s="627"/>
      <c r="AA10" s="627"/>
      <c r="AB10" s="627"/>
      <c r="AC10" s="627"/>
    </row>
    <row r="11" spans="1:122" s="177" customFormat="1" ht="103.15" customHeight="1">
      <c r="A11" s="178" t="s">
        <v>23</v>
      </c>
      <c r="B11" s="178" t="s">
        <v>24</v>
      </c>
      <c r="C11" s="178" t="s">
        <v>25</v>
      </c>
      <c r="D11" s="178" t="s">
        <v>26</v>
      </c>
      <c r="E11" s="178" t="s">
        <v>27</v>
      </c>
      <c r="F11" s="178" t="s">
        <v>28</v>
      </c>
      <c r="G11" s="206" t="s">
        <v>174</v>
      </c>
      <c r="H11" s="179" t="s">
        <v>29</v>
      </c>
      <c r="I11" s="179" t="s">
        <v>30</v>
      </c>
      <c r="J11" s="179" t="s">
        <v>175</v>
      </c>
      <c r="K11" s="179" t="s">
        <v>32</v>
      </c>
      <c r="L11" s="179" t="s">
        <v>33</v>
      </c>
      <c r="M11" s="179" t="s">
        <v>34</v>
      </c>
      <c r="N11" s="178" t="s">
        <v>35</v>
      </c>
      <c r="O11" s="178" t="s">
        <v>30</v>
      </c>
      <c r="P11" s="178" t="s">
        <v>176</v>
      </c>
      <c r="Q11" s="178" t="s">
        <v>32</v>
      </c>
      <c r="R11" s="178" t="s">
        <v>33</v>
      </c>
      <c r="S11" s="178" t="s">
        <v>34</v>
      </c>
      <c r="T11" s="180" t="s">
        <v>36</v>
      </c>
      <c r="U11" s="180" t="s">
        <v>30</v>
      </c>
      <c r="V11" s="180" t="s">
        <v>31</v>
      </c>
      <c r="W11" s="180" t="s">
        <v>32</v>
      </c>
      <c r="X11" s="180" t="s">
        <v>33</v>
      </c>
      <c r="Y11" s="180" t="s">
        <v>34</v>
      </c>
      <c r="Z11" s="179" t="s">
        <v>38</v>
      </c>
      <c r="AA11" s="179" t="s">
        <v>39</v>
      </c>
      <c r="AB11" s="179" t="s">
        <v>40</v>
      </c>
      <c r="AC11" s="179" t="s">
        <v>41</v>
      </c>
      <c r="AD11" s="181" t="s">
        <v>46</v>
      </c>
      <c r="DA11" s="177" t="s">
        <v>177</v>
      </c>
      <c r="DB11" s="177" t="s">
        <v>178</v>
      </c>
      <c r="DC11" s="177" t="s">
        <v>179</v>
      </c>
      <c r="DD11" s="177" t="s">
        <v>180</v>
      </c>
      <c r="DE11" s="177" t="s">
        <v>181</v>
      </c>
      <c r="DF11" s="177" t="s">
        <v>182</v>
      </c>
      <c r="DG11" s="177" t="s">
        <v>183</v>
      </c>
      <c r="DH11" s="177" t="s">
        <v>184</v>
      </c>
      <c r="DI11" s="177" t="s">
        <v>185</v>
      </c>
      <c r="DJ11" s="177" t="s">
        <v>177</v>
      </c>
      <c r="DK11" s="177" t="s">
        <v>178</v>
      </c>
      <c r="DL11" s="177" t="s">
        <v>179</v>
      </c>
      <c r="DM11" s="177" t="s">
        <v>180</v>
      </c>
      <c r="DN11" s="177" t="s">
        <v>181</v>
      </c>
      <c r="DO11" s="177" t="s">
        <v>182</v>
      </c>
      <c r="DP11" s="177" t="s">
        <v>183</v>
      </c>
      <c r="DQ11" s="177" t="s">
        <v>184</v>
      </c>
      <c r="DR11" s="177" t="s">
        <v>185</v>
      </c>
    </row>
    <row r="12" spans="1:122" s="7" customFormat="1" ht="100.9" customHeight="1">
      <c r="A12" s="75">
        <f>IF(B12&lt;&gt;"",BG12,"")</f>
        <v>1</v>
      </c>
      <c r="B12" s="196" t="s">
        <v>186</v>
      </c>
      <c r="C12" s="95" t="s">
        <v>187</v>
      </c>
      <c r="D12" s="75" t="str">
        <f>IF(C12="","",VLOOKUP(C12,listaBolsa!$D$2:$H$276,2,0))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2" s="111" t="str">
        <f>IF(C12="","",VLOOKUP(C12,listaBolsa!$D$2:$H$276,3,0))</f>
        <v>Unidad</v>
      </c>
      <c r="F12" s="112">
        <v>400</v>
      </c>
      <c r="G12" s="200" t="str">
        <f>IF(C12="","",VLOOKUP(C12,listaBolsa!$D$2:$H$276,5,0))</f>
        <v>Compra</v>
      </c>
      <c r="H12" s="106" t="str">
        <f>IF(C12="","",VLOOKUP(C12,listaBolsa!$D$2:$W$276,10,0))</f>
        <v>INVERSIONES BECORATI E Y O SAS</v>
      </c>
      <c r="I12" s="107">
        <f>IF(C12="","",VLOOKUP(C12,listaBolsa!$D$2:$W$276,14,0))</f>
        <v>11700</v>
      </c>
      <c r="J12" s="96">
        <f t="shared" ref="J12:J75" si="0">I12*19%</f>
        <v>2223</v>
      </c>
      <c r="K12" s="96">
        <f t="shared" ref="K12:K75" si="1">I12+J12</f>
        <v>13923</v>
      </c>
      <c r="L12" s="96">
        <f t="shared" ref="L12:L75" si="2">IF(B12="","",(I12*F12))</f>
        <v>4680000</v>
      </c>
      <c r="M12" s="96">
        <f t="shared" ref="M12:M75" si="3">IF(B12="","",(K12*F12))</f>
        <v>5569200</v>
      </c>
      <c r="N12" s="108" t="str">
        <f>IF(C12="","",VLOOKUP(C12,listaBolsa!$D$2:$AZ$276,23,0))</f>
        <v>ENTERPRISE INVESTMENT DEVELOPMENT S.A.S.</v>
      </c>
      <c r="O12" s="109">
        <f>IF(C12="","",VLOOKUP(C12,listaBolsa!$D$2:$AZ$276,27,0))</f>
        <v>8570</v>
      </c>
      <c r="P12" s="110">
        <f t="shared" ref="P12:P20" si="4">O12*19%</f>
        <v>1628.3</v>
      </c>
      <c r="Q12" s="110">
        <f t="shared" ref="Q12:Q75" si="5">O12+P12</f>
        <v>10198.299999999999</v>
      </c>
      <c r="R12" s="110">
        <f t="shared" ref="R12:R75" si="6">IF(B12="","",(O12*F12))</f>
        <v>3428000</v>
      </c>
      <c r="S12" s="110">
        <f t="shared" ref="S12:S75" si="7">IF(B12="","",(Q12*F12))</f>
        <v>4079319.9999999995</v>
      </c>
      <c r="T12" s="97" t="str">
        <f>IF(C12="","",VLOOKUP(C12,listaBolsa!$D$2:$BB$276,36,0))</f>
        <v>Estimación de precios con base en el proceso FDLSUBA-LP-013-2025 (140689) – Contrato 1000 – 2025, indexando el incremento de precios en el mercado con base en el Índice de Precios al Consumidor (IPC) para el mes de marzo de 2026, el cual fue de 5,56%.</v>
      </c>
      <c r="U12" s="98">
        <f>IF(C12="","",VLOOKUP(C12,listaBolsa!$D$2:$BB$276,40,0))</f>
        <v>12843.518518518518</v>
      </c>
      <c r="V12" s="99">
        <f t="shared" ref="V12:V75" si="8">U12*19%</f>
        <v>2440.2685185185187</v>
      </c>
      <c r="W12" s="99">
        <f t="shared" ref="W12:W75" si="9">U12+V12</f>
        <v>15283.787037037036</v>
      </c>
      <c r="X12" s="99">
        <f t="shared" ref="X12:X75" si="10">IF(B12="","",(U12*F12))</f>
        <v>5137407.4074074076</v>
      </c>
      <c r="Y12" s="99">
        <f t="shared" ref="Y12:Y75" si="11">IF(B12="","",(W12*F12))</f>
        <v>6113514.8148148144</v>
      </c>
      <c r="Z12" s="100">
        <f>IF(A12="","",AVERAGE(K12,Q12,W12))</f>
        <v>13135.02901234568</v>
      </c>
      <c r="AA12" s="100">
        <f>IF(B12="","",Z12*F12)</f>
        <v>5254011.6049382724</v>
      </c>
      <c r="AB12" s="78">
        <f>IF(B12="","",STDEV(M12,S12,Y12))</f>
        <v>1053088.2818838458</v>
      </c>
      <c r="AC12" s="102">
        <f t="shared" ref="AC12:AC61" si="12">IF(B12="","",(AB12/AA12))</f>
        <v>0.20043508866521018</v>
      </c>
      <c r="AD12" s="5"/>
      <c r="AE12" s="7" t="str">
        <f>CONCATENATE(A12,B12,C12,)</f>
        <v>1DGral. Ecología integral – ConversiónRefrigerio Tipo 1</v>
      </c>
      <c r="AF12" s="7" t="s">
        <v>173</v>
      </c>
      <c r="AG12" s="7">
        <v>1</v>
      </c>
      <c r="AH12" s="7" t="s">
        <v>188</v>
      </c>
      <c r="BG12" s="7">
        <v>1</v>
      </c>
      <c r="DA12" s="7" t="str">
        <f>VLOOKUP(C12,listaBolsa!$D$2:$BA$248,1,0)</f>
        <v>Refrigerio Tipo 1</v>
      </c>
      <c r="DB12" s="7" t="str">
        <f>VLOOKUP(C12,listaBolsa!$D$2:$BA$248,2,0)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C12" s="7" t="str">
        <f>VLOOKUP(C12,listaBolsa!$D$2:$BA$248,10,0)</f>
        <v>INVERSIONES BECORATI E Y O SAS</v>
      </c>
      <c r="DD12" s="7">
        <f>VLOOKUP(C12,listaBolsa!$D$2:$BA$248,14,0)</f>
        <v>11700</v>
      </c>
      <c r="DE12" s="7" t="str">
        <f>VLOOKUP(C12,listaBolsa!$D$2:$BA$248,23,0)</f>
        <v>ENTERPRISE INVESTMENT DEVELOPMENT S.A.S.</v>
      </c>
      <c r="DF12" s="7">
        <f>VLOOKUP(C12,listaBolsa!$D$2:$BA$248,29,0)</f>
        <v>9255.6</v>
      </c>
      <c r="DG12" s="7" t="str">
        <f>VLOOKUP(C12,listaBolsa!$D$2:$BA$248,36,0)</f>
        <v>Estimación de precios con base en el proceso FDLSUBA-LP-013-2025 (140689) – Contrato 1000 – 2025, indexando el incremento de precios en el mercado con base en el Índice de Precios al Consumidor (IPC) para el mes de marzo de 2026, el cual fue de 5,56%.</v>
      </c>
      <c r="DH12" s="7">
        <f>VLOOKUP(C12,listaBolsa!$D$2:$BA$248,40,0)</f>
        <v>12843.518518518518</v>
      </c>
      <c r="DI12" s="7">
        <f>VLOOKUP(C12,listaBolsa!$D$2:$BA$248,48,0)</f>
        <v>0.20043508866520951</v>
      </c>
      <c r="DJ12" s="7" t="b">
        <f t="shared" ref="DJ12:DK43" si="13">DA12=C12</f>
        <v>1</v>
      </c>
      <c r="DK12" s="7" t="b">
        <f t="shared" si="13"/>
        <v>1</v>
      </c>
      <c r="DL12" s="7" t="b">
        <f t="shared" ref="DL12:DM62" si="14">DC12=H12</f>
        <v>1</v>
      </c>
      <c r="DM12" s="7" t="b">
        <f t="shared" si="14"/>
        <v>1</v>
      </c>
      <c r="DN12" s="7" t="b">
        <f t="shared" ref="DN12:DO62" si="15">DE12=N12</f>
        <v>1</v>
      </c>
      <c r="DO12" s="7" t="b">
        <f t="shared" si="15"/>
        <v>0</v>
      </c>
      <c r="DP12" s="7" t="b">
        <f t="shared" ref="DP12:DQ62" si="16">DG12=T12</f>
        <v>1</v>
      </c>
      <c r="DQ12" s="7" t="b">
        <f t="shared" si="16"/>
        <v>1</v>
      </c>
      <c r="DR12" s="7" t="b">
        <f t="shared" ref="DR12:DR75" si="17">DI12=AC12</f>
        <v>1</v>
      </c>
    </row>
    <row r="13" spans="1:122" s="7" customFormat="1" ht="85.5" customHeight="1">
      <c r="A13" s="75">
        <f t="shared" ref="A13:A76" si="18">A12+1</f>
        <v>2</v>
      </c>
      <c r="B13" s="196" t="s">
        <v>186</v>
      </c>
      <c r="C13" s="95" t="s">
        <v>189</v>
      </c>
      <c r="D13" s="75" t="s">
        <v>190</v>
      </c>
      <c r="E13" s="111" t="s">
        <v>191</v>
      </c>
      <c r="F13" s="112">
        <v>1</v>
      </c>
      <c r="G13" s="200" t="s">
        <v>192</v>
      </c>
      <c r="H13" s="106" t="s">
        <v>193</v>
      </c>
      <c r="I13" s="107">
        <v>15000</v>
      </c>
      <c r="J13" s="96">
        <f t="shared" si="0"/>
        <v>2850</v>
      </c>
      <c r="K13" s="96">
        <f t="shared" si="1"/>
        <v>17850</v>
      </c>
      <c r="L13" s="96">
        <f t="shared" si="2"/>
        <v>15000</v>
      </c>
      <c r="M13" s="96">
        <f t="shared" si="3"/>
        <v>17850</v>
      </c>
      <c r="N13" s="195" t="s">
        <v>194</v>
      </c>
      <c r="O13" s="109">
        <v>16200</v>
      </c>
      <c r="P13" s="110">
        <f t="shared" si="4"/>
        <v>3078</v>
      </c>
      <c r="Q13" s="110">
        <f t="shared" si="5"/>
        <v>19278</v>
      </c>
      <c r="R13" s="110">
        <f t="shared" si="6"/>
        <v>16200</v>
      </c>
      <c r="S13" s="110">
        <f t="shared" si="7"/>
        <v>19278</v>
      </c>
      <c r="T13" s="97" t="s">
        <v>195</v>
      </c>
      <c r="U13" s="98">
        <v>13319.32773109244</v>
      </c>
      <c r="V13" s="99">
        <f t="shared" si="8"/>
        <v>2530.6722689075636</v>
      </c>
      <c r="W13" s="99">
        <f t="shared" si="9"/>
        <v>15850.000000000004</v>
      </c>
      <c r="X13" s="99">
        <f t="shared" si="10"/>
        <v>13319.32773109244</v>
      </c>
      <c r="Y13" s="99">
        <f t="shared" si="11"/>
        <v>15850.000000000004</v>
      </c>
      <c r="Z13" s="100">
        <f>IF(A13="","",AVERAGE(K13,Q13,W13))</f>
        <v>17659.333333333332</v>
      </c>
      <c r="AA13" s="100">
        <f>IF(B13="","",Z13*F13)</f>
        <v>17659.333333333332</v>
      </c>
      <c r="AB13" s="78">
        <f>IF(B13="","",STDEV(M13,S13,Y13))</f>
        <v>1721.9353452825478</v>
      </c>
      <c r="AC13" s="102">
        <f t="shared" si="12"/>
        <v>9.7508513644298453E-2</v>
      </c>
      <c r="AD13" s="5"/>
      <c r="AF13" s="7" t="s">
        <v>173</v>
      </c>
      <c r="AG13" s="7">
        <v>2</v>
      </c>
      <c r="AH13" s="7" t="s">
        <v>196</v>
      </c>
      <c r="BG13" s="7">
        <v>2</v>
      </c>
      <c r="DA13" s="7" t="e">
        <f>VLOOKUP(C13,listaBolsa!$D$2:$BA$248,1,0)</f>
        <v>#N/A</v>
      </c>
      <c r="DB13" s="7" t="e">
        <f>VLOOKUP(C13,listaBolsa!$D$2:$BA$248,2,0)</f>
        <v>#N/A</v>
      </c>
      <c r="DC13" s="7" t="e">
        <f>VLOOKUP(C13,listaBolsa!$D$2:$BA$248,10,0)</f>
        <v>#N/A</v>
      </c>
      <c r="DD13" s="7" t="e">
        <f>VLOOKUP(C13,listaBolsa!$D$2:$BA$248,14,0)</f>
        <v>#N/A</v>
      </c>
      <c r="DE13" s="7" t="e">
        <f>VLOOKUP(C13,listaBolsa!$D$2:$BA$248,23,0)</f>
        <v>#N/A</v>
      </c>
      <c r="DF13" s="7" t="e">
        <f>VLOOKUP(C13,listaBolsa!$D$2:$BA$248,29,0)</f>
        <v>#N/A</v>
      </c>
      <c r="DG13" s="7" t="e">
        <f>VLOOKUP(C13,listaBolsa!$D$2:$BA$248,36,0)</f>
        <v>#N/A</v>
      </c>
      <c r="DH13" s="7" t="e">
        <f>VLOOKUP(C13,listaBolsa!$D$2:$BA$248,40,0)</f>
        <v>#N/A</v>
      </c>
      <c r="DI13" s="7" t="e">
        <f>VLOOKUP(C13,listaBolsa!$D$2:$BA$248,48,0)</f>
        <v>#N/A</v>
      </c>
      <c r="DJ13" s="7" t="e">
        <f t="shared" si="13"/>
        <v>#N/A</v>
      </c>
      <c r="DK13" s="7" t="e">
        <f t="shared" si="13"/>
        <v>#N/A</v>
      </c>
      <c r="DL13" s="7" t="e">
        <f t="shared" si="14"/>
        <v>#N/A</v>
      </c>
      <c r="DM13" s="7" t="e">
        <f t="shared" si="14"/>
        <v>#N/A</v>
      </c>
      <c r="DN13" s="7" t="e">
        <f t="shared" si="15"/>
        <v>#N/A</v>
      </c>
      <c r="DO13" s="7" t="e">
        <f t="shared" si="15"/>
        <v>#N/A</v>
      </c>
      <c r="DP13" s="7" t="e">
        <f t="shared" si="16"/>
        <v>#N/A</v>
      </c>
      <c r="DQ13" s="7" t="e">
        <f t="shared" si="16"/>
        <v>#N/A</v>
      </c>
      <c r="DR13" s="7" t="e">
        <f t="shared" si="17"/>
        <v>#N/A</v>
      </c>
    </row>
    <row r="14" spans="1:122" s="7" customFormat="1" ht="85.5" customHeight="1">
      <c r="A14" s="75">
        <f t="shared" si="18"/>
        <v>3</v>
      </c>
      <c r="B14" s="196" t="s">
        <v>186</v>
      </c>
      <c r="C14" s="95" t="s">
        <v>197</v>
      </c>
      <c r="D14" s="75" t="s">
        <v>198</v>
      </c>
      <c r="E14" s="111" t="s">
        <v>191</v>
      </c>
      <c r="F14" s="112">
        <v>1</v>
      </c>
      <c r="G14" s="200" t="s">
        <v>192</v>
      </c>
      <c r="H14" s="106" t="s">
        <v>193</v>
      </c>
      <c r="I14" s="107">
        <v>15000</v>
      </c>
      <c r="J14" s="96">
        <f t="shared" si="0"/>
        <v>2850</v>
      </c>
      <c r="K14" s="96">
        <f t="shared" si="1"/>
        <v>17850</v>
      </c>
      <c r="L14" s="96">
        <f t="shared" si="2"/>
        <v>15000</v>
      </c>
      <c r="M14" s="96">
        <f t="shared" si="3"/>
        <v>17850</v>
      </c>
      <c r="N14" s="195" t="s">
        <v>194</v>
      </c>
      <c r="O14" s="109">
        <v>16200</v>
      </c>
      <c r="P14" s="110">
        <f t="shared" si="4"/>
        <v>3078</v>
      </c>
      <c r="Q14" s="110">
        <f t="shared" si="5"/>
        <v>19278</v>
      </c>
      <c r="R14" s="110">
        <f t="shared" si="6"/>
        <v>16200</v>
      </c>
      <c r="S14" s="110">
        <f t="shared" si="7"/>
        <v>19278</v>
      </c>
      <c r="T14" s="97" t="s">
        <v>195</v>
      </c>
      <c r="U14" s="98">
        <v>15110.9243697479</v>
      </c>
      <c r="V14" s="99">
        <f t="shared" si="8"/>
        <v>2871.0756302521008</v>
      </c>
      <c r="W14" s="99">
        <f t="shared" si="9"/>
        <v>17982</v>
      </c>
      <c r="X14" s="99">
        <f t="shared" si="10"/>
        <v>15110.9243697479</v>
      </c>
      <c r="Y14" s="99">
        <f t="shared" si="11"/>
        <v>17982</v>
      </c>
      <c r="Z14" s="100">
        <f>IF(A14="","",AVERAGE(K14,Q14,W14))</f>
        <v>18370</v>
      </c>
      <c r="AA14" s="100">
        <f>IF(B14="","",Z14*F14)</f>
        <v>18370</v>
      </c>
      <c r="AB14" s="78">
        <f>IF(B14="","",STDEV(M14,S14,Y14))</f>
        <v>789.11596106022341</v>
      </c>
      <c r="AC14" s="102">
        <f t="shared" si="12"/>
        <v>4.2956775234633829E-2</v>
      </c>
      <c r="AD14" s="5"/>
      <c r="AF14" s="7" t="s">
        <v>173</v>
      </c>
      <c r="AG14" s="7">
        <v>3</v>
      </c>
      <c r="AH14" s="7" t="s">
        <v>199</v>
      </c>
      <c r="BG14" s="7">
        <v>3</v>
      </c>
      <c r="DA14" s="7" t="e">
        <f>VLOOKUP(C14,listaBolsa!$D$2:$BA$248,1,0)</f>
        <v>#N/A</v>
      </c>
      <c r="DB14" s="7" t="e">
        <f>VLOOKUP(C14,listaBolsa!$D$2:$BA$248,2,0)</f>
        <v>#N/A</v>
      </c>
      <c r="DC14" s="7" t="e">
        <f>VLOOKUP(C14,listaBolsa!$D$2:$BA$248,10,0)</f>
        <v>#N/A</v>
      </c>
      <c r="DD14" s="7" t="e">
        <f>VLOOKUP(C14,listaBolsa!$D$2:$BA$248,14,0)</f>
        <v>#N/A</v>
      </c>
      <c r="DE14" s="7" t="e">
        <f>VLOOKUP(C14,listaBolsa!$D$2:$BA$248,23,0)</f>
        <v>#N/A</v>
      </c>
      <c r="DF14" s="7" t="e">
        <f>VLOOKUP(C14,listaBolsa!$D$2:$BA$248,29,0)</f>
        <v>#N/A</v>
      </c>
      <c r="DG14" s="7" t="e">
        <f>VLOOKUP(C14,listaBolsa!$D$2:$BA$248,36,0)</f>
        <v>#N/A</v>
      </c>
      <c r="DH14" s="7" t="e">
        <f>VLOOKUP(C14,listaBolsa!$D$2:$BA$248,40,0)</f>
        <v>#N/A</v>
      </c>
      <c r="DI14" s="7" t="e">
        <f>VLOOKUP(C14,listaBolsa!$D$2:$BA$248,48,0)</f>
        <v>#N/A</v>
      </c>
      <c r="DJ14" s="7" t="e">
        <f t="shared" si="13"/>
        <v>#N/A</v>
      </c>
      <c r="DK14" s="7" t="e">
        <f t="shared" si="13"/>
        <v>#N/A</v>
      </c>
      <c r="DL14" s="7" t="e">
        <f t="shared" si="14"/>
        <v>#N/A</v>
      </c>
      <c r="DM14" s="7" t="e">
        <f t="shared" si="14"/>
        <v>#N/A</v>
      </c>
      <c r="DN14" s="7" t="e">
        <f t="shared" si="15"/>
        <v>#N/A</v>
      </c>
      <c r="DO14" s="7" t="e">
        <f t="shared" si="15"/>
        <v>#N/A</v>
      </c>
      <c r="DP14" s="7" t="e">
        <f t="shared" si="16"/>
        <v>#N/A</v>
      </c>
      <c r="DQ14" s="7" t="e">
        <f t="shared" si="16"/>
        <v>#N/A</v>
      </c>
      <c r="DR14" s="7" t="e">
        <f t="shared" si="17"/>
        <v>#N/A</v>
      </c>
    </row>
    <row r="15" spans="1:122" s="7" customFormat="1" ht="79.5" customHeight="1">
      <c r="A15" s="75">
        <f t="shared" si="18"/>
        <v>4</v>
      </c>
      <c r="B15" s="196" t="s">
        <v>186</v>
      </c>
      <c r="C15" s="95" t="s">
        <v>200</v>
      </c>
      <c r="D15" s="75" t="s">
        <v>201</v>
      </c>
      <c r="E15" s="111" t="s">
        <v>191</v>
      </c>
      <c r="F15" s="112">
        <v>1</v>
      </c>
      <c r="G15" s="200" t="s">
        <v>192</v>
      </c>
      <c r="H15" s="106" t="s">
        <v>193</v>
      </c>
      <c r="I15" s="107">
        <v>15000</v>
      </c>
      <c r="J15" s="96">
        <f t="shared" si="0"/>
        <v>2850</v>
      </c>
      <c r="K15" s="96">
        <f t="shared" si="1"/>
        <v>17850</v>
      </c>
      <c r="L15" s="96">
        <f t="shared" si="2"/>
        <v>15000</v>
      </c>
      <c r="M15" s="96">
        <f t="shared" si="3"/>
        <v>17850</v>
      </c>
      <c r="N15" s="195" t="s">
        <v>194</v>
      </c>
      <c r="O15" s="109">
        <v>16200</v>
      </c>
      <c r="P15" s="110">
        <f t="shared" si="4"/>
        <v>3078</v>
      </c>
      <c r="Q15" s="110">
        <f t="shared" si="5"/>
        <v>19278</v>
      </c>
      <c r="R15" s="110">
        <f t="shared" si="6"/>
        <v>16200</v>
      </c>
      <c r="S15" s="110">
        <f t="shared" si="7"/>
        <v>19278</v>
      </c>
      <c r="T15" s="97" t="s">
        <v>195</v>
      </c>
      <c r="U15" s="98">
        <v>15110.9243697479</v>
      </c>
      <c r="V15" s="99">
        <f t="shared" si="8"/>
        <v>2871.0756302521008</v>
      </c>
      <c r="W15" s="99">
        <f t="shared" si="9"/>
        <v>17982</v>
      </c>
      <c r="X15" s="99">
        <f t="shared" si="10"/>
        <v>15110.9243697479</v>
      </c>
      <c r="Y15" s="99">
        <f t="shared" si="11"/>
        <v>17982</v>
      </c>
      <c r="Z15" s="100">
        <f>IF(A15="","",AVERAGE(K15,Q15,W15))</f>
        <v>18370</v>
      </c>
      <c r="AA15" s="100">
        <f>IF(B15="","",Z15*F15)</f>
        <v>18370</v>
      </c>
      <c r="AB15" s="78">
        <f>IF(B15="","",STDEV(M15,S15,Y15))</f>
        <v>789.11596106022341</v>
      </c>
      <c r="AC15" s="102">
        <f t="shared" si="12"/>
        <v>4.2956775234633829E-2</v>
      </c>
      <c r="AD15" s="5"/>
      <c r="AF15" s="7" t="s">
        <v>173</v>
      </c>
      <c r="AG15" s="7">
        <v>4</v>
      </c>
      <c r="AH15" s="7" t="s">
        <v>202</v>
      </c>
      <c r="BG15" s="7">
        <v>4</v>
      </c>
      <c r="DA15" s="7" t="e">
        <f>VLOOKUP(C15,listaBolsa!$D$2:$BA$248,1,0)</f>
        <v>#N/A</v>
      </c>
      <c r="DB15" s="7" t="e">
        <f>VLOOKUP(C15,listaBolsa!$D$2:$BA$248,2,0)</f>
        <v>#N/A</v>
      </c>
      <c r="DC15" s="7" t="e">
        <f>VLOOKUP(C15,listaBolsa!$D$2:$BA$248,10,0)</f>
        <v>#N/A</v>
      </c>
      <c r="DD15" s="7" t="e">
        <f>VLOOKUP(C15,listaBolsa!$D$2:$BA$248,14,0)</f>
        <v>#N/A</v>
      </c>
      <c r="DE15" s="7" t="e">
        <f>VLOOKUP(C15,listaBolsa!$D$2:$BA$248,23,0)</f>
        <v>#N/A</v>
      </c>
      <c r="DF15" s="7" t="e">
        <f>VLOOKUP(C15,listaBolsa!$D$2:$BA$248,29,0)</f>
        <v>#N/A</v>
      </c>
      <c r="DG15" s="7" t="e">
        <f>VLOOKUP(C15,listaBolsa!$D$2:$BA$248,36,0)</f>
        <v>#N/A</v>
      </c>
      <c r="DH15" s="7" t="e">
        <f>VLOOKUP(C15,listaBolsa!$D$2:$BA$248,40,0)</f>
        <v>#N/A</v>
      </c>
      <c r="DI15" s="7" t="e">
        <f>VLOOKUP(C15,listaBolsa!$D$2:$BA$248,48,0)</f>
        <v>#N/A</v>
      </c>
      <c r="DJ15" s="7" t="e">
        <f t="shared" si="13"/>
        <v>#N/A</v>
      </c>
      <c r="DK15" s="7" t="e">
        <f t="shared" si="13"/>
        <v>#N/A</v>
      </c>
      <c r="DL15" s="7" t="e">
        <f t="shared" si="14"/>
        <v>#N/A</v>
      </c>
      <c r="DM15" s="7" t="e">
        <f t="shared" si="14"/>
        <v>#N/A</v>
      </c>
      <c r="DN15" s="7" t="e">
        <f t="shared" si="15"/>
        <v>#N/A</v>
      </c>
      <c r="DO15" s="7" t="e">
        <f t="shared" si="15"/>
        <v>#N/A</v>
      </c>
      <c r="DP15" s="7" t="e">
        <f t="shared" si="16"/>
        <v>#N/A</v>
      </c>
      <c r="DQ15" s="7" t="e">
        <f t="shared" si="16"/>
        <v>#N/A</v>
      </c>
      <c r="DR15" s="7" t="e">
        <f t="shared" si="17"/>
        <v>#N/A</v>
      </c>
    </row>
    <row r="16" spans="1:122" s="7" customFormat="1" ht="409.5" customHeight="1">
      <c r="A16" s="75">
        <f t="shared" si="18"/>
        <v>5</v>
      </c>
      <c r="B16" s="196" t="s">
        <v>186</v>
      </c>
      <c r="C16" s="95" t="s">
        <v>203</v>
      </c>
      <c r="D16" s="75" t="str">
        <f>IF(C16="","",VLOOKUP(C16,listaBolsa!$D$2:$H$276,2,0))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16" s="111" t="str">
        <f>IF(C16="","",VLOOKUP(C16,listaBolsa!$D$2:$H$276,3,0))</f>
        <v>Servicio</v>
      </c>
      <c r="F16" s="112">
        <v>5</v>
      </c>
      <c r="G16" s="200" t="str">
        <f>IF(C16="","",VLOOKUP(C16,listaBolsa!$D$2:$H$276,5,0))</f>
        <v>Alquiler</v>
      </c>
      <c r="H16" s="106" t="str">
        <f>IF(C16="","",VLOOKUP(C16,listaBolsa!$D$2:$W$276,10,0))</f>
        <v>RUTRASCOL</v>
      </c>
      <c r="I16" s="107">
        <f>IF(C16="","",VLOOKUP(C16,listaBolsa!$D$2:$W$276,14,0))</f>
        <v>850000</v>
      </c>
      <c r="J16" s="96">
        <f t="shared" si="0"/>
        <v>161500</v>
      </c>
      <c r="K16" s="96">
        <f t="shared" si="1"/>
        <v>1011500</v>
      </c>
      <c r="L16" s="96">
        <f t="shared" si="2"/>
        <v>4250000</v>
      </c>
      <c r="M16" s="96">
        <f t="shared" si="3"/>
        <v>5057500</v>
      </c>
      <c r="N16" s="108" t="str">
        <f>IF(C16="","",VLOOKUP(C16,listaBolsa!$D$2:$AZ$276,23,0))</f>
        <v>Destino Express</v>
      </c>
      <c r="O16" s="109">
        <f>IF(C16="","",VLOOKUP(C16,listaBolsa!$D$2:$AZ$276,27,0))</f>
        <v>790000</v>
      </c>
      <c r="P16" s="110">
        <f t="shared" si="4"/>
        <v>150100</v>
      </c>
      <c r="Q16" s="110">
        <f t="shared" si="5"/>
        <v>940100</v>
      </c>
      <c r="R16" s="110">
        <f t="shared" si="6"/>
        <v>3950000</v>
      </c>
      <c r="S16" s="110">
        <f t="shared" si="7"/>
        <v>4700500</v>
      </c>
      <c r="T16" s="97">
        <f>IF(C16="","",VLOOKUP(C16,listaBolsa!$D$2:$BB$276,36,0))</f>
        <v>0</v>
      </c>
      <c r="U16" s="98">
        <f>IF(C16="","",VLOOKUP(C16,listaBolsa!$D$2:$BB$276,40,0))</f>
        <v>0</v>
      </c>
      <c r="V16" s="99">
        <f t="shared" si="8"/>
        <v>0</v>
      </c>
      <c r="W16" s="99">
        <f t="shared" si="9"/>
        <v>0</v>
      </c>
      <c r="X16" s="99">
        <f t="shared" si="10"/>
        <v>0</v>
      </c>
      <c r="Y16" s="99">
        <f t="shared" si="11"/>
        <v>0</v>
      </c>
      <c r="Z16" s="100">
        <v>820000</v>
      </c>
      <c r="AA16" s="100">
        <v>820000</v>
      </c>
      <c r="AB16" s="78">
        <v>42426</v>
      </c>
      <c r="AC16" s="102">
        <f t="shared" si="12"/>
        <v>5.1739024390243901E-2</v>
      </c>
      <c r="AD16" s="5"/>
      <c r="AF16" s="7" t="s">
        <v>173</v>
      </c>
      <c r="AG16" s="7">
        <v>5</v>
      </c>
      <c r="AH16" s="7" t="s">
        <v>204</v>
      </c>
      <c r="BG16" s="7">
        <v>5</v>
      </c>
      <c r="DA16" s="7" t="str">
        <f>VLOOKUP(C16,listaBolsa!$D$2:$BA$248,1,0)</f>
        <v>Servicio de transporte zona Rural de la localidad de Suba para  40 personas por jornada</v>
      </c>
      <c r="DB16" s="7" t="str">
        <f>VLOOKUP(C16,listaBolsa!$D$2:$BA$248,2,0)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C16" s="7" t="str">
        <f>VLOOKUP(C16,listaBolsa!$D$2:$BA$248,10,0)</f>
        <v>RUTRASCOL</v>
      </c>
      <c r="DD16" s="7">
        <f>VLOOKUP(C16,listaBolsa!$D$2:$BA$248,14,0)</f>
        <v>850000</v>
      </c>
      <c r="DE16" s="7" t="str">
        <f>VLOOKUP(C16,listaBolsa!$D$2:$BA$248,23,0)</f>
        <v>Destino Express</v>
      </c>
      <c r="DF16" s="7">
        <f>VLOOKUP(C16,listaBolsa!$D$2:$BA$248,29,0)</f>
        <v>790000</v>
      </c>
      <c r="DG16" s="7">
        <f>VLOOKUP(C16,listaBolsa!$D$2:$BA$248,36,0)</f>
        <v>0</v>
      </c>
      <c r="DH16" s="7">
        <f>VLOOKUP(C16,listaBolsa!$D$2:$BA$248,40,0)</f>
        <v>0</v>
      </c>
      <c r="DI16" s="7">
        <f>VLOOKUP(C16,listaBolsa!$D$2:$BA$248,48,0)</f>
        <v>5.1739520574625428E-2</v>
      </c>
      <c r="DJ16" s="7" t="b">
        <f t="shared" si="13"/>
        <v>1</v>
      </c>
      <c r="DK16" s="7" t="b">
        <f t="shared" si="13"/>
        <v>1</v>
      </c>
      <c r="DL16" s="7" t="b">
        <f t="shared" si="14"/>
        <v>1</v>
      </c>
      <c r="DM16" s="7" t="b">
        <f t="shared" si="14"/>
        <v>1</v>
      </c>
      <c r="DN16" s="7" t="b">
        <f t="shared" si="15"/>
        <v>1</v>
      </c>
      <c r="DO16" s="7" t="b">
        <f t="shared" si="15"/>
        <v>1</v>
      </c>
      <c r="DP16" s="7" t="b">
        <f t="shared" si="16"/>
        <v>1</v>
      </c>
      <c r="DQ16" s="7" t="b">
        <f t="shared" si="16"/>
        <v>1</v>
      </c>
      <c r="DR16" s="7" t="b">
        <f t="shared" si="17"/>
        <v>0</v>
      </c>
    </row>
    <row r="17" spans="1:122" s="7" customFormat="1" ht="409.5" customHeight="1">
      <c r="A17" s="75">
        <f t="shared" si="18"/>
        <v>6</v>
      </c>
      <c r="B17" s="196" t="s">
        <v>186</v>
      </c>
      <c r="C17" s="95" t="s">
        <v>205</v>
      </c>
      <c r="D17" s="75" t="str">
        <f>IF(C17="","",VLOOKUP(C17,listaBolsa!$D$2:$H$276,2,0))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17" s="111" t="str">
        <f>IF(C17="","",VLOOKUP(C17,listaBolsa!$D$2:$H$276,3,0))</f>
        <v>Servicio</v>
      </c>
      <c r="F17" s="112">
        <v>5</v>
      </c>
      <c r="G17" s="200" t="str">
        <f>IF(C17="","",VLOOKUP(C17,listaBolsa!$D$2:$H$276,5,0))</f>
        <v>Alquiler</v>
      </c>
      <c r="H17" s="106" t="str">
        <f>IF(C17="","",VLOOKUP(C17,listaBolsa!$D$2:$W$276,10,0))</f>
        <v>Destino Express</v>
      </c>
      <c r="I17" s="107">
        <f>IF(C17="","",VLOOKUP(C17,listaBolsa!$D$2:$W$276,14,0))</f>
        <v>385000</v>
      </c>
      <c r="J17" s="96">
        <f t="shared" si="0"/>
        <v>73150</v>
      </c>
      <c r="K17" s="96">
        <f t="shared" si="1"/>
        <v>458150</v>
      </c>
      <c r="L17" s="96">
        <f t="shared" si="2"/>
        <v>1925000</v>
      </c>
      <c r="M17" s="96">
        <f t="shared" si="3"/>
        <v>2290750</v>
      </c>
      <c r="N17" s="108" t="str">
        <f>IF(C17="","",VLOOKUP(C17,listaBolsa!$D$2:$AZ$276,23,0))</f>
        <v>RENETUR</v>
      </c>
      <c r="O17" s="109">
        <f>IF(C17="","",VLOOKUP(C17,listaBolsa!$D$2:$AZ$276,27,0))</f>
        <v>350000</v>
      </c>
      <c r="P17" s="110">
        <f t="shared" si="4"/>
        <v>66500</v>
      </c>
      <c r="Q17" s="110">
        <f t="shared" si="5"/>
        <v>416500</v>
      </c>
      <c r="R17" s="110">
        <f t="shared" si="6"/>
        <v>1750000</v>
      </c>
      <c r="S17" s="110">
        <f t="shared" si="7"/>
        <v>2082500</v>
      </c>
      <c r="T17" s="97" t="str">
        <f>IF(C17="","",VLOOKUP(C17,listaBolsa!$D$2:$BB$276,36,0))</f>
        <v>RUTRASCOL Transporte_Varios</v>
      </c>
      <c r="U17" s="98">
        <f>IF(C17="","",VLOOKUP(C17,listaBolsa!$D$2:$BB$276,40,0))</f>
        <v>285000</v>
      </c>
      <c r="V17" s="99">
        <f t="shared" si="8"/>
        <v>54150</v>
      </c>
      <c r="W17" s="99">
        <f t="shared" si="9"/>
        <v>339150</v>
      </c>
      <c r="X17" s="99">
        <f t="shared" si="10"/>
        <v>1425000</v>
      </c>
      <c r="Y17" s="99">
        <f t="shared" si="11"/>
        <v>1695750</v>
      </c>
      <c r="Z17" s="100">
        <f t="shared" ref="Z17:Z80" si="19">IF(A17="","",AVERAGE(K17,Q17,W17))</f>
        <v>404600</v>
      </c>
      <c r="AA17" s="100">
        <f t="shared" ref="AA17:AA80" si="20">IF(B17="","",Z17*F17)</f>
        <v>2023000</v>
      </c>
      <c r="AB17" s="78">
        <f t="shared" ref="AB17:AB80" si="21">IF(B17="","",STDEV(M17,S17,Y17))</f>
        <v>301929.52406149352</v>
      </c>
      <c r="AC17" s="102">
        <f t="shared" si="12"/>
        <v>0.14924840536900322</v>
      </c>
      <c r="AD17" s="5"/>
      <c r="AF17" s="7" t="s">
        <v>173</v>
      </c>
      <c r="AG17" s="7">
        <v>6</v>
      </c>
      <c r="AH17" s="7" t="s">
        <v>206</v>
      </c>
      <c r="BG17" s="7">
        <v>6</v>
      </c>
      <c r="DA17" s="7" t="str">
        <f>VLOOKUP(C17,listaBolsa!$D$2:$BA$248,1,0)</f>
        <v>Servicio de transporte zona Rural de la localidad de Suba para  10 personas por trayecto</v>
      </c>
      <c r="DB17" s="7" t="str">
        <f>VLOOKUP(C17,listaBolsa!$D$2:$BA$248,2,0)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C17" s="7" t="str">
        <f>VLOOKUP(C17,listaBolsa!$D$2:$BA$248,10,0)</f>
        <v>Destino Express</v>
      </c>
      <c r="DD17" s="7">
        <f>VLOOKUP(C17,listaBolsa!$D$2:$BA$248,14,0)</f>
        <v>385000</v>
      </c>
      <c r="DE17" s="7" t="str">
        <f>VLOOKUP(C17,listaBolsa!$D$2:$BA$248,23,0)</f>
        <v>RENETUR</v>
      </c>
      <c r="DF17" s="7">
        <f>VLOOKUP(C17,listaBolsa!$D$2:$BA$248,29,0)</f>
        <v>350000</v>
      </c>
      <c r="DG17" s="7" t="str">
        <f>VLOOKUP(C17,listaBolsa!$D$2:$BA$248,36,0)</f>
        <v>RUTRASCOL Transporte_Varios</v>
      </c>
      <c r="DH17" s="7">
        <f>VLOOKUP(C17,listaBolsa!$D$2:$BA$248,40,0)</f>
        <v>285000</v>
      </c>
      <c r="DI17" s="7">
        <f>VLOOKUP(C17,listaBolsa!$D$2:$BA$248,48,0)</f>
        <v>0.14924840536900322</v>
      </c>
      <c r="DJ17" s="7" t="b">
        <f t="shared" si="13"/>
        <v>1</v>
      </c>
      <c r="DK17" s="7" t="b">
        <f t="shared" si="13"/>
        <v>1</v>
      </c>
      <c r="DL17" s="7" t="b">
        <f t="shared" si="14"/>
        <v>1</v>
      </c>
      <c r="DM17" s="7" t="b">
        <f t="shared" si="14"/>
        <v>1</v>
      </c>
      <c r="DN17" s="7" t="b">
        <f t="shared" si="15"/>
        <v>1</v>
      </c>
      <c r="DO17" s="7" t="b">
        <f t="shared" si="15"/>
        <v>1</v>
      </c>
      <c r="DP17" s="7" t="b">
        <f t="shared" si="16"/>
        <v>1</v>
      </c>
      <c r="DQ17" s="7" t="b">
        <f t="shared" si="16"/>
        <v>1</v>
      </c>
      <c r="DR17" s="7" t="b">
        <f t="shared" si="17"/>
        <v>1</v>
      </c>
    </row>
    <row r="18" spans="1:122" s="7" customFormat="1" ht="83.25" customHeight="1">
      <c r="A18" s="75">
        <f t="shared" si="18"/>
        <v>7</v>
      </c>
      <c r="B18" s="196" t="s">
        <v>186</v>
      </c>
      <c r="C18" s="183" t="s">
        <v>207</v>
      </c>
      <c r="D18" s="75" t="s">
        <v>208</v>
      </c>
      <c r="E18" s="111" t="s">
        <v>191</v>
      </c>
      <c r="F18" s="112">
        <v>5</v>
      </c>
      <c r="G18" s="75" t="s">
        <v>209</v>
      </c>
      <c r="H18" s="106" t="s">
        <v>194</v>
      </c>
      <c r="I18" s="107">
        <v>660000</v>
      </c>
      <c r="J18" s="96">
        <f t="shared" si="0"/>
        <v>125400</v>
      </c>
      <c r="K18" s="96">
        <f t="shared" si="1"/>
        <v>785400</v>
      </c>
      <c r="L18" s="96">
        <f t="shared" si="2"/>
        <v>3300000</v>
      </c>
      <c r="M18" s="96">
        <f t="shared" si="3"/>
        <v>3927000</v>
      </c>
      <c r="N18" s="108" t="s">
        <v>193</v>
      </c>
      <c r="O18" s="109">
        <v>620000</v>
      </c>
      <c r="P18" s="110">
        <f t="shared" si="4"/>
        <v>117800</v>
      </c>
      <c r="Q18" s="110">
        <f t="shared" si="5"/>
        <v>737800</v>
      </c>
      <c r="R18" s="110">
        <f t="shared" si="6"/>
        <v>3100000</v>
      </c>
      <c r="S18" s="110">
        <f t="shared" si="7"/>
        <v>3689000</v>
      </c>
      <c r="T18" s="97" t="s">
        <v>210</v>
      </c>
      <c r="U18" s="98">
        <v>850000</v>
      </c>
      <c r="V18" s="99">
        <f t="shared" si="8"/>
        <v>161500</v>
      </c>
      <c r="W18" s="99">
        <f t="shared" si="9"/>
        <v>1011500</v>
      </c>
      <c r="X18" s="99">
        <f t="shared" si="10"/>
        <v>4250000</v>
      </c>
      <c r="Y18" s="99">
        <f t="shared" si="11"/>
        <v>5057500</v>
      </c>
      <c r="Z18" s="100">
        <f t="shared" si="19"/>
        <v>844900</v>
      </c>
      <c r="AA18" s="100">
        <f t="shared" si="20"/>
        <v>4224500</v>
      </c>
      <c r="AB18" s="78">
        <f t="shared" si="21"/>
        <v>731148.24078294821</v>
      </c>
      <c r="AC18" s="102">
        <f t="shared" si="12"/>
        <v>0.17307332010485221</v>
      </c>
      <c r="AD18" s="5"/>
      <c r="AF18" s="7" t="s">
        <v>173</v>
      </c>
      <c r="AG18" s="7">
        <v>7</v>
      </c>
      <c r="AH18" s="7" t="s">
        <v>211</v>
      </c>
      <c r="BG18" s="7">
        <v>7</v>
      </c>
      <c r="DA18" s="7" t="e">
        <f>VLOOKUP(C18,listaBolsa!$D$2:$BA$248,1,0)</f>
        <v>#N/A</v>
      </c>
      <c r="DB18" s="7" t="e">
        <f>VLOOKUP(C18,listaBolsa!$D$2:$BA$248,2,0)</f>
        <v>#N/A</v>
      </c>
      <c r="DC18" s="7" t="e">
        <f>VLOOKUP(C18,listaBolsa!$D$2:$BA$248,10,0)</f>
        <v>#N/A</v>
      </c>
      <c r="DD18" s="7" t="e">
        <f>VLOOKUP(C18,listaBolsa!$D$2:$BA$248,14,0)</f>
        <v>#N/A</v>
      </c>
      <c r="DE18" s="7" t="e">
        <f>VLOOKUP(C18,listaBolsa!$D$2:$BA$248,23,0)</f>
        <v>#N/A</v>
      </c>
      <c r="DF18" s="7" t="e">
        <f>VLOOKUP(C18,listaBolsa!$D$2:$BA$248,29,0)</f>
        <v>#N/A</v>
      </c>
      <c r="DG18" s="7" t="e">
        <f>VLOOKUP(C18,listaBolsa!$D$2:$BA$248,36,0)</f>
        <v>#N/A</v>
      </c>
      <c r="DH18" s="7" t="e">
        <f>VLOOKUP(C18,listaBolsa!$D$2:$BA$248,40,0)</f>
        <v>#N/A</v>
      </c>
      <c r="DI18" s="7" t="e">
        <f>VLOOKUP(C18,listaBolsa!$D$2:$BA$248,48,0)</f>
        <v>#N/A</v>
      </c>
      <c r="DJ18" s="7" t="e">
        <f t="shared" si="13"/>
        <v>#N/A</v>
      </c>
      <c r="DK18" s="7" t="e">
        <f t="shared" si="13"/>
        <v>#N/A</v>
      </c>
      <c r="DL18" s="7" t="e">
        <f t="shared" si="14"/>
        <v>#N/A</v>
      </c>
      <c r="DM18" s="7" t="e">
        <f t="shared" si="14"/>
        <v>#N/A</v>
      </c>
      <c r="DN18" s="7" t="e">
        <f t="shared" si="15"/>
        <v>#N/A</v>
      </c>
      <c r="DO18" s="7" t="e">
        <f t="shared" si="15"/>
        <v>#N/A</v>
      </c>
      <c r="DP18" s="7" t="e">
        <f t="shared" si="16"/>
        <v>#N/A</v>
      </c>
      <c r="DQ18" s="7" t="e">
        <f t="shared" si="16"/>
        <v>#N/A</v>
      </c>
      <c r="DR18" s="7" t="e">
        <f t="shared" si="17"/>
        <v>#N/A</v>
      </c>
    </row>
    <row r="19" spans="1:122" s="7" customFormat="1" ht="130.5" customHeight="1">
      <c r="A19" s="75">
        <f t="shared" si="18"/>
        <v>8</v>
      </c>
      <c r="B19" s="196" t="s">
        <v>186</v>
      </c>
      <c r="C19" s="95" t="s">
        <v>212</v>
      </c>
      <c r="D19" s="75" t="str">
        <f>IF(C19="","",VLOOKUP(C19,listaBolsa!$D$2:$H$276,2,0))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E19" s="111" t="str">
        <f>IF(C19="","",VLOOKUP(C19,listaBolsa!$D$2:$H$276,3,0))</f>
        <v>Unidad</v>
      </c>
      <c r="F19" s="112">
        <v>50</v>
      </c>
      <c r="G19" s="200" t="str">
        <f>IF(C19="","",VLOOKUP(C19,listaBolsa!$D$2:$H$276,5,0))</f>
        <v>Compra</v>
      </c>
      <c r="H19" s="106" t="str">
        <f>IF(C19="","",VLOOKUP(C19,listaBolsa!$D$2:$W$276,10,0))</f>
        <v>INVENTIVA</v>
      </c>
      <c r="I19" s="107">
        <f>IF(C19="","",VLOOKUP(C19,listaBolsa!$D$2:$W$276,14,0))</f>
        <v>26000</v>
      </c>
      <c r="J19" s="96">
        <f t="shared" si="0"/>
        <v>4940</v>
      </c>
      <c r="K19" s="96">
        <f t="shared" si="1"/>
        <v>30940</v>
      </c>
      <c r="L19" s="96">
        <f t="shared" si="2"/>
        <v>1300000</v>
      </c>
      <c r="M19" s="96">
        <f t="shared" si="3"/>
        <v>1547000</v>
      </c>
      <c r="N19" s="108" t="str">
        <f>IF(C19="","",VLOOKUP(C19,listaBolsa!$D$2:$AZ$276,23,0))</f>
        <v>Angie Pachon (personalizado INK)</v>
      </c>
      <c r="O19" s="109">
        <f>IF(C19="","",VLOOKUP(C19,listaBolsa!$D$2:$AZ$276,27,0))</f>
        <v>35000</v>
      </c>
      <c r="P19" s="110">
        <f t="shared" si="4"/>
        <v>6650</v>
      </c>
      <c r="Q19" s="110">
        <f t="shared" si="5"/>
        <v>41650</v>
      </c>
      <c r="R19" s="110">
        <f t="shared" si="6"/>
        <v>1750000</v>
      </c>
      <c r="S19" s="110">
        <f t="shared" si="7"/>
        <v>2082500</v>
      </c>
      <c r="T19" s="97" t="str">
        <f>IF(C19="","",VLOOKUP(C19,listaBolsa!$D$2:$BB$276,36,0))</f>
        <v>MARIA CONFLICTO</v>
      </c>
      <c r="U19" s="98">
        <f>IF(C19="","",VLOOKUP(C19,listaBolsa!$D$2:$BB$276,40,0))</f>
        <v>29000</v>
      </c>
      <c r="V19" s="99">
        <f t="shared" si="8"/>
        <v>5510</v>
      </c>
      <c r="W19" s="99">
        <f t="shared" si="9"/>
        <v>34510</v>
      </c>
      <c r="X19" s="99">
        <f t="shared" si="10"/>
        <v>1450000</v>
      </c>
      <c r="Y19" s="99">
        <f t="shared" si="11"/>
        <v>1725500</v>
      </c>
      <c r="Z19" s="100">
        <f t="shared" si="19"/>
        <v>35700</v>
      </c>
      <c r="AA19" s="100">
        <f t="shared" si="20"/>
        <v>1785000</v>
      </c>
      <c r="AB19" s="78">
        <f t="shared" si="21"/>
        <v>272663.2538498725</v>
      </c>
      <c r="AC19" s="102">
        <f t="shared" si="12"/>
        <v>0.15275252316519469</v>
      </c>
      <c r="AD19" s="5"/>
      <c r="AF19" s="7" t="s">
        <v>173</v>
      </c>
      <c r="AG19" s="7">
        <v>8</v>
      </c>
      <c r="AH19" s="7" t="s">
        <v>213</v>
      </c>
      <c r="BG19" s="7">
        <v>8</v>
      </c>
      <c r="DA19" s="7" t="str">
        <f>VLOOKUP(C19,listaBolsa!$D$2:$BA$248,1,0)</f>
        <v>Agendas con esfero</v>
      </c>
      <c r="DB19" s="7" t="str">
        <f>VLOOKUP(C19,listaBolsa!$D$2:$BA$248,2,0)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DC19" s="7" t="str">
        <f>VLOOKUP(C19,listaBolsa!$D$2:$BA$248,10,0)</f>
        <v>INVENTIVA</v>
      </c>
      <c r="DD19" s="7">
        <f>VLOOKUP(C19,listaBolsa!$D$2:$BA$248,14,0)</f>
        <v>26000</v>
      </c>
      <c r="DE19" s="7" t="str">
        <f>VLOOKUP(C19,listaBolsa!$D$2:$BA$248,23,0)</f>
        <v>Angie Pachon (personalizado INK)</v>
      </c>
      <c r="DF19" s="7">
        <f>VLOOKUP(C19,listaBolsa!$D$2:$BA$248,29,0)</f>
        <v>35000</v>
      </c>
      <c r="DG19" s="7" t="str">
        <f>VLOOKUP(C19,listaBolsa!$D$2:$BA$248,36,0)</f>
        <v>MARIA CONFLICTO</v>
      </c>
      <c r="DH19" s="7">
        <f>VLOOKUP(C19,listaBolsa!$D$2:$BA$248,40,0)</f>
        <v>29000</v>
      </c>
      <c r="DI19" s="7">
        <f>VLOOKUP(C19,listaBolsa!$D$2:$BA$248,48,0)</f>
        <v>9.6749082721183377E-2</v>
      </c>
      <c r="DJ19" s="7" t="b">
        <f t="shared" si="13"/>
        <v>1</v>
      </c>
      <c r="DK19" s="7" t="b">
        <f t="shared" si="13"/>
        <v>1</v>
      </c>
      <c r="DL19" s="7" t="b">
        <f t="shared" si="14"/>
        <v>1</v>
      </c>
      <c r="DM19" s="7" t="b">
        <f t="shared" si="14"/>
        <v>1</v>
      </c>
      <c r="DN19" s="7" t="b">
        <f t="shared" si="15"/>
        <v>1</v>
      </c>
      <c r="DO19" s="7" t="b">
        <f t="shared" si="15"/>
        <v>1</v>
      </c>
      <c r="DP19" s="7" t="b">
        <f t="shared" si="16"/>
        <v>1</v>
      </c>
      <c r="DQ19" s="7" t="b">
        <f t="shared" si="16"/>
        <v>1</v>
      </c>
      <c r="DR19" s="7" t="b">
        <f t="shared" si="17"/>
        <v>0</v>
      </c>
    </row>
    <row r="20" spans="1:122" s="7" customFormat="1" ht="87" customHeight="1">
      <c r="A20" s="75">
        <f t="shared" si="18"/>
        <v>9</v>
      </c>
      <c r="B20" s="196" t="s">
        <v>186</v>
      </c>
      <c r="C20" s="95" t="s">
        <v>214</v>
      </c>
      <c r="D20" s="75" t="str">
        <f>IF(C20="","",VLOOKUP(C20,listaBolsa!$D$2:$H$276,2,0))</f>
        <v>100% en algodón de 185 gr. cuello redondo y/o en v, de diferentes tallas, marcadas en screen 4 tintas. fabricación y materiales nacionales</v>
      </c>
      <c r="E20" s="111" t="str">
        <f>IF(C20="","",VLOOKUP(C20,listaBolsa!$D$2:$H$276,3,0))</f>
        <v>Unidad</v>
      </c>
      <c r="F20" s="112">
        <v>50</v>
      </c>
      <c r="G20" s="200" t="str">
        <f>IF(C20="","",VLOOKUP(C20,listaBolsa!$D$2:$H$276,5,0))</f>
        <v>Compra</v>
      </c>
      <c r="H20" s="106" t="str">
        <f>IF(C20="","",VLOOKUP(C20,listaBolsa!$D$2:$W$276,10,0))</f>
        <v>MARIA CONFLICTO</v>
      </c>
      <c r="I20" s="107">
        <f>IF(C20="","",VLOOKUP(C20,listaBolsa!$D$2:$W$276,14,0))</f>
        <v>22000</v>
      </c>
      <c r="J20" s="96">
        <f t="shared" si="0"/>
        <v>4180</v>
      </c>
      <c r="K20" s="96">
        <f t="shared" si="1"/>
        <v>26180</v>
      </c>
      <c r="L20" s="96">
        <f t="shared" si="2"/>
        <v>1100000</v>
      </c>
      <c r="M20" s="96">
        <f t="shared" si="3"/>
        <v>1309000</v>
      </c>
      <c r="N20" s="108" t="str">
        <f>IF(C20="","",VLOOKUP(C20,listaBolsa!$D$2:$AZ$276,23,0))</f>
        <v>Angie Pachon (personalizado INK)</v>
      </c>
      <c r="O20" s="109">
        <f>IF(C20="","",VLOOKUP(C20,listaBolsa!$D$2:$AZ$276,27,0))</f>
        <v>28000</v>
      </c>
      <c r="P20" s="110">
        <f t="shared" si="4"/>
        <v>5320</v>
      </c>
      <c r="Q20" s="110">
        <f t="shared" si="5"/>
        <v>33320</v>
      </c>
      <c r="R20" s="110">
        <f t="shared" si="6"/>
        <v>1400000</v>
      </c>
      <c r="S20" s="110">
        <f t="shared" si="7"/>
        <v>1666000</v>
      </c>
      <c r="T20" s="97" t="str">
        <f>IF(C20="","",VLOOKUP(C20,listaBolsa!$D$2:$BB$276,36,0))</f>
        <v>INVENTIVA</v>
      </c>
      <c r="U20" s="98">
        <f>IF(C20="","",VLOOKUP(C20,listaBolsa!$D$2:$BB$276,40,0))</f>
        <v>25000</v>
      </c>
      <c r="V20" s="99">
        <f t="shared" si="8"/>
        <v>4750</v>
      </c>
      <c r="W20" s="99">
        <f t="shared" si="9"/>
        <v>29750</v>
      </c>
      <c r="X20" s="99">
        <f t="shared" si="10"/>
        <v>1250000</v>
      </c>
      <c r="Y20" s="99">
        <f t="shared" si="11"/>
        <v>1487500</v>
      </c>
      <c r="Z20" s="100">
        <f t="shared" si="19"/>
        <v>29750</v>
      </c>
      <c r="AA20" s="100">
        <f t="shared" si="20"/>
        <v>1487500</v>
      </c>
      <c r="AB20" s="78">
        <f t="shared" si="21"/>
        <v>178500</v>
      </c>
      <c r="AC20" s="102">
        <f t="shared" si="12"/>
        <v>0.12</v>
      </c>
      <c r="AD20" s="5"/>
      <c r="AF20" s="7" t="s">
        <v>173</v>
      </c>
      <c r="AG20" s="7">
        <v>9</v>
      </c>
      <c r="AH20" s="7" t="s">
        <v>215</v>
      </c>
      <c r="BG20" s="7">
        <v>9</v>
      </c>
      <c r="DA20" s="7" t="str">
        <f>VLOOKUP(C20,listaBolsa!$D$2:$BA$248,1,0)</f>
        <v>Camiseta t-shirt o Camiseta blanca</v>
      </c>
      <c r="DB20" s="7" t="str">
        <f>VLOOKUP(C20,listaBolsa!$D$2:$BA$248,2,0)</f>
        <v>100% en algodón de 185 gr. cuello redondo y/o en v, de diferentes tallas, marcadas en screen 4 tintas. fabricación y materiales nacionales</v>
      </c>
      <c r="DC20" s="7" t="str">
        <f>VLOOKUP(C20,listaBolsa!$D$2:$BA$248,10,0)</f>
        <v>MARIA CONFLICTO</v>
      </c>
      <c r="DD20" s="7">
        <f>VLOOKUP(C20,listaBolsa!$D$2:$BA$248,14,0)</f>
        <v>22000</v>
      </c>
      <c r="DE20" s="7" t="str">
        <f>VLOOKUP(C20,listaBolsa!$D$2:$BA$248,23,0)</f>
        <v>Angie Pachon (personalizado INK)</v>
      </c>
      <c r="DF20" s="7">
        <f>VLOOKUP(C20,listaBolsa!$D$2:$BA$248,29,0)</f>
        <v>28000</v>
      </c>
      <c r="DG20" s="7" t="str">
        <f>VLOOKUP(C20,listaBolsa!$D$2:$BA$248,36,0)</f>
        <v>INVENTIVA</v>
      </c>
      <c r="DH20" s="7">
        <f>VLOOKUP(C20,listaBolsa!$D$2:$BA$248,40,0)</f>
        <v>25000</v>
      </c>
      <c r="DI20" s="7">
        <f>VLOOKUP(C20,listaBolsa!$D$2:$BA$248,48,0)</f>
        <v>0.15289966643582714</v>
      </c>
      <c r="DJ20" s="7" t="b">
        <f t="shared" si="13"/>
        <v>1</v>
      </c>
      <c r="DK20" s="7" t="b">
        <f t="shared" si="13"/>
        <v>1</v>
      </c>
      <c r="DL20" s="7" t="b">
        <f t="shared" si="14"/>
        <v>1</v>
      </c>
      <c r="DM20" s="7" t="b">
        <f t="shared" si="14"/>
        <v>1</v>
      </c>
      <c r="DN20" s="7" t="b">
        <f t="shared" si="15"/>
        <v>1</v>
      </c>
      <c r="DO20" s="7" t="b">
        <f t="shared" si="15"/>
        <v>1</v>
      </c>
      <c r="DP20" s="7" t="b">
        <f t="shared" si="16"/>
        <v>1</v>
      </c>
      <c r="DQ20" s="7" t="b">
        <f t="shared" si="16"/>
        <v>1</v>
      </c>
      <c r="DR20" s="7" t="b">
        <f t="shared" si="17"/>
        <v>0</v>
      </c>
    </row>
    <row r="21" spans="1:122" s="7" customFormat="1" ht="70.5" customHeight="1">
      <c r="A21" s="75">
        <f t="shared" si="18"/>
        <v>10</v>
      </c>
      <c r="B21" s="196" t="s">
        <v>186</v>
      </c>
      <c r="C21" s="183" t="s">
        <v>216</v>
      </c>
      <c r="D21" s="183" t="s">
        <v>217</v>
      </c>
      <c r="E21" s="111" t="s">
        <v>191</v>
      </c>
      <c r="F21" s="112">
        <v>24</v>
      </c>
      <c r="G21" s="75" t="s">
        <v>192</v>
      </c>
      <c r="H21" s="106" t="s">
        <v>193</v>
      </c>
      <c r="I21" s="107">
        <v>5500</v>
      </c>
      <c r="J21" s="96">
        <f t="shared" si="0"/>
        <v>1045</v>
      </c>
      <c r="K21" s="96">
        <f t="shared" si="1"/>
        <v>6545</v>
      </c>
      <c r="L21" s="96">
        <f t="shared" si="2"/>
        <v>132000</v>
      </c>
      <c r="M21" s="96">
        <f t="shared" si="3"/>
        <v>157080</v>
      </c>
      <c r="N21" s="108" t="s">
        <v>218</v>
      </c>
      <c r="O21" s="109">
        <v>4210.93</v>
      </c>
      <c r="P21" s="197">
        <f>O21*0.19</f>
        <v>800.07670000000007</v>
      </c>
      <c r="Q21" s="110">
        <f t="shared" si="5"/>
        <v>5011.0066999999999</v>
      </c>
      <c r="R21" s="110">
        <f t="shared" si="6"/>
        <v>101062.32</v>
      </c>
      <c r="S21" s="110">
        <f t="shared" si="7"/>
        <v>120264.1608</v>
      </c>
      <c r="T21" s="97" t="s">
        <v>219</v>
      </c>
      <c r="U21" s="98">
        <v>5015.13</v>
      </c>
      <c r="V21" s="99">
        <f t="shared" si="8"/>
        <v>952.87470000000008</v>
      </c>
      <c r="W21" s="99">
        <f t="shared" si="9"/>
        <v>5968.0047000000004</v>
      </c>
      <c r="X21" s="99">
        <f t="shared" si="10"/>
        <v>120363.12</v>
      </c>
      <c r="Y21" s="99">
        <f t="shared" si="11"/>
        <v>143232.1128</v>
      </c>
      <c r="Z21" s="100">
        <f t="shared" si="19"/>
        <v>5841.3371333333334</v>
      </c>
      <c r="AA21" s="100">
        <f t="shared" si="20"/>
        <v>140192.0912</v>
      </c>
      <c r="AB21" s="78">
        <f t="shared" si="21"/>
        <v>18595.236016152474</v>
      </c>
      <c r="AC21" s="102">
        <f t="shared" si="12"/>
        <v>0.13264112017292223</v>
      </c>
      <c r="AD21" s="5"/>
      <c r="AF21" s="7" t="s">
        <v>173</v>
      </c>
      <c r="AG21" s="7">
        <v>10</v>
      </c>
      <c r="AH21" s="7" t="s">
        <v>220</v>
      </c>
      <c r="BG21" s="7">
        <v>10</v>
      </c>
      <c r="DA21" s="7" t="e">
        <f>VLOOKUP(C21,listaBolsa!$D$2:$BA$248,1,0)</f>
        <v>#N/A</v>
      </c>
      <c r="DB21" s="7" t="e">
        <f>VLOOKUP(C21,listaBolsa!$D$2:$BA$248,2,0)</f>
        <v>#N/A</v>
      </c>
      <c r="DC21" s="7" t="e">
        <f>VLOOKUP(C21,listaBolsa!$D$2:$BA$248,10,0)</f>
        <v>#N/A</v>
      </c>
      <c r="DD21" s="7" t="e">
        <f>VLOOKUP(C21,listaBolsa!$D$2:$BA$248,14,0)</f>
        <v>#N/A</v>
      </c>
      <c r="DE21" s="7" t="e">
        <f>VLOOKUP(C21,listaBolsa!$D$2:$BA$248,23,0)</f>
        <v>#N/A</v>
      </c>
      <c r="DF21" s="7" t="e">
        <f>VLOOKUP(C21,listaBolsa!$D$2:$BA$248,29,0)</f>
        <v>#N/A</v>
      </c>
      <c r="DG21" s="7" t="e">
        <f>VLOOKUP(C21,listaBolsa!$D$2:$BA$248,36,0)</f>
        <v>#N/A</v>
      </c>
      <c r="DH21" s="7" t="e">
        <f>VLOOKUP(C21,listaBolsa!$D$2:$BA$248,40,0)</f>
        <v>#N/A</v>
      </c>
      <c r="DI21" s="7" t="e">
        <f>VLOOKUP(C21,listaBolsa!$D$2:$BA$248,48,0)</f>
        <v>#N/A</v>
      </c>
      <c r="DJ21" s="7" t="e">
        <f t="shared" si="13"/>
        <v>#N/A</v>
      </c>
      <c r="DK21" s="7" t="e">
        <f t="shared" si="13"/>
        <v>#N/A</v>
      </c>
      <c r="DL21" s="7" t="e">
        <f t="shared" si="14"/>
        <v>#N/A</v>
      </c>
      <c r="DM21" s="7" t="e">
        <f t="shared" si="14"/>
        <v>#N/A</v>
      </c>
      <c r="DN21" s="7" t="e">
        <f t="shared" si="15"/>
        <v>#N/A</v>
      </c>
      <c r="DO21" s="7" t="e">
        <f t="shared" si="15"/>
        <v>#N/A</v>
      </c>
      <c r="DP21" s="7" t="e">
        <f t="shared" si="16"/>
        <v>#N/A</v>
      </c>
      <c r="DQ21" s="7" t="e">
        <f t="shared" si="16"/>
        <v>#N/A</v>
      </c>
      <c r="DR21" s="7" t="e">
        <f t="shared" si="17"/>
        <v>#N/A</v>
      </c>
    </row>
    <row r="22" spans="1:122" s="7" customFormat="1" ht="79.5" customHeight="1">
      <c r="A22" s="75">
        <f t="shared" si="18"/>
        <v>11</v>
      </c>
      <c r="B22" s="196" t="s">
        <v>186</v>
      </c>
      <c r="C22" s="183" t="s">
        <v>221</v>
      </c>
      <c r="D22" s="183" t="s">
        <v>222</v>
      </c>
      <c r="E22" s="111" t="s">
        <v>191</v>
      </c>
      <c r="F22" s="210">
        <v>1</v>
      </c>
      <c r="G22" s="75" t="s">
        <v>192</v>
      </c>
      <c r="H22" s="106" t="s">
        <v>223</v>
      </c>
      <c r="I22" s="107">
        <v>26115.13</v>
      </c>
      <c r="J22" s="96">
        <f t="shared" si="0"/>
        <v>4961.8747000000003</v>
      </c>
      <c r="K22" s="96">
        <f t="shared" si="1"/>
        <v>31077.004700000001</v>
      </c>
      <c r="L22" s="96">
        <f t="shared" si="2"/>
        <v>26115.13</v>
      </c>
      <c r="M22" s="96">
        <f t="shared" si="3"/>
        <v>31077.004700000001</v>
      </c>
      <c r="N22" s="108" t="s">
        <v>224</v>
      </c>
      <c r="O22" s="109">
        <v>33529.410000000003</v>
      </c>
      <c r="P22" s="110">
        <f t="shared" ref="P22:P85" si="22">O22*19%</f>
        <v>6370.5879000000004</v>
      </c>
      <c r="Q22" s="110">
        <f t="shared" si="5"/>
        <v>39899.997900000002</v>
      </c>
      <c r="R22" s="110">
        <f t="shared" si="6"/>
        <v>33529.410000000003</v>
      </c>
      <c r="S22" s="110">
        <f t="shared" si="7"/>
        <v>39899.997900000002</v>
      </c>
      <c r="T22" s="97" t="s">
        <v>225</v>
      </c>
      <c r="U22" s="98">
        <v>27647.16</v>
      </c>
      <c r="V22" s="99">
        <f t="shared" si="8"/>
        <v>5252.9603999999999</v>
      </c>
      <c r="W22" s="99">
        <f t="shared" si="9"/>
        <v>32900.1204</v>
      </c>
      <c r="X22" s="99">
        <f t="shared" si="10"/>
        <v>27647.16</v>
      </c>
      <c r="Y22" s="99">
        <f t="shared" si="11"/>
        <v>32900.1204</v>
      </c>
      <c r="Z22" s="100">
        <f t="shared" si="19"/>
        <v>34625.707666666669</v>
      </c>
      <c r="AA22" s="100">
        <f t="shared" si="20"/>
        <v>34625.707666666669</v>
      </c>
      <c r="AB22" s="78">
        <f t="shared" si="21"/>
        <v>4657.7398824938155</v>
      </c>
      <c r="AC22" s="102">
        <f t="shared" si="12"/>
        <v>0.13451681413511468</v>
      </c>
      <c r="AD22" s="5"/>
      <c r="AF22" s="7" t="s">
        <v>173</v>
      </c>
      <c r="AG22" s="7">
        <v>11</v>
      </c>
      <c r="AH22" s="7" t="s">
        <v>226</v>
      </c>
      <c r="BG22" s="7">
        <v>11</v>
      </c>
      <c r="DA22" s="7" t="e">
        <f>VLOOKUP(C22,listaBolsa!$D$2:$BA$248,1,0)</f>
        <v>#N/A</v>
      </c>
      <c r="DB22" s="7" t="e">
        <f>VLOOKUP(C22,listaBolsa!$D$2:$BA$248,2,0)</f>
        <v>#N/A</v>
      </c>
      <c r="DC22" s="7" t="e">
        <f>VLOOKUP(C22,listaBolsa!$D$2:$BA$248,10,0)</f>
        <v>#N/A</v>
      </c>
      <c r="DD22" s="7" t="e">
        <f>VLOOKUP(C22,listaBolsa!$D$2:$BA$248,14,0)</f>
        <v>#N/A</v>
      </c>
      <c r="DE22" s="7" t="e">
        <f>VLOOKUP(C22,listaBolsa!$D$2:$BA$248,23,0)</f>
        <v>#N/A</v>
      </c>
      <c r="DF22" s="7" t="e">
        <f>VLOOKUP(C22,listaBolsa!$D$2:$BA$248,29,0)</f>
        <v>#N/A</v>
      </c>
      <c r="DG22" s="7" t="e">
        <f>VLOOKUP(C22,listaBolsa!$D$2:$BA$248,36,0)</f>
        <v>#N/A</v>
      </c>
      <c r="DH22" s="7" t="e">
        <f>VLOOKUP(C22,listaBolsa!$D$2:$BA$248,40,0)</f>
        <v>#N/A</v>
      </c>
      <c r="DI22" s="7" t="e">
        <f>VLOOKUP(C22,listaBolsa!$D$2:$BA$248,48,0)</f>
        <v>#N/A</v>
      </c>
      <c r="DJ22" s="7" t="e">
        <f t="shared" si="13"/>
        <v>#N/A</v>
      </c>
      <c r="DK22" s="7" t="e">
        <f t="shared" si="13"/>
        <v>#N/A</v>
      </c>
      <c r="DL22" s="7" t="e">
        <f t="shared" si="14"/>
        <v>#N/A</v>
      </c>
      <c r="DM22" s="7" t="e">
        <f t="shared" si="14"/>
        <v>#N/A</v>
      </c>
      <c r="DN22" s="7" t="e">
        <f t="shared" si="15"/>
        <v>#N/A</v>
      </c>
      <c r="DO22" s="7" t="e">
        <f t="shared" si="15"/>
        <v>#N/A</v>
      </c>
      <c r="DP22" s="7" t="e">
        <f t="shared" si="16"/>
        <v>#N/A</v>
      </c>
      <c r="DQ22" s="7" t="e">
        <f t="shared" si="16"/>
        <v>#N/A</v>
      </c>
      <c r="DR22" s="7" t="e">
        <f t="shared" si="17"/>
        <v>#N/A</v>
      </c>
    </row>
    <row r="23" spans="1:122" s="7" customFormat="1" ht="89.25" customHeight="1">
      <c r="A23" s="75">
        <f t="shared" si="18"/>
        <v>12</v>
      </c>
      <c r="B23" s="196" t="s">
        <v>186</v>
      </c>
      <c r="C23" s="183" t="s">
        <v>227</v>
      </c>
      <c r="D23" s="183" t="s">
        <v>228</v>
      </c>
      <c r="E23" s="111" t="s">
        <v>191</v>
      </c>
      <c r="F23" s="112">
        <v>10</v>
      </c>
      <c r="G23" s="75" t="s">
        <v>192</v>
      </c>
      <c r="H23" s="106" t="s">
        <v>229</v>
      </c>
      <c r="I23" s="107">
        <v>43426.050420168067</v>
      </c>
      <c r="J23" s="96">
        <f t="shared" si="0"/>
        <v>8250.9495798319331</v>
      </c>
      <c r="K23" s="96">
        <f t="shared" si="1"/>
        <v>51677</v>
      </c>
      <c r="L23" s="96">
        <f t="shared" si="2"/>
        <v>434260.50420168065</v>
      </c>
      <c r="M23" s="96">
        <f t="shared" si="3"/>
        <v>516770</v>
      </c>
      <c r="N23" s="108" t="s">
        <v>230</v>
      </c>
      <c r="O23" s="109">
        <v>43613.445378151257</v>
      </c>
      <c r="P23" s="110">
        <f t="shared" si="22"/>
        <v>8286.554621848738</v>
      </c>
      <c r="Q23" s="110">
        <f t="shared" si="5"/>
        <v>51899.999999999993</v>
      </c>
      <c r="R23" s="110">
        <f t="shared" si="6"/>
        <v>436134.45378151257</v>
      </c>
      <c r="S23" s="110">
        <f t="shared" si="7"/>
        <v>518999.99999999994</v>
      </c>
      <c r="T23" s="97" t="s">
        <v>231</v>
      </c>
      <c r="U23" s="98">
        <v>54868.907563025212</v>
      </c>
      <c r="V23" s="99">
        <f t="shared" si="8"/>
        <v>10425.09243697479</v>
      </c>
      <c r="W23" s="99">
        <f t="shared" si="9"/>
        <v>65294</v>
      </c>
      <c r="X23" s="99">
        <f t="shared" si="10"/>
        <v>548689.07563025213</v>
      </c>
      <c r="Y23" s="99">
        <f t="shared" si="11"/>
        <v>652940</v>
      </c>
      <c r="Z23" s="100">
        <f t="shared" si="19"/>
        <v>56290.333333333336</v>
      </c>
      <c r="AA23" s="100">
        <f t="shared" si="20"/>
        <v>562903.33333333337</v>
      </c>
      <c r="AB23" s="78">
        <f t="shared" si="21"/>
        <v>77982.012242140263</v>
      </c>
      <c r="AC23" s="102">
        <f t="shared" si="12"/>
        <v>0.1385353534511081</v>
      </c>
      <c r="AD23" s="5"/>
      <c r="AF23" s="7" t="s">
        <v>173</v>
      </c>
      <c r="AG23" s="7">
        <v>12</v>
      </c>
      <c r="AH23" s="7" t="s">
        <v>232</v>
      </c>
      <c r="BG23" s="7">
        <v>12</v>
      </c>
      <c r="DA23" s="7" t="e">
        <f>VLOOKUP(C23,listaBolsa!$D$2:$BA$248,1,0)</f>
        <v>#N/A</v>
      </c>
      <c r="DB23" s="7" t="e">
        <f>VLOOKUP(C23,listaBolsa!$D$2:$BA$248,2,0)</f>
        <v>#N/A</v>
      </c>
      <c r="DC23" s="7" t="e">
        <f>VLOOKUP(C23,listaBolsa!$D$2:$BA$248,10,0)</f>
        <v>#N/A</v>
      </c>
      <c r="DD23" s="7" t="e">
        <f>VLOOKUP(C23,listaBolsa!$D$2:$BA$248,14,0)</f>
        <v>#N/A</v>
      </c>
      <c r="DE23" s="7" t="e">
        <f>VLOOKUP(C23,listaBolsa!$D$2:$BA$248,23,0)</f>
        <v>#N/A</v>
      </c>
      <c r="DF23" s="7" t="e">
        <f>VLOOKUP(C23,listaBolsa!$D$2:$BA$248,29,0)</f>
        <v>#N/A</v>
      </c>
      <c r="DG23" s="7" t="e">
        <f>VLOOKUP(C23,listaBolsa!$D$2:$BA$248,36,0)</f>
        <v>#N/A</v>
      </c>
      <c r="DH23" s="7" t="e">
        <f>VLOOKUP(C23,listaBolsa!$D$2:$BA$248,40,0)</f>
        <v>#N/A</v>
      </c>
      <c r="DI23" s="7" t="e">
        <f>VLOOKUP(C23,listaBolsa!$D$2:$BA$248,48,0)</f>
        <v>#N/A</v>
      </c>
      <c r="DJ23" s="7" t="e">
        <f t="shared" si="13"/>
        <v>#N/A</v>
      </c>
      <c r="DK23" s="7" t="e">
        <f t="shared" si="13"/>
        <v>#N/A</v>
      </c>
      <c r="DL23" s="7" t="e">
        <f t="shared" si="14"/>
        <v>#N/A</v>
      </c>
      <c r="DM23" s="7" t="e">
        <f t="shared" si="14"/>
        <v>#N/A</v>
      </c>
      <c r="DN23" s="7" t="e">
        <f t="shared" si="15"/>
        <v>#N/A</v>
      </c>
      <c r="DO23" s="7" t="e">
        <f t="shared" si="15"/>
        <v>#N/A</v>
      </c>
      <c r="DP23" s="7" t="e">
        <f t="shared" si="16"/>
        <v>#N/A</v>
      </c>
      <c r="DQ23" s="7" t="e">
        <f t="shared" si="16"/>
        <v>#N/A</v>
      </c>
      <c r="DR23" s="7" t="e">
        <f t="shared" si="17"/>
        <v>#N/A</v>
      </c>
    </row>
    <row r="24" spans="1:122" s="7" customFormat="1" ht="145.15" customHeight="1">
      <c r="A24" s="75">
        <f t="shared" si="18"/>
        <v>13</v>
      </c>
      <c r="B24" s="196" t="s">
        <v>186</v>
      </c>
      <c r="C24" s="95" t="s">
        <v>233</v>
      </c>
      <c r="D24" s="75" t="str">
        <f>IF(C24="","",VLOOKUP(C24,listaBolsa!$D$2:$H$276,2,0))</f>
        <v>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v>
      </c>
      <c r="E24" s="111" t="str">
        <f>IF(C24="","",VLOOKUP(C24,listaBolsa!$D$2:$H$276,3,0))</f>
        <v>Unidad</v>
      </c>
      <c r="F24" s="112">
        <v>25</v>
      </c>
      <c r="G24" s="200" t="str">
        <f>IF(C24="","",VLOOKUP(C24,listaBolsa!$D$2:$H$276,5,0))</f>
        <v>Compra</v>
      </c>
      <c r="H24" s="106" t="str">
        <f>IF(C24="","",VLOOKUP(C24,listaBolsa!$D$2:$W$276,10,0))</f>
        <v>JEN SA</v>
      </c>
      <c r="I24" s="107">
        <f>IF(C24="","",VLOOKUP(C24,listaBolsa!$D$2:$W$276,14,0))</f>
        <v>9235.2941176470595</v>
      </c>
      <c r="J24" s="96">
        <f t="shared" si="0"/>
        <v>1754.7058823529412</v>
      </c>
      <c r="K24" s="96">
        <f t="shared" si="1"/>
        <v>10990</v>
      </c>
      <c r="L24" s="96">
        <f t="shared" si="2"/>
        <v>230882.35294117648</v>
      </c>
      <c r="M24" s="96">
        <f t="shared" si="3"/>
        <v>274750</v>
      </c>
      <c r="N24" s="108" t="str">
        <f>IF(C24="","",VLOOKUP(C24,listaBolsa!$D$2:$AZ$276,23,0))</f>
        <v>ADH PAPELES ADHESIVOS</v>
      </c>
      <c r="O24" s="109">
        <f>IF(C24="","",VLOOKUP(C24,listaBolsa!$D$2:$AZ$276,27,0))</f>
        <v>9012.6050420168067</v>
      </c>
      <c r="P24" s="110">
        <f t="shared" si="22"/>
        <v>1712.3949579831933</v>
      </c>
      <c r="Q24" s="110">
        <f t="shared" si="5"/>
        <v>10725</v>
      </c>
      <c r="R24" s="110">
        <f t="shared" si="6"/>
        <v>225315.12605042016</v>
      </c>
      <c r="S24" s="110">
        <f t="shared" si="7"/>
        <v>268125</v>
      </c>
      <c r="T24" s="97" t="str">
        <f>IF(C24="","",VLOOKUP(C24,listaBolsa!$D$2:$BB$276,36,0))</f>
        <v>EASY COLOMBIA</v>
      </c>
      <c r="U24" s="98">
        <f>IF(C24="","",VLOOKUP(C24,listaBolsa!$D$2:$BB$276,40,0))</f>
        <v>8394.957983193277</v>
      </c>
      <c r="V24" s="99">
        <f t="shared" si="8"/>
        <v>1595.0420168067226</v>
      </c>
      <c r="W24" s="99">
        <f t="shared" si="9"/>
        <v>9990</v>
      </c>
      <c r="X24" s="99">
        <f t="shared" si="10"/>
        <v>209873.94957983191</v>
      </c>
      <c r="Y24" s="99">
        <f t="shared" si="11"/>
        <v>249750</v>
      </c>
      <c r="Z24" s="100">
        <f t="shared" si="19"/>
        <v>10568.333333333334</v>
      </c>
      <c r="AA24" s="100">
        <f t="shared" si="20"/>
        <v>264208.33333333337</v>
      </c>
      <c r="AB24" s="78">
        <f t="shared" si="21"/>
        <v>12952.034910906214</v>
      </c>
      <c r="AC24" s="102">
        <f t="shared" si="12"/>
        <v>4.9022052966684923E-2</v>
      </c>
      <c r="AD24" s="5"/>
      <c r="AF24" s="7" t="s">
        <v>173</v>
      </c>
      <c r="AG24" s="7">
        <v>13</v>
      </c>
      <c r="AH24" s="7" t="s">
        <v>234</v>
      </c>
      <c r="BG24" s="7">
        <v>13</v>
      </c>
      <c r="DA24" s="7" t="str">
        <f>VLOOKUP(C24,listaBolsa!$D$2:$BA$248,1,0)</f>
        <v>Bisturí mediano</v>
      </c>
      <c r="DB24" s="7" t="str">
        <f>VLOOKUP(C24,listaBolsa!$D$2:$BA$248,2,0)</f>
        <v>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v>
      </c>
      <c r="DC24" s="7" t="str">
        <f>VLOOKUP(C24,listaBolsa!$D$2:$BA$248,10,0)</f>
        <v>JEN SA</v>
      </c>
      <c r="DD24" s="7">
        <f>VLOOKUP(C24,listaBolsa!$D$2:$BA$248,14,0)</f>
        <v>9235.2941176470595</v>
      </c>
      <c r="DE24" s="7" t="str">
        <f>VLOOKUP(C24,listaBolsa!$D$2:$BA$248,23,0)</f>
        <v>ADH PAPELES ADHESIVOS</v>
      </c>
      <c r="DF24" s="7">
        <f>VLOOKUP(C24,listaBolsa!$D$2:$BA$248,29,0)</f>
        <v>10725</v>
      </c>
      <c r="DG24" s="7" t="str">
        <f>VLOOKUP(C24,listaBolsa!$D$2:$BA$248,36,0)</f>
        <v>EASY COLOMBIA</v>
      </c>
      <c r="DH24" s="7">
        <f>VLOOKUP(C24,listaBolsa!$D$2:$BA$248,40,0)</f>
        <v>8394.957983193277</v>
      </c>
      <c r="DI24" s="7">
        <f>VLOOKUP(C24,listaBolsa!$D$2:$BA$248,48,0)</f>
        <v>4.9022052966684923E-2</v>
      </c>
      <c r="DJ24" s="7" t="b">
        <f t="shared" si="13"/>
        <v>1</v>
      </c>
      <c r="DK24" s="7" t="b">
        <f t="shared" si="13"/>
        <v>1</v>
      </c>
      <c r="DL24" s="7" t="b">
        <f t="shared" si="14"/>
        <v>1</v>
      </c>
      <c r="DM24" s="7" t="b">
        <f t="shared" si="14"/>
        <v>1</v>
      </c>
      <c r="DN24" s="7" t="b">
        <f t="shared" si="15"/>
        <v>1</v>
      </c>
      <c r="DO24" s="7" t="b">
        <f t="shared" si="15"/>
        <v>0</v>
      </c>
      <c r="DP24" s="7" t="b">
        <f t="shared" si="16"/>
        <v>1</v>
      </c>
      <c r="DQ24" s="7" t="b">
        <f t="shared" si="16"/>
        <v>1</v>
      </c>
      <c r="DR24" s="7" t="b">
        <f t="shared" si="17"/>
        <v>1</v>
      </c>
    </row>
    <row r="25" spans="1:122" s="7" customFormat="1" ht="89.25" customHeight="1">
      <c r="A25" s="75">
        <f t="shared" si="18"/>
        <v>14</v>
      </c>
      <c r="B25" s="196" t="s">
        <v>186</v>
      </c>
      <c r="C25" s="183" t="s">
        <v>235</v>
      </c>
      <c r="D25" s="183" t="s">
        <v>236</v>
      </c>
      <c r="E25" s="111" t="s">
        <v>191</v>
      </c>
      <c r="F25" s="112">
        <v>3</v>
      </c>
      <c r="G25" s="75" t="s">
        <v>192</v>
      </c>
      <c r="H25" s="106" t="s">
        <v>237</v>
      </c>
      <c r="I25" s="107">
        <v>5882.3529411764712</v>
      </c>
      <c r="J25" s="96">
        <f t="shared" si="0"/>
        <v>1117.6470588235295</v>
      </c>
      <c r="K25" s="96">
        <f t="shared" si="1"/>
        <v>7000.0000000000009</v>
      </c>
      <c r="L25" s="96">
        <f t="shared" si="2"/>
        <v>17647.058823529413</v>
      </c>
      <c r="M25" s="96">
        <f t="shared" si="3"/>
        <v>21000.000000000004</v>
      </c>
      <c r="N25" s="108" t="s">
        <v>238</v>
      </c>
      <c r="O25" s="109">
        <v>7445.3781512605046</v>
      </c>
      <c r="P25" s="110">
        <f t="shared" si="22"/>
        <v>1414.6218487394958</v>
      </c>
      <c r="Q25" s="110">
        <f t="shared" si="5"/>
        <v>8860</v>
      </c>
      <c r="R25" s="110">
        <f t="shared" si="6"/>
        <v>22336.134453781513</v>
      </c>
      <c r="S25" s="110">
        <f t="shared" si="7"/>
        <v>26580</v>
      </c>
      <c r="T25" s="97" t="s">
        <v>239</v>
      </c>
      <c r="U25" s="98">
        <v>8571.4285714285725</v>
      </c>
      <c r="V25" s="99">
        <f t="shared" si="8"/>
        <v>1628.5714285714289</v>
      </c>
      <c r="W25" s="99">
        <f t="shared" si="9"/>
        <v>10200.000000000002</v>
      </c>
      <c r="X25" s="99">
        <f t="shared" si="10"/>
        <v>25714.285714285717</v>
      </c>
      <c r="Y25" s="99">
        <f t="shared" si="11"/>
        <v>30600.000000000007</v>
      </c>
      <c r="Z25" s="100">
        <f t="shared" si="19"/>
        <v>8686.6666666666661</v>
      </c>
      <c r="AA25" s="100">
        <f t="shared" si="20"/>
        <v>26060</v>
      </c>
      <c r="AB25" s="78">
        <f t="shared" si="21"/>
        <v>4821.0787174656625</v>
      </c>
      <c r="AC25" s="102">
        <f t="shared" si="12"/>
        <v>0.18499918332562021</v>
      </c>
      <c r="AD25" s="5" t="s">
        <v>240</v>
      </c>
      <c r="AF25" s="7" t="s">
        <v>173</v>
      </c>
      <c r="AG25" s="7">
        <v>14</v>
      </c>
      <c r="AH25" s="7" t="s">
        <v>241</v>
      </c>
      <c r="BG25" s="7">
        <v>14</v>
      </c>
      <c r="DA25" s="7" t="e">
        <f>VLOOKUP(C25,listaBolsa!$D$2:$BA$248,1,0)</f>
        <v>#N/A</v>
      </c>
      <c r="DB25" s="7" t="e">
        <f>VLOOKUP(C25,listaBolsa!$D$2:$BA$248,2,0)</f>
        <v>#N/A</v>
      </c>
      <c r="DC25" s="7" t="e">
        <f>VLOOKUP(C25,listaBolsa!$D$2:$BA$248,10,0)</f>
        <v>#N/A</v>
      </c>
      <c r="DD25" s="7" t="e">
        <f>VLOOKUP(C25,listaBolsa!$D$2:$BA$248,14,0)</f>
        <v>#N/A</v>
      </c>
      <c r="DE25" s="7" t="e">
        <f>VLOOKUP(C25,listaBolsa!$D$2:$BA$248,23,0)</f>
        <v>#N/A</v>
      </c>
      <c r="DF25" s="7" t="e">
        <f>VLOOKUP(C25,listaBolsa!$D$2:$BA$248,29,0)</f>
        <v>#N/A</v>
      </c>
      <c r="DG25" s="7" t="e">
        <f>VLOOKUP(C25,listaBolsa!$D$2:$BA$248,36,0)</f>
        <v>#N/A</v>
      </c>
      <c r="DH25" s="7" t="e">
        <f>VLOOKUP(C25,listaBolsa!$D$2:$BA$248,40,0)</f>
        <v>#N/A</v>
      </c>
      <c r="DI25" s="7" t="e">
        <f>VLOOKUP(C25,listaBolsa!$D$2:$BA$248,48,0)</f>
        <v>#N/A</v>
      </c>
      <c r="DJ25" s="7" t="e">
        <f t="shared" si="13"/>
        <v>#N/A</v>
      </c>
      <c r="DK25" s="7" t="e">
        <f t="shared" si="13"/>
        <v>#N/A</v>
      </c>
      <c r="DL25" s="7" t="e">
        <f t="shared" si="14"/>
        <v>#N/A</v>
      </c>
      <c r="DM25" s="7" t="e">
        <f t="shared" si="14"/>
        <v>#N/A</v>
      </c>
      <c r="DN25" s="7" t="e">
        <f t="shared" si="15"/>
        <v>#N/A</v>
      </c>
      <c r="DO25" s="7" t="e">
        <f t="shared" si="15"/>
        <v>#N/A</v>
      </c>
      <c r="DP25" s="7" t="e">
        <f t="shared" si="16"/>
        <v>#N/A</v>
      </c>
      <c r="DQ25" s="7" t="e">
        <f t="shared" si="16"/>
        <v>#N/A</v>
      </c>
      <c r="DR25" s="7" t="e">
        <f t="shared" si="17"/>
        <v>#N/A</v>
      </c>
    </row>
    <row r="26" spans="1:122" s="7" customFormat="1" ht="79.5" customHeight="1">
      <c r="A26" s="75">
        <f t="shared" si="18"/>
        <v>15</v>
      </c>
      <c r="B26" s="196" t="s">
        <v>186</v>
      </c>
      <c r="C26" s="183" t="s">
        <v>242</v>
      </c>
      <c r="D26" s="183" t="s">
        <v>243</v>
      </c>
      <c r="E26" s="184" t="s">
        <v>244</v>
      </c>
      <c r="F26" s="112">
        <v>2</v>
      </c>
      <c r="G26" s="75" t="s">
        <v>192</v>
      </c>
      <c r="H26" s="106" t="s">
        <v>193</v>
      </c>
      <c r="I26" s="107">
        <v>18000</v>
      </c>
      <c r="J26" s="96">
        <f t="shared" si="0"/>
        <v>3420</v>
      </c>
      <c r="K26" s="96">
        <f t="shared" si="1"/>
        <v>21420</v>
      </c>
      <c r="L26" s="96">
        <f t="shared" si="2"/>
        <v>36000</v>
      </c>
      <c r="M26" s="96">
        <f t="shared" si="3"/>
        <v>42840</v>
      </c>
      <c r="N26" s="108" t="s">
        <v>245</v>
      </c>
      <c r="O26" s="109">
        <v>16000</v>
      </c>
      <c r="P26" s="110">
        <f t="shared" si="22"/>
        <v>3040</v>
      </c>
      <c r="Q26" s="110">
        <f t="shared" si="5"/>
        <v>19040</v>
      </c>
      <c r="R26" s="110">
        <f t="shared" si="6"/>
        <v>32000</v>
      </c>
      <c r="S26" s="110">
        <f t="shared" si="7"/>
        <v>38080</v>
      </c>
      <c r="T26" s="97" t="s">
        <v>194</v>
      </c>
      <c r="U26" s="98">
        <v>20000</v>
      </c>
      <c r="V26" s="99">
        <f t="shared" si="8"/>
        <v>3800</v>
      </c>
      <c r="W26" s="99">
        <f t="shared" si="9"/>
        <v>23800</v>
      </c>
      <c r="X26" s="99">
        <f t="shared" si="10"/>
        <v>40000</v>
      </c>
      <c r="Y26" s="99">
        <f t="shared" si="11"/>
        <v>47600</v>
      </c>
      <c r="Z26" s="100">
        <f t="shared" si="19"/>
        <v>21420</v>
      </c>
      <c r="AA26" s="100">
        <f t="shared" si="20"/>
        <v>42840</v>
      </c>
      <c r="AB26" s="78">
        <f t="shared" si="21"/>
        <v>4760</v>
      </c>
      <c r="AC26" s="102">
        <f t="shared" si="12"/>
        <v>0.1111111111111111</v>
      </c>
      <c r="AD26" s="5"/>
      <c r="AF26" s="7" t="s">
        <v>173</v>
      </c>
      <c r="AG26" s="7">
        <v>15</v>
      </c>
      <c r="AH26" s="7" t="s">
        <v>246</v>
      </c>
      <c r="BG26" s="7">
        <v>15</v>
      </c>
      <c r="DA26" s="7" t="e">
        <f>VLOOKUP(C26,listaBolsa!$D$2:$BA$248,1,0)</f>
        <v>#N/A</v>
      </c>
      <c r="DB26" s="7" t="e">
        <f>VLOOKUP(C26,listaBolsa!$D$2:$BA$248,2,0)</f>
        <v>#N/A</v>
      </c>
      <c r="DC26" s="7" t="e">
        <f>VLOOKUP(C26,listaBolsa!$D$2:$BA$248,10,0)</f>
        <v>#N/A</v>
      </c>
      <c r="DD26" s="7" t="e">
        <f>VLOOKUP(C26,listaBolsa!$D$2:$BA$248,14,0)</f>
        <v>#N/A</v>
      </c>
      <c r="DE26" s="7" t="e">
        <f>VLOOKUP(C26,listaBolsa!$D$2:$BA$248,23,0)</f>
        <v>#N/A</v>
      </c>
      <c r="DF26" s="7" t="e">
        <f>VLOOKUP(C26,listaBolsa!$D$2:$BA$248,29,0)</f>
        <v>#N/A</v>
      </c>
      <c r="DG26" s="7" t="e">
        <f>VLOOKUP(C26,listaBolsa!$D$2:$BA$248,36,0)</f>
        <v>#N/A</v>
      </c>
      <c r="DH26" s="7" t="e">
        <f>VLOOKUP(C26,listaBolsa!$D$2:$BA$248,40,0)</f>
        <v>#N/A</v>
      </c>
      <c r="DI26" s="7" t="e">
        <f>VLOOKUP(C26,listaBolsa!$D$2:$BA$248,48,0)</f>
        <v>#N/A</v>
      </c>
      <c r="DJ26" s="7" t="e">
        <f t="shared" si="13"/>
        <v>#N/A</v>
      </c>
      <c r="DK26" s="7" t="e">
        <f t="shared" si="13"/>
        <v>#N/A</v>
      </c>
      <c r="DL26" s="7" t="e">
        <f t="shared" si="14"/>
        <v>#N/A</v>
      </c>
      <c r="DM26" s="7" t="e">
        <f t="shared" si="14"/>
        <v>#N/A</v>
      </c>
      <c r="DN26" s="7" t="e">
        <f t="shared" si="15"/>
        <v>#N/A</v>
      </c>
      <c r="DO26" s="7" t="e">
        <f t="shared" si="15"/>
        <v>#N/A</v>
      </c>
      <c r="DP26" s="7" t="e">
        <f t="shared" si="16"/>
        <v>#N/A</v>
      </c>
      <c r="DQ26" s="7" t="e">
        <f t="shared" si="16"/>
        <v>#N/A</v>
      </c>
      <c r="DR26" s="7" t="e">
        <f t="shared" si="17"/>
        <v>#N/A</v>
      </c>
    </row>
    <row r="27" spans="1:122" s="7" customFormat="1" ht="79.5" customHeight="1">
      <c r="A27" s="75">
        <f t="shared" si="18"/>
        <v>16</v>
      </c>
      <c r="B27" s="196" t="s">
        <v>186</v>
      </c>
      <c r="C27" s="183" t="s">
        <v>247</v>
      </c>
      <c r="D27" s="183" t="s">
        <v>248</v>
      </c>
      <c r="E27" s="184" t="s">
        <v>191</v>
      </c>
      <c r="F27" s="112">
        <v>4</v>
      </c>
      <c r="G27" s="75" t="s">
        <v>192</v>
      </c>
      <c r="H27" s="106" t="s">
        <v>193</v>
      </c>
      <c r="I27" s="107">
        <v>24000</v>
      </c>
      <c r="J27" s="96">
        <f t="shared" si="0"/>
        <v>4560</v>
      </c>
      <c r="K27" s="96">
        <f t="shared" si="1"/>
        <v>28560</v>
      </c>
      <c r="L27" s="96">
        <f t="shared" si="2"/>
        <v>96000</v>
      </c>
      <c r="M27" s="96">
        <f t="shared" si="3"/>
        <v>114240</v>
      </c>
      <c r="N27" s="108" t="s">
        <v>194</v>
      </c>
      <c r="O27" s="109">
        <v>25000</v>
      </c>
      <c r="P27" s="110">
        <f t="shared" si="22"/>
        <v>4750</v>
      </c>
      <c r="Q27" s="110">
        <f t="shared" si="5"/>
        <v>29750</v>
      </c>
      <c r="R27" s="110">
        <f t="shared" si="6"/>
        <v>100000</v>
      </c>
      <c r="S27" s="110">
        <f t="shared" si="7"/>
        <v>119000</v>
      </c>
      <c r="T27" s="97" t="s">
        <v>245</v>
      </c>
      <c r="U27" s="98">
        <v>22000</v>
      </c>
      <c r="V27" s="99">
        <f t="shared" si="8"/>
        <v>4180</v>
      </c>
      <c r="W27" s="99">
        <f t="shared" si="9"/>
        <v>26180</v>
      </c>
      <c r="X27" s="99">
        <f t="shared" si="10"/>
        <v>88000</v>
      </c>
      <c r="Y27" s="99">
        <f t="shared" si="11"/>
        <v>104720</v>
      </c>
      <c r="Z27" s="100">
        <f t="shared" si="19"/>
        <v>28163.333333333332</v>
      </c>
      <c r="AA27" s="100">
        <f t="shared" si="20"/>
        <v>112653.33333333333</v>
      </c>
      <c r="AB27" s="78">
        <f t="shared" si="21"/>
        <v>7271.0201026632658</v>
      </c>
      <c r="AC27" s="102">
        <f t="shared" si="12"/>
        <v>6.4543319647265354E-2</v>
      </c>
      <c r="AD27" s="5"/>
      <c r="AF27" s="7" t="s">
        <v>173</v>
      </c>
      <c r="AG27" s="7">
        <v>16</v>
      </c>
      <c r="AH27" s="7" t="s">
        <v>249</v>
      </c>
      <c r="BG27" s="7">
        <v>16</v>
      </c>
      <c r="DA27" s="7" t="e">
        <f>VLOOKUP(C27,listaBolsa!$D$2:$BA$248,1,0)</f>
        <v>#N/A</v>
      </c>
      <c r="DB27" s="7" t="e">
        <f>VLOOKUP(C27,listaBolsa!$D$2:$BA$248,2,0)</f>
        <v>#N/A</v>
      </c>
      <c r="DC27" s="7" t="e">
        <f>VLOOKUP(C27,listaBolsa!$D$2:$BA$248,10,0)</f>
        <v>#N/A</v>
      </c>
      <c r="DD27" s="7" t="e">
        <f>VLOOKUP(C27,listaBolsa!$D$2:$BA$248,14,0)</f>
        <v>#N/A</v>
      </c>
      <c r="DE27" s="7" t="e">
        <f>VLOOKUP(C27,listaBolsa!$D$2:$BA$248,23,0)</f>
        <v>#N/A</v>
      </c>
      <c r="DF27" s="7" t="e">
        <f>VLOOKUP(C27,listaBolsa!$D$2:$BA$248,29,0)</f>
        <v>#N/A</v>
      </c>
      <c r="DG27" s="7" t="e">
        <f>VLOOKUP(C27,listaBolsa!$D$2:$BA$248,36,0)</f>
        <v>#N/A</v>
      </c>
      <c r="DH27" s="7" t="e">
        <f>VLOOKUP(C27,listaBolsa!$D$2:$BA$248,40,0)</f>
        <v>#N/A</v>
      </c>
      <c r="DI27" s="7" t="e">
        <f>VLOOKUP(C27,listaBolsa!$D$2:$BA$248,48,0)</f>
        <v>#N/A</v>
      </c>
      <c r="DJ27" s="7" t="e">
        <f t="shared" si="13"/>
        <v>#N/A</v>
      </c>
      <c r="DK27" s="7" t="e">
        <f t="shared" si="13"/>
        <v>#N/A</v>
      </c>
      <c r="DL27" s="7" t="e">
        <f t="shared" si="14"/>
        <v>#N/A</v>
      </c>
      <c r="DM27" s="7" t="e">
        <f t="shared" si="14"/>
        <v>#N/A</v>
      </c>
      <c r="DN27" s="7" t="e">
        <f t="shared" si="15"/>
        <v>#N/A</v>
      </c>
      <c r="DO27" s="7" t="e">
        <f t="shared" si="15"/>
        <v>#N/A</v>
      </c>
      <c r="DP27" s="7" t="e">
        <f t="shared" si="16"/>
        <v>#N/A</v>
      </c>
      <c r="DQ27" s="7" t="e">
        <f t="shared" si="16"/>
        <v>#N/A</v>
      </c>
      <c r="DR27" s="7" t="e">
        <f t="shared" si="17"/>
        <v>#N/A</v>
      </c>
    </row>
    <row r="28" spans="1:122" s="7" customFormat="1" ht="85.5" customHeight="1">
      <c r="A28" s="75">
        <f t="shared" si="18"/>
        <v>17</v>
      </c>
      <c r="B28" s="196" t="s">
        <v>186</v>
      </c>
      <c r="C28" s="217" t="s">
        <v>250</v>
      </c>
      <c r="D28" s="217" t="s">
        <v>251</v>
      </c>
      <c r="E28" s="184" t="s">
        <v>191</v>
      </c>
      <c r="F28" s="112">
        <v>1</v>
      </c>
      <c r="G28" s="75" t="s">
        <v>192</v>
      </c>
      <c r="H28" s="106" t="s">
        <v>193</v>
      </c>
      <c r="I28" s="107">
        <v>42000</v>
      </c>
      <c r="J28" s="96">
        <f t="shared" si="0"/>
        <v>7980</v>
      </c>
      <c r="K28" s="96">
        <f t="shared" si="1"/>
        <v>49980</v>
      </c>
      <c r="L28" s="96">
        <f t="shared" si="2"/>
        <v>42000</v>
      </c>
      <c r="M28" s="96">
        <f t="shared" si="3"/>
        <v>49980</v>
      </c>
      <c r="N28" s="108" t="s">
        <v>194</v>
      </c>
      <c r="O28" s="109">
        <v>45000</v>
      </c>
      <c r="P28" s="110">
        <f t="shared" si="22"/>
        <v>8550</v>
      </c>
      <c r="Q28" s="110">
        <f t="shared" si="5"/>
        <v>53550</v>
      </c>
      <c r="R28" s="110">
        <f t="shared" si="6"/>
        <v>45000</v>
      </c>
      <c r="S28" s="110">
        <f t="shared" si="7"/>
        <v>53550</v>
      </c>
      <c r="T28" s="97" t="s">
        <v>252</v>
      </c>
      <c r="U28" s="98">
        <v>41302.521008403361</v>
      </c>
      <c r="V28" s="99">
        <f t="shared" si="8"/>
        <v>7847.4789915966385</v>
      </c>
      <c r="W28" s="99">
        <f t="shared" si="9"/>
        <v>49150</v>
      </c>
      <c r="X28" s="99">
        <f t="shared" si="10"/>
        <v>41302.521008403361</v>
      </c>
      <c r="Y28" s="99">
        <f t="shared" si="11"/>
        <v>49150</v>
      </c>
      <c r="Z28" s="100">
        <f t="shared" si="19"/>
        <v>50893.333333333336</v>
      </c>
      <c r="AA28" s="100">
        <f t="shared" si="20"/>
        <v>50893.333333333336</v>
      </c>
      <c r="AB28" s="78">
        <f t="shared" si="21"/>
        <v>2337.8694004014283</v>
      </c>
      <c r="AC28" s="102">
        <f t="shared" si="12"/>
        <v>4.5936653138618576E-2</v>
      </c>
      <c r="AD28" s="5"/>
      <c r="AF28" s="7" t="s">
        <v>173</v>
      </c>
      <c r="AG28" s="7">
        <v>17</v>
      </c>
      <c r="AH28" s="7" t="s">
        <v>253</v>
      </c>
      <c r="BG28" s="7">
        <v>17</v>
      </c>
      <c r="DA28" s="7" t="e">
        <f>VLOOKUP(C28,listaBolsa!$D$2:$BA$248,1,0)</f>
        <v>#N/A</v>
      </c>
      <c r="DB28" s="7" t="e">
        <f>VLOOKUP(C28,listaBolsa!$D$2:$BA$248,2,0)</f>
        <v>#N/A</v>
      </c>
      <c r="DC28" s="7" t="e">
        <f>VLOOKUP(C28,listaBolsa!$D$2:$BA$248,10,0)</f>
        <v>#N/A</v>
      </c>
      <c r="DD28" s="7" t="e">
        <f>VLOOKUP(C28,listaBolsa!$D$2:$BA$248,14,0)</f>
        <v>#N/A</v>
      </c>
      <c r="DE28" s="7" t="e">
        <f>VLOOKUP(C28,listaBolsa!$D$2:$BA$248,23,0)</f>
        <v>#N/A</v>
      </c>
      <c r="DF28" s="7" t="e">
        <f>VLOOKUP(C28,listaBolsa!$D$2:$BA$248,29,0)</f>
        <v>#N/A</v>
      </c>
      <c r="DG28" s="7" t="e">
        <f>VLOOKUP(C28,listaBolsa!$D$2:$BA$248,36,0)</f>
        <v>#N/A</v>
      </c>
      <c r="DH28" s="7" t="e">
        <f>VLOOKUP(C28,listaBolsa!$D$2:$BA$248,40,0)</f>
        <v>#N/A</v>
      </c>
      <c r="DI28" s="7" t="e">
        <f>VLOOKUP(C28,listaBolsa!$D$2:$BA$248,48,0)</f>
        <v>#N/A</v>
      </c>
      <c r="DJ28" s="7" t="e">
        <f t="shared" si="13"/>
        <v>#N/A</v>
      </c>
      <c r="DK28" s="7" t="e">
        <f t="shared" si="13"/>
        <v>#N/A</v>
      </c>
      <c r="DL28" s="7" t="e">
        <f t="shared" si="14"/>
        <v>#N/A</v>
      </c>
      <c r="DM28" s="7" t="e">
        <f t="shared" si="14"/>
        <v>#N/A</v>
      </c>
      <c r="DN28" s="7" t="e">
        <f t="shared" si="15"/>
        <v>#N/A</v>
      </c>
      <c r="DO28" s="7" t="e">
        <f t="shared" si="15"/>
        <v>#N/A</v>
      </c>
      <c r="DP28" s="7" t="e">
        <f t="shared" si="16"/>
        <v>#N/A</v>
      </c>
      <c r="DQ28" s="7" t="e">
        <f t="shared" si="16"/>
        <v>#N/A</v>
      </c>
      <c r="DR28" s="7" t="e">
        <f t="shared" si="17"/>
        <v>#N/A</v>
      </c>
    </row>
    <row r="29" spans="1:122" s="7" customFormat="1" ht="105.6" customHeight="1">
      <c r="A29" s="75">
        <f t="shared" si="18"/>
        <v>18</v>
      </c>
      <c r="B29" s="196" t="s">
        <v>186</v>
      </c>
      <c r="C29" s="183" t="s">
        <v>254</v>
      </c>
      <c r="D29" s="183" t="s">
        <v>255</v>
      </c>
      <c r="E29" s="184" t="s">
        <v>191</v>
      </c>
      <c r="F29" s="112">
        <v>10</v>
      </c>
      <c r="G29" s="75" t="s">
        <v>192</v>
      </c>
      <c r="H29" s="106" t="s">
        <v>256</v>
      </c>
      <c r="I29" s="107">
        <v>150.42016806722691</v>
      </c>
      <c r="J29" s="96">
        <f t="shared" si="0"/>
        <v>28.579831932773114</v>
      </c>
      <c r="K29" s="96">
        <f t="shared" si="1"/>
        <v>179.00000000000003</v>
      </c>
      <c r="L29" s="96">
        <f t="shared" si="2"/>
        <v>1504.201680672269</v>
      </c>
      <c r="M29" s="96">
        <f t="shared" si="3"/>
        <v>1790.0000000000002</v>
      </c>
      <c r="N29" s="108" t="s">
        <v>257</v>
      </c>
      <c r="O29" s="109">
        <v>117.64705882352941</v>
      </c>
      <c r="P29" s="110">
        <f t="shared" si="22"/>
        <v>22.352941176470587</v>
      </c>
      <c r="Q29" s="110">
        <f t="shared" si="5"/>
        <v>140</v>
      </c>
      <c r="R29" s="110">
        <f t="shared" si="6"/>
        <v>1176.4705882352941</v>
      </c>
      <c r="S29" s="110">
        <f t="shared" si="7"/>
        <v>1400</v>
      </c>
      <c r="T29" s="97" t="s">
        <v>258</v>
      </c>
      <c r="U29" s="98">
        <v>168.0672268907563</v>
      </c>
      <c r="V29" s="99">
        <f t="shared" si="8"/>
        <v>31.932773109243698</v>
      </c>
      <c r="W29" s="99">
        <f t="shared" si="9"/>
        <v>200</v>
      </c>
      <c r="X29" s="99">
        <f t="shared" si="10"/>
        <v>1680.672268907563</v>
      </c>
      <c r="Y29" s="99">
        <f t="shared" si="11"/>
        <v>2000</v>
      </c>
      <c r="Z29" s="100">
        <f t="shared" si="19"/>
        <v>173</v>
      </c>
      <c r="AA29" s="100">
        <f t="shared" si="20"/>
        <v>1730</v>
      </c>
      <c r="AB29" s="78">
        <f t="shared" si="21"/>
        <v>304.46674695276658</v>
      </c>
      <c r="AC29" s="102">
        <f t="shared" si="12"/>
        <v>0.17599233927905583</v>
      </c>
      <c r="AD29" s="5"/>
      <c r="AF29" s="7" t="s">
        <v>173</v>
      </c>
      <c r="AG29" s="7">
        <v>18</v>
      </c>
      <c r="AH29" s="7" t="s">
        <v>259</v>
      </c>
      <c r="BG29" s="7">
        <v>18</v>
      </c>
      <c r="DA29" s="7" t="e">
        <f>VLOOKUP(C29,listaBolsa!$D$2:$BA$248,1,0)</f>
        <v>#N/A</v>
      </c>
      <c r="DB29" s="7" t="e">
        <f>VLOOKUP(C29,listaBolsa!$D$2:$BA$248,2,0)</f>
        <v>#N/A</v>
      </c>
      <c r="DC29" s="7" t="e">
        <f>VLOOKUP(C29,listaBolsa!$D$2:$BA$248,10,0)</f>
        <v>#N/A</v>
      </c>
      <c r="DD29" s="7" t="e">
        <f>VLOOKUP(C29,listaBolsa!$D$2:$BA$248,14,0)</f>
        <v>#N/A</v>
      </c>
      <c r="DE29" s="7" t="e">
        <f>VLOOKUP(C29,listaBolsa!$D$2:$BA$248,23,0)</f>
        <v>#N/A</v>
      </c>
      <c r="DF29" s="7" t="e">
        <f>VLOOKUP(C29,listaBolsa!$D$2:$BA$248,29,0)</f>
        <v>#N/A</v>
      </c>
      <c r="DG29" s="7" t="e">
        <f>VLOOKUP(C29,listaBolsa!$D$2:$BA$248,36,0)</f>
        <v>#N/A</v>
      </c>
      <c r="DH29" s="7" t="e">
        <f>VLOOKUP(C29,listaBolsa!$D$2:$BA$248,40,0)</f>
        <v>#N/A</v>
      </c>
      <c r="DI29" s="7" t="e">
        <f>VLOOKUP(C29,listaBolsa!$D$2:$BA$248,48,0)</f>
        <v>#N/A</v>
      </c>
      <c r="DJ29" s="7" t="e">
        <f t="shared" si="13"/>
        <v>#N/A</v>
      </c>
      <c r="DK29" s="7" t="e">
        <f t="shared" si="13"/>
        <v>#N/A</v>
      </c>
      <c r="DL29" s="7" t="e">
        <f t="shared" si="14"/>
        <v>#N/A</v>
      </c>
      <c r="DM29" s="7" t="e">
        <f t="shared" si="14"/>
        <v>#N/A</v>
      </c>
      <c r="DN29" s="7" t="e">
        <f t="shared" si="15"/>
        <v>#N/A</v>
      </c>
      <c r="DO29" s="7" t="e">
        <f t="shared" si="15"/>
        <v>#N/A</v>
      </c>
      <c r="DP29" s="7" t="e">
        <f t="shared" si="16"/>
        <v>#N/A</v>
      </c>
      <c r="DQ29" s="7" t="e">
        <f t="shared" si="16"/>
        <v>#N/A</v>
      </c>
      <c r="DR29" s="7" t="e">
        <f t="shared" si="17"/>
        <v>#N/A</v>
      </c>
    </row>
    <row r="30" spans="1:122" s="7" customFormat="1" ht="75.75" customHeight="1">
      <c r="A30" s="75">
        <f t="shared" si="18"/>
        <v>19</v>
      </c>
      <c r="B30" s="196" t="s">
        <v>186</v>
      </c>
      <c r="C30" s="186" t="s">
        <v>260</v>
      </c>
      <c r="D30" s="186" t="s">
        <v>261</v>
      </c>
      <c r="E30" s="111" t="s">
        <v>262</v>
      </c>
      <c r="F30" s="112">
        <v>1</v>
      </c>
      <c r="G30" s="75" t="s">
        <v>192</v>
      </c>
      <c r="H30" s="106" t="s">
        <v>193</v>
      </c>
      <c r="I30" s="107">
        <v>180000</v>
      </c>
      <c r="J30" s="96">
        <f t="shared" si="0"/>
        <v>34200</v>
      </c>
      <c r="K30" s="96">
        <f t="shared" si="1"/>
        <v>214200</v>
      </c>
      <c r="L30" s="96">
        <f t="shared" si="2"/>
        <v>180000</v>
      </c>
      <c r="M30" s="96">
        <f t="shared" si="3"/>
        <v>214200</v>
      </c>
      <c r="N30" s="108" t="s">
        <v>194</v>
      </c>
      <c r="O30" s="109">
        <v>200000</v>
      </c>
      <c r="P30" s="110">
        <f t="shared" si="22"/>
        <v>38000</v>
      </c>
      <c r="Q30" s="110">
        <f t="shared" si="5"/>
        <v>238000</v>
      </c>
      <c r="R30" s="110">
        <f t="shared" si="6"/>
        <v>200000</v>
      </c>
      <c r="S30" s="110">
        <f t="shared" si="7"/>
        <v>238000</v>
      </c>
      <c r="T30" s="97" t="s">
        <v>263</v>
      </c>
      <c r="U30" s="98">
        <v>173865.5462184874</v>
      </c>
      <c r="V30" s="99">
        <f t="shared" si="8"/>
        <v>33034.45378151261</v>
      </c>
      <c r="W30" s="99">
        <f t="shared" si="9"/>
        <v>206900</v>
      </c>
      <c r="X30" s="99">
        <f t="shared" si="10"/>
        <v>173865.5462184874</v>
      </c>
      <c r="Y30" s="99">
        <f t="shared" si="11"/>
        <v>206900</v>
      </c>
      <c r="Z30" s="100">
        <f t="shared" si="19"/>
        <v>219700</v>
      </c>
      <c r="AA30" s="100">
        <f t="shared" si="20"/>
        <v>219700</v>
      </c>
      <c r="AB30" s="78">
        <f t="shared" si="21"/>
        <v>16263.148526653749</v>
      </c>
      <c r="AC30" s="102">
        <f t="shared" si="12"/>
        <v>7.402434468208352E-2</v>
      </c>
      <c r="AD30" s="5"/>
      <c r="AF30" s="7" t="s">
        <v>173</v>
      </c>
      <c r="AG30" s="7">
        <v>19</v>
      </c>
      <c r="AH30" s="7" t="s">
        <v>264</v>
      </c>
      <c r="BG30" s="7">
        <v>20</v>
      </c>
      <c r="DA30" s="7" t="e">
        <f>VLOOKUP(C30,listaBolsa!$D$2:$BA$248,1,0)</f>
        <v>#N/A</v>
      </c>
      <c r="DB30" s="7" t="e">
        <f>VLOOKUP(C30,listaBolsa!$D$2:$BA$248,2,0)</f>
        <v>#N/A</v>
      </c>
      <c r="DC30" s="7" t="e">
        <f>VLOOKUP(C30,listaBolsa!$D$2:$BA$248,10,0)</f>
        <v>#N/A</v>
      </c>
      <c r="DD30" s="7" t="e">
        <f>VLOOKUP(C30,listaBolsa!$D$2:$BA$248,14,0)</f>
        <v>#N/A</v>
      </c>
      <c r="DE30" s="7" t="e">
        <f>VLOOKUP(C30,listaBolsa!$D$2:$BA$248,23,0)</f>
        <v>#N/A</v>
      </c>
      <c r="DF30" s="7" t="e">
        <f>VLOOKUP(C30,listaBolsa!$D$2:$BA$248,29,0)</f>
        <v>#N/A</v>
      </c>
      <c r="DG30" s="7" t="e">
        <f>VLOOKUP(C30,listaBolsa!$D$2:$BA$248,36,0)</f>
        <v>#N/A</v>
      </c>
      <c r="DH30" s="7" t="e">
        <f>VLOOKUP(C30,listaBolsa!$D$2:$BA$248,40,0)</f>
        <v>#N/A</v>
      </c>
      <c r="DI30" s="7" t="e">
        <f>VLOOKUP(C30,listaBolsa!$D$2:$BA$248,48,0)</f>
        <v>#N/A</v>
      </c>
      <c r="DJ30" s="7" t="e">
        <f t="shared" si="13"/>
        <v>#N/A</v>
      </c>
      <c r="DK30" s="7" t="e">
        <f t="shared" si="13"/>
        <v>#N/A</v>
      </c>
      <c r="DL30" s="7" t="e">
        <f t="shared" si="14"/>
        <v>#N/A</v>
      </c>
      <c r="DM30" s="7" t="e">
        <f t="shared" si="14"/>
        <v>#N/A</v>
      </c>
      <c r="DN30" s="7" t="e">
        <f t="shared" si="15"/>
        <v>#N/A</v>
      </c>
      <c r="DO30" s="7" t="e">
        <f t="shared" si="15"/>
        <v>#N/A</v>
      </c>
      <c r="DP30" s="7" t="e">
        <f t="shared" si="16"/>
        <v>#N/A</v>
      </c>
      <c r="DQ30" s="7" t="e">
        <f t="shared" si="16"/>
        <v>#N/A</v>
      </c>
      <c r="DR30" s="7" t="e">
        <f t="shared" si="17"/>
        <v>#N/A</v>
      </c>
    </row>
    <row r="31" spans="1:122" s="7" customFormat="1" ht="81.75" customHeight="1">
      <c r="A31" s="75">
        <f t="shared" si="18"/>
        <v>20</v>
      </c>
      <c r="B31" s="196" t="s">
        <v>186</v>
      </c>
      <c r="C31" s="186" t="s">
        <v>265</v>
      </c>
      <c r="D31" s="186" t="s">
        <v>266</v>
      </c>
      <c r="E31" s="111" t="s">
        <v>267</v>
      </c>
      <c r="F31" s="112">
        <v>1</v>
      </c>
      <c r="G31" s="75" t="s">
        <v>192</v>
      </c>
      <c r="H31" s="106" t="s">
        <v>193</v>
      </c>
      <c r="I31" s="107">
        <v>180000</v>
      </c>
      <c r="J31" s="96">
        <f t="shared" si="0"/>
        <v>34200</v>
      </c>
      <c r="K31" s="96">
        <f t="shared" si="1"/>
        <v>214200</v>
      </c>
      <c r="L31" s="96">
        <f t="shared" si="2"/>
        <v>180000</v>
      </c>
      <c r="M31" s="96">
        <f t="shared" si="3"/>
        <v>214200</v>
      </c>
      <c r="N31" s="108" t="s">
        <v>245</v>
      </c>
      <c r="O31" s="109">
        <v>150000</v>
      </c>
      <c r="P31" s="110">
        <f t="shared" si="22"/>
        <v>28500</v>
      </c>
      <c r="Q31" s="110">
        <f t="shared" si="5"/>
        <v>178500</v>
      </c>
      <c r="R31" s="110">
        <f t="shared" si="6"/>
        <v>150000</v>
      </c>
      <c r="S31" s="110">
        <f t="shared" si="7"/>
        <v>178500</v>
      </c>
      <c r="T31" s="97" t="s">
        <v>194</v>
      </c>
      <c r="U31" s="98">
        <v>200000</v>
      </c>
      <c r="V31" s="99">
        <f t="shared" si="8"/>
        <v>38000</v>
      </c>
      <c r="W31" s="99">
        <f t="shared" si="9"/>
        <v>238000</v>
      </c>
      <c r="X31" s="99">
        <f t="shared" si="10"/>
        <v>200000</v>
      </c>
      <c r="Y31" s="99">
        <f t="shared" si="11"/>
        <v>238000</v>
      </c>
      <c r="Z31" s="100">
        <f t="shared" si="19"/>
        <v>210233.33333333334</v>
      </c>
      <c r="AA31" s="100">
        <f t="shared" si="20"/>
        <v>210233.33333333334</v>
      </c>
      <c r="AB31" s="78">
        <f t="shared" si="21"/>
        <v>29947.676593240682</v>
      </c>
      <c r="AC31" s="102">
        <f t="shared" si="12"/>
        <v>0.1424497063258634</v>
      </c>
      <c r="AD31" s="5"/>
      <c r="AF31" s="7" t="s">
        <v>173</v>
      </c>
      <c r="AG31" s="7">
        <v>20</v>
      </c>
      <c r="AH31" s="7" t="s">
        <v>268</v>
      </c>
      <c r="BG31" s="7">
        <v>21</v>
      </c>
      <c r="DA31" s="7" t="e">
        <f>VLOOKUP(C31,listaBolsa!$D$2:$BA$248,1,0)</f>
        <v>#N/A</v>
      </c>
      <c r="DB31" s="7" t="e">
        <f>VLOOKUP(C31,listaBolsa!$D$2:$BA$248,2,0)</f>
        <v>#N/A</v>
      </c>
      <c r="DC31" s="7" t="e">
        <f>VLOOKUP(C31,listaBolsa!$D$2:$BA$248,10,0)</f>
        <v>#N/A</v>
      </c>
      <c r="DD31" s="7" t="e">
        <f>VLOOKUP(C31,listaBolsa!$D$2:$BA$248,14,0)</f>
        <v>#N/A</v>
      </c>
      <c r="DE31" s="7" t="e">
        <f>VLOOKUP(C31,listaBolsa!$D$2:$BA$248,23,0)</f>
        <v>#N/A</v>
      </c>
      <c r="DF31" s="7" t="e">
        <f>VLOOKUP(C31,listaBolsa!$D$2:$BA$248,29,0)</f>
        <v>#N/A</v>
      </c>
      <c r="DG31" s="7" t="e">
        <f>VLOOKUP(C31,listaBolsa!$D$2:$BA$248,36,0)</f>
        <v>#N/A</v>
      </c>
      <c r="DH31" s="7" t="e">
        <f>VLOOKUP(C31,listaBolsa!$D$2:$BA$248,40,0)</f>
        <v>#N/A</v>
      </c>
      <c r="DI31" s="7" t="e">
        <f>VLOOKUP(C31,listaBolsa!$D$2:$BA$248,48,0)</f>
        <v>#N/A</v>
      </c>
      <c r="DJ31" s="7" t="e">
        <f t="shared" si="13"/>
        <v>#N/A</v>
      </c>
      <c r="DK31" s="7" t="e">
        <f t="shared" si="13"/>
        <v>#N/A</v>
      </c>
      <c r="DL31" s="7" t="e">
        <f t="shared" si="14"/>
        <v>#N/A</v>
      </c>
      <c r="DM31" s="7" t="e">
        <f t="shared" si="14"/>
        <v>#N/A</v>
      </c>
      <c r="DN31" s="7" t="e">
        <f t="shared" si="15"/>
        <v>#N/A</v>
      </c>
      <c r="DO31" s="7" t="e">
        <f t="shared" si="15"/>
        <v>#N/A</v>
      </c>
      <c r="DP31" s="7" t="e">
        <f t="shared" si="16"/>
        <v>#N/A</v>
      </c>
      <c r="DQ31" s="7" t="e">
        <f t="shared" si="16"/>
        <v>#N/A</v>
      </c>
      <c r="DR31" s="7" t="e">
        <f t="shared" si="17"/>
        <v>#N/A</v>
      </c>
    </row>
    <row r="32" spans="1:122" s="7" customFormat="1" ht="83.25" customHeight="1">
      <c r="A32" s="75">
        <f t="shared" si="18"/>
        <v>21</v>
      </c>
      <c r="B32" s="196" t="s">
        <v>186</v>
      </c>
      <c r="C32" s="186" t="s">
        <v>269</v>
      </c>
      <c r="D32" s="186" t="s">
        <v>270</v>
      </c>
      <c r="E32" s="111" t="s">
        <v>271</v>
      </c>
      <c r="F32" s="112">
        <v>1</v>
      </c>
      <c r="G32" s="75" t="s">
        <v>192</v>
      </c>
      <c r="H32" s="106" t="s">
        <v>193</v>
      </c>
      <c r="I32" s="107">
        <v>180000</v>
      </c>
      <c r="J32" s="96">
        <f t="shared" si="0"/>
        <v>34200</v>
      </c>
      <c r="K32" s="96">
        <f t="shared" si="1"/>
        <v>214200</v>
      </c>
      <c r="L32" s="96">
        <f t="shared" si="2"/>
        <v>180000</v>
      </c>
      <c r="M32" s="96">
        <f t="shared" si="3"/>
        <v>214200</v>
      </c>
      <c r="N32" s="108" t="s">
        <v>245</v>
      </c>
      <c r="O32" s="109">
        <v>150000</v>
      </c>
      <c r="P32" s="110">
        <f t="shared" si="22"/>
        <v>28500</v>
      </c>
      <c r="Q32" s="110">
        <f t="shared" si="5"/>
        <v>178500</v>
      </c>
      <c r="R32" s="110">
        <f t="shared" si="6"/>
        <v>150000</v>
      </c>
      <c r="S32" s="110">
        <f t="shared" si="7"/>
        <v>178500</v>
      </c>
      <c r="T32" s="97" t="s">
        <v>194</v>
      </c>
      <c r="U32" s="98">
        <v>200000</v>
      </c>
      <c r="V32" s="99">
        <f t="shared" si="8"/>
        <v>38000</v>
      </c>
      <c r="W32" s="99">
        <f t="shared" si="9"/>
        <v>238000</v>
      </c>
      <c r="X32" s="99">
        <f t="shared" si="10"/>
        <v>200000</v>
      </c>
      <c r="Y32" s="99">
        <f t="shared" si="11"/>
        <v>238000</v>
      </c>
      <c r="Z32" s="100">
        <f t="shared" si="19"/>
        <v>210233.33333333334</v>
      </c>
      <c r="AA32" s="100">
        <f t="shared" si="20"/>
        <v>210233.33333333334</v>
      </c>
      <c r="AB32" s="78">
        <f t="shared" si="21"/>
        <v>29947.676593240682</v>
      </c>
      <c r="AC32" s="102">
        <f t="shared" si="12"/>
        <v>0.1424497063258634</v>
      </c>
      <c r="AD32" s="5"/>
      <c r="AF32" s="7" t="s">
        <v>173</v>
      </c>
      <c r="AG32" s="7">
        <v>21</v>
      </c>
      <c r="AH32" s="7" t="s">
        <v>272</v>
      </c>
      <c r="BG32" s="7">
        <v>22</v>
      </c>
      <c r="DA32" s="7" t="e">
        <f>VLOOKUP(C32,listaBolsa!$D$2:$BA$248,1,0)</f>
        <v>#N/A</v>
      </c>
      <c r="DB32" s="7" t="e">
        <f>VLOOKUP(C32,listaBolsa!$D$2:$BA$248,2,0)</f>
        <v>#N/A</v>
      </c>
      <c r="DC32" s="7" t="e">
        <f>VLOOKUP(C32,listaBolsa!$D$2:$BA$248,10,0)</f>
        <v>#N/A</v>
      </c>
      <c r="DD32" s="7" t="e">
        <f>VLOOKUP(C32,listaBolsa!$D$2:$BA$248,14,0)</f>
        <v>#N/A</v>
      </c>
      <c r="DE32" s="7" t="e">
        <f>VLOOKUP(C32,listaBolsa!$D$2:$BA$248,23,0)</f>
        <v>#N/A</v>
      </c>
      <c r="DF32" s="7" t="e">
        <f>VLOOKUP(C32,listaBolsa!$D$2:$BA$248,29,0)</f>
        <v>#N/A</v>
      </c>
      <c r="DG32" s="7" t="e">
        <f>VLOOKUP(C32,listaBolsa!$D$2:$BA$248,36,0)</f>
        <v>#N/A</v>
      </c>
      <c r="DH32" s="7" t="e">
        <f>VLOOKUP(C32,listaBolsa!$D$2:$BA$248,40,0)</f>
        <v>#N/A</v>
      </c>
      <c r="DI32" s="7" t="e">
        <f>VLOOKUP(C32,listaBolsa!$D$2:$BA$248,48,0)</f>
        <v>#N/A</v>
      </c>
      <c r="DJ32" s="7" t="e">
        <f t="shared" si="13"/>
        <v>#N/A</v>
      </c>
      <c r="DK32" s="7" t="e">
        <f t="shared" si="13"/>
        <v>#N/A</v>
      </c>
      <c r="DL32" s="7" t="e">
        <f t="shared" si="14"/>
        <v>#N/A</v>
      </c>
      <c r="DM32" s="7" t="e">
        <f t="shared" si="14"/>
        <v>#N/A</v>
      </c>
      <c r="DN32" s="7" t="e">
        <f t="shared" si="15"/>
        <v>#N/A</v>
      </c>
      <c r="DO32" s="7" t="e">
        <f t="shared" si="15"/>
        <v>#N/A</v>
      </c>
      <c r="DP32" s="7" t="e">
        <f t="shared" si="16"/>
        <v>#N/A</v>
      </c>
      <c r="DQ32" s="7" t="e">
        <f t="shared" si="16"/>
        <v>#N/A</v>
      </c>
      <c r="DR32" s="7" t="e">
        <f t="shared" si="17"/>
        <v>#N/A</v>
      </c>
    </row>
    <row r="33" spans="1:122" s="7" customFormat="1" ht="78" customHeight="1">
      <c r="A33" s="75">
        <f t="shared" si="18"/>
        <v>22</v>
      </c>
      <c r="B33" s="196" t="s">
        <v>186</v>
      </c>
      <c r="C33" s="186" t="s">
        <v>273</v>
      </c>
      <c r="D33" s="186" t="s">
        <v>274</v>
      </c>
      <c r="E33" s="111" t="s">
        <v>267</v>
      </c>
      <c r="F33" s="112">
        <v>1</v>
      </c>
      <c r="G33" s="75" t="s">
        <v>192</v>
      </c>
      <c r="H33" s="106" t="s">
        <v>193</v>
      </c>
      <c r="I33" s="107">
        <v>180000</v>
      </c>
      <c r="J33" s="96">
        <f t="shared" si="0"/>
        <v>34200</v>
      </c>
      <c r="K33" s="96">
        <f t="shared" si="1"/>
        <v>214200</v>
      </c>
      <c r="L33" s="96">
        <f t="shared" si="2"/>
        <v>180000</v>
      </c>
      <c r="M33" s="96">
        <f t="shared" si="3"/>
        <v>214200</v>
      </c>
      <c r="N33" s="108" t="s">
        <v>245</v>
      </c>
      <c r="O33" s="109">
        <v>150000</v>
      </c>
      <c r="P33" s="110">
        <f t="shared" si="22"/>
        <v>28500</v>
      </c>
      <c r="Q33" s="110">
        <f t="shared" si="5"/>
        <v>178500</v>
      </c>
      <c r="R33" s="110">
        <f t="shared" si="6"/>
        <v>150000</v>
      </c>
      <c r="S33" s="110">
        <f t="shared" si="7"/>
        <v>178500</v>
      </c>
      <c r="T33" s="97" t="s">
        <v>194</v>
      </c>
      <c r="U33" s="98">
        <v>200000</v>
      </c>
      <c r="V33" s="99">
        <f t="shared" si="8"/>
        <v>38000</v>
      </c>
      <c r="W33" s="99">
        <f t="shared" si="9"/>
        <v>238000</v>
      </c>
      <c r="X33" s="99">
        <f t="shared" si="10"/>
        <v>200000</v>
      </c>
      <c r="Y33" s="99">
        <f t="shared" si="11"/>
        <v>238000</v>
      </c>
      <c r="Z33" s="100">
        <f t="shared" si="19"/>
        <v>210233.33333333334</v>
      </c>
      <c r="AA33" s="100">
        <f t="shared" si="20"/>
        <v>210233.33333333334</v>
      </c>
      <c r="AB33" s="78">
        <f t="shared" si="21"/>
        <v>29947.676593240682</v>
      </c>
      <c r="AC33" s="102">
        <f t="shared" si="12"/>
        <v>0.1424497063258634</v>
      </c>
      <c r="AD33" s="5"/>
      <c r="AF33" s="7" t="s">
        <v>173</v>
      </c>
      <c r="AG33" s="7">
        <v>22</v>
      </c>
      <c r="AH33" s="7" t="s">
        <v>275</v>
      </c>
      <c r="BG33" s="7">
        <v>23</v>
      </c>
      <c r="DA33" s="7" t="e">
        <f>VLOOKUP(C33,listaBolsa!$D$2:$BA$248,1,0)</f>
        <v>#N/A</v>
      </c>
      <c r="DB33" s="7" t="e">
        <f>VLOOKUP(C33,listaBolsa!$D$2:$BA$248,2,0)</f>
        <v>#N/A</v>
      </c>
      <c r="DC33" s="7" t="e">
        <f>VLOOKUP(C33,listaBolsa!$D$2:$BA$248,10,0)</f>
        <v>#N/A</v>
      </c>
      <c r="DD33" s="7" t="e">
        <f>VLOOKUP(C33,listaBolsa!$D$2:$BA$248,14,0)</f>
        <v>#N/A</v>
      </c>
      <c r="DE33" s="7" t="e">
        <f>VLOOKUP(C33,listaBolsa!$D$2:$BA$248,23,0)</f>
        <v>#N/A</v>
      </c>
      <c r="DF33" s="7" t="e">
        <f>VLOOKUP(C33,listaBolsa!$D$2:$BA$248,29,0)</f>
        <v>#N/A</v>
      </c>
      <c r="DG33" s="7" t="e">
        <f>VLOOKUP(C33,listaBolsa!$D$2:$BA$248,36,0)</f>
        <v>#N/A</v>
      </c>
      <c r="DH33" s="7" t="e">
        <f>VLOOKUP(C33,listaBolsa!$D$2:$BA$248,40,0)</f>
        <v>#N/A</v>
      </c>
      <c r="DI33" s="7" t="e">
        <f>VLOOKUP(C33,listaBolsa!$D$2:$BA$248,48,0)</f>
        <v>#N/A</v>
      </c>
      <c r="DJ33" s="7" t="e">
        <f t="shared" si="13"/>
        <v>#N/A</v>
      </c>
      <c r="DK33" s="7" t="e">
        <f t="shared" si="13"/>
        <v>#N/A</v>
      </c>
      <c r="DL33" s="7" t="e">
        <f t="shared" si="14"/>
        <v>#N/A</v>
      </c>
      <c r="DM33" s="7" t="e">
        <f t="shared" si="14"/>
        <v>#N/A</v>
      </c>
      <c r="DN33" s="7" t="e">
        <f t="shared" si="15"/>
        <v>#N/A</v>
      </c>
      <c r="DO33" s="7" t="e">
        <f t="shared" si="15"/>
        <v>#N/A</v>
      </c>
      <c r="DP33" s="7" t="e">
        <f t="shared" si="16"/>
        <v>#N/A</v>
      </c>
      <c r="DQ33" s="7" t="e">
        <f t="shared" si="16"/>
        <v>#N/A</v>
      </c>
      <c r="DR33" s="7" t="e">
        <f t="shared" si="17"/>
        <v>#N/A</v>
      </c>
    </row>
    <row r="34" spans="1:122" s="7" customFormat="1" ht="87" customHeight="1">
      <c r="A34" s="75">
        <f t="shared" si="18"/>
        <v>23</v>
      </c>
      <c r="B34" s="196" t="s">
        <v>186</v>
      </c>
      <c r="C34" s="186" t="s">
        <v>276</v>
      </c>
      <c r="D34" s="186" t="s">
        <v>277</v>
      </c>
      <c r="E34" s="111" t="s">
        <v>267</v>
      </c>
      <c r="F34" s="112">
        <v>1</v>
      </c>
      <c r="G34" s="75" t="s">
        <v>192</v>
      </c>
      <c r="H34" s="106" t="s">
        <v>193</v>
      </c>
      <c r="I34" s="107">
        <v>180000</v>
      </c>
      <c r="J34" s="96">
        <f t="shared" si="0"/>
        <v>34200</v>
      </c>
      <c r="K34" s="96">
        <f t="shared" si="1"/>
        <v>214200</v>
      </c>
      <c r="L34" s="96">
        <f t="shared" si="2"/>
        <v>180000</v>
      </c>
      <c r="M34" s="96">
        <f t="shared" si="3"/>
        <v>214200</v>
      </c>
      <c r="N34" s="108" t="s">
        <v>245</v>
      </c>
      <c r="O34" s="109">
        <v>150000</v>
      </c>
      <c r="P34" s="110">
        <f t="shared" si="22"/>
        <v>28500</v>
      </c>
      <c r="Q34" s="110">
        <f t="shared" si="5"/>
        <v>178500</v>
      </c>
      <c r="R34" s="110">
        <f t="shared" si="6"/>
        <v>150000</v>
      </c>
      <c r="S34" s="110">
        <f t="shared" si="7"/>
        <v>178500</v>
      </c>
      <c r="T34" s="97" t="s">
        <v>194</v>
      </c>
      <c r="U34" s="98">
        <v>200000</v>
      </c>
      <c r="V34" s="99">
        <f t="shared" si="8"/>
        <v>38000</v>
      </c>
      <c r="W34" s="99">
        <f t="shared" si="9"/>
        <v>238000</v>
      </c>
      <c r="X34" s="99">
        <f t="shared" si="10"/>
        <v>200000</v>
      </c>
      <c r="Y34" s="99">
        <f t="shared" si="11"/>
        <v>238000</v>
      </c>
      <c r="Z34" s="100">
        <f t="shared" si="19"/>
        <v>210233.33333333334</v>
      </c>
      <c r="AA34" s="100">
        <f t="shared" si="20"/>
        <v>210233.33333333334</v>
      </c>
      <c r="AB34" s="78">
        <f t="shared" si="21"/>
        <v>29947.676593240682</v>
      </c>
      <c r="AC34" s="102">
        <f t="shared" si="12"/>
        <v>0.1424497063258634</v>
      </c>
      <c r="AD34" s="5"/>
      <c r="AF34" s="7" t="s">
        <v>173</v>
      </c>
      <c r="AG34" s="7">
        <v>23</v>
      </c>
      <c r="AH34" s="7" t="s">
        <v>278</v>
      </c>
      <c r="BG34" s="7">
        <v>24</v>
      </c>
      <c r="DA34" s="7" t="e">
        <f>VLOOKUP(C34,listaBolsa!$D$2:$BA$248,1,0)</f>
        <v>#N/A</v>
      </c>
      <c r="DB34" s="7" t="e">
        <f>VLOOKUP(C34,listaBolsa!$D$2:$BA$248,2,0)</f>
        <v>#N/A</v>
      </c>
      <c r="DC34" s="7" t="e">
        <f>VLOOKUP(C34,listaBolsa!$D$2:$BA$248,10,0)</f>
        <v>#N/A</v>
      </c>
      <c r="DD34" s="7" t="e">
        <f>VLOOKUP(C34,listaBolsa!$D$2:$BA$248,14,0)</f>
        <v>#N/A</v>
      </c>
      <c r="DE34" s="7" t="e">
        <f>VLOOKUP(C34,listaBolsa!$D$2:$BA$248,23,0)</f>
        <v>#N/A</v>
      </c>
      <c r="DF34" s="7" t="e">
        <f>VLOOKUP(C34,listaBolsa!$D$2:$BA$248,29,0)</f>
        <v>#N/A</v>
      </c>
      <c r="DG34" s="7" t="e">
        <f>VLOOKUP(C34,listaBolsa!$D$2:$BA$248,36,0)</f>
        <v>#N/A</v>
      </c>
      <c r="DH34" s="7" t="e">
        <f>VLOOKUP(C34,listaBolsa!$D$2:$BA$248,40,0)</f>
        <v>#N/A</v>
      </c>
      <c r="DI34" s="7" t="e">
        <f>VLOOKUP(C34,listaBolsa!$D$2:$BA$248,48,0)</f>
        <v>#N/A</v>
      </c>
      <c r="DJ34" s="7" t="e">
        <f t="shared" si="13"/>
        <v>#N/A</v>
      </c>
      <c r="DK34" s="7" t="e">
        <f t="shared" si="13"/>
        <v>#N/A</v>
      </c>
      <c r="DL34" s="7" t="e">
        <f t="shared" si="14"/>
        <v>#N/A</v>
      </c>
      <c r="DM34" s="7" t="e">
        <f t="shared" si="14"/>
        <v>#N/A</v>
      </c>
      <c r="DN34" s="7" t="e">
        <f t="shared" si="15"/>
        <v>#N/A</v>
      </c>
      <c r="DO34" s="7" t="e">
        <f t="shared" si="15"/>
        <v>#N/A</v>
      </c>
      <c r="DP34" s="7" t="e">
        <f t="shared" si="16"/>
        <v>#N/A</v>
      </c>
      <c r="DQ34" s="7" t="e">
        <f t="shared" si="16"/>
        <v>#N/A</v>
      </c>
      <c r="DR34" s="7" t="e">
        <f t="shared" si="17"/>
        <v>#N/A</v>
      </c>
    </row>
    <row r="35" spans="1:122" s="7" customFormat="1" ht="81.75" customHeight="1">
      <c r="A35" s="75">
        <f t="shared" si="18"/>
        <v>24</v>
      </c>
      <c r="B35" s="196" t="s">
        <v>186</v>
      </c>
      <c r="C35" s="186" t="s">
        <v>279</v>
      </c>
      <c r="D35" s="186" t="s">
        <v>280</v>
      </c>
      <c r="E35" s="111" t="s">
        <v>191</v>
      </c>
      <c r="F35" s="112">
        <v>3</v>
      </c>
      <c r="G35" s="75" t="s">
        <v>192</v>
      </c>
      <c r="H35" s="106" t="s">
        <v>193</v>
      </c>
      <c r="I35" s="107">
        <v>13000</v>
      </c>
      <c r="J35" s="96">
        <f t="shared" si="0"/>
        <v>2470</v>
      </c>
      <c r="K35" s="96">
        <f t="shared" si="1"/>
        <v>15470</v>
      </c>
      <c r="L35" s="96">
        <f t="shared" si="2"/>
        <v>39000</v>
      </c>
      <c r="M35" s="96">
        <f t="shared" si="3"/>
        <v>46410</v>
      </c>
      <c r="N35" s="108" t="s">
        <v>245</v>
      </c>
      <c r="O35" s="109">
        <v>12000</v>
      </c>
      <c r="P35" s="110">
        <f t="shared" si="22"/>
        <v>2280</v>
      </c>
      <c r="Q35" s="110">
        <f t="shared" si="5"/>
        <v>14280</v>
      </c>
      <c r="R35" s="110">
        <f t="shared" si="6"/>
        <v>36000</v>
      </c>
      <c r="S35" s="110">
        <f t="shared" si="7"/>
        <v>42840</v>
      </c>
      <c r="T35" s="97" t="s">
        <v>194</v>
      </c>
      <c r="U35" s="98">
        <v>15000</v>
      </c>
      <c r="V35" s="99">
        <f t="shared" si="8"/>
        <v>2850</v>
      </c>
      <c r="W35" s="99">
        <f t="shared" si="9"/>
        <v>17850</v>
      </c>
      <c r="X35" s="99">
        <f t="shared" si="10"/>
        <v>45000</v>
      </c>
      <c r="Y35" s="99">
        <f t="shared" si="11"/>
        <v>53550</v>
      </c>
      <c r="Z35" s="100">
        <f t="shared" si="19"/>
        <v>15866.666666666666</v>
      </c>
      <c r="AA35" s="100">
        <f t="shared" si="20"/>
        <v>47600</v>
      </c>
      <c r="AB35" s="78">
        <f t="shared" si="21"/>
        <v>5453.2650769974498</v>
      </c>
      <c r="AC35" s="102">
        <f t="shared" si="12"/>
        <v>0.114564392373896</v>
      </c>
      <c r="AD35" s="5"/>
      <c r="AF35" s="7" t="s">
        <v>173</v>
      </c>
      <c r="AG35" s="7">
        <v>24</v>
      </c>
      <c r="AH35" s="7" t="s">
        <v>281</v>
      </c>
      <c r="BG35" s="7">
        <v>25</v>
      </c>
      <c r="DA35" s="7" t="e">
        <f>VLOOKUP(C35,listaBolsa!$D$2:$BA$248,1,0)</f>
        <v>#N/A</v>
      </c>
      <c r="DB35" s="7" t="e">
        <f>VLOOKUP(C35,listaBolsa!$D$2:$BA$248,2,0)</f>
        <v>#N/A</v>
      </c>
      <c r="DC35" s="7" t="e">
        <f>VLOOKUP(C35,listaBolsa!$D$2:$BA$248,10,0)</f>
        <v>#N/A</v>
      </c>
      <c r="DD35" s="7" t="e">
        <f>VLOOKUP(C35,listaBolsa!$D$2:$BA$248,14,0)</f>
        <v>#N/A</v>
      </c>
      <c r="DE35" s="7" t="e">
        <f>VLOOKUP(C35,listaBolsa!$D$2:$BA$248,23,0)</f>
        <v>#N/A</v>
      </c>
      <c r="DF35" s="7" t="e">
        <f>VLOOKUP(C35,listaBolsa!$D$2:$BA$248,29,0)</f>
        <v>#N/A</v>
      </c>
      <c r="DG35" s="7" t="e">
        <f>VLOOKUP(C35,listaBolsa!$D$2:$BA$248,36,0)</f>
        <v>#N/A</v>
      </c>
      <c r="DH35" s="7" t="e">
        <f>VLOOKUP(C35,listaBolsa!$D$2:$BA$248,40,0)</f>
        <v>#N/A</v>
      </c>
      <c r="DI35" s="7" t="e">
        <f>VLOOKUP(C35,listaBolsa!$D$2:$BA$248,48,0)</f>
        <v>#N/A</v>
      </c>
      <c r="DJ35" s="7" t="e">
        <f t="shared" si="13"/>
        <v>#N/A</v>
      </c>
      <c r="DK35" s="7" t="e">
        <f t="shared" si="13"/>
        <v>#N/A</v>
      </c>
      <c r="DL35" s="7" t="e">
        <f t="shared" si="14"/>
        <v>#N/A</v>
      </c>
      <c r="DM35" s="7" t="e">
        <f t="shared" si="14"/>
        <v>#N/A</v>
      </c>
      <c r="DN35" s="7" t="e">
        <f t="shared" si="15"/>
        <v>#N/A</v>
      </c>
      <c r="DO35" s="7" t="e">
        <f t="shared" si="15"/>
        <v>#N/A</v>
      </c>
      <c r="DP35" s="7" t="e">
        <f t="shared" si="16"/>
        <v>#N/A</v>
      </c>
      <c r="DQ35" s="7" t="e">
        <f t="shared" si="16"/>
        <v>#N/A</v>
      </c>
      <c r="DR35" s="7" t="e">
        <f t="shared" si="17"/>
        <v>#N/A</v>
      </c>
    </row>
    <row r="36" spans="1:122" s="7" customFormat="1" ht="90.75" customHeight="1">
      <c r="A36" s="75">
        <f t="shared" si="18"/>
        <v>25</v>
      </c>
      <c r="B36" s="196" t="s">
        <v>186</v>
      </c>
      <c r="C36" s="200" t="s">
        <v>282</v>
      </c>
      <c r="D36" s="200" t="s">
        <v>283</v>
      </c>
      <c r="E36" s="111" t="s">
        <v>191</v>
      </c>
      <c r="F36" s="112">
        <v>6</v>
      </c>
      <c r="G36" s="75" t="s">
        <v>192</v>
      </c>
      <c r="H36" s="106" t="s">
        <v>284</v>
      </c>
      <c r="I36" s="107">
        <v>4117.6470588235297</v>
      </c>
      <c r="J36" s="96">
        <f t="shared" si="0"/>
        <v>782.35294117647061</v>
      </c>
      <c r="K36" s="96">
        <f t="shared" si="1"/>
        <v>4900</v>
      </c>
      <c r="L36" s="96">
        <f t="shared" si="2"/>
        <v>24705.882352941178</v>
      </c>
      <c r="M36" s="96">
        <f t="shared" si="3"/>
        <v>29400</v>
      </c>
      <c r="N36" s="108" t="s">
        <v>285</v>
      </c>
      <c r="O36" s="109">
        <v>4117.6470588235297</v>
      </c>
      <c r="P36" s="110">
        <f t="shared" si="22"/>
        <v>782.35294117647061</v>
      </c>
      <c r="Q36" s="110">
        <f t="shared" si="5"/>
        <v>4900</v>
      </c>
      <c r="R36" s="110">
        <f t="shared" si="6"/>
        <v>24705.882352941178</v>
      </c>
      <c r="S36" s="110">
        <f t="shared" si="7"/>
        <v>29400</v>
      </c>
      <c r="T36" s="97" t="s">
        <v>286</v>
      </c>
      <c r="U36" s="98">
        <v>3500</v>
      </c>
      <c r="V36" s="99">
        <f t="shared" si="8"/>
        <v>665</v>
      </c>
      <c r="W36" s="99">
        <f t="shared" si="9"/>
        <v>4165</v>
      </c>
      <c r="X36" s="99">
        <f t="shared" si="10"/>
        <v>21000</v>
      </c>
      <c r="Y36" s="99">
        <f t="shared" si="11"/>
        <v>24990</v>
      </c>
      <c r="Z36" s="100">
        <f t="shared" si="19"/>
        <v>4655</v>
      </c>
      <c r="AA36" s="100">
        <f t="shared" si="20"/>
        <v>27930</v>
      </c>
      <c r="AB36" s="78">
        <f t="shared" si="21"/>
        <v>2546.1146871262495</v>
      </c>
      <c r="AC36" s="102">
        <f t="shared" si="12"/>
        <v>9.1160568819414589E-2</v>
      </c>
      <c r="AD36" s="5"/>
      <c r="AF36" s="7" t="s">
        <v>173</v>
      </c>
      <c r="AG36" s="7">
        <v>25</v>
      </c>
      <c r="AH36" s="7" t="s">
        <v>287</v>
      </c>
      <c r="BG36" s="7">
        <v>26</v>
      </c>
      <c r="DA36" s="7" t="e">
        <f>VLOOKUP(C36,listaBolsa!$D$2:$BA$248,1,0)</f>
        <v>#N/A</v>
      </c>
      <c r="DB36" s="7" t="e">
        <f>VLOOKUP(C36,listaBolsa!$D$2:$BA$248,2,0)</f>
        <v>#N/A</v>
      </c>
      <c r="DC36" s="7" t="e">
        <f>VLOOKUP(C36,listaBolsa!$D$2:$BA$248,10,0)</f>
        <v>#N/A</v>
      </c>
      <c r="DD36" s="7" t="e">
        <f>VLOOKUP(C36,listaBolsa!$D$2:$BA$248,14,0)</f>
        <v>#N/A</v>
      </c>
      <c r="DE36" s="7" t="e">
        <f>VLOOKUP(C36,listaBolsa!$D$2:$BA$248,23,0)</f>
        <v>#N/A</v>
      </c>
      <c r="DF36" s="7" t="e">
        <f>VLOOKUP(C36,listaBolsa!$D$2:$BA$248,29,0)</f>
        <v>#N/A</v>
      </c>
      <c r="DG36" s="7" t="e">
        <f>VLOOKUP(C36,listaBolsa!$D$2:$BA$248,36,0)</f>
        <v>#N/A</v>
      </c>
      <c r="DH36" s="7" t="e">
        <f>VLOOKUP(C36,listaBolsa!$D$2:$BA$248,40,0)</f>
        <v>#N/A</v>
      </c>
      <c r="DI36" s="7" t="e">
        <f>VLOOKUP(C36,listaBolsa!$D$2:$BA$248,48,0)</f>
        <v>#N/A</v>
      </c>
      <c r="DJ36" s="7" t="e">
        <f t="shared" si="13"/>
        <v>#N/A</v>
      </c>
      <c r="DK36" s="7" t="e">
        <f t="shared" si="13"/>
        <v>#N/A</v>
      </c>
      <c r="DL36" s="7" t="e">
        <f t="shared" si="14"/>
        <v>#N/A</v>
      </c>
      <c r="DM36" s="7" t="e">
        <f t="shared" si="14"/>
        <v>#N/A</v>
      </c>
      <c r="DN36" s="7" t="e">
        <f t="shared" si="15"/>
        <v>#N/A</v>
      </c>
      <c r="DO36" s="7" t="e">
        <f t="shared" si="15"/>
        <v>#N/A</v>
      </c>
      <c r="DP36" s="7" t="e">
        <f t="shared" si="16"/>
        <v>#N/A</v>
      </c>
      <c r="DQ36" s="7" t="e">
        <f t="shared" si="16"/>
        <v>#N/A</v>
      </c>
      <c r="DR36" s="7" t="e">
        <f t="shared" si="17"/>
        <v>#N/A</v>
      </c>
    </row>
    <row r="37" spans="1:122" s="7" customFormat="1" ht="83.25" customHeight="1">
      <c r="A37" s="75">
        <f t="shared" si="18"/>
        <v>26</v>
      </c>
      <c r="B37" s="196" t="s">
        <v>186</v>
      </c>
      <c r="C37" s="200" t="s">
        <v>282</v>
      </c>
      <c r="D37" s="200" t="s">
        <v>288</v>
      </c>
      <c r="E37" s="111" t="s">
        <v>191</v>
      </c>
      <c r="F37" s="112">
        <v>4</v>
      </c>
      <c r="G37" s="75" t="s">
        <v>192</v>
      </c>
      <c r="H37" s="106" t="s">
        <v>285</v>
      </c>
      <c r="I37" s="107">
        <v>9707.5630252100837</v>
      </c>
      <c r="J37" s="96">
        <f t="shared" si="0"/>
        <v>1844.4369747899159</v>
      </c>
      <c r="K37" s="96">
        <f t="shared" si="1"/>
        <v>11552</v>
      </c>
      <c r="L37" s="96">
        <f t="shared" si="2"/>
        <v>38830.252100840335</v>
      </c>
      <c r="M37" s="96">
        <f t="shared" si="3"/>
        <v>46208</v>
      </c>
      <c r="N37" s="108" t="s">
        <v>239</v>
      </c>
      <c r="O37" s="109">
        <v>10672.268907563026</v>
      </c>
      <c r="P37" s="110">
        <f t="shared" si="22"/>
        <v>2027.7310924369749</v>
      </c>
      <c r="Q37" s="110">
        <f t="shared" si="5"/>
        <v>12700</v>
      </c>
      <c r="R37" s="110">
        <f t="shared" si="6"/>
        <v>42689.075630252104</v>
      </c>
      <c r="S37" s="110">
        <f t="shared" si="7"/>
        <v>50800</v>
      </c>
      <c r="T37" s="97" t="s">
        <v>289</v>
      </c>
      <c r="U37" s="98">
        <v>10671.428571428572</v>
      </c>
      <c r="V37" s="99">
        <f t="shared" si="8"/>
        <v>2027.5714285714289</v>
      </c>
      <c r="W37" s="99">
        <f t="shared" si="9"/>
        <v>12699.000000000002</v>
      </c>
      <c r="X37" s="99">
        <f t="shared" si="10"/>
        <v>42685.71428571429</v>
      </c>
      <c r="Y37" s="99">
        <f t="shared" si="11"/>
        <v>50796.000000000007</v>
      </c>
      <c r="Z37" s="100">
        <f t="shared" si="19"/>
        <v>12317</v>
      </c>
      <c r="AA37" s="100">
        <f t="shared" si="20"/>
        <v>49268</v>
      </c>
      <c r="AB37" s="78">
        <f t="shared" si="21"/>
        <v>2650.0384902865112</v>
      </c>
      <c r="AC37" s="102">
        <f t="shared" si="12"/>
        <v>5.3788229485396424E-2</v>
      </c>
      <c r="AD37" s="5"/>
      <c r="AF37" s="7" t="s">
        <v>173</v>
      </c>
      <c r="AG37" s="7">
        <v>26</v>
      </c>
      <c r="AH37" s="7" t="s">
        <v>290</v>
      </c>
      <c r="BG37" s="7">
        <v>27</v>
      </c>
      <c r="DA37" s="7" t="e">
        <f>VLOOKUP(C37,listaBolsa!$D$2:$BA$248,1,0)</f>
        <v>#N/A</v>
      </c>
      <c r="DB37" s="7" t="e">
        <f>VLOOKUP(C37,listaBolsa!$D$2:$BA$248,2,0)</f>
        <v>#N/A</v>
      </c>
      <c r="DC37" s="7" t="e">
        <f>VLOOKUP(C37,listaBolsa!$D$2:$BA$248,10,0)</f>
        <v>#N/A</v>
      </c>
      <c r="DD37" s="7" t="e">
        <f>VLOOKUP(C37,listaBolsa!$D$2:$BA$248,14,0)</f>
        <v>#N/A</v>
      </c>
      <c r="DE37" s="7" t="e">
        <f>VLOOKUP(C37,listaBolsa!$D$2:$BA$248,23,0)</f>
        <v>#N/A</v>
      </c>
      <c r="DF37" s="7" t="e">
        <f>VLOOKUP(C37,listaBolsa!$D$2:$BA$248,29,0)</f>
        <v>#N/A</v>
      </c>
      <c r="DG37" s="7" t="e">
        <f>VLOOKUP(C37,listaBolsa!$D$2:$BA$248,36,0)</f>
        <v>#N/A</v>
      </c>
      <c r="DH37" s="7" t="e">
        <f>VLOOKUP(C37,listaBolsa!$D$2:$BA$248,40,0)</f>
        <v>#N/A</v>
      </c>
      <c r="DI37" s="7" t="e">
        <f>VLOOKUP(C37,listaBolsa!$D$2:$BA$248,48,0)</f>
        <v>#N/A</v>
      </c>
      <c r="DJ37" s="7" t="e">
        <f t="shared" si="13"/>
        <v>#N/A</v>
      </c>
      <c r="DK37" s="7" t="e">
        <f t="shared" si="13"/>
        <v>#N/A</v>
      </c>
      <c r="DL37" s="7" t="e">
        <f t="shared" si="14"/>
        <v>#N/A</v>
      </c>
      <c r="DM37" s="7" t="e">
        <f t="shared" si="14"/>
        <v>#N/A</v>
      </c>
      <c r="DN37" s="7" t="e">
        <f t="shared" si="15"/>
        <v>#N/A</v>
      </c>
      <c r="DO37" s="7" t="e">
        <f t="shared" si="15"/>
        <v>#N/A</v>
      </c>
      <c r="DP37" s="7" t="e">
        <f t="shared" si="16"/>
        <v>#N/A</v>
      </c>
      <c r="DQ37" s="7" t="e">
        <f t="shared" si="16"/>
        <v>#N/A</v>
      </c>
      <c r="DR37" s="7" t="e">
        <f t="shared" si="17"/>
        <v>#N/A</v>
      </c>
    </row>
    <row r="38" spans="1:122" s="7" customFormat="1" ht="348" customHeight="1">
      <c r="A38" s="75">
        <f t="shared" si="18"/>
        <v>27</v>
      </c>
      <c r="B38" s="198" t="s">
        <v>291</v>
      </c>
      <c r="C38" s="95" t="s">
        <v>187</v>
      </c>
      <c r="D38" s="75" t="str">
        <f>IF(C38="","",VLOOKUP(C38,listaBolsa!$D$2:$H$276,2,0))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38" s="111" t="str">
        <f>IF(C38="","",VLOOKUP(C38,listaBolsa!$D$2:$H$276,3,0))</f>
        <v>Unidad</v>
      </c>
      <c r="F38" s="112">
        <v>580</v>
      </c>
      <c r="G38" s="200" t="str">
        <f>IF(C38="","",VLOOKUP(C38,listaBolsa!$D$2:$H$276,5,0))</f>
        <v>Compra</v>
      </c>
      <c r="H38" s="106" t="str">
        <f>IF(C38="","",VLOOKUP(C38,listaBolsa!$D$2:$W$276,10,0))</f>
        <v>INVERSIONES BECORATI E Y O SAS</v>
      </c>
      <c r="I38" s="107">
        <f>IF(C38="","",VLOOKUP(C38,listaBolsa!$D$2:$W$276,14,0))</f>
        <v>11700</v>
      </c>
      <c r="J38" s="96">
        <f t="shared" si="0"/>
        <v>2223</v>
      </c>
      <c r="K38" s="96">
        <f t="shared" si="1"/>
        <v>13923</v>
      </c>
      <c r="L38" s="96">
        <f t="shared" si="2"/>
        <v>6786000</v>
      </c>
      <c r="M38" s="96">
        <f t="shared" si="3"/>
        <v>8075340</v>
      </c>
      <c r="N38" s="108" t="str">
        <f>IF(C38="","",VLOOKUP(C38,listaBolsa!$D$2:$AZ$276,23,0))</f>
        <v>ENTERPRISE INVESTMENT DEVELOPMENT S.A.S.</v>
      </c>
      <c r="O38" s="109">
        <f>IF(C38="","",VLOOKUP(C38,listaBolsa!$D$2:$AZ$276,27,0))</f>
        <v>8570</v>
      </c>
      <c r="P38" s="110">
        <f t="shared" si="22"/>
        <v>1628.3</v>
      </c>
      <c r="Q38" s="110">
        <f t="shared" si="5"/>
        <v>10198.299999999999</v>
      </c>
      <c r="R38" s="110">
        <f t="shared" si="6"/>
        <v>4970600</v>
      </c>
      <c r="S38" s="110">
        <f t="shared" si="7"/>
        <v>5915014</v>
      </c>
      <c r="T38" s="97" t="str">
        <f>IF(C38="","",VLOOKUP(C38,listaBolsa!$D$2:$BB$276,36,0))</f>
        <v>Estimación de precios con base en el proceso FDLSUBA-LP-013-2025 (140689) – Contrato 1000 – 2025, indexando el incremento de precios en el mercado con base en el Índice de Precios al Consumidor (IPC) para el mes de marzo de 2026, el cual fue de 5,56%.</v>
      </c>
      <c r="U38" s="98">
        <f>IF(C38="","",VLOOKUP(C38,listaBolsa!$D$2:$BB$276,40,0))</f>
        <v>12843.518518518518</v>
      </c>
      <c r="V38" s="99">
        <f t="shared" si="8"/>
        <v>2440.2685185185187</v>
      </c>
      <c r="W38" s="99">
        <f t="shared" si="9"/>
        <v>15283.787037037036</v>
      </c>
      <c r="X38" s="99">
        <f t="shared" si="10"/>
        <v>7449240.7407407407</v>
      </c>
      <c r="Y38" s="99">
        <f t="shared" si="11"/>
        <v>8864596.4814814813</v>
      </c>
      <c r="Z38" s="100">
        <f t="shared" si="19"/>
        <v>13135.02901234568</v>
      </c>
      <c r="AA38" s="100">
        <f t="shared" si="20"/>
        <v>7618316.8271604944</v>
      </c>
      <c r="AB38" s="78">
        <f t="shared" si="21"/>
        <v>1526978.0087315692</v>
      </c>
      <c r="AC38" s="102">
        <f t="shared" si="12"/>
        <v>0.20043508866520923</v>
      </c>
      <c r="AD38" s="5"/>
      <c r="AF38" s="7" t="s">
        <v>173</v>
      </c>
      <c r="AG38" s="7">
        <v>27</v>
      </c>
      <c r="AH38" s="7" t="s">
        <v>292</v>
      </c>
      <c r="BG38" s="7">
        <v>28</v>
      </c>
      <c r="DA38" s="7" t="str">
        <f>VLOOKUP(C38,listaBolsa!$D$2:$BA$248,1,0)</f>
        <v>Refrigerio Tipo 1</v>
      </c>
      <c r="DB38" s="7" t="str">
        <f>VLOOKUP(C38,listaBolsa!$D$2:$BA$248,2,0)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C38" s="7" t="str">
        <f>VLOOKUP(C38,listaBolsa!$D$2:$BA$248,10,0)</f>
        <v>INVERSIONES BECORATI E Y O SAS</v>
      </c>
      <c r="DD38" s="7">
        <f>VLOOKUP(C38,listaBolsa!$D$2:$BA$248,14,0)</f>
        <v>11700</v>
      </c>
      <c r="DE38" s="7" t="str">
        <f>VLOOKUP(C38,listaBolsa!$D$2:$BA$248,23,0)</f>
        <v>ENTERPRISE INVESTMENT DEVELOPMENT S.A.S.</v>
      </c>
      <c r="DF38" s="7">
        <f>VLOOKUP(C38,listaBolsa!$D$2:$BA$248,29,0)</f>
        <v>9255.6</v>
      </c>
      <c r="DG38" s="7" t="str">
        <f>VLOOKUP(C38,listaBolsa!$D$2:$BA$248,36,0)</f>
        <v>Estimación de precios con base en el proceso FDLSUBA-LP-013-2025 (140689) – Contrato 1000 – 2025, indexando el incremento de precios en el mercado con base en el Índice de Precios al Consumidor (IPC) para el mes de marzo de 2026, el cual fue de 5,56%.</v>
      </c>
      <c r="DH38" s="7">
        <f>VLOOKUP(C38,listaBolsa!$D$2:$BA$248,40,0)</f>
        <v>12843.518518518518</v>
      </c>
      <c r="DI38" s="7">
        <f>VLOOKUP(C38,listaBolsa!$D$2:$BA$248,48,0)</f>
        <v>0.20043508866520951</v>
      </c>
      <c r="DJ38" s="7" t="b">
        <f t="shared" si="13"/>
        <v>1</v>
      </c>
      <c r="DK38" s="7" t="b">
        <f t="shared" si="13"/>
        <v>1</v>
      </c>
      <c r="DL38" s="7" t="b">
        <f t="shared" si="14"/>
        <v>1</v>
      </c>
      <c r="DM38" s="7" t="b">
        <f t="shared" si="14"/>
        <v>1</v>
      </c>
      <c r="DN38" s="7" t="b">
        <f t="shared" si="15"/>
        <v>1</v>
      </c>
      <c r="DO38" s="7" t="b">
        <f t="shared" si="15"/>
        <v>0</v>
      </c>
      <c r="DP38" s="7" t="b">
        <f t="shared" si="16"/>
        <v>1</v>
      </c>
      <c r="DQ38" s="7" t="b">
        <f t="shared" si="16"/>
        <v>1</v>
      </c>
      <c r="DR38" s="7" t="b">
        <f t="shared" si="17"/>
        <v>0</v>
      </c>
    </row>
    <row r="39" spans="1:122" s="7" customFormat="1" ht="84" customHeight="1">
      <c r="A39" s="75">
        <f t="shared" si="18"/>
        <v>28</v>
      </c>
      <c r="B39" s="198" t="s">
        <v>291</v>
      </c>
      <c r="C39" s="95" t="s">
        <v>189</v>
      </c>
      <c r="D39" s="75" t="s">
        <v>190</v>
      </c>
      <c r="E39" s="111" t="s">
        <v>191</v>
      </c>
      <c r="F39" s="112">
        <v>1</v>
      </c>
      <c r="G39" s="200" t="s">
        <v>192</v>
      </c>
      <c r="H39" s="106" t="s">
        <v>193</v>
      </c>
      <c r="I39" s="107">
        <v>15000</v>
      </c>
      <c r="J39" s="96">
        <f t="shared" si="0"/>
        <v>2850</v>
      </c>
      <c r="K39" s="96">
        <f t="shared" si="1"/>
        <v>17850</v>
      </c>
      <c r="L39" s="96">
        <f t="shared" si="2"/>
        <v>15000</v>
      </c>
      <c r="M39" s="96">
        <f t="shared" si="3"/>
        <v>17850</v>
      </c>
      <c r="N39" s="195" t="s">
        <v>194</v>
      </c>
      <c r="O39" s="109">
        <v>16200</v>
      </c>
      <c r="P39" s="110">
        <f t="shared" si="22"/>
        <v>3078</v>
      </c>
      <c r="Q39" s="110">
        <f t="shared" si="5"/>
        <v>19278</v>
      </c>
      <c r="R39" s="110">
        <f t="shared" si="6"/>
        <v>16200</v>
      </c>
      <c r="S39" s="110">
        <f t="shared" si="7"/>
        <v>19278</v>
      </c>
      <c r="T39" s="97" t="s">
        <v>195</v>
      </c>
      <c r="U39" s="98">
        <v>13319.32773109244</v>
      </c>
      <c r="V39" s="99">
        <f t="shared" si="8"/>
        <v>2530.6722689075636</v>
      </c>
      <c r="W39" s="99">
        <f t="shared" si="9"/>
        <v>15850.000000000004</v>
      </c>
      <c r="X39" s="99">
        <f t="shared" si="10"/>
        <v>13319.32773109244</v>
      </c>
      <c r="Y39" s="99">
        <f t="shared" si="11"/>
        <v>15850.000000000004</v>
      </c>
      <c r="Z39" s="100">
        <f t="shared" si="19"/>
        <v>17659.333333333332</v>
      </c>
      <c r="AA39" s="100">
        <f t="shared" si="20"/>
        <v>17659.333333333332</v>
      </c>
      <c r="AB39" s="78">
        <f t="shared" si="21"/>
        <v>1721.9353452825478</v>
      </c>
      <c r="AC39" s="102">
        <f t="shared" si="12"/>
        <v>9.7508513644298453E-2</v>
      </c>
      <c r="AD39" s="5"/>
      <c r="AF39" s="7" t="s">
        <v>173</v>
      </c>
      <c r="AG39" s="7">
        <v>28</v>
      </c>
      <c r="AH39" s="7" t="s">
        <v>293</v>
      </c>
      <c r="BG39" s="7">
        <v>29</v>
      </c>
      <c r="DA39" s="7" t="e">
        <f>VLOOKUP(C39,listaBolsa!$D$2:$BA$248,1,0)</f>
        <v>#N/A</v>
      </c>
      <c r="DB39" s="7" t="e">
        <f>VLOOKUP(C39,listaBolsa!$D$2:$BA$248,2,0)</f>
        <v>#N/A</v>
      </c>
      <c r="DC39" s="7" t="e">
        <f>VLOOKUP(C39,listaBolsa!$D$2:$BA$248,10,0)</f>
        <v>#N/A</v>
      </c>
      <c r="DD39" s="7" t="e">
        <f>VLOOKUP(C39,listaBolsa!$D$2:$BA$248,14,0)</f>
        <v>#N/A</v>
      </c>
      <c r="DE39" s="7" t="e">
        <f>VLOOKUP(C39,listaBolsa!$D$2:$BA$248,23,0)</f>
        <v>#N/A</v>
      </c>
      <c r="DF39" s="7" t="e">
        <f>VLOOKUP(C39,listaBolsa!$D$2:$BA$248,29,0)</f>
        <v>#N/A</v>
      </c>
      <c r="DG39" s="7" t="e">
        <f>VLOOKUP(C39,listaBolsa!$D$2:$BA$248,36,0)</f>
        <v>#N/A</v>
      </c>
      <c r="DH39" s="7" t="e">
        <f>VLOOKUP(C39,listaBolsa!$D$2:$BA$248,40,0)</f>
        <v>#N/A</v>
      </c>
      <c r="DI39" s="7" t="e">
        <f>VLOOKUP(C39,listaBolsa!$D$2:$BA$248,48,0)</f>
        <v>#N/A</v>
      </c>
      <c r="DJ39" s="7" t="e">
        <f t="shared" si="13"/>
        <v>#N/A</v>
      </c>
      <c r="DK39" s="7" t="e">
        <f t="shared" si="13"/>
        <v>#N/A</v>
      </c>
      <c r="DL39" s="7" t="e">
        <f t="shared" si="14"/>
        <v>#N/A</v>
      </c>
      <c r="DM39" s="7" t="e">
        <f t="shared" si="14"/>
        <v>#N/A</v>
      </c>
      <c r="DN39" s="7" t="e">
        <f t="shared" si="15"/>
        <v>#N/A</v>
      </c>
      <c r="DO39" s="7" t="e">
        <f t="shared" si="15"/>
        <v>#N/A</v>
      </c>
      <c r="DP39" s="7" t="e">
        <f t="shared" si="16"/>
        <v>#N/A</v>
      </c>
      <c r="DQ39" s="7" t="e">
        <f t="shared" si="16"/>
        <v>#N/A</v>
      </c>
      <c r="DR39" s="7" t="e">
        <f t="shared" si="17"/>
        <v>#N/A</v>
      </c>
    </row>
    <row r="40" spans="1:122" s="7" customFormat="1" ht="84" customHeight="1">
      <c r="A40" s="75">
        <f t="shared" si="18"/>
        <v>29</v>
      </c>
      <c r="B40" s="198" t="s">
        <v>291</v>
      </c>
      <c r="C40" s="95" t="s">
        <v>197</v>
      </c>
      <c r="D40" s="75" t="s">
        <v>198</v>
      </c>
      <c r="E40" s="111" t="s">
        <v>191</v>
      </c>
      <c r="F40" s="112">
        <v>1</v>
      </c>
      <c r="G40" s="200" t="s">
        <v>192</v>
      </c>
      <c r="H40" s="106" t="s">
        <v>193</v>
      </c>
      <c r="I40" s="107">
        <v>15000</v>
      </c>
      <c r="J40" s="96">
        <f t="shared" si="0"/>
        <v>2850</v>
      </c>
      <c r="K40" s="96">
        <f t="shared" si="1"/>
        <v>17850</v>
      </c>
      <c r="L40" s="96">
        <f t="shared" si="2"/>
        <v>15000</v>
      </c>
      <c r="M40" s="96">
        <f t="shared" si="3"/>
        <v>17850</v>
      </c>
      <c r="N40" s="195" t="s">
        <v>194</v>
      </c>
      <c r="O40" s="109">
        <v>16200</v>
      </c>
      <c r="P40" s="110">
        <f t="shared" si="22"/>
        <v>3078</v>
      </c>
      <c r="Q40" s="110">
        <f t="shared" si="5"/>
        <v>19278</v>
      </c>
      <c r="R40" s="110">
        <f t="shared" si="6"/>
        <v>16200</v>
      </c>
      <c r="S40" s="110">
        <f t="shared" si="7"/>
        <v>19278</v>
      </c>
      <c r="T40" s="97" t="s">
        <v>195</v>
      </c>
      <c r="U40" s="98">
        <v>15110.9243697479</v>
      </c>
      <c r="V40" s="99">
        <f t="shared" si="8"/>
        <v>2871.0756302521008</v>
      </c>
      <c r="W40" s="99">
        <f t="shared" si="9"/>
        <v>17982</v>
      </c>
      <c r="X40" s="99">
        <f t="shared" si="10"/>
        <v>15110.9243697479</v>
      </c>
      <c r="Y40" s="99">
        <f t="shared" si="11"/>
        <v>17982</v>
      </c>
      <c r="Z40" s="100">
        <f t="shared" si="19"/>
        <v>18370</v>
      </c>
      <c r="AA40" s="100">
        <f t="shared" si="20"/>
        <v>18370</v>
      </c>
      <c r="AB40" s="78">
        <f t="shared" si="21"/>
        <v>789.11596106022341</v>
      </c>
      <c r="AC40" s="102">
        <f t="shared" si="12"/>
        <v>4.2956775234633829E-2</v>
      </c>
      <c r="AD40" s="5"/>
      <c r="AF40" s="7" t="s">
        <v>173</v>
      </c>
      <c r="AG40" s="7">
        <v>29</v>
      </c>
      <c r="AH40" s="7" t="s">
        <v>294</v>
      </c>
      <c r="BG40" s="7">
        <v>30</v>
      </c>
      <c r="DA40" s="7" t="e">
        <f>VLOOKUP(C40,listaBolsa!$D$2:$BA$248,1,0)</f>
        <v>#N/A</v>
      </c>
      <c r="DB40" s="7" t="e">
        <f>VLOOKUP(C40,listaBolsa!$D$2:$BA$248,2,0)</f>
        <v>#N/A</v>
      </c>
      <c r="DC40" s="7" t="e">
        <f>VLOOKUP(C40,listaBolsa!$D$2:$BA$248,10,0)</f>
        <v>#N/A</v>
      </c>
      <c r="DD40" s="7" t="e">
        <f>VLOOKUP(C40,listaBolsa!$D$2:$BA$248,14,0)</f>
        <v>#N/A</v>
      </c>
      <c r="DE40" s="7" t="e">
        <f>VLOOKUP(C40,listaBolsa!$D$2:$BA$248,23,0)</f>
        <v>#N/A</v>
      </c>
      <c r="DF40" s="7" t="e">
        <f>VLOOKUP(C40,listaBolsa!$D$2:$BA$248,29,0)</f>
        <v>#N/A</v>
      </c>
      <c r="DG40" s="7" t="e">
        <f>VLOOKUP(C40,listaBolsa!$D$2:$BA$248,36,0)</f>
        <v>#N/A</v>
      </c>
      <c r="DH40" s="7" t="e">
        <f>VLOOKUP(C40,listaBolsa!$D$2:$BA$248,40,0)</f>
        <v>#N/A</v>
      </c>
      <c r="DI40" s="7" t="e">
        <f>VLOOKUP(C40,listaBolsa!$D$2:$BA$248,48,0)</f>
        <v>#N/A</v>
      </c>
      <c r="DJ40" s="7" t="e">
        <f t="shared" si="13"/>
        <v>#N/A</v>
      </c>
      <c r="DK40" s="7" t="e">
        <f t="shared" si="13"/>
        <v>#N/A</v>
      </c>
      <c r="DL40" s="7" t="e">
        <f t="shared" si="14"/>
        <v>#N/A</v>
      </c>
      <c r="DM40" s="7" t="e">
        <f t="shared" si="14"/>
        <v>#N/A</v>
      </c>
      <c r="DN40" s="7" t="e">
        <f t="shared" si="15"/>
        <v>#N/A</v>
      </c>
      <c r="DO40" s="7" t="e">
        <f t="shared" si="15"/>
        <v>#N/A</v>
      </c>
      <c r="DP40" s="7" t="e">
        <f t="shared" si="16"/>
        <v>#N/A</v>
      </c>
      <c r="DQ40" s="7" t="e">
        <f t="shared" si="16"/>
        <v>#N/A</v>
      </c>
      <c r="DR40" s="7" t="e">
        <f t="shared" si="17"/>
        <v>#N/A</v>
      </c>
    </row>
    <row r="41" spans="1:122" s="7" customFormat="1" ht="84" customHeight="1">
      <c r="A41" s="75">
        <f t="shared" si="18"/>
        <v>30</v>
      </c>
      <c r="B41" s="198" t="s">
        <v>291</v>
      </c>
      <c r="C41" s="95" t="s">
        <v>200</v>
      </c>
      <c r="D41" s="75" t="s">
        <v>201</v>
      </c>
      <c r="E41" s="111" t="s">
        <v>191</v>
      </c>
      <c r="F41" s="112">
        <v>1</v>
      </c>
      <c r="G41" s="200" t="s">
        <v>192</v>
      </c>
      <c r="H41" s="106" t="s">
        <v>193</v>
      </c>
      <c r="I41" s="107">
        <v>15000</v>
      </c>
      <c r="J41" s="96">
        <f t="shared" si="0"/>
        <v>2850</v>
      </c>
      <c r="K41" s="96">
        <f t="shared" si="1"/>
        <v>17850</v>
      </c>
      <c r="L41" s="96">
        <f t="shared" si="2"/>
        <v>15000</v>
      </c>
      <c r="M41" s="96">
        <f t="shared" si="3"/>
        <v>17850</v>
      </c>
      <c r="N41" s="195" t="s">
        <v>194</v>
      </c>
      <c r="O41" s="109">
        <v>16200</v>
      </c>
      <c r="P41" s="110">
        <f t="shared" si="22"/>
        <v>3078</v>
      </c>
      <c r="Q41" s="110">
        <f t="shared" si="5"/>
        <v>19278</v>
      </c>
      <c r="R41" s="110">
        <f t="shared" si="6"/>
        <v>16200</v>
      </c>
      <c r="S41" s="110">
        <f t="shared" si="7"/>
        <v>19278</v>
      </c>
      <c r="T41" s="97" t="s">
        <v>195</v>
      </c>
      <c r="U41" s="98">
        <v>15110.9243697479</v>
      </c>
      <c r="V41" s="99">
        <f t="shared" si="8"/>
        <v>2871.0756302521008</v>
      </c>
      <c r="W41" s="99">
        <f t="shared" si="9"/>
        <v>17982</v>
      </c>
      <c r="X41" s="99">
        <f t="shared" si="10"/>
        <v>15110.9243697479</v>
      </c>
      <c r="Y41" s="99">
        <f t="shared" si="11"/>
        <v>17982</v>
      </c>
      <c r="Z41" s="100">
        <f t="shared" si="19"/>
        <v>18370</v>
      </c>
      <c r="AA41" s="100">
        <f t="shared" si="20"/>
        <v>18370</v>
      </c>
      <c r="AB41" s="78">
        <f t="shared" si="21"/>
        <v>789.11596106022341</v>
      </c>
      <c r="AC41" s="102">
        <f t="shared" si="12"/>
        <v>4.2956775234633829E-2</v>
      </c>
      <c r="AD41" s="5"/>
      <c r="AF41" s="7" t="s">
        <v>173</v>
      </c>
      <c r="AG41" s="7">
        <v>30</v>
      </c>
      <c r="AH41" s="7" t="s">
        <v>295</v>
      </c>
      <c r="BG41" s="7">
        <v>31</v>
      </c>
      <c r="DA41" s="7" t="e">
        <f>VLOOKUP(C41,listaBolsa!$D$2:$BA$248,1,0)</f>
        <v>#N/A</v>
      </c>
      <c r="DB41" s="7" t="e">
        <f>VLOOKUP(C41,listaBolsa!$D$2:$BA$248,2,0)</f>
        <v>#N/A</v>
      </c>
      <c r="DC41" s="7" t="e">
        <f>VLOOKUP(C41,listaBolsa!$D$2:$BA$248,10,0)</f>
        <v>#N/A</v>
      </c>
      <c r="DD41" s="7" t="e">
        <f>VLOOKUP(C41,listaBolsa!$D$2:$BA$248,14,0)</f>
        <v>#N/A</v>
      </c>
      <c r="DE41" s="7" t="e">
        <f>VLOOKUP(C41,listaBolsa!$D$2:$BA$248,23,0)</f>
        <v>#N/A</v>
      </c>
      <c r="DF41" s="7" t="e">
        <f>VLOOKUP(C41,listaBolsa!$D$2:$BA$248,29,0)</f>
        <v>#N/A</v>
      </c>
      <c r="DG41" s="7" t="e">
        <f>VLOOKUP(C41,listaBolsa!$D$2:$BA$248,36,0)</f>
        <v>#N/A</v>
      </c>
      <c r="DH41" s="7" t="e">
        <f>VLOOKUP(C41,listaBolsa!$D$2:$BA$248,40,0)</f>
        <v>#N/A</v>
      </c>
      <c r="DI41" s="7" t="e">
        <f>VLOOKUP(C41,listaBolsa!$D$2:$BA$248,48,0)</f>
        <v>#N/A</v>
      </c>
      <c r="DJ41" s="7" t="e">
        <f t="shared" si="13"/>
        <v>#N/A</v>
      </c>
      <c r="DK41" s="7" t="e">
        <f t="shared" si="13"/>
        <v>#N/A</v>
      </c>
      <c r="DL41" s="7" t="e">
        <f t="shared" si="14"/>
        <v>#N/A</v>
      </c>
      <c r="DM41" s="7" t="e">
        <f t="shared" si="14"/>
        <v>#N/A</v>
      </c>
      <c r="DN41" s="7" t="e">
        <f t="shared" si="15"/>
        <v>#N/A</v>
      </c>
      <c r="DO41" s="7" t="e">
        <f t="shared" si="15"/>
        <v>#N/A</v>
      </c>
      <c r="DP41" s="7" t="e">
        <f t="shared" si="16"/>
        <v>#N/A</v>
      </c>
      <c r="DQ41" s="7" t="e">
        <f t="shared" si="16"/>
        <v>#N/A</v>
      </c>
      <c r="DR41" s="7" t="e">
        <f t="shared" si="17"/>
        <v>#N/A</v>
      </c>
    </row>
    <row r="42" spans="1:122" s="7" customFormat="1" ht="84" customHeight="1">
      <c r="A42" s="75">
        <f t="shared" si="18"/>
        <v>31</v>
      </c>
      <c r="B42" s="198" t="s">
        <v>291</v>
      </c>
      <c r="C42" s="95" t="s">
        <v>214</v>
      </c>
      <c r="D42" s="75" t="str">
        <f>IF(C42="","",VLOOKUP(C42,listaBolsa!$D$2:$H$276,2,0))</f>
        <v>100% en algodón de 185 gr. cuello redondo y/o en v, de diferentes tallas, marcadas en screen 4 tintas. fabricación y materiales nacionales</v>
      </c>
      <c r="E42" s="111" t="str">
        <f>IF(C42="","",VLOOKUP(C42,listaBolsa!$D$2:$H$276,3,0))</f>
        <v>Unidad</v>
      </c>
      <c r="F42" s="112">
        <v>50</v>
      </c>
      <c r="G42" s="200" t="str">
        <f>IF(C42="","",VLOOKUP(C42,listaBolsa!$D$2:$H$276,5,0))</f>
        <v>Compra</v>
      </c>
      <c r="H42" s="106" t="str">
        <f>IF(C42="","",VLOOKUP(C42,listaBolsa!$D$2:$W$276,10,0))</f>
        <v>MARIA CONFLICTO</v>
      </c>
      <c r="I42" s="107">
        <f>IF(C42="","",VLOOKUP(C42,listaBolsa!$D$2:$W$276,14,0))</f>
        <v>22000</v>
      </c>
      <c r="J42" s="96">
        <f t="shared" si="0"/>
        <v>4180</v>
      </c>
      <c r="K42" s="96">
        <f t="shared" si="1"/>
        <v>26180</v>
      </c>
      <c r="L42" s="96">
        <f t="shared" si="2"/>
        <v>1100000</v>
      </c>
      <c r="M42" s="96">
        <f t="shared" si="3"/>
        <v>1309000</v>
      </c>
      <c r="N42" s="108" t="str">
        <f>IF(C42="","",VLOOKUP(C42,listaBolsa!$D$2:$AZ$276,23,0))</f>
        <v>Angie Pachon (personalizado INK)</v>
      </c>
      <c r="O42" s="109">
        <f>IF(C42="","",VLOOKUP(C42,listaBolsa!$D$2:$AZ$276,27,0))</f>
        <v>28000</v>
      </c>
      <c r="P42" s="110">
        <f t="shared" si="22"/>
        <v>5320</v>
      </c>
      <c r="Q42" s="110">
        <f t="shared" si="5"/>
        <v>33320</v>
      </c>
      <c r="R42" s="110">
        <f t="shared" si="6"/>
        <v>1400000</v>
      </c>
      <c r="S42" s="110">
        <f t="shared" si="7"/>
        <v>1666000</v>
      </c>
      <c r="T42" s="97" t="str">
        <f>IF(C42="","",VLOOKUP(C42,listaBolsa!$D$2:$BB$276,36,0))</f>
        <v>INVENTIVA</v>
      </c>
      <c r="U42" s="98">
        <f>IF(C42="","",VLOOKUP(C42,listaBolsa!$D$2:$BB$276,40,0))</f>
        <v>25000</v>
      </c>
      <c r="V42" s="99">
        <f t="shared" si="8"/>
        <v>4750</v>
      </c>
      <c r="W42" s="99">
        <f t="shared" si="9"/>
        <v>29750</v>
      </c>
      <c r="X42" s="99">
        <f t="shared" si="10"/>
        <v>1250000</v>
      </c>
      <c r="Y42" s="99">
        <f t="shared" si="11"/>
        <v>1487500</v>
      </c>
      <c r="Z42" s="100">
        <f t="shared" si="19"/>
        <v>29750</v>
      </c>
      <c r="AA42" s="100">
        <f t="shared" si="20"/>
        <v>1487500</v>
      </c>
      <c r="AB42" s="78">
        <f t="shared" si="21"/>
        <v>178500</v>
      </c>
      <c r="AC42" s="102">
        <f t="shared" si="12"/>
        <v>0.12</v>
      </c>
      <c r="AD42" s="5"/>
      <c r="AF42" s="7" t="s">
        <v>173</v>
      </c>
      <c r="AG42" s="7">
        <v>31</v>
      </c>
      <c r="AH42" s="7" t="s">
        <v>296</v>
      </c>
      <c r="BG42" s="7">
        <v>32</v>
      </c>
      <c r="DA42" s="7" t="str">
        <f>VLOOKUP(C42,listaBolsa!$D$2:$BA$248,1,0)</f>
        <v>Camiseta t-shirt o Camiseta blanca</v>
      </c>
      <c r="DB42" s="7" t="str">
        <f>VLOOKUP(C42,listaBolsa!$D$2:$BA$248,2,0)</f>
        <v>100% en algodón de 185 gr. cuello redondo y/o en v, de diferentes tallas, marcadas en screen 4 tintas. fabricación y materiales nacionales</v>
      </c>
      <c r="DC42" s="7" t="str">
        <f>VLOOKUP(C42,listaBolsa!$D$2:$BA$248,10,0)</f>
        <v>MARIA CONFLICTO</v>
      </c>
      <c r="DD42" s="7">
        <f>VLOOKUP(C42,listaBolsa!$D$2:$BA$248,14,0)</f>
        <v>22000</v>
      </c>
      <c r="DE42" s="7" t="str">
        <f>VLOOKUP(C42,listaBolsa!$D$2:$BA$248,23,0)</f>
        <v>Angie Pachon (personalizado INK)</v>
      </c>
      <c r="DF42" s="7">
        <f>VLOOKUP(C42,listaBolsa!$D$2:$BA$248,29,0)</f>
        <v>28000</v>
      </c>
      <c r="DG42" s="7" t="str">
        <f>VLOOKUP(C42,listaBolsa!$D$2:$BA$248,36,0)</f>
        <v>INVENTIVA</v>
      </c>
      <c r="DH42" s="7">
        <f>VLOOKUP(C42,listaBolsa!$D$2:$BA$248,40,0)</f>
        <v>25000</v>
      </c>
      <c r="DI42" s="7">
        <f>VLOOKUP(C42,listaBolsa!$D$2:$BA$248,48,0)</f>
        <v>0.15289966643582714</v>
      </c>
      <c r="DJ42" s="7" t="b">
        <f t="shared" si="13"/>
        <v>1</v>
      </c>
      <c r="DK42" s="7" t="b">
        <f t="shared" si="13"/>
        <v>1</v>
      </c>
      <c r="DL42" s="7" t="b">
        <f t="shared" si="14"/>
        <v>1</v>
      </c>
      <c r="DM42" s="7" t="b">
        <f t="shared" si="14"/>
        <v>1</v>
      </c>
      <c r="DN42" s="7" t="b">
        <f t="shared" si="15"/>
        <v>1</v>
      </c>
      <c r="DO42" s="7" t="b">
        <f t="shared" si="15"/>
        <v>1</v>
      </c>
      <c r="DP42" s="7" t="b">
        <f t="shared" si="16"/>
        <v>1</v>
      </c>
      <c r="DQ42" s="7" t="b">
        <f t="shared" si="16"/>
        <v>1</v>
      </c>
      <c r="DR42" s="7" t="b">
        <f t="shared" si="17"/>
        <v>0</v>
      </c>
    </row>
    <row r="43" spans="1:122" s="7" customFormat="1" ht="409.5" customHeight="1">
      <c r="A43" s="75">
        <f t="shared" si="18"/>
        <v>32</v>
      </c>
      <c r="B43" s="198" t="s">
        <v>291</v>
      </c>
      <c r="C43" s="95" t="s">
        <v>203</v>
      </c>
      <c r="D43" s="75" t="str">
        <f>IF(C43="","",VLOOKUP(C43,listaBolsa!$D$2:$H$276,2,0))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43" s="111" t="str">
        <f>IF(C43="","",VLOOKUP(C43,listaBolsa!$D$2:$H$276,3,0))</f>
        <v>Servicio</v>
      </c>
      <c r="F43" s="112">
        <v>8</v>
      </c>
      <c r="G43" s="200" t="str">
        <f>IF(C43="","",VLOOKUP(C43,listaBolsa!$D$2:$H$276,5,0))</f>
        <v>Alquiler</v>
      </c>
      <c r="H43" s="106" t="str">
        <f>IF(C43="","",VLOOKUP(C43,listaBolsa!$D$2:$W$276,10,0))</f>
        <v>RUTRASCOL</v>
      </c>
      <c r="I43" s="107">
        <f>IF(C43="","",VLOOKUP(C43,listaBolsa!$D$2:$W$276,14,0))</f>
        <v>850000</v>
      </c>
      <c r="J43" s="96">
        <f t="shared" si="0"/>
        <v>161500</v>
      </c>
      <c r="K43" s="96">
        <f t="shared" si="1"/>
        <v>1011500</v>
      </c>
      <c r="L43" s="96">
        <f t="shared" si="2"/>
        <v>6800000</v>
      </c>
      <c r="M43" s="96">
        <f t="shared" si="3"/>
        <v>8092000</v>
      </c>
      <c r="N43" s="108" t="str">
        <f>IF(C43="","",VLOOKUP(C43,listaBolsa!$D$2:$AZ$276,23,0))</f>
        <v>Destino Express</v>
      </c>
      <c r="O43" s="109">
        <f>IF(C43="","",VLOOKUP(C43,listaBolsa!$D$2:$AZ$276,27,0))</f>
        <v>790000</v>
      </c>
      <c r="P43" s="110">
        <f t="shared" si="22"/>
        <v>150100</v>
      </c>
      <c r="Q43" s="110">
        <f t="shared" si="5"/>
        <v>940100</v>
      </c>
      <c r="R43" s="110">
        <f t="shared" si="6"/>
        <v>6320000</v>
      </c>
      <c r="S43" s="110">
        <f t="shared" si="7"/>
        <v>7520800</v>
      </c>
      <c r="T43" s="97">
        <f>IF(C43="","",VLOOKUP(C43,listaBolsa!$D$2:$BB$276,36,0))</f>
        <v>0</v>
      </c>
      <c r="U43" s="98">
        <f>IF(C43="","",VLOOKUP(C43,listaBolsa!$D$2:$BB$276,40,0))</f>
        <v>0</v>
      </c>
      <c r="V43" s="99">
        <f t="shared" si="8"/>
        <v>0</v>
      </c>
      <c r="W43" s="99">
        <f t="shared" si="9"/>
        <v>0</v>
      </c>
      <c r="X43" s="99">
        <f t="shared" si="10"/>
        <v>0</v>
      </c>
      <c r="Y43" s="99">
        <f t="shared" si="11"/>
        <v>0</v>
      </c>
      <c r="Z43" s="100">
        <f>IF(A43="","",AVERAGE(K43,Q43,))</f>
        <v>650533.33333333337</v>
      </c>
      <c r="AA43" s="100">
        <f>IF(B43="","",Z43*F43)</f>
        <v>5204266.666666667</v>
      </c>
      <c r="AB43" s="78">
        <f>IF(B43="","",STDEV(M43,S43))</f>
        <v>403899.39341375593</v>
      </c>
      <c r="AC43" s="102">
        <f t="shared" si="12"/>
        <v>7.7609280861938135E-2</v>
      </c>
      <c r="AD43" s="5"/>
      <c r="AF43" s="7" t="s">
        <v>173</v>
      </c>
      <c r="AG43" s="7">
        <v>32</v>
      </c>
      <c r="AH43" s="7" t="s">
        <v>297</v>
      </c>
      <c r="BG43" s="7">
        <v>33</v>
      </c>
      <c r="DA43" s="7" t="str">
        <f>VLOOKUP(C43,listaBolsa!$D$2:$BA$248,1,0)</f>
        <v>Servicio de transporte zona Rural de la localidad de Suba para  40 personas por jornada</v>
      </c>
      <c r="DB43" s="7" t="str">
        <f>VLOOKUP(C43,listaBolsa!$D$2:$BA$248,2,0)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C43" s="7" t="str">
        <f>VLOOKUP(C43,listaBolsa!$D$2:$BA$248,10,0)</f>
        <v>RUTRASCOL</v>
      </c>
      <c r="DD43" s="7">
        <f>VLOOKUP(C43,listaBolsa!$D$2:$BA$248,14,0)</f>
        <v>850000</v>
      </c>
      <c r="DE43" s="7" t="str">
        <f>VLOOKUP(C43,listaBolsa!$D$2:$BA$248,23,0)</f>
        <v>Destino Express</v>
      </c>
      <c r="DF43" s="7">
        <f>VLOOKUP(C43,listaBolsa!$D$2:$BA$248,29,0)</f>
        <v>790000</v>
      </c>
      <c r="DG43" s="7">
        <f>VLOOKUP(C43,listaBolsa!$D$2:$BA$248,36,0)</f>
        <v>0</v>
      </c>
      <c r="DH43" s="7">
        <f>VLOOKUP(C43,listaBolsa!$D$2:$BA$248,40,0)</f>
        <v>0</v>
      </c>
      <c r="DI43" s="7">
        <f>VLOOKUP(C43,listaBolsa!$D$2:$BA$248,48,0)</f>
        <v>5.1739520574625428E-2</v>
      </c>
      <c r="DJ43" s="7" t="b">
        <f t="shared" si="13"/>
        <v>1</v>
      </c>
      <c r="DK43" s="7" t="b">
        <f t="shared" si="13"/>
        <v>1</v>
      </c>
      <c r="DL43" s="7" t="b">
        <f t="shared" si="14"/>
        <v>1</v>
      </c>
      <c r="DM43" s="7" t="b">
        <f t="shared" si="14"/>
        <v>1</v>
      </c>
      <c r="DN43" s="7" t="b">
        <f t="shared" si="15"/>
        <v>1</v>
      </c>
      <c r="DO43" s="7" t="b">
        <f t="shared" si="15"/>
        <v>1</v>
      </c>
      <c r="DP43" s="7" t="b">
        <f t="shared" si="16"/>
        <v>1</v>
      </c>
      <c r="DQ43" s="7" t="b">
        <f t="shared" si="16"/>
        <v>1</v>
      </c>
      <c r="DR43" s="7" t="b">
        <f t="shared" si="17"/>
        <v>0</v>
      </c>
    </row>
    <row r="44" spans="1:122" s="7" customFormat="1" ht="409.5" customHeight="1">
      <c r="A44" s="75">
        <f t="shared" si="18"/>
        <v>33</v>
      </c>
      <c r="B44" s="198" t="s">
        <v>291</v>
      </c>
      <c r="C44" s="95" t="s">
        <v>205</v>
      </c>
      <c r="D44" s="95" t="str">
        <f>IF(C44="","",VLOOKUP(C44,listaBolsa!$D$2:$H$276,2,0))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44" s="111" t="str">
        <f>IF(C44="","",VLOOKUP(C44,listaBolsa!$D$2:$H$276,3,0))</f>
        <v>Servicio</v>
      </c>
      <c r="F44" s="112">
        <v>8</v>
      </c>
      <c r="G44" s="200" t="str">
        <f>IF(C44="","",VLOOKUP(C44,listaBolsa!$D$2:$H$276,5,0))</f>
        <v>Alquiler</v>
      </c>
      <c r="H44" s="106" t="str">
        <f>IF(C44="","",VLOOKUP(C44,listaBolsa!$D$2:$W$276,10,0))</f>
        <v>Destino Express</v>
      </c>
      <c r="I44" s="107">
        <f>IF(C44="","",VLOOKUP(C44,listaBolsa!$D$2:$W$276,14,0))</f>
        <v>385000</v>
      </c>
      <c r="J44" s="96">
        <f t="shared" si="0"/>
        <v>73150</v>
      </c>
      <c r="K44" s="96">
        <f t="shared" si="1"/>
        <v>458150</v>
      </c>
      <c r="L44" s="96">
        <f t="shared" si="2"/>
        <v>3080000</v>
      </c>
      <c r="M44" s="96">
        <f t="shared" si="3"/>
        <v>3665200</v>
      </c>
      <c r="N44" s="108" t="str">
        <f>IF(C44="","",VLOOKUP(C44,listaBolsa!$D$2:$AZ$276,23,0))</f>
        <v>RENETUR</v>
      </c>
      <c r="O44" s="109">
        <f>IF(C44="","",VLOOKUP(C44,listaBolsa!$D$2:$AZ$276,27,0))</f>
        <v>350000</v>
      </c>
      <c r="P44" s="110">
        <f t="shared" si="22"/>
        <v>66500</v>
      </c>
      <c r="Q44" s="110">
        <f t="shared" si="5"/>
        <v>416500</v>
      </c>
      <c r="R44" s="110">
        <f t="shared" si="6"/>
        <v>2800000</v>
      </c>
      <c r="S44" s="110">
        <f t="shared" si="7"/>
        <v>3332000</v>
      </c>
      <c r="T44" s="97" t="str">
        <f>IF(C44="","",VLOOKUP(C44,listaBolsa!$D$2:$BB$276,36,0))</f>
        <v>RUTRASCOL Transporte_Varios</v>
      </c>
      <c r="U44" s="98">
        <f>IF(C44="","",VLOOKUP(C44,listaBolsa!$D$2:$BB$276,40,0))</f>
        <v>285000</v>
      </c>
      <c r="V44" s="99">
        <f t="shared" si="8"/>
        <v>54150</v>
      </c>
      <c r="W44" s="99">
        <f t="shared" si="9"/>
        <v>339150</v>
      </c>
      <c r="X44" s="99">
        <f t="shared" si="10"/>
        <v>2280000</v>
      </c>
      <c r="Y44" s="99">
        <f t="shared" si="11"/>
        <v>2713200</v>
      </c>
      <c r="Z44" s="100">
        <f t="shared" si="19"/>
        <v>404600</v>
      </c>
      <c r="AA44" s="100">
        <f t="shared" si="20"/>
        <v>3236800</v>
      </c>
      <c r="AB44" s="78">
        <f t="shared" si="21"/>
        <v>483087.23849838966</v>
      </c>
      <c r="AC44" s="102">
        <f t="shared" si="12"/>
        <v>0.14924840536900325</v>
      </c>
      <c r="AD44" s="5"/>
      <c r="AF44" s="7" t="s">
        <v>173</v>
      </c>
      <c r="AG44" s="7">
        <v>33</v>
      </c>
      <c r="AH44" s="7" t="s">
        <v>298</v>
      </c>
      <c r="BG44" s="7">
        <v>34</v>
      </c>
      <c r="DA44" s="7" t="str">
        <f>VLOOKUP(C44,listaBolsa!$D$2:$BA$248,1,0)</f>
        <v>Servicio de transporte zona Rural de la localidad de Suba para  10 personas por trayecto</v>
      </c>
      <c r="DB44" s="7" t="str">
        <f>VLOOKUP(C44,listaBolsa!$D$2:$BA$248,2,0)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C44" s="7" t="str">
        <f>VLOOKUP(C44,listaBolsa!$D$2:$BA$248,10,0)</f>
        <v>Destino Express</v>
      </c>
      <c r="DD44" s="7">
        <f>VLOOKUP(C44,listaBolsa!$D$2:$BA$248,14,0)</f>
        <v>385000</v>
      </c>
      <c r="DE44" s="7" t="str">
        <f>VLOOKUP(C44,listaBolsa!$D$2:$BA$248,23,0)</f>
        <v>RENETUR</v>
      </c>
      <c r="DF44" s="7">
        <f>VLOOKUP(C44,listaBolsa!$D$2:$BA$248,29,0)</f>
        <v>350000</v>
      </c>
      <c r="DG44" s="7" t="str">
        <f>VLOOKUP(C44,listaBolsa!$D$2:$BA$248,36,0)</f>
        <v>RUTRASCOL Transporte_Varios</v>
      </c>
      <c r="DH44" s="7">
        <f>VLOOKUP(C44,listaBolsa!$D$2:$BA$248,40,0)</f>
        <v>285000</v>
      </c>
      <c r="DI44" s="7">
        <f>VLOOKUP(C44,listaBolsa!$D$2:$BA$248,48,0)</f>
        <v>0.14924840536900322</v>
      </c>
      <c r="DJ44" s="7" t="b">
        <f t="shared" ref="DJ44:DK62" si="23">DA44=C44</f>
        <v>1</v>
      </c>
      <c r="DK44" s="7" t="b">
        <f t="shared" si="23"/>
        <v>1</v>
      </c>
      <c r="DL44" s="7" t="b">
        <f t="shared" si="14"/>
        <v>1</v>
      </c>
      <c r="DM44" s="7" t="b">
        <f t="shared" si="14"/>
        <v>1</v>
      </c>
      <c r="DN44" s="7" t="b">
        <f t="shared" si="15"/>
        <v>1</v>
      </c>
      <c r="DO44" s="7" t="b">
        <f t="shared" si="15"/>
        <v>1</v>
      </c>
      <c r="DP44" s="7" t="b">
        <f t="shared" si="16"/>
        <v>1</v>
      </c>
      <c r="DQ44" s="7" t="b">
        <f t="shared" si="16"/>
        <v>1</v>
      </c>
      <c r="DR44" s="7" t="b">
        <f t="shared" si="17"/>
        <v>1</v>
      </c>
    </row>
    <row r="45" spans="1:122" s="7" customFormat="1" ht="210" customHeight="1">
      <c r="A45" s="75">
        <f t="shared" si="18"/>
        <v>34</v>
      </c>
      <c r="B45" s="198" t="s">
        <v>291</v>
      </c>
      <c r="C45" s="200" t="s">
        <v>299</v>
      </c>
      <c r="D45" s="95" t="str">
        <f>IF(C45="","",VLOOKUP(C45,listaBolsa!$D$2:$H$276,2,0))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E45" s="111" t="str">
        <f>IF(C45="","",VLOOKUP(C45,listaBolsa!$D$2:$H$276,3,0))</f>
        <v>Unidad</v>
      </c>
      <c r="F45" s="112">
        <v>9</v>
      </c>
      <c r="G45" s="200" t="str">
        <f>IF(C44="","",VLOOKUP(C44,listaBolsa!$D$2:$H$276,5,0))</f>
        <v>Alquiler</v>
      </c>
      <c r="H45" s="106" t="str">
        <f>IF(C45="","",VLOOKUP(C45,listaBolsa!$D$2:$W$276,10,0))</f>
        <v>D&amp;R PRODUCCIONES SAS</v>
      </c>
      <c r="I45" s="107">
        <f>IF(C45="","",VLOOKUP(C45,listaBolsa!$D$2:$W$276,14,0))</f>
        <v>3150000</v>
      </c>
      <c r="J45" s="96">
        <f t="shared" si="0"/>
        <v>598500</v>
      </c>
      <c r="K45" s="96">
        <f t="shared" si="1"/>
        <v>3748500</v>
      </c>
      <c r="L45" s="96">
        <f t="shared" si="2"/>
        <v>28350000</v>
      </c>
      <c r="M45" s="96">
        <f t="shared" si="3"/>
        <v>33736500</v>
      </c>
      <c r="N45" s="108" t="str">
        <f>IF(C45="","",VLOOKUP(C45,listaBolsa!$D$2:$AZ$276,23,0))</f>
        <v>EFECTO MASIVO</v>
      </c>
      <c r="O45" s="109">
        <f>IF(C45="","",VLOOKUP(C45,listaBolsa!$D$2:$AZ$276,27,0))</f>
        <v>3200000</v>
      </c>
      <c r="P45" s="110">
        <f t="shared" si="22"/>
        <v>608000</v>
      </c>
      <c r="Q45" s="110">
        <f t="shared" si="5"/>
        <v>3808000</v>
      </c>
      <c r="R45" s="110">
        <f t="shared" si="6"/>
        <v>28800000</v>
      </c>
      <c r="S45" s="110">
        <f t="shared" si="7"/>
        <v>34272000</v>
      </c>
      <c r="T45" s="97" t="str">
        <f>IF(C45="","",VLOOKUP(C45,listaBolsa!$D$2:$BB$276,36,0))</f>
        <v>AMCI INGENIERIAS SAS</v>
      </c>
      <c r="U45" s="98">
        <f>IF(C45="","",VLOOKUP(C45,listaBolsa!$D$2:$BB$276,40,0))</f>
        <v>2865546.22</v>
      </c>
      <c r="V45" s="99">
        <f t="shared" si="8"/>
        <v>544453.7818</v>
      </c>
      <c r="W45" s="99">
        <f t="shared" si="9"/>
        <v>3410000.0018000002</v>
      </c>
      <c r="X45" s="99">
        <f t="shared" si="10"/>
        <v>25789915.98</v>
      </c>
      <c r="Y45" s="99">
        <f t="shared" si="11"/>
        <v>30690000.016200002</v>
      </c>
      <c r="Z45" s="100">
        <f t="shared" si="19"/>
        <v>3655500.0006000004</v>
      </c>
      <c r="AA45" s="100">
        <f>IF(B45="","",Z45*F45)</f>
        <v>32899500.005400002</v>
      </c>
      <c r="AB45" s="78">
        <f t="shared" si="21"/>
        <v>1932125.1807805039</v>
      </c>
      <c r="AC45" s="102">
        <f t="shared" si="12"/>
        <v>5.8728101656966583E-2</v>
      </c>
      <c r="AD45" s="5"/>
      <c r="AF45" s="7" t="s">
        <v>173</v>
      </c>
      <c r="AG45" s="7">
        <v>34</v>
      </c>
      <c r="AH45" s="7" t="s">
        <v>300</v>
      </c>
      <c r="BG45" s="7">
        <v>35</v>
      </c>
      <c r="DA45" s="7" t="str">
        <f>VLOOKUP(C45,listaBolsa!$D$2:$BA$248,1,0)</f>
        <v>Auditorio para 50 personas media jornada</v>
      </c>
      <c r="DB45" s="7" t="str">
        <f>VLOOKUP(C45,listaBolsa!$D$2:$BA$248,2,0)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C45" s="7" t="str">
        <f>VLOOKUP(C45,listaBolsa!$D$2:$BA$248,10,0)</f>
        <v>D&amp;R PRODUCCIONES SAS</v>
      </c>
      <c r="DD45" s="7">
        <f>VLOOKUP(C45,listaBolsa!$D$2:$BA$248,14,0)</f>
        <v>3150000</v>
      </c>
      <c r="DE45" s="7" t="str">
        <f>VLOOKUP(C45,listaBolsa!$D$2:$BA$248,23,0)</f>
        <v>EFECTO MASIVO</v>
      </c>
      <c r="DF45" s="7">
        <f>VLOOKUP(C45,listaBolsa!$D$2:$BA$248,29,0)</f>
        <v>3808000</v>
      </c>
      <c r="DG45" s="7" t="str">
        <f>VLOOKUP(C45,listaBolsa!$D$2:$BA$248,36,0)</f>
        <v>AMCI INGENIERIAS SAS</v>
      </c>
      <c r="DH45" s="7">
        <f>VLOOKUP(C45,listaBolsa!$D$2:$BA$248,40,0)</f>
        <v>2865546.22</v>
      </c>
      <c r="DI45" s="7">
        <f>VLOOKUP(C45,listaBolsa!$D$2:$BA$248,48,0)</f>
        <v>5.872810165696659E-2</v>
      </c>
      <c r="DJ45" s="7" t="b">
        <f t="shared" si="23"/>
        <v>1</v>
      </c>
      <c r="DK45" s="7" t="b">
        <f t="shared" si="23"/>
        <v>1</v>
      </c>
      <c r="DL45" s="7" t="b">
        <f t="shared" si="14"/>
        <v>1</v>
      </c>
      <c r="DM45" s="7" t="b">
        <f t="shared" si="14"/>
        <v>1</v>
      </c>
      <c r="DN45" s="7" t="b">
        <f t="shared" si="15"/>
        <v>1</v>
      </c>
      <c r="DO45" s="7" t="b">
        <f t="shared" si="15"/>
        <v>0</v>
      </c>
      <c r="DP45" s="7" t="b">
        <f t="shared" si="16"/>
        <v>1</v>
      </c>
      <c r="DQ45" s="7" t="b">
        <f t="shared" si="16"/>
        <v>1</v>
      </c>
      <c r="DR45" s="7" t="b">
        <f t="shared" si="17"/>
        <v>1</v>
      </c>
    </row>
    <row r="46" spans="1:122" s="7" customFormat="1" ht="348" customHeight="1">
      <c r="A46" s="75">
        <f t="shared" si="18"/>
        <v>35</v>
      </c>
      <c r="B46" s="198" t="s">
        <v>291</v>
      </c>
      <c r="C46" s="95" t="s">
        <v>301</v>
      </c>
      <c r="D46" s="95" t="str">
        <f>IF(C46="","",VLOOKUP(C46,listaBolsa!$D$2:$H$276,2,0))</f>
        <v>CARPA PAGODA DE 4X4 CON LATERALES  INCLUYE INSTALACIÓN, TRASPORTE Y ENTREGA EN EL LUGAR REQUERIDO, MONTAJE Y DESMONTAJE DE LA MISMA (JORNADA POR EVENTO O DÍA)</v>
      </c>
      <c r="E46" s="111" t="str">
        <f>IF(C46="","",VLOOKUP(C46,listaBolsa!$D$2:$H$276,3,0))</f>
        <v>SERVICIO</v>
      </c>
      <c r="F46" s="210">
        <v>20</v>
      </c>
      <c r="G46" s="200" t="str">
        <f>IF(C45="","",VLOOKUP(C45,listaBolsa!$D$2:$H$276,5,0))</f>
        <v>Alquiler</v>
      </c>
      <c r="H46" s="106" t="str">
        <f>IF(C46="","",VLOOKUP(C46,listaBolsa!$D$2:$W$276,10,0))</f>
        <v>OPERADOR LOGÍSTICO</v>
      </c>
      <c r="I46" s="107" t="str">
        <f>IF(C46="","",VLOOKUP(C46,listaBolsa!$D$2:$W$276,14,0))</f>
        <v> </v>
      </c>
      <c r="J46" s="96" t="e">
        <f t="shared" si="0"/>
        <v>#VALUE!</v>
      </c>
      <c r="K46" s="96" t="e">
        <f t="shared" si="1"/>
        <v>#VALUE!</v>
      </c>
      <c r="L46" s="96" t="e">
        <f t="shared" si="2"/>
        <v>#VALUE!</v>
      </c>
      <c r="M46" s="96" t="e">
        <f t="shared" si="3"/>
        <v>#VALUE!</v>
      </c>
      <c r="N46" s="108" t="str">
        <f>IF(C46="","",VLOOKUP(C46,listaBolsa!$D$2:$AZ$276,23,0))</f>
        <v>Estimación de precios con base en el proceso FDLSUBA-LP-013-2025 (140689) – Contrato 1000 – 2025, indexando el incremento de precios en el mercado con base en el Índice de Precios al Consumidor (IPC) para el mes de marzo de 2026, el cual fue de 5,56%.</v>
      </c>
      <c r="O46" s="109" t="str">
        <f>IF(C46="","",VLOOKUP(C46,listaBolsa!$D$2:$AZ$276,27,0))</f>
        <v>OPERADOR LOGÍSTICO</v>
      </c>
      <c r="P46" s="110" t="e">
        <f t="shared" si="22"/>
        <v>#VALUE!</v>
      </c>
      <c r="Q46" s="110" t="e">
        <f t="shared" si="5"/>
        <v>#VALUE!</v>
      </c>
      <c r="R46" s="110" t="e">
        <f t="shared" si="6"/>
        <v>#VALUE!</v>
      </c>
      <c r="S46" s="110" t="e">
        <f t="shared" si="7"/>
        <v>#VALUE!</v>
      </c>
      <c r="T46" s="97" t="str">
        <f>IF(C46="","",VLOOKUP(C46,listaBolsa!$D$2:$BB$276,36,0))</f>
        <v>FUNCAS</v>
      </c>
      <c r="U46" s="98">
        <f>IF(C46="","",VLOOKUP(C46,listaBolsa!$D$2:$BB$276,40,0))</f>
        <v>443529</v>
      </c>
      <c r="V46" s="99">
        <f t="shared" si="8"/>
        <v>84270.51</v>
      </c>
      <c r="W46" s="99">
        <f t="shared" si="9"/>
        <v>527799.51</v>
      </c>
      <c r="X46" s="99">
        <f t="shared" si="10"/>
        <v>8870580</v>
      </c>
      <c r="Y46" s="99">
        <f t="shared" si="11"/>
        <v>10555990.199999999</v>
      </c>
      <c r="Z46" s="100">
        <v>531759</v>
      </c>
      <c r="AA46" s="100">
        <f t="shared" si="20"/>
        <v>10635180</v>
      </c>
      <c r="AB46" s="78">
        <v>5598.16</v>
      </c>
      <c r="AC46" s="102">
        <f t="shared" si="12"/>
        <v>5.2638131183487251E-4</v>
      </c>
      <c r="AD46" s="5"/>
      <c r="AF46" s="7" t="s">
        <v>173</v>
      </c>
      <c r="AG46" s="7">
        <v>35</v>
      </c>
      <c r="AH46" s="7" t="s">
        <v>302</v>
      </c>
      <c r="BG46" s="7">
        <v>36</v>
      </c>
      <c r="DA46" s="7" t="str">
        <f>VLOOKUP(C46,listaBolsa!$D$2:$BA$248,1,0)</f>
        <v>Alquiler Carpa Pagoda 4 x 4</v>
      </c>
      <c r="DB46" s="7" t="str">
        <f>VLOOKUP(C46,listaBolsa!$D$2:$BA$248,2,0)</f>
        <v>CARPA PAGODA DE 4X4 CON LATERALES  INCLUYE INSTALACIÓN, TRASPORTE Y ENTREGA EN EL LUGAR REQUERIDO, MONTAJE Y DESMONTAJE DE LA MISMA (JORNADA POR EVENTO O DÍA)</v>
      </c>
      <c r="DC46" s="7" t="str">
        <f>VLOOKUP(C46,listaBolsa!$D$2:$BA$248,10,0)</f>
        <v>OPERADOR LOGÍSTICO</v>
      </c>
      <c r="DD46" s="7" t="str">
        <f>VLOOKUP(C46,listaBolsa!$D$2:$BA$248,14,0)</f>
        <v> </v>
      </c>
      <c r="DE46" s="7" t="str">
        <f>VLOOKUP(C46,listaBolsa!$D$2:$BA$248,23,0)</f>
        <v>Estimación de precios con base en el proceso FDLSUBA-LP-013-2025 (140689) – Contrato 1000 – 2025, indexando el incremento de precios en el mercado con base en el Índice de Precios al Consumidor (IPC) para el mes de marzo de 2026, el cual fue de 5,56%.</v>
      </c>
      <c r="DF46" s="7">
        <f>VLOOKUP(C46,listaBolsa!$D$2:$BA$248,29,0)</f>
        <v>507500</v>
      </c>
      <c r="DG46" s="7" t="str">
        <f>VLOOKUP(C46,listaBolsa!$D$2:$BA$248,36,0)</f>
        <v>FUNCAS</v>
      </c>
      <c r="DH46" s="7">
        <f>VLOOKUP(C46,listaBolsa!$D$2:$BA$248,40,0)</f>
        <v>443529</v>
      </c>
      <c r="DI46" s="7">
        <f>VLOOKUP(C46,listaBolsa!$D$2:$BA$248,48,0)</f>
        <v>1.0500000000000001E-2</v>
      </c>
      <c r="DJ46" s="7" t="b">
        <f t="shared" si="23"/>
        <v>1</v>
      </c>
      <c r="DK46" s="7" t="b">
        <f t="shared" si="23"/>
        <v>1</v>
      </c>
      <c r="DL46" s="7" t="b">
        <f t="shared" si="14"/>
        <v>1</v>
      </c>
      <c r="DM46" s="7" t="b">
        <f t="shared" si="14"/>
        <v>1</v>
      </c>
      <c r="DN46" s="7" t="b">
        <f t="shared" si="15"/>
        <v>1</v>
      </c>
      <c r="DO46" s="7" t="b">
        <f t="shared" si="15"/>
        <v>0</v>
      </c>
      <c r="DP46" s="7" t="b">
        <f t="shared" si="16"/>
        <v>1</v>
      </c>
      <c r="DQ46" s="7" t="b">
        <f t="shared" si="16"/>
        <v>1</v>
      </c>
      <c r="DR46" s="7" t="b">
        <f t="shared" si="17"/>
        <v>0</v>
      </c>
    </row>
    <row r="47" spans="1:122" s="7" customFormat="1" ht="84" customHeight="1">
      <c r="A47" s="75">
        <f t="shared" si="18"/>
        <v>36</v>
      </c>
      <c r="B47" s="198" t="s">
        <v>291</v>
      </c>
      <c r="C47" s="95" t="s">
        <v>303</v>
      </c>
      <c r="D47" s="75" t="s">
        <v>304</v>
      </c>
      <c r="E47" s="111" t="s">
        <v>191</v>
      </c>
      <c r="F47" s="112">
        <v>80</v>
      </c>
      <c r="G47" s="200" t="s">
        <v>305</v>
      </c>
      <c r="H47" s="106" t="s">
        <v>193</v>
      </c>
      <c r="I47" s="107">
        <v>3400</v>
      </c>
      <c r="J47" s="96">
        <f t="shared" si="0"/>
        <v>646</v>
      </c>
      <c r="K47" s="96">
        <f t="shared" si="1"/>
        <v>4046</v>
      </c>
      <c r="L47" s="96">
        <f t="shared" si="2"/>
        <v>272000</v>
      </c>
      <c r="M47" s="96">
        <f t="shared" si="3"/>
        <v>323680</v>
      </c>
      <c r="N47" s="108" t="s">
        <v>245</v>
      </c>
      <c r="O47" s="109">
        <v>3000</v>
      </c>
      <c r="P47" s="110">
        <f t="shared" si="22"/>
        <v>570</v>
      </c>
      <c r="Q47" s="110">
        <f t="shared" si="5"/>
        <v>3570</v>
      </c>
      <c r="R47" s="110">
        <f t="shared" si="6"/>
        <v>240000</v>
      </c>
      <c r="S47" s="110">
        <f t="shared" si="7"/>
        <v>285600</v>
      </c>
      <c r="T47" s="97" t="s">
        <v>194</v>
      </c>
      <c r="U47" s="98">
        <v>3400</v>
      </c>
      <c r="V47" s="99">
        <f t="shared" si="8"/>
        <v>646</v>
      </c>
      <c r="W47" s="99">
        <f t="shared" si="9"/>
        <v>4046</v>
      </c>
      <c r="X47" s="99">
        <f t="shared" si="10"/>
        <v>272000</v>
      </c>
      <c r="Y47" s="99">
        <f t="shared" si="11"/>
        <v>323680</v>
      </c>
      <c r="Z47" s="100">
        <f t="shared" si="19"/>
        <v>3887.3333333333335</v>
      </c>
      <c r="AA47" s="100">
        <f t="shared" si="20"/>
        <v>310986.66666666669</v>
      </c>
      <c r="AB47" s="78">
        <f t="shared" si="21"/>
        <v>21985.498250740951</v>
      </c>
      <c r="AC47" s="102">
        <f t="shared" si="12"/>
        <v>7.0695951329341936E-2</v>
      </c>
      <c r="AD47" s="5"/>
      <c r="AF47" s="7" t="s">
        <v>173</v>
      </c>
      <c r="AG47" s="7">
        <v>36</v>
      </c>
      <c r="AH47" s="7" t="s">
        <v>306</v>
      </c>
      <c r="BG47" s="7">
        <v>37</v>
      </c>
      <c r="DA47" s="7" t="e">
        <f>VLOOKUP(C47,listaBolsa!$D$2:$BA$248,1,0)</f>
        <v>#N/A</v>
      </c>
      <c r="DB47" s="7" t="e">
        <f>VLOOKUP(C47,listaBolsa!$D$2:$BA$248,2,0)</f>
        <v>#N/A</v>
      </c>
      <c r="DC47" s="7" t="e">
        <f>VLOOKUP(C47,listaBolsa!$D$2:$BA$248,10,0)</f>
        <v>#N/A</v>
      </c>
      <c r="DD47" s="7" t="e">
        <f>VLOOKUP(C47,listaBolsa!$D$2:$BA$248,14,0)</f>
        <v>#N/A</v>
      </c>
      <c r="DE47" s="7" t="e">
        <f>VLOOKUP(C47,listaBolsa!$D$2:$BA$248,23,0)</f>
        <v>#N/A</v>
      </c>
      <c r="DF47" s="7" t="e">
        <f>VLOOKUP(C47,listaBolsa!$D$2:$BA$248,29,0)</f>
        <v>#N/A</v>
      </c>
      <c r="DG47" s="7" t="e">
        <f>VLOOKUP(C47,listaBolsa!$D$2:$BA$248,36,0)</f>
        <v>#N/A</v>
      </c>
      <c r="DH47" s="7" t="e">
        <f>VLOOKUP(C47,listaBolsa!$D$2:$BA$248,40,0)</f>
        <v>#N/A</v>
      </c>
      <c r="DI47" s="7" t="e">
        <f>VLOOKUP(C47,listaBolsa!$D$2:$BA$248,48,0)</f>
        <v>#N/A</v>
      </c>
      <c r="DJ47" s="7" t="e">
        <f t="shared" si="23"/>
        <v>#N/A</v>
      </c>
      <c r="DK47" s="7" t="e">
        <f t="shared" si="23"/>
        <v>#N/A</v>
      </c>
      <c r="DL47" s="7" t="e">
        <f t="shared" si="14"/>
        <v>#N/A</v>
      </c>
      <c r="DM47" s="7" t="e">
        <f t="shared" si="14"/>
        <v>#N/A</v>
      </c>
      <c r="DN47" s="7" t="e">
        <f t="shared" si="15"/>
        <v>#N/A</v>
      </c>
      <c r="DO47" s="7" t="e">
        <f t="shared" si="15"/>
        <v>#N/A</v>
      </c>
      <c r="DP47" s="7" t="e">
        <f t="shared" si="16"/>
        <v>#N/A</v>
      </c>
      <c r="DQ47" s="7" t="e">
        <f t="shared" si="16"/>
        <v>#N/A</v>
      </c>
      <c r="DR47" s="7" t="e">
        <f t="shared" si="17"/>
        <v>#N/A</v>
      </c>
    </row>
    <row r="48" spans="1:122" s="7" customFormat="1" ht="348" customHeight="1">
      <c r="A48" s="75">
        <f t="shared" si="18"/>
        <v>37</v>
      </c>
      <c r="B48" s="198" t="s">
        <v>291</v>
      </c>
      <c r="C48" s="95" t="s">
        <v>307</v>
      </c>
      <c r="D48" s="95" t="str">
        <f>IF(C48="","",VLOOKUP(C48,listaBolsa!$D$2:$H$276,2,0))</f>
        <v>Alquiler de Mesas plásticas blancas, cuadrada de 75 cms de largo X 75 cms de ancho X 70,5 cms de alto Incluye transporte, instalación y entrega en el lugar requerido.</v>
      </c>
      <c r="E48" s="111" t="str">
        <f>IF(C48="","",VLOOKUP(C48,listaBolsa!$D$2:$H$276,3,0))</f>
        <v>Unidad</v>
      </c>
      <c r="F48" s="112">
        <v>40</v>
      </c>
      <c r="G48" s="200" t="str">
        <f>IF(C48="","",VLOOKUP(C48,listaBolsa!$D$2:$H$276,5,0))</f>
        <v>Alquiler</v>
      </c>
      <c r="H48" s="106" t="str">
        <f>IF(C48="","",VLOOKUP(C48,listaBolsa!$D$2:$W$276,10,0))</f>
        <v>Estimación de precios con base en el proceso FDLSUBA-LP-013-2025 (140689) – Contrato 1000 – 2025, indexando el incremento de precios en el mercado con base en el Índice de Precios al Consumidor (IPC) para el mes de marzo de 2026, el cual fue de 5,56%.</v>
      </c>
      <c r="I48" s="107">
        <f>IF(C48="","",VLOOKUP(C48,listaBolsa!$D$2:$W$276,14,0))</f>
        <v>11508</v>
      </c>
      <c r="J48" s="96">
        <f t="shared" si="0"/>
        <v>2186.52</v>
      </c>
      <c r="K48" s="96">
        <f t="shared" si="1"/>
        <v>13694.52</v>
      </c>
      <c r="L48" s="96">
        <f t="shared" si="2"/>
        <v>460320</v>
      </c>
      <c r="M48" s="96">
        <f t="shared" si="3"/>
        <v>547780.80000000005</v>
      </c>
      <c r="N48" s="108" t="str">
        <f>IF(C48="","",VLOOKUP(C48,listaBolsa!$D$2:$AZ$276,23,0))</f>
        <v>FUNCAS</v>
      </c>
      <c r="O48" s="109">
        <f>IF(C48="","",VLOOKUP(C48,listaBolsa!$D$2:$AZ$276,27,0))</f>
        <v>9528</v>
      </c>
      <c r="P48" s="110">
        <f t="shared" si="22"/>
        <v>1810.32</v>
      </c>
      <c r="Q48" s="110">
        <f t="shared" si="5"/>
        <v>11338.32</v>
      </c>
      <c r="R48" s="110">
        <f t="shared" si="6"/>
        <v>381120</v>
      </c>
      <c r="S48" s="110">
        <f t="shared" si="7"/>
        <v>453532.8</v>
      </c>
      <c r="T48" s="97">
        <f>IF(C48="","",VLOOKUP(C48,listaBolsa!$D$2:$BB$276,36,0))</f>
        <v>0</v>
      </c>
      <c r="U48" s="98">
        <f>IF(C48="","",VLOOKUP(C48,listaBolsa!$D$2:$BB$276,40,0))</f>
        <v>0</v>
      </c>
      <c r="V48" s="99">
        <f t="shared" si="8"/>
        <v>0</v>
      </c>
      <c r="W48" s="99">
        <f t="shared" si="9"/>
        <v>0</v>
      </c>
      <c r="X48" s="99">
        <f t="shared" si="10"/>
        <v>0</v>
      </c>
      <c r="Y48" s="99">
        <f t="shared" si="11"/>
        <v>0</v>
      </c>
      <c r="Z48" s="100">
        <f>IF(A48="","",AVERAGE(K48,Q48,))</f>
        <v>8344.2800000000007</v>
      </c>
      <c r="AA48" s="100">
        <f t="shared" si="20"/>
        <v>333771.2</v>
      </c>
      <c r="AB48" s="78">
        <f>IF(B48="","",STDEV(M48,S48))</f>
        <v>66643.399913269779</v>
      </c>
      <c r="AC48" s="102">
        <f t="shared" si="12"/>
        <v>0.19966791596539718</v>
      </c>
      <c r="AD48" s="5"/>
      <c r="AF48" s="7" t="s">
        <v>173</v>
      </c>
      <c r="AG48" s="7">
        <v>37</v>
      </c>
      <c r="AH48" s="7" t="s">
        <v>308</v>
      </c>
      <c r="BG48" s="7">
        <v>38</v>
      </c>
      <c r="DA48" s="7" t="str">
        <f>VLOOKUP(C48,listaBolsa!$D$2:$BA$248,1,0)</f>
        <v>Mesas cuadradas</v>
      </c>
      <c r="DB48" s="7" t="str">
        <f>VLOOKUP(C48,listaBolsa!$D$2:$BA$248,2,0)</f>
        <v>Alquiler de Mesas plásticas blancas, cuadrada de 75 cms de largo X 75 cms de ancho X 70,5 cms de alto Incluye transporte, instalación y entrega en el lugar requerido.</v>
      </c>
      <c r="DC48" s="7" t="str">
        <f>VLOOKUP(C48,listaBolsa!$D$2:$BA$248,10,0)</f>
        <v>Estimación de precios con base en el proceso FDLSUBA-LP-013-2025 (140689) – Contrato 1000 – 2025, indexando el incremento de precios en el mercado con base en el Índice de Precios al Consumidor (IPC) para el mes de marzo de 2026, el cual fue de 5,56%.</v>
      </c>
      <c r="DD48" s="7">
        <f>VLOOKUP(C48,listaBolsa!$D$2:$BA$248,14,0)</f>
        <v>11508</v>
      </c>
      <c r="DE48" s="7" t="str">
        <f>VLOOKUP(C48,listaBolsa!$D$2:$BA$248,23,0)</f>
        <v>FUNCAS</v>
      </c>
      <c r="DF48" s="7">
        <f>VLOOKUP(C48,listaBolsa!$D$2:$BA$248,29,0)</f>
        <v>11338.32</v>
      </c>
      <c r="DG48" s="7">
        <f>VLOOKUP(C48,listaBolsa!$D$2:$BA$248,36,0)</f>
        <v>0</v>
      </c>
      <c r="DH48" s="7">
        <f>VLOOKUP(C48,listaBolsa!$D$2:$BA$248,40,0)</f>
        <v>0</v>
      </c>
      <c r="DI48" s="7">
        <f>VLOOKUP(C48,listaBolsa!$D$2:$BA$248,48,0)</f>
        <v>1.0503387734368914E-2</v>
      </c>
      <c r="DJ48" s="7" t="b">
        <f t="shared" si="23"/>
        <v>1</v>
      </c>
      <c r="DK48" s="7" t="b">
        <f t="shared" si="23"/>
        <v>1</v>
      </c>
      <c r="DL48" s="7" t="b">
        <f t="shared" si="14"/>
        <v>1</v>
      </c>
      <c r="DM48" s="7" t="b">
        <f t="shared" si="14"/>
        <v>1</v>
      </c>
      <c r="DN48" s="7" t="b">
        <f t="shared" si="15"/>
        <v>1</v>
      </c>
      <c r="DO48" s="7" t="b">
        <f t="shared" si="15"/>
        <v>0</v>
      </c>
      <c r="DP48" s="7" t="b">
        <f t="shared" si="16"/>
        <v>1</v>
      </c>
      <c r="DQ48" s="7" t="b">
        <f t="shared" si="16"/>
        <v>1</v>
      </c>
      <c r="DR48" s="7" t="b">
        <f t="shared" si="17"/>
        <v>0</v>
      </c>
    </row>
    <row r="49" spans="1:122" s="7" customFormat="1" ht="210" customHeight="1">
      <c r="A49" s="75">
        <f t="shared" si="18"/>
        <v>38</v>
      </c>
      <c r="B49" s="199" t="s">
        <v>309</v>
      </c>
      <c r="C49" s="95" t="s">
        <v>299</v>
      </c>
      <c r="D49" s="75" t="str">
        <f>IF(C49="","",VLOOKUP(C49,listaBolsa!$D$2:$H$276,2,0))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E49" s="111" t="str">
        <f>IF(C49="","",VLOOKUP(C49,listaBolsa!$D$2:$H$276,3,0))</f>
        <v>Unidad</v>
      </c>
      <c r="F49" s="112">
        <v>12</v>
      </c>
      <c r="G49" s="200" t="str">
        <f>IF(C49="","",VLOOKUP(C49,listaBolsa!$D$2:$H$276,5,0))</f>
        <v>Alquiler</v>
      </c>
      <c r="H49" s="106" t="str">
        <f>IF(C49="","",VLOOKUP(C49,listaBolsa!$D$2:$W$276,10,0))</f>
        <v>D&amp;R PRODUCCIONES SAS</v>
      </c>
      <c r="I49" s="107">
        <f>IF(C49="","",VLOOKUP(C49,listaBolsa!$D$2:$W$276,14,0))</f>
        <v>3150000</v>
      </c>
      <c r="J49" s="96">
        <f t="shared" si="0"/>
        <v>598500</v>
      </c>
      <c r="K49" s="96">
        <f t="shared" si="1"/>
        <v>3748500</v>
      </c>
      <c r="L49" s="96">
        <f t="shared" si="2"/>
        <v>37800000</v>
      </c>
      <c r="M49" s="96">
        <f t="shared" si="3"/>
        <v>44982000</v>
      </c>
      <c r="N49" s="108" t="str">
        <f>IF(C49="","",VLOOKUP(C49,listaBolsa!$D$2:$AZ$276,23,0))</f>
        <v>EFECTO MASIVO</v>
      </c>
      <c r="O49" s="109">
        <f>IF(C49="","",VLOOKUP(C49,listaBolsa!$D$2:$AZ$276,27,0))</f>
        <v>3200000</v>
      </c>
      <c r="P49" s="110">
        <f t="shared" si="22"/>
        <v>608000</v>
      </c>
      <c r="Q49" s="110">
        <f t="shared" si="5"/>
        <v>3808000</v>
      </c>
      <c r="R49" s="110">
        <f t="shared" si="6"/>
        <v>38400000</v>
      </c>
      <c r="S49" s="110">
        <f t="shared" si="7"/>
        <v>45696000</v>
      </c>
      <c r="T49" s="97" t="str">
        <f>IF(C49="","",VLOOKUP(C49,listaBolsa!$D$2:$BB$276,36,0))</f>
        <v>AMCI INGENIERIAS SAS</v>
      </c>
      <c r="U49" s="98">
        <f>IF(C49="","",VLOOKUP(C49,listaBolsa!$D$2:$BB$276,40,0))</f>
        <v>2865546.22</v>
      </c>
      <c r="V49" s="99">
        <f t="shared" si="8"/>
        <v>544453.7818</v>
      </c>
      <c r="W49" s="99">
        <f t="shared" si="9"/>
        <v>3410000.0018000002</v>
      </c>
      <c r="X49" s="99">
        <f t="shared" si="10"/>
        <v>34386554.640000001</v>
      </c>
      <c r="Y49" s="99">
        <f t="shared" si="11"/>
        <v>40920000.021600001</v>
      </c>
      <c r="Z49" s="100">
        <f t="shared" si="19"/>
        <v>3655500.0006000004</v>
      </c>
      <c r="AA49" s="100">
        <f t="shared" si="20"/>
        <v>43866000.007200003</v>
      </c>
      <c r="AB49" s="78">
        <f t="shared" si="21"/>
        <v>2576166.9077073401</v>
      </c>
      <c r="AC49" s="102">
        <f t="shared" si="12"/>
        <v>5.8728101656966618E-2</v>
      </c>
      <c r="AD49" s="5"/>
      <c r="AF49" s="7" t="s">
        <v>173</v>
      </c>
      <c r="AG49" s="7">
        <v>38</v>
      </c>
      <c r="AH49" s="7" t="s">
        <v>310</v>
      </c>
      <c r="BG49" s="7">
        <v>39</v>
      </c>
      <c r="DA49" s="7" t="str">
        <f>VLOOKUP(C49,listaBolsa!$D$2:$BA$248,1,0)</f>
        <v>Auditorio para 50 personas media jornada</v>
      </c>
      <c r="DB49" s="7" t="str">
        <f>VLOOKUP(C49,listaBolsa!$D$2:$BA$248,2,0)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C49" s="7" t="str">
        <f>VLOOKUP(C49,listaBolsa!$D$2:$BA$248,10,0)</f>
        <v>D&amp;R PRODUCCIONES SAS</v>
      </c>
      <c r="DD49" s="7">
        <f>VLOOKUP(C49,listaBolsa!$D$2:$BA$248,14,0)</f>
        <v>3150000</v>
      </c>
      <c r="DE49" s="7" t="str">
        <f>VLOOKUP(C49,listaBolsa!$D$2:$BA$248,23,0)</f>
        <v>EFECTO MASIVO</v>
      </c>
      <c r="DF49" s="7">
        <f>VLOOKUP(C49,listaBolsa!$D$2:$BA$248,29,0)</f>
        <v>3808000</v>
      </c>
      <c r="DG49" s="7" t="str">
        <f>VLOOKUP(C49,listaBolsa!$D$2:$BA$248,36,0)</f>
        <v>AMCI INGENIERIAS SAS</v>
      </c>
      <c r="DH49" s="7">
        <f>VLOOKUP(C49,listaBolsa!$D$2:$BA$248,40,0)</f>
        <v>2865546.22</v>
      </c>
      <c r="DI49" s="7">
        <f>VLOOKUP(C49,listaBolsa!$D$2:$BA$248,48,0)</f>
        <v>5.872810165696659E-2</v>
      </c>
      <c r="DJ49" s="7" t="b">
        <f t="shared" si="23"/>
        <v>1</v>
      </c>
      <c r="DK49" s="7" t="b">
        <f t="shared" si="23"/>
        <v>1</v>
      </c>
      <c r="DL49" s="7" t="b">
        <f t="shared" si="14"/>
        <v>1</v>
      </c>
      <c r="DM49" s="7" t="b">
        <f t="shared" si="14"/>
        <v>1</v>
      </c>
      <c r="DN49" s="7" t="b">
        <f t="shared" si="15"/>
        <v>1</v>
      </c>
      <c r="DO49" s="7" t="b">
        <f t="shared" si="15"/>
        <v>0</v>
      </c>
      <c r="DP49" s="7" t="b">
        <f t="shared" si="16"/>
        <v>1</v>
      </c>
      <c r="DQ49" s="7" t="b">
        <f t="shared" si="16"/>
        <v>1</v>
      </c>
      <c r="DR49" s="7" t="b">
        <f t="shared" si="17"/>
        <v>1</v>
      </c>
    </row>
    <row r="50" spans="1:122" s="7" customFormat="1" ht="105" customHeight="1">
      <c r="A50" s="75">
        <f t="shared" si="18"/>
        <v>39</v>
      </c>
      <c r="B50" s="199" t="s">
        <v>309</v>
      </c>
      <c r="C50" s="95" t="s">
        <v>311</v>
      </c>
      <c r="D50" s="75" t="s">
        <v>312</v>
      </c>
      <c r="E50" s="111" t="s">
        <v>191</v>
      </c>
      <c r="F50" s="112">
        <v>27</v>
      </c>
      <c r="G50" s="75" t="s">
        <v>192</v>
      </c>
      <c r="H50" s="106" t="s">
        <v>193</v>
      </c>
      <c r="I50" s="107">
        <v>19000</v>
      </c>
      <c r="J50" s="96">
        <f t="shared" si="0"/>
        <v>3610</v>
      </c>
      <c r="K50" s="96">
        <f t="shared" si="1"/>
        <v>22610</v>
      </c>
      <c r="L50" s="96">
        <f t="shared" si="2"/>
        <v>513000</v>
      </c>
      <c r="M50" s="96">
        <f t="shared" si="3"/>
        <v>610470</v>
      </c>
      <c r="N50" s="108" t="s">
        <v>194</v>
      </c>
      <c r="O50" s="109">
        <v>19000</v>
      </c>
      <c r="P50" s="110">
        <f t="shared" si="22"/>
        <v>3610</v>
      </c>
      <c r="Q50" s="110">
        <f t="shared" si="5"/>
        <v>22610</v>
      </c>
      <c r="R50" s="110">
        <f t="shared" si="6"/>
        <v>513000</v>
      </c>
      <c r="S50" s="110">
        <f t="shared" si="7"/>
        <v>610470</v>
      </c>
      <c r="T50" s="97" t="s">
        <v>313</v>
      </c>
      <c r="U50" s="98">
        <v>13445.378151260509</v>
      </c>
      <c r="V50" s="99">
        <f t="shared" si="8"/>
        <v>2554.6218487394967</v>
      </c>
      <c r="W50" s="99">
        <f t="shared" si="9"/>
        <v>16000.000000000005</v>
      </c>
      <c r="X50" s="99">
        <f t="shared" si="10"/>
        <v>363025.21008403372</v>
      </c>
      <c r="Y50" s="99">
        <f t="shared" si="11"/>
        <v>432000.00000000017</v>
      </c>
      <c r="Z50" s="100">
        <f t="shared" si="19"/>
        <v>20406.666666666668</v>
      </c>
      <c r="AA50" s="100">
        <f t="shared" si="20"/>
        <v>550980</v>
      </c>
      <c r="AB50" s="78">
        <f t="shared" si="21"/>
        <v>103039.70254227192</v>
      </c>
      <c r="AC50" s="102">
        <f t="shared" si="12"/>
        <v>0.18701169287863792</v>
      </c>
      <c r="AD50" s="5"/>
      <c r="AF50" s="7" t="s">
        <v>173</v>
      </c>
      <c r="AG50" s="7">
        <v>39</v>
      </c>
      <c r="AH50" s="7" t="s">
        <v>314</v>
      </c>
      <c r="BG50" s="7">
        <v>43</v>
      </c>
      <c r="DA50" s="7" t="e">
        <f>VLOOKUP(C50,listaBolsa!$D$2:$BA$248,1,0)</f>
        <v>#N/A</v>
      </c>
      <c r="DB50" s="7" t="e">
        <f>VLOOKUP(C50,listaBolsa!$D$2:$BA$248,2,0)</f>
        <v>#N/A</v>
      </c>
      <c r="DC50" s="7" t="e">
        <f>VLOOKUP(C50,listaBolsa!$D$2:$BA$248,10,0)</f>
        <v>#N/A</v>
      </c>
      <c r="DD50" s="7" t="e">
        <f>VLOOKUP(C50,listaBolsa!$D$2:$BA$248,14,0)</f>
        <v>#N/A</v>
      </c>
      <c r="DE50" s="7" t="e">
        <f>VLOOKUP(C50,listaBolsa!$D$2:$BA$248,23,0)</f>
        <v>#N/A</v>
      </c>
      <c r="DF50" s="7" t="e">
        <f>VLOOKUP(C50,listaBolsa!$D$2:$BA$248,29,0)</f>
        <v>#N/A</v>
      </c>
      <c r="DG50" s="7" t="e">
        <f>VLOOKUP(C50,listaBolsa!$D$2:$BA$248,36,0)</f>
        <v>#N/A</v>
      </c>
      <c r="DH50" s="7" t="e">
        <f>VLOOKUP(C50,listaBolsa!$D$2:$BA$248,40,0)</f>
        <v>#N/A</v>
      </c>
      <c r="DI50" s="7" t="e">
        <f>VLOOKUP(C50,listaBolsa!$D$2:$BA$248,48,0)</f>
        <v>#N/A</v>
      </c>
      <c r="DJ50" s="7" t="e">
        <f t="shared" si="23"/>
        <v>#N/A</v>
      </c>
      <c r="DK50" s="7" t="e">
        <f t="shared" si="23"/>
        <v>#N/A</v>
      </c>
      <c r="DL50" s="7" t="e">
        <f t="shared" si="14"/>
        <v>#N/A</v>
      </c>
      <c r="DM50" s="7" t="e">
        <f t="shared" si="14"/>
        <v>#N/A</v>
      </c>
      <c r="DN50" s="7" t="e">
        <f t="shared" si="15"/>
        <v>#N/A</v>
      </c>
      <c r="DO50" s="7" t="e">
        <f t="shared" si="15"/>
        <v>#N/A</v>
      </c>
      <c r="DP50" s="7" t="e">
        <f t="shared" si="16"/>
        <v>#N/A</v>
      </c>
      <c r="DQ50" s="7" t="e">
        <f t="shared" si="16"/>
        <v>#N/A</v>
      </c>
      <c r="DR50" s="7" t="e">
        <f t="shared" si="17"/>
        <v>#N/A</v>
      </c>
    </row>
    <row r="51" spans="1:122" s="7" customFormat="1" ht="105" customHeight="1">
      <c r="A51" s="75">
        <f t="shared" si="18"/>
        <v>40</v>
      </c>
      <c r="B51" s="199" t="s">
        <v>309</v>
      </c>
      <c r="C51" s="95" t="s">
        <v>315</v>
      </c>
      <c r="D51" s="186" t="s">
        <v>316</v>
      </c>
      <c r="E51" s="111" t="s">
        <v>191</v>
      </c>
      <c r="F51" s="112">
        <v>1</v>
      </c>
      <c r="G51" s="75" t="s">
        <v>192</v>
      </c>
      <c r="H51" s="106" t="s">
        <v>317</v>
      </c>
      <c r="I51" s="107">
        <v>19663.865546218491</v>
      </c>
      <c r="J51" s="96">
        <f t="shared" si="0"/>
        <v>3736.1344537815135</v>
      </c>
      <c r="K51" s="96">
        <f t="shared" si="1"/>
        <v>23400.000000000004</v>
      </c>
      <c r="L51" s="96">
        <f t="shared" si="2"/>
        <v>19663.865546218491</v>
      </c>
      <c r="M51" s="96">
        <f t="shared" si="3"/>
        <v>23400.000000000004</v>
      </c>
      <c r="N51" s="108" t="s">
        <v>318</v>
      </c>
      <c r="O51" s="109">
        <v>20557.142857142859</v>
      </c>
      <c r="P51" s="110">
        <f t="shared" si="22"/>
        <v>3905.8571428571431</v>
      </c>
      <c r="Q51" s="110">
        <f t="shared" si="5"/>
        <v>24463</v>
      </c>
      <c r="R51" s="110">
        <f t="shared" si="6"/>
        <v>20557.142857142859</v>
      </c>
      <c r="S51" s="110">
        <f t="shared" si="7"/>
        <v>24463</v>
      </c>
      <c r="T51" s="97" t="s">
        <v>319</v>
      </c>
      <c r="U51" s="98">
        <v>18487.39495798319</v>
      </c>
      <c r="V51" s="99">
        <f t="shared" si="8"/>
        <v>3512.6050420168062</v>
      </c>
      <c r="W51" s="99">
        <f t="shared" si="9"/>
        <v>21999.999999999996</v>
      </c>
      <c r="X51" s="99">
        <f t="shared" si="10"/>
        <v>18487.39495798319</v>
      </c>
      <c r="Y51" s="99">
        <f t="shared" si="11"/>
        <v>21999.999999999996</v>
      </c>
      <c r="Z51" s="100">
        <f t="shared" si="19"/>
        <v>23287.666666666668</v>
      </c>
      <c r="AA51" s="100">
        <f t="shared" si="20"/>
        <v>23287.666666666668</v>
      </c>
      <c r="AB51" s="78">
        <f t="shared" si="21"/>
        <v>1235.3365263495361</v>
      </c>
      <c r="AC51" s="102">
        <f t="shared" si="12"/>
        <v>5.3046814179875015E-2</v>
      </c>
      <c r="AD51" s="5"/>
      <c r="AF51" s="7" t="s">
        <v>173</v>
      </c>
      <c r="AG51" s="7">
        <v>40</v>
      </c>
      <c r="AH51" s="7" t="s">
        <v>320</v>
      </c>
      <c r="BG51" s="7">
        <v>46</v>
      </c>
      <c r="DA51" s="7" t="e">
        <f>VLOOKUP(C51,listaBolsa!$D$2:$BA$248,1,0)</f>
        <v>#N/A</v>
      </c>
      <c r="DB51" s="7" t="e">
        <f>VLOOKUP(C51,listaBolsa!$D$2:$BA$248,2,0)</f>
        <v>#N/A</v>
      </c>
      <c r="DC51" s="7" t="e">
        <f>VLOOKUP(C51,listaBolsa!$D$2:$BA$248,10,0)</f>
        <v>#N/A</v>
      </c>
      <c r="DD51" s="7" t="e">
        <f>VLOOKUP(C51,listaBolsa!$D$2:$BA$248,14,0)</f>
        <v>#N/A</v>
      </c>
      <c r="DE51" s="7" t="e">
        <f>VLOOKUP(C51,listaBolsa!$D$2:$BA$248,23,0)</f>
        <v>#N/A</v>
      </c>
      <c r="DF51" s="7" t="e">
        <f>VLOOKUP(C51,listaBolsa!$D$2:$BA$248,29,0)</f>
        <v>#N/A</v>
      </c>
      <c r="DG51" s="7" t="e">
        <f>VLOOKUP(C51,listaBolsa!$D$2:$BA$248,36,0)</f>
        <v>#N/A</v>
      </c>
      <c r="DH51" s="7" t="e">
        <f>VLOOKUP(C51,listaBolsa!$D$2:$BA$248,40,0)</f>
        <v>#N/A</v>
      </c>
      <c r="DI51" s="7" t="e">
        <f>VLOOKUP(C51,listaBolsa!$D$2:$BA$248,48,0)</f>
        <v>#N/A</v>
      </c>
      <c r="DJ51" s="7" t="e">
        <f t="shared" si="23"/>
        <v>#N/A</v>
      </c>
      <c r="DK51" s="7" t="e">
        <f t="shared" si="23"/>
        <v>#N/A</v>
      </c>
      <c r="DL51" s="7" t="e">
        <f t="shared" si="14"/>
        <v>#N/A</v>
      </c>
      <c r="DM51" s="7" t="e">
        <f t="shared" si="14"/>
        <v>#N/A</v>
      </c>
      <c r="DN51" s="7" t="e">
        <f t="shared" si="15"/>
        <v>#N/A</v>
      </c>
      <c r="DO51" s="7" t="e">
        <f t="shared" si="15"/>
        <v>#N/A</v>
      </c>
      <c r="DP51" s="7" t="e">
        <f t="shared" si="16"/>
        <v>#N/A</v>
      </c>
      <c r="DQ51" s="7" t="e">
        <f t="shared" si="16"/>
        <v>#N/A</v>
      </c>
      <c r="DR51" s="7" t="e">
        <f t="shared" si="17"/>
        <v>#N/A</v>
      </c>
    </row>
    <row r="52" spans="1:122" s="7" customFormat="1" ht="105" customHeight="1">
      <c r="A52" s="75">
        <f t="shared" si="18"/>
        <v>41</v>
      </c>
      <c r="B52" s="199" t="s">
        <v>309</v>
      </c>
      <c r="C52" s="95" t="s">
        <v>321</v>
      </c>
      <c r="D52" s="186" t="s">
        <v>322</v>
      </c>
      <c r="E52" s="111" t="s">
        <v>191</v>
      </c>
      <c r="F52" s="112">
        <v>6</v>
      </c>
      <c r="G52" s="75" t="s">
        <v>192</v>
      </c>
      <c r="H52" s="106" t="s">
        <v>323</v>
      </c>
      <c r="I52" s="107">
        <v>16806.722689075628</v>
      </c>
      <c r="J52" s="96">
        <f t="shared" si="0"/>
        <v>3193.2773109243694</v>
      </c>
      <c r="K52" s="96">
        <f t="shared" si="1"/>
        <v>19999.999999999996</v>
      </c>
      <c r="L52" s="96">
        <f t="shared" si="2"/>
        <v>100840.33613445377</v>
      </c>
      <c r="M52" s="96">
        <f t="shared" si="3"/>
        <v>119999.99999999997</v>
      </c>
      <c r="N52" s="108" t="s">
        <v>324</v>
      </c>
      <c r="O52" s="109">
        <v>17647.058823529409</v>
      </c>
      <c r="P52" s="110">
        <f t="shared" si="22"/>
        <v>3352.9411764705878</v>
      </c>
      <c r="Q52" s="110">
        <f t="shared" si="5"/>
        <v>20999.999999999996</v>
      </c>
      <c r="R52" s="110">
        <f t="shared" si="6"/>
        <v>105882.35294117645</v>
      </c>
      <c r="S52" s="110">
        <f t="shared" si="7"/>
        <v>125999.99999999997</v>
      </c>
      <c r="T52" s="97" t="s">
        <v>317</v>
      </c>
      <c r="U52" s="98">
        <v>17647.058823529409</v>
      </c>
      <c r="V52" s="99">
        <f t="shared" si="8"/>
        <v>3352.9411764705878</v>
      </c>
      <c r="W52" s="99">
        <f t="shared" si="9"/>
        <v>20999.999999999996</v>
      </c>
      <c r="X52" s="99">
        <f t="shared" si="10"/>
        <v>105882.35294117645</v>
      </c>
      <c r="Y52" s="99">
        <f t="shared" si="11"/>
        <v>125999.99999999997</v>
      </c>
      <c r="Z52" s="100">
        <f t="shared" si="19"/>
        <v>20666.666666666661</v>
      </c>
      <c r="AA52" s="100">
        <f t="shared" si="20"/>
        <v>123999.99999999997</v>
      </c>
      <c r="AB52" s="78">
        <f t="shared" si="21"/>
        <v>3464.1016151377548</v>
      </c>
      <c r="AC52" s="102">
        <f t="shared" si="12"/>
        <v>2.7936303347885126E-2</v>
      </c>
      <c r="AD52" s="5"/>
      <c r="AF52" s="7" t="s">
        <v>173</v>
      </c>
      <c r="AG52" s="7">
        <v>41</v>
      </c>
      <c r="AH52" s="7" t="s">
        <v>325</v>
      </c>
      <c r="BG52" s="7">
        <v>54</v>
      </c>
      <c r="DA52" s="7" t="e">
        <f>VLOOKUP(C52,listaBolsa!$D$2:$BA$248,1,0)</f>
        <v>#N/A</v>
      </c>
      <c r="DB52" s="7" t="e">
        <f>VLOOKUP(C52,listaBolsa!$D$2:$BA$248,2,0)</f>
        <v>#N/A</v>
      </c>
      <c r="DC52" s="7" t="e">
        <f>VLOOKUP(C52,listaBolsa!$D$2:$BA$248,10,0)</f>
        <v>#N/A</v>
      </c>
      <c r="DD52" s="7" t="e">
        <f>VLOOKUP(C52,listaBolsa!$D$2:$BA$248,14,0)</f>
        <v>#N/A</v>
      </c>
      <c r="DE52" s="7" t="e">
        <f>VLOOKUP(C52,listaBolsa!$D$2:$BA$248,23,0)</f>
        <v>#N/A</v>
      </c>
      <c r="DF52" s="7" t="e">
        <f>VLOOKUP(C52,listaBolsa!$D$2:$BA$248,29,0)</f>
        <v>#N/A</v>
      </c>
      <c r="DG52" s="7" t="e">
        <f>VLOOKUP(C52,listaBolsa!$D$2:$BA$248,36,0)</f>
        <v>#N/A</v>
      </c>
      <c r="DH52" s="7" t="e">
        <f>VLOOKUP(C52,listaBolsa!$D$2:$BA$248,40,0)</f>
        <v>#N/A</v>
      </c>
      <c r="DI52" s="7" t="e">
        <f>VLOOKUP(C52,listaBolsa!$D$2:$BA$248,48,0)</f>
        <v>#N/A</v>
      </c>
      <c r="DJ52" s="7" t="e">
        <f t="shared" si="23"/>
        <v>#N/A</v>
      </c>
      <c r="DK52" s="7" t="e">
        <f t="shared" si="23"/>
        <v>#N/A</v>
      </c>
      <c r="DL52" s="7" t="e">
        <f t="shared" si="14"/>
        <v>#N/A</v>
      </c>
      <c r="DM52" s="7" t="e">
        <f t="shared" si="14"/>
        <v>#N/A</v>
      </c>
      <c r="DN52" s="7" t="e">
        <f t="shared" si="15"/>
        <v>#N/A</v>
      </c>
      <c r="DO52" s="7" t="e">
        <f t="shared" si="15"/>
        <v>#N/A</v>
      </c>
      <c r="DP52" s="7" t="e">
        <f t="shared" si="16"/>
        <v>#N/A</v>
      </c>
      <c r="DQ52" s="7" t="e">
        <f t="shared" si="16"/>
        <v>#N/A</v>
      </c>
      <c r="DR52" s="7" t="e">
        <f t="shared" si="17"/>
        <v>#N/A</v>
      </c>
    </row>
    <row r="53" spans="1:122" s="7" customFormat="1" ht="105" customHeight="1">
      <c r="A53" s="75">
        <f t="shared" si="18"/>
        <v>42</v>
      </c>
      <c r="B53" s="199" t="s">
        <v>309</v>
      </c>
      <c r="C53" s="95" t="s">
        <v>326</v>
      </c>
      <c r="D53" s="186" t="s">
        <v>327</v>
      </c>
      <c r="E53" s="111" t="s">
        <v>191</v>
      </c>
      <c r="F53" s="112">
        <v>60</v>
      </c>
      <c r="G53" s="75" t="s">
        <v>192</v>
      </c>
      <c r="H53" s="106" t="s">
        <v>328</v>
      </c>
      <c r="I53" s="107">
        <v>10084.033613445379</v>
      </c>
      <c r="J53" s="96">
        <f t="shared" si="0"/>
        <v>1915.966386554622</v>
      </c>
      <c r="K53" s="96">
        <f t="shared" si="1"/>
        <v>12000.000000000002</v>
      </c>
      <c r="L53" s="96">
        <f t="shared" si="2"/>
        <v>605042.01680672274</v>
      </c>
      <c r="M53" s="96">
        <f t="shared" si="3"/>
        <v>720000.00000000012</v>
      </c>
      <c r="N53" s="108" t="s">
        <v>245</v>
      </c>
      <c r="O53" s="109">
        <v>10000</v>
      </c>
      <c r="P53" s="110">
        <f t="shared" si="22"/>
        <v>1900</v>
      </c>
      <c r="Q53" s="110">
        <f t="shared" si="5"/>
        <v>11900</v>
      </c>
      <c r="R53" s="110">
        <f t="shared" si="6"/>
        <v>600000</v>
      </c>
      <c r="S53" s="110">
        <f t="shared" si="7"/>
        <v>714000</v>
      </c>
      <c r="T53" s="97" t="s">
        <v>329</v>
      </c>
      <c r="U53" s="98">
        <v>10924.36974789916</v>
      </c>
      <c r="V53" s="99">
        <f t="shared" si="8"/>
        <v>2075.6302521008406</v>
      </c>
      <c r="W53" s="99">
        <f t="shared" si="9"/>
        <v>13000</v>
      </c>
      <c r="X53" s="99">
        <f t="shared" si="10"/>
        <v>655462.18487394962</v>
      </c>
      <c r="Y53" s="99">
        <f t="shared" si="11"/>
        <v>780000</v>
      </c>
      <c r="Z53" s="100">
        <f t="shared" si="19"/>
        <v>12300</v>
      </c>
      <c r="AA53" s="100">
        <f t="shared" si="20"/>
        <v>738000</v>
      </c>
      <c r="AB53" s="78">
        <f t="shared" si="21"/>
        <v>36496.575181789289</v>
      </c>
      <c r="AC53" s="102">
        <f t="shared" si="12"/>
        <v>4.9453353904863537E-2</v>
      </c>
      <c r="AD53" s="5"/>
      <c r="AF53" s="7" t="s">
        <v>173</v>
      </c>
      <c r="AG53" s="7">
        <v>42</v>
      </c>
      <c r="AH53" s="7" t="s">
        <v>330</v>
      </c>
      <c r="BG53" s="7">
        <v>56</v>
      </c>
      <c r="DA53" s="7" t="e">
        <f>VLOOKUP(C53,listaBolsa!$D$2:$BA$248,1,0)</f>
        <v>#N/A</v>
      </c>
      <c r="DB53" s="7" t="e">
        <f>VLOOKUP(C53,listaBolsa!$D$2:$BA$248,2,0)</f>
        <v>#N/A</v>
      </c>
      <c r="DC53" s="7" t="e">
        <f>VLOOKUP(C53,listaBolsa!$D$2:$BA$248,10,0)</f>
        <v>#N/A</v>
      </c>
      <c r="DD53" s="7" t="e">
        <f>VLOOKUP(C53,listaBolsa!$D$2:$BA$248,14,0)</f>
        <v>#N/A</v>
      </c>
      <c r="DE53" s="7" t="e">
        <f>VLOOKUP(C53,listaBolsa!$D$2:$BA$248,23,0)</f>
        <v>#N/A</v>
      </c>
      <c r="DF53" s="7" t="e">
        <f>VLOOKUP(C53,listaBolsa!$D$2:$BA$248,29,0)</f>
        <v>#N/A</v>
      </c>
      <c r="DG53" s="7" t="e">
        <f>VLOOKUP(C53,listaBolsa!$D$2:$BA$248,36,0)</f>
        <v>#N/A</v>
      </c>
      <c r="DH53" s="7" t="e">
        <f>VLOOKUP(C53,listaBolsa!$D$2:$BA$248,40,0)</f>
        <v>#N/A</v>
      </c>
      <c r="DI53" s="7" t="e">
        <f>VLOOKUP(C53,listaBolsa!$D$2:$BA$248,48,0)</f>
        <v>#N/A</v>
      </c>
      <c r="DJ53" s="7" t="e">
        <f t="shared" si="23"/>
        <v>#N/A</v>
      </c>
      <c r="DK53" s="7" t="e">
        <f t="shared" si="23"/>
        <v>#N/A</v>
      </c>
      <c r="DL53" s="7" t="e">
        <f t="shared" si="14"/>
        <v>#N/A</v>
      </c>
      <c r="DM53" s="7" t="e">
        <f t="shared" si="14"/>
        <v>#N/A</v>
      </c>
      <c r="DN53" s="7" t="e">
        <f t="shared" si="15"/>
        <v>#N/A</v>
      </c>
      <c r="DO53" s="7" t="e">
        <f t="shared" si="15"/>
        <v>#N/A</v>
      </c>
      <c r="DP53" s="7" t="e">
        <f t="shared" si="16"/>
        <v>#N/A</v>
      </c>
      <c r="DQ53" s="7" t="e">
        <f t="shared" si="16"/>
        <v>#N/A</v>
      </c>
      <c r="DR53" s="7" t="e">
        <f t="shared" si="17"/>
        <v>#N/A</v>
      </c>
    </row>
    <row r="54" spans="1:122" s="7" customFormat="1" ht="105" customHeight="1">
      <c r="A54" s="75">
        <f t="shared" si="18"/>
        <v>43</v>
      </c>
      <c r="B54" s="199" t="s">
        <v>309</v>
      </c>
      <c r="C54" s="95" t="s">
        <v>331</v>
      </c>
      <c r="D54" s="186" t="s">
        <v>332</v>
      </c>
      <c r="E54" s="111" t="s">
        <v>191</v>
      </c>
      <c r="F54" s="112">
        <v>2</v>
      </c>
      <c r="G54" s="75" t="s">
        <v>192</v>
      </c>
      <c r="H54" s="106" t="s">
        <v>193</v>
      </c>
      <c r="I54" s="107">
        <v>82000</v>
      </c>
      <c r="J54" s="96">
        <f t="shared" si="0"/>
        <v>15580</v>
      </c>
      <c r="K54" s="96">
        <f t="shared" si="1"/>
        <v>97580</v>
      </c>
      <c r="L54" s="96">
        <f t="shared" si="2"/>
        <v>164000</v>
      </c>
      <c r="M54" s="96">
        <f t="shared" si="3"/>
        <v>195160</v>
      </c>
      <c r="N54" s="108" t="s">
        <v>194</v>
      </c>
      <c r="O54" s="109">
        <v>82000</v>
      </c>
      <c r="P54" s="110">
        <f t="shared" si="22"/>
        <v>15580</v>
      </c>
      <c r="Q54" s="110">
        <f t="shared" si="5"/>
        <v>97580</v>
      </c>
      <c r="R54" s="110">
        <f t="shared" si="6"/>
        <v>164000</v>
      </c>
      <c r="S54" s="110">
        <f t="shared" si="7"/>
        <v>195160</v>
      </c>
      <c r="T54" s="97" t="s">
        <v>230</v>
      </c>
      <c r="U54" s="98">
        <v>83949.579831932773</v>
      </c>
      <c r="V54" s="99">
        <f t="shared" si="8"/>
        <v>15950.420168067227</v>
      </c>
      <c r="W54" s="99">
        <f t="shared" si="9"/>
        <v>99900</v>
      </c>
      <c r="X54" s="99">
        <f t="shared" si="10"/>
        <v>167899.15966386555</v>
      </c>
      <c r="Y54" s="99">
        <f t="shared" si="11"/>
        <v>199800</v>
      </c>
      <c r="Z54" s="100">
        <f t="shared" si="19"/>
        <v>98353.333333333328</v>
      </c>
      <c r="AA54" s="100">
        <f t="shared" si="20"/>
        <v>196706.66666666666</v>
      </c>
      <c r="AB54" s="78">
        <f t="shared" si="21"/>
        <v>2678.9052490398635</v>
      </c>
      <c r="AC54" s="102">
        <f t="shared" si="12"/>
        <v>1.3618782191960263E-2</v>
      </c>
      <c r="AD54" s="5"/>
      <c r="AF54" s="7" t="s">
        <v>173</v>
      </c>
      <c r="AG54" s="7">
        <v>43</v>
      </c>
      <c r="AH54" s="7" t="s">
        <v>333</v>
      </c>
      <c r="BG54" s="7">
        <v>57</v>
      </c>
      <c r="DA54" s="7" t="e">
        <f>VLOOKUP(C54,listaBolsa!$D$2:$BA$248,1,0)</f>
        <v>#N/A</v>
      </c>
      <c r="DB54" s="7" t="e">
        <f>VLOOKUP(C54,listaBolsa!$D$2:$BA$248,2,0)</f>
        <v>#N/A</v>
      </c>
      <c r="DC54" s="7" t="e">
        <f>VLOOKUP(C54,listaBolsa!$D$2:$BA$248,10,0)</f>
        <v>#N/A</v>
      </c>
      <c r="DD54" s="7" t="e">
        <f>VLOOKUP(C54,listaBolsa!$D$2:$BA$248,14,0)</f>
        <v>#N/A</v>
      </c>
      <c r="DE54" s="7" t="e">
        <f>VLOOKUP(C54,listaBolsa!$D$2:$BA$248,23,0)</f>
        <v>#N/A</v>
      </c>
      <c r="DF54" s="7" t="e">
        <f>VLOOKUP(C54,listaBolsa!$D$2:$BA$248,29,0)</f>
        <v>#N/A</v>
      </c>
      <c r="DG54" s="7" t="e">
        <f>VLOOKUP(C54,listaBolsa!$D$2:$BA$248,36,0)</f>
        <v>#N/A</v>
      </c>
      <c r="DH54" s="7" t="e">
        <f>VLOOKUP(C54,listaBolsa!$D$2:$BA$248,40,0)</f>
        <v>#N/A</v>
      </c>
      <c r="DI54" s="7" t="e">
        <f>VLOOKUP(C54,listaBolsa!$D$2:$BA$248,48,0)</f>
        <v>#N/A</v>
      </c>
      <c r="DJ54" s="7" t="e">
        <f t="shared" si="23"/>
        <v>#N/A</v>
      </c>
      <c r="DK54" s="7" t="e">
        <f t="shared" si="23"/>
        <v>#N/A</v>
      </c>
      <c r="DL54" s="7" t="e">
        <f t="shared" si="14"/>
        <v>#N/A</v>
      </c>
      <c r="DM54" s="7" t="e">
        <f t="shared" si="14"/>
        <v>#N/A</v>
      </c>
      <c r="DN54" s="7" t="e">
        <f t="shared" si="15"/>
        <v>#N/A</v>
      </c>
      <c r="DO54" s="7" t="e">
        <f t="shared" si="15"/>
        <v>#N/A</v>
      </c>
      <c r="DP54" s="7" t="e">
        <f t="shared" si="16"/>
        <v>#N/A</v>
      </c>
      <c r="DQ54" s="7" t="e">
        <f t="shared" si="16"/>
        <v>#N/A</v>
      </c>
      <c r="DR54" s="7" t="e">
        <f t="shared" si="17"/>
        <v>#N/A</v>
      </c>
    </row>
    <row r="55" spans="1:122" s="7" customFormat="1" ht="105" customHeight="1">
      <c r="A55" s="75">
        <f t="shared" si="18"/>
        <v>44</v>
      </c>
      <c r="B55" s="199" t="s">
        <v>309</v>
      </c>
      <c r="C55" s="95" t="s">
        <v>334</v>
      </c>
      <c r="D55" s="186" t="s">
        <v>335</v>
      </c>
      <c r="E55" s="111" t="s">
        <v>191</v>
      </c>
      <c r="F55" s="112">
        <v>15</v>
      </c>
      <c r="G55" s="75" t="s">
        <v>192</v>
      </c>
      <c r="H55" s="106" t="s">
        <v>336</v>
      </c>
      <c r="I55" s="107">
        <v>5000</v>
      </c>
      <c r="J55" s="96">
        <f t="shared" si="0"/>
        <v>950</v>
      </c>
      <c r="K55" s="96">
        <f t="shared" si="1"/>
        <v>5950</v>
      </c>
      <c r="L55" s="96">
        <f t="shared" si="2"/>
        <v>75000</v>
      </c>
      <c r="M55" s="96">
        <f t="shared" si="3"/>
        <v>89250</v>
      </c>
      <c r="N55" s="108" t="s">
        <v>337</v>
      </c>
      <c r="O55" s="109">
        <v>4697.4789915966376</v>
      </c>
      <c r="P55" s="110">
        <f t="shared" si="22"/>
        <v>892.52100840336118</v>
      </c>
      <c r="Q55" s="110">
        <f t="shared" si="5"/>
        <v>5589.9999999999991</v>
      </c>
      <c r="R55" s="110">
        <f t="shared" si="6"/>
        <v>70462.184873949562</v>
      </c>
      <c r="S55" s="110">
        <f t="shared" si="7"/>
        <v>83849.999999999985</v>
      </c>
      <c r="T55" s="97" t="s">
        <v>338</v>
      </c>
      <c r="U55" s="98">
        <v>6090</v>
      </c>
      <c r="V55" s="99">
        <f t="shared" si="8"/>
        <v>1157.0999999999999</v>
      </c>
      <c r="W55" s="99">
        <f t="shared" si="9"/>
        <v>7247.1</v>
      </c>
      <c r="X55" s="99">
        <f t="shared" si="10"/>
        <v>91350</v>
      </c>
      <c r="Y55" s="99">
        <f t="shared" si="11"/>
        <v>108706.5</v>
      </c>
      <c r="Z55" s="100">
        <f t="shared" si="19"/>
        <v>6262.3666666666659</v>
      </c>
      <c r="AA55" s="100">
        <f t="shared" si="20"/>
        <v>93935.499999999985</v>
      </c>
      <c r="AB55" s="78">
        <f t="shared" si="21"/>
        <v>13073.898835083515</v>
      </c>
      <c r="AC55" s="102">
        <f t="shared" si="12"/>
        <v>0.13917953100886796</v>
      </c>
      <c r="AD55" s="5"/>
      <c r="AF55" s="7" t="s">
        <v>173</v>
      </c>
      <c r="AG55" s="7">
        <v>44</v>
      </c>
      <c r="AH55" s="7" t="s">
        <v>339</v>
      </c>
      <c r="BG55" s="7">
        <v>58</v>
      </c>
      <c r="DA55" s="7" t="e">
        <f>VLOOKUP(C55,listaBolsa!$D$2:$BA$248,1,0)</f>
        <v>#N/A</v>
      </c>
      <c r="DB55" s="7" t="e">
        <f>VLOOKUP(C55,listaBolsa!$D$2:$BA$248,2,0)</f>
        <v>#N/A</v>
      </c>
      <c r="DC55" s="7" t="e">
        <f>VLOOKUP(C55,listaBolsa!$D$2:$BA$248,10,0)</f>
        <v>#N/A</v>
      </c>
      <c r="DD55" s="7" t="e">
        <f>VLOOKUP(C55,listaBolsa!$D$2:$BA$248,14,0)</f>
        <v>#N/A</v>
      </c>
      <c r="DE55" s="7" t="e">
        <f>VLOOKUP(C55,listaBolsa!$D$2:$BA$248,23,0)</f>
        <v>#N/A</v>
      </c>
      <c r="DF55" s="7" t="e">
        <f>VLOOKUP(C55,listaBolsa!$D$2:$BA$248,29,0)</f>
        <v>#N/A</v>
      </c>
      <c r="DG55" s="7" t="e">
        <f>VLOOKUP(C55,listaBolsa!$D$2:$BA$248,36,0)</f>
        <v>#N/A</v>
      </c>
      <c r="DH55" s="7" t="e">
        <f>VLOOKUP(C55,listaBolsa!$D$2:$BA$248,40,0)</f>
        <v>#N/A</v>
      </c>
      <c r="DI55" s="7" t="e">
        <f>VLOOKUP(C55,listaBolsa!$D$2:$BA$248,48,0)</f>
        <v>#N/A</v>
      </c>
      <c r="DJ55" s="7" t="e">
        <f t="shared" si="23"/>
        <v>#N/A</v>
      </c>
      <c r="DK55" s="7" t="e">
        <f t="shared" si="23"/>
        <v>#N/A</v>
      </c>
      <c r="DL55" s="7" t="e">
        <f t="shared" si="14"/>
        <v>#N/A</v>
      </c>
      <c r="DM55" s="7" t="e">
        <f t="shared" si="14"/>
        <v>#N/A</v>
      </c>
      <c r="DN55" s="7" t="e">
        <f t="shared" si="15"/>
        <v>#N/A</v>
      </c>
      <c r="DO55" s="7" t="e">
        <f t="shared" si="15"/>
        <v>#N/A</v>
      </c>
      <c r="DP55" s="7" t="e">
        <f t="shared" si="16"/>
        <v>#N/A</v>
      </c>
      <c r="DQ55" s="7" t="e">
        <f t="shared" si="16"/>
        <v>#N/A</v>
      </c>
      <c r="DR55" s="7" t="e">
        <f t="shared" si="17"/>
        <v>#N/A</v>
      </c>
    </row>
    <row r="56" spans="1:122" s="7" customFormat="1" ht="105" customHeight="1">
      <c r="A56" s="75">
        <f t="shared" si="18"/>
        <v>45</v>
      </c>
      <c r="B56" s="199" t="s">
        <v>309</v>
      </c>
      <c r="C56" s="186" t="s">
        <v>340</v>
      </c>
      <c r="D56" s="186" t="s">
        <v>340</v>
      </c>
      <c r="E56" s="111" t="s">
        <v>191</v>
      </c>
      <c r="F56" s="112">
        <v>81</v>
      </c>
      <c r="G56" s="75" t="s">
        <v>192</v>
      </c>
      <c r="H56" s="106" t="s">
        <v>341</v>
      </c>
      <c r="I56" s="107">
        <v>15966.386554621849</v>
      </c>
      <c r="J56" s="96">
        <f t="shared" si="0"/>
        <v>3033.6134453781515</v>
      </c>
      <c r="K56" s="96">
        <f t="shared" si="1"/>
        <v>19000</v>
      </c>
      <c r="L56" s="96">
        <f t="shared" si="2"/>
        <v>1293277.3109243698</v>
      </c>
      <c r="M56" s="96">
        <f t="shared" si="3"/>
        <v>1539000</v>
      </c>
      <c r="N56" s="108" t="s">
        <v>194</v>
      </c>
      <c r="O56" s="109">
        <v>15000</v>
      </c>
      <c r="P56" s="110">
        <f t="shared" si="22"/>
        <v>2850</v>
      </c>
      <c r="Q56" s="110">
        <f t="shared" si="5"/>
        <v>17850</v>
      </c>
      <c r="R56" s="110">
        <f t="shared" si="6"/>
        <v>1215000</v>
      </c>
      <c r="S56" s="110">
        <f t="shared" si="7"/>
        <v>1445850</v>
      </c>
      <c r="T56" s="97" t="s">
        <v>342</v>
      </c>
      <c r="U56" s="98">
        <v>13361.344537815126</v>
      </c>
      <c r="V56" s="99">
        <f t="shared" si="8"/>
        <v>2538.6554621848741</v>
      </c>
      <c r="W56" s="99">
        <f t="shared" si="9"/>
        <v>15900</v>
      </c>
      <c r="X56" s="99">
        <f t="shared" si="10"/>
        <v>1082268.9075630251</v>
      </c>
      <c r="Y56" s="99">
        <f t="shared" si="11"/>
        <v>1287900</v>
      </c>
      <c r="Z56" s="100">
        <f t="shared" si="19"/>
        <v>17583.333333333332</v>
      </c>
      <c r="AA56" s="100">
        <f t="shared" si="20"/>
        <v>1424250</v>
      </c>
      <c r="AB56" s="78">
        <f t="shared" si="21"/>
        <v>126935.89917749824</v>
      </c>
      <c r="AC56" s="102">
        <f t="shared" si="12"/>
        <v>8.912473173775548E-2</v>
      </c>
      <c r="AD56" s="5"/>
      <c r="AF56" s="7" t="s">
        <v>173</v>
      </c>
      <c r="AG56" s="7">
        <v>45</v>
      </c>
      <c r="AH56" s="7" t="s">
        <v>343</v>
      </c>
      <c r="BG56" s="7">
        <v>59</v>
      </c>
      <c r="DA56" s="7" t="e">
        <f>VLOOKUP(C56,listaBolsa!$D$2:$BA$248,1,0)</f>
        <v>#N/A</v>
      </c>
      <c r="DB56" s="7" t="e">
        <f>VLOOKUP(C56,listaBolsa!$D$2:$BA$248,2,0)</f>
        <v>#N/A</v>
      </c>
      <c r="DC56" s="7" t="e">
        <f>VLOOKUP(C56,listaBolsa!$D$2:$BA$248,10,0)</f>
        <v>#N/A</v>
      </c>
      <c r="DD56" s="7" t="e">
        <f>VLOOKUP(C56,listaBolsa!$D$2:$BA$248,14,0)</f>
        <v>#N/A</v>
      </c>
      <c r="DE56" s="7" t="e">
        <f>VLOOKUP(C56,listaBolsa!$D$2:$BA$248,23,0)</f>
        <v>#N/A</v>
      </c>
      <c r="DF56" s="7" t="e">
        <f>VLOOKUP(C56,listaBolsa!$D$2:$BA$248,29,0)</f>
        <v>#N/A</v>
      </c>
      <c r="DG56" s="7" t="e">
        <f>VLOOKUP(C56,listaBolsa!$D$2:$BA$248,36,0)</f>
        <v>#N/A</v>
      </c>
      <c r="DH56" s="7" t="e">
        <f>VLOOKUP(C56,listaBolsa!$D$2:$BA$248,40,0)</f>
        <v>#N/A</v>
      </c>
      <c r="DI56" s="7" t="e">
        <f>VLOOKUP(C56,listaBolsa!$D$2:$BA$248,48,0)</f>
        <v>#N/A</v>
      </c>
      <c r="DJ56" s="7" t="e">
        <f t="shared" si="23"/>
        <v>#N/A</v>
      </c>
      <c r="DK56" s="7" t="e">
        <f t="shared" si="23"/>
        <v>#N/A</v>
      </c>
      <c r="DL56" s="7" t="e">
        <f t="shared" si="14"/>
        <v>#N/A</v>
      </c>
      <c r="DM56" s="7" t="e">
        <f t="shared" si="14"/>
        <v>#N/A</v>
      </c>
      <c r="DN56" s="7" t="e">
        <f t="shared" si="15"/>
        <v>#N/A</v>
      </c>
      <c r="DO56" s="7" t="e">
        <f t="shared" si="15"/>
        <v>#N/A</v>
      </c>
      <c r="DP56" s="7" t="e">
        <f t="shared" si="16"/>
        <v>#N/A</v>
      </c>
      <c r="DQ56" s="7" t="e">
        <f t="shared" si="16"/>
        <v>#N/A</v>
      </c>
      <c r="DR56" s="7" t="e">
        <f t="shared" si="17"/>
        <v>#N/A</v>
      </c>
    </row>
    <row r="57" spans="1:122" s="7" customFormat="1" ht="105" customHeight="1">
      <c r="A57" s="75">
        <f t="shared" si="18"/>
        <v>46</v>
      </c>
      <c r="B57" s="199" t="s">
        <v>309</v>
      </c>
      <c r="C57" s="95" t="s">
        <v>344</v>
      </c>
      <c r="D57" s="186" t="s">
        <v>345</v>
      </c>
      <c r="E57" s="111" t="s">
        <v>191</v>
      </c>
      <c r="F57" s="112">
        <v>3</v>
      </c>
      <c r="G57" s="75" t="s">
        <v>192</v>
      </c>
      <c r="H57" s="106" t="s">
        <v>193</v>
      </c>
      <c r="I57" s="107">
        <v>15000</v>
      </c>
      <c r="J57" s="96">
        <f t="shared" si="0"/>
        <v>2850</v>
      </c>
      <c r="K57" s="96">
        <f t="shared" si="1"/>
        <v>17850</v>
      </c>
      <c r="L57" s="96">
        <f t="shared" si="2"/>
        <v>45000</v>
      </c>
      <c r="M57" s="96">
        <f t="shared" si="3"/>
        <v>53550</v>
      </c>
      <c r="N57" s="108" t="s">
        <v>194</v>
      </c>
      <c r="O57" s="109">
        <v>15000</v>
      </c>
      <c r="P57" s="110">
        <f t="shared" si="22"/>
        <v>2850</v>
      </c>
      <c r="Q57" s="110">
        <f t="shared" si="5"/>
        <v>17850</v>
      </c>
      <c r="R57" s="110">
        <f t="shared" si="6"/>
        <v>45000</v>
      </c>
      <c r="S57" s="110">
        <f t="shared" si="7"/>
        <v>53550</v>
      </c>
      <c r="T57" s="97" t="s">
        <v>346</v>
      </c>
      <c r="U57" s="98">
        <v>11893.27731092437</v>
      </c>
      <c r="V57" s="99">
        <f t="shared" si="8"/>
        <v>2259.7226890756301</v>
      </c>
      <c r="W57" s="99">
        <f t="shared" si="9"/>
        <v>14153</v>
      </c>
      <c r="X57" s="99">
        <f t="shared" si="10"/>
        <v>35679.831932773108</v>
      </c>
      <c r="Y57" s="99">
        <f t="shared" si="11"/>
        <v>42459</v>
      </c>
      <c r="Z57" s="100">
        <f t="shared" si="19"/>
        <v>16617.666666666668</v>
      </c>
      <c r="AA57" s="100">
        <f t="shared" si="20"/>
        <v>49853</v>
      </c>
      <c r="AB57" s="78">
        <f t="shared" si="21"/>
        <v>6403.3918355821397</v>
      </c>
      <c r="AC57" s="102">
        <f t="shared" si="12"/>
        <v>0.12844546638280824</v>
      </c>
      <c r="AD57" s="5"/>
      <c r="AF57" s="7" t="s">
        <v>173</v>
      </c>
      <c r="AG57" s="7">
        <v>46</v>
      </c>
      <c r="AH57" s="7" t="s">
        <v>347</v>
      </c>
      <c r="BG57" s="7">
        <v>60</v>
      </c>
      <c r="DA57" s="7" t="e">
        <f>VLOOKUP(C57,listaBolsa!$D$2:$BA$248,1,0)</f>
        <v>#N/A</v>
      </c>
      <c r="DB57" s="7" t="e">
        <f>VLOOKUP(C57,listaBolsa!$D$2:$BA$248,2,0)</f>
        <v>#N/A</v>
      </c>
      <c r="DC57" s="7" t="e">
        <f>VLOOKUP(C57,listaBolsa!$D$2:$BA$248,10,0)</f>
        <v>#N/A</v>
      </c>
      <c r="DD57" s="7" t="e">
        <f>VLOOKUP(C57,listaBolsa!$D$2:$BA$248,14,0)</f>
        <v>#N/A</v>
      </c>
      <c r="DE57" s="7" t="e">
        <f>VLOOKUP(C57,listaBolsa!$D$2:$BA$248,23,0)</f>
        <v>#N/A</v>
      </c>
      <c r="DF57" s="7" t="e">
        <f>VLOOKUP(C57,listaBolsa!$D$2:$BA$248,29,0)</f>
        <v>#N/A</v>
      </c>
      <c r="DG57" s="7" t="e">
        <f>VLOOKUP(C57,listaBolsa!$D$2:$BA$248,36,0)</f>
        <v>#N/A</v>
      </c>
      <c r="DH57" s="7" t="e">
        <f>VLOOKUP(C57,listaBolsa!$D$2:$BA$248,40,0)</f>
        <v>#N/A</v>
      </c>
      <c r="DI57" s="7" t="e">
        <f>VLOOKUP(C57,listaBolsa!$D$2:$BA$248,48,0)</f>
        <v>#N/A</v>
      </c>
      <c r="DJ57" s="7" t="e">
        <f t="shared" si="23"/>
        <v>#N/A</v>
      </c>
      <c r="DK57" s="7" t="e">
        <f t="shared" si="23"/>
        <v>#N/A</v>
      </c>
      <c r="DL57" s="7" t="e">
        <f t="shared" si="14"/>
        <v>#N/A</v>
      </c>
      <c r="DM57" s="7" t="e">
        <f t="shared" si="14"/>
        <v>#N/A</v>
      </c>
      <c r="DN57" s="7" t="e">
        <f t="shared" si="15"/>
        <v>#N/A</v>
      </c>
      <c r="DO57" s="7" t="e">
        <f t="shared" si="15"/>
        <v>#N/A</v>
      </c>
      <c r="DP57" s="7" t="e">
        <f t="shared" si="16"/>
        <v>#N/A</v>
      </c>
      <c r="DQ57" s="7" t="e">
        <f t="shared" si="16"/>
        <v>#N/A</v>
      </c>
      <c r="DR57" s="7" t="e">
        <f t="shared" si="17"/>
        <v>#N/A</v>
      </c>
    </row>
    <row r="58" spans="1:122" s="7" customFormat="1" ht="105" customHeight="1">
      <c r="A58" s="75">
        <f t="shared" si="18"/>
        <v>47</v>
      </c>
      <c r="B58" s="199" t="s">
        <v>309</v>
      </c>
      <c r="C58" s="95" t="s">
        <v>348</v>
      </c>
      <c r="D58" s="186" t="s">
        <v>349</v>
      </c>
      <c r="E58" s="111" t="s">
        <v>191</v>
      </c>
      <c r="F58" s="112">
        <v>150</v>
      </c>
      <c r="G58" s="75" t="s">
        <v>192</v>
      </c>
      <c r="H58" s="106" t="s">
        <v>350</v>
      </c>
      <c r="I58" s="107">
        <v>469</v>
      </c>
      <c r="J58" s="96">
        <f t="shared" si="0"/>
        <v>89.11</v>
      </c>
      <c r="K58" s="96">
        <f t="shared" si="1"/>
        <v>558.11</v>
      </c>
      <c r="L58" s="96">
        <f t="shared" si="2"/>
        <v>70350</v>
      </c>
      <c r="M58" s="96">
        <f t="shared" si="3"/>
        <v>83716.5</v>
      </c>
      <c r="N58" s="108" t="s">
        <v>351</v>
      </c>
      <c r="O58" s="109">
        <v>364.70588235294122</v>
      </c>
      <c r="P58" s="110">
        <f t="shared" si="22"/>
        <v>69.294117647058826</v>
      </c>
      <c r="Q58" s="110">
        <f t="shared" si="5"/>
        <v>434.00000000000006</v>
      </c>
      <c r="R58" s="110">
        <f t="shared" si="6"/>
        <v>54705.882352941182</v>
      </c>
      <c r="S58" s="110">
        <f t="shared" si="7"/>
        <v>65100.000000000007</v>
      </c>
      <c r="T58" s="97" t="s">
        <v>352</v>
      </c>
      <c r="U58" s="98">
        <v>461</v>
      </c>
      <c r="V58" s="99">
        <f t="shared" si="8"/>
        <v>87.59</v>
      </c>
      <c r="W58" s="99">
        <f t="shared" si="9"/>
        <v>548.59</v>
      </c>
      <c r="X58" s="99">
        <f t="shared" si="10"/>
        <v>69150</v>
      </c>
      <c r="Y58" s="99">
        <f t="shared" si="11"/>
        <v>82288.5</v>
      </c>
      <c r="Z58" s="100">
        <f t="shared" si="19"/>
        <v>513.56666666666672</v>
      </c>
      <c r="AA58" s="100">
        <f t="shared" si="20"/>
        <v>77035.000000000015</v>
      </c>
      <c r="AB58" s="78">
        <f t="shared" si="21"/>
        <v>10360.644996813664</v>
      </c>
      <c r="AC58" s="102">
        <f t="shared" si="12"/>
        <v>0.13449269808286704</v>
      </c>
      <c r="AD58" s="5"/>
      <c r="AF58" s="7" t="s">
        <v>173</v>
      </c>
      <c r="AG58" s="7">
        <v>47</v>
      </c>
      <c r="AH58" s="7" t="s">
        <v>353</v>
      </c>
      <c r="BG58" s="7">
        <v>61</v>
      </c>
      <c r="DA58" s="7" t="e">
        <f>VLOOKUP(C58,listaBolsa!$D$2:$BA$248,1,0)</f>
        <v>#N/A</v>
      </c>
      <c r="DB58" s="7" t="e">
        <f>VLOOKUP(C58,listaBolsa!$D$2:$BA$248,2,0)</f>
        <v>#N/A</v>
      </c>
      <c r="DC58" s="7" t="e">
        <f>VLOOKUP(C58,listaBolsa!$D$2:$BA$248,10,0)</f>
        <v>#N/A</v>
      </c>
      <c r="DD58" s="7" t="e">
        <f>VLOOKUP(C58,listaBolsa!$D$2:$BA$248,14,0)</f>
        <v>#N/A</v>
      </c>
      <c r="DE58" s="7" t="e">
        <f>VLOOKUP(C58,listaBolsa!$D$2:$BA$248,23,0)</f>
        <v>#N/A</v>
      </c>
      <c r="DF58" s="7" t="e">
        <f>VLOOKUP(C58,listaBolsa!$D$2:$BA$248,29,0)</f>
        <v>#N/A</v>
      </c>
      <c r="DG58" s="7" t="e">
        <f>VLOOKUP(C58,listaBolsa!$D$2:$BA$248,36,0)</f>
        <v>#N/A</v>
      </c>
      <c r="DH58" s="7" t="e">
        <f>VLOOKUP(C58,listaBolsa!$D$2:$BA$248,40,0)</f>
        <v>#N/A</v>
      </c>
      <c r="DI58" s="7" t="e">
        <f>VLOOKUP(C58,listaBolsa!$D$2:$BA$248,48,0)</f>
        <v>#N/A</v>
      </c>
      <c r="DJ58" s="7" t="e">
        <f t="shared" si="23"/>
        <v>#N/A</v>
      </c>
      <c r="DK58" s="7" t="e">
        <f t="shared" si="23"/>
        <v>#N/A</v>
      </c>
      <c r="DL58" s="7" t="e">
        <f t="shared" si="14"/>
        <v>#N/A</v>
      </c>
      <c r="DM58" s="7" t="e">
        <f t="shared" si="14"/>
        <v>#N/A</v>
      </c>
      <c r="DN58" s="7" t="e">
        <f t="shared" si="15"/>
        <v>#N/A</v>
      </c>
      <c r="DO58" s="7" t="e">
        <f t="shared" si="15"/>
        <v>#N/A</v>
      </c>
      <c r="DP58" s="7" t="e">
        <f t="shared" si="16"/>
        <v>#N/A</v>
      </c>
      <c r="DQ58" s="7" t="e">
        <f t="shared" si="16"/>
        <v>#N/A</v>
      </c>
      <c r="DR58" s="7" t="e">
        <f t="shared" si="17"/>
        <v>#N/A</v>
      </c>
    </row>
    <row r="59" spans="1:122" s="7" customFormat="1" ht="105" customHeight="1">
      <c r="A59" s="75">
        <f t="shared" si="18"/>
        <v>48</v>
      </c>
      <c r="B59" s="199" t="s">
        <v>309</v>
      </c>
      <c r="C59" s="95" t="s">
        <v>354</v>
      </c>
      <c r="D59" s="186" t="s">
        <v>355</v>
      </c>
      <c r="E59" s="111" t="s">
        <v>191</v>
      </c>
      <c r="F59" s="112">
        <v>150</v>
      </c>
      <c r="G59" s="75" t="s">
        <v>192</v>
      </c>
      <c r="H59" s="106" t="s">
        <v>356</v>
      </c>
      <c r="I59" s="107">
        <v>67.226890756302524</v>
      </c>
      <c r="J59" s="96">
        <f t="shared" si="0"/>
        <v>12.77310924369748</v>
      </c>
      <c r="K59" s="96">
        <f t="shared" si="1"/>
        <v>80</v>
      </c>
      <c r="L59" s="96">
        <f t="shared" si="2"/>
        <v>10084.033613445379</v>
      </c>
      <c r="M59" s="96">
        <f t="shared" si="3"/>
        <v>12000</v>
      </c>
      <c r="N59" s="108" t="s">
        <v>357</v>
      </c>
      <c r="O59" s="109">
        <v>88</v>
      </c>
      <c r="P59" s="110">
        <f t="shared" si="22"/>
        <v>16.72</v>
      </c>
      <c r="Q59" s="110">
        <f t="shared" si="5"/>
        <v>104.72</v>
      </c>
      <c r="R59" s="110">
        <f t="shared" si="6"/>
        <v>13200</v>
      </c>
      <c r="S59" s="110">
        <f t="shared" si="7"/>
        <v>15708</v>
      </c>
      <c r="T59" s="97" t="s">
        <v>358</v>
      </c>
      <c r="U59" s="98">
        <v>85</v>
      </c>
      <c r="V59" s="99">
        <f t="shared" si="8"/>
        <v>16.149999999999999</v>
      </c>
      <c r="W59" s="99">
        <f t="shared" si="9"/>
        <v>101.15</v>
      </c>
      <c r="X59" s="99">
        <f t="shared" si="10"/>
        <v>12750</v>
      </c>
      <c r="Y59" s="99">
        <f t="shared" si="11"/>
        <v>15172.5</v>
      </c>
      <c r="Z59" s="100">
        <f t="shared" si="19"/>
        <v>95.29</v>
      </c>
      <c r="AA59" s="100">
        <f t="shared" si="20"/>
        <v>14293.500000000002</v>
      </c>
      <c r="AB59" s="78">
        <f t="shared" si="21"/>
        <v>2004.1947884374911</v>
      </c>
      <c r="AC59" s="102">
        <f t="shared" si="12"/>
        <v>0.1402172168074643</v>
      </c>
      <c r="AD59" s="5" t="s">
        <v>359</v>
      </c>
      <c r="AF59" s="7" t="s">
        <v>173</v>
      </c>
      <c r="AG59" s="7">
        <v>48</v>
      </c>
      <c r="AH59" s="7" t="s">
        <v>360</v>
      </c>
      <c r="BG59" s="7">
        <v>62</v>
      </c>
      <c r="DA59" s="7" t="e">
        <f>VLOOKUP(C59,listaBolsa!$D$2:$BA$248,1,0)</f>
        <v>#N/A</v>
      </c>
      <c r="DB59" s="7" t="e">
        <f>VLOOKUP(C59,listaBolsa!$D$2:$BA$248,2,0)</f>
        <v>#N/A</v>
      </c>
      <c r="DC59" s="7" t="e">
        <f>VLOOKUP(C59,listaBolsa!$D$2:$BA$248,10,0)</f>
        <v>#N/A</v>
      </c>
      <c r="DD59" s="7" t="e">
        <f>VLOOKUP(C59,listaBolsa!$D$2:$BA$248,14,0)</f>
        <v>#N/A</v>
      </c>
      <c r="DE59" s="7" t="e">
        <f>VLOOKUP(C59,listaBolsa!$D$2:$BA$248,23,0)</f>
        <v>#N/A</v>
      </c>
      <c r="DF59" s="7" t="e">
        <f>VLOOKUP(C59,listaBolsa!$D$2:$BA$248,29,0)</f>
        <v>#N/A</v>
      </c>
      <c r="DG59" s="7" t="e">
        <f>VLOOKUP(C59,listaBolsa!$D$2:$BA$248,36,0)</f>
        <v>#N/A</v>
      </c>
      <c r="DH59" s="7" t="e">
        <f>VLOOKUP(C59,listaBolsa!$D$2:$BA$248,40,0)</f>
        <v>#N/A</v>
      </c>
      <c r="DI59" s="7" t="e">
        <f>VLOOKUP(C59,listaBolsa!$D$2:$BA$248,48,0)</f>
        <v>#N/A</v>
      </c>
      <c r="DJ59" s="7" t="e">
        <f t="shared" si="23"/>
        <v>#N/A</v>
      </c>
      <c r="DK59" s="7" t="e">
        <f t="shared" si="23"/>
        <v>#N/A</v>
      </c>
      <c r="DL59" s="7" t="e">
        <f t="shared" si="14"/>
        <v>#N/A</v>
      </c>
      <c r="DM59" s="7" t="e">
        <f t="shared" si="14"/>
        <v>#N/A</v>
      </c>
      <c r="DN59" s="7" t="e">
        <f t="shared" si="15"/>
        <v>#N/A</v>
      </c>
      <c r="DO59" s="7" t="e">
        <f t="shared" si="15"/>
        <v>#N/A</v>
      </c>
      <c r="DP59" s="7" t="e">
        <f t="shared" si="16"/>
        <v>#N/A</v>
      </c>
      <c r="DQ59" s="7" t="e">
        <f t="shared" si="16"/>
        <v>#N/A</v>
      </c>
      <c r="DR59" s="7" t="e">
        <f t="shared" si="17"/>
        <v>#N/A</v>
      </c>
    </row>
    <row r="60" spans="1:122" s="7" customFormat="1" ht="105" customHeight="1">
      <c r="A60" s="75">
        <f t="shared" si="18"/>
        <v>49</v>
      </c>
      <c r="B60" s="199" t="s">
        <v>309</v>
      </c>
      <c r="C60" s="186" t="s">
        <v>361</v>
      </c>
      <c r="D60" s="186" t="s">
        <v>362</v>
      </c>
      <c r="E60" s="111" t="s">
        <v>191</v>
      </c>
      <c r="F60" s="112">
        <v>5</v>
      </c>
      <c r="G60" s="75" t="s">
        <v>192</v>
      </c>
      <c r="H60" s="106" t="s">
        <v>363</v>
      </c>
      <c r="I60" s="107">
        <v>3949.5798319327728</v>
      </c>
      <c r="J60" s="96">
        <f t="shared" si="0"/>
        <v>750.42016806722688</v>
      </c>
      <c r="K60" s="96">
        <f t="shared" si="1"/>
        <v>4700</v>
      </c>
      <c r="L60" s="96">
        <f t="shared" si="2"/>
        <v>19747.899159663863</v>
      </c>
      <c r="M60" s="96">
        <f t="shared" si="3"/>
        <v>23500</v>
      </c>
      <c r="N60" s="108" t="s">
        <v>364</v>
      </c>
      <c r="O60" s="109">
        <v>3529.411764705882</v>
      </c>
      <c r="P60" s="110">
        <f t="shared" si="22"/>
        <v>670.58823529411757</v>
      </c>
      <c r="Q60" s="110">
        <f t="shared" si="5"/>
        <v>4200</v>
      </c>
      <c r="R60" s="110">
        <f t="shared" si="6"/>
        <v>17647.058823529409</v>
      </c>
      <c r="S60" s="110">
        <f t="shared" si="7"/>
        <v>21000</v>
      </c>
      <c r="T60" s="97" t="s">
        <v>365</v>
      </c>
      <c r="U60" s="98">
        <v>4621.8487394957983</v>
      </c>
      <c r="V60" s="99">
        <f t="shared" si="8"/>
        <v>878.15126050420167</v>
      </c>
      <c r="W60" s="99">
        <f t="shared" si="9"/>
        <v>5500</v>
      </c>
      <c r="X60" s="99">
        <f t="shared" si="10"/>
        <v>23109.243697478993</v>
      </c>
      <c r="Y60" s="99">
        <f t="shared" si="11"/>
        <v>27500</v>
      </c>
      <c r="Z60" s="100">
        <f t="shared" si="19"/>
        <v>4800</v>
      </c>
      <c r="AA60" s="100">
        <f t="shared" si="20"/>
        <v>24000</v>
      </c>
      <c r="AB60" s="78">
        <f t="shared" si="21"/>
        <v>3278.7192621510003</v>
      </c>
      <c r="AC60" s="102">
        <f t="shared" si="12"/>
        <v>0.13661330258962501</v>
      </c>
      <c r="AD60" s="5"/>
      <c r="AF60" s="7" t="s">
        <v>173</v>
      </c>
      <c r="AG60" s="7">
        <v>49</v>
      </c>
      <c r="AH60" s="7" t="s">
        <v>366</v>
      </c>
      <c r="BG60" s="7">
        <v>63</v>
      </c>
      <c r="DA60" s="7" t="e">
        <f>VLOOKUP(C60,listaBolsa!$D$2:$BA$248,1,0)</f>
        <v>#N/A</v>
      </c>
      <c r="DB60" s="7" t="e">
        <f>VLOOKUP(C60,listaBolsa!$D$2:$BA$248,2,0)</f>
        <v>#N/A</v>
      </c>
      <c r="DC60" s="7" t="e">
        <f>VLOOKUP(C60,listaBolsa!$D$2:$BA$248,10,0)</f>
        <v>#N/A</v>
      </c>
      <c r="DD60" s="7" t="e">
        <f>VLOOKUP(C60,listaBolsa!$D$2:$BA$248,14,0)</f>
        <v>#N/A</v>
      </c>
      <c r="DE60" s="7" t="e">
        <f>VLOOKUP(C60,listaBolsa!$D$2:$BA$248,23,0)</f>
        <v>#N/A</v>
      </c>
      <c r="DF60" s="7" t="e">
        <f>VLOOKUP(C60,listaBolsa!$D$2:$BA$248,29,0)</f>
        <v>#N/A</v>
      </c>
      <c r="DG60" s="7" t="e">
        <f>VLOOKUP(C60,listaBolsa!$D$2:$BA$248,36,0)</f>
        <v>#N/A</v>
      </c>
      <c r="DH60" s="7" t="e">
        <f>VLOOKUP(C60,listaBolsa!$D$2:$BA$248,40,0)</f>
        <v>#N/A</v>
      </c>
      <c r="DI60" s="7" t="e">
        <f>VLOOKUP(C60,listaBolsa!$D$2:$BA$248,48,0)</f>
        <v>#N/A</v>
      </c>
      <c r="DJ60" s="7" t="e">
        <f t="shared" si="23"/>
        <v>#N/A</v>
      </c>
      <c r="DK60" s="7" t="e">
        <f t="shared" si="23"/>
        <v>#N/A</v>
      </c>
      <c r="DL60" s="7" t="e">
        <f t="shared" si="14"/>
        <v>#N/A</v>
      </c>
      <c r="DM60" s="7" t="e">
        <f t="shared" si="14"/>
        <v>#N/A</v>
      </c>
      <c r="DN60" s="7" t="e">
        <f t="shared" si="15"/>
        <v>#N/A</v>
      </c>
      <c r="DO60" s="7" t="e">
        <f t="shared" si="15"/>
        <v>#N/A</v>
      </c>
      <c r="DP60" s="7" t="e">
        <f t="shared" si="16"/>
        <v>#N/A</v>
      </c>
      <c r="DQ60" s="7" t="e">
        <f t="shared" si="16"/>
        <v>#N/A</v>
      </c>
      <c r="DR60" s="7" t="e">
        <f t="shared" si="17"/>
        <v>#N/A</v>
      </c>
    </row>
    <row r="61" spans="1:122" s="7" customFormat="1" ht="105" customHeight="1">
      <c r="A61" s="75">
        <f t="shared" si="18"/>
        <v>50</v>
      </c>
      <c r="B61" s="199" t="s">
        <v>309</v>
      </c>
      <c r="C61" s="211" t="s">
        <v>367</v>
      </c>
      <c r="D61" s="212" t="s">
        <v>368</v>
      </c>
      <c r="E61" s="111" t="s">
        <v>191</v>
      </c>
      <c r="F61" s="112">
        <v>1</v>
      </c>
      <c r="G61" s="75" t="s">
        <v>192</v>
      </c>
      <c r="H61" s="106" t="s">
        <v>193</v>
      </c>
      <c r="I61" s="107">
        <v>190000</v>
      </c>
      <c r="J61" s="96">
        <f t="shared" si="0"/>
        <v>36100</v>
      </c>
      <c r="K61" s="96">
        <f t="shared" si="1"/>
        <v>226100</v>
      </c>
      <c r="L61" s="96">
        <f t="shared" si="2"/>
        <v>190000</v>
      </c>
      <c r="M61" s="96">
        <f t="shared" si="3"/>
        <v>226100</v>
      </c>
      <c r="N61" s="108" t="s">
        <v>194</v>
      </c>
      <c r="O61" s="109">
        <v>190000</v>
      </c>
      <c r="P61" s="110">
        <f t="shared" si="22"/>
        <v>36100</v>
      </c>
      <c r="Q61" s="110">
        <f t="shared" si="5"/>
        <v>226100</v>
      </c>
      <c r="R61" s="110">
        <f t="shared" si="6"/>
        <v>190000</v>
      </c>
      <c r="S61" s="110">
        <f t="shared" si="7"/>
        <v>226100</v>
      </c>
      <c r="T61" s="97" t="e">
        <f>IF(C61="","",VLOOKUP(C61,listaBolsa!$D$2:$BB$276,36,0))</f>
        <v>#N/A</v>
      </c>
      <c r="U61" s="98" t="e">
        <f>IF(C61="","",VLOOKUP(C61,listaBolsa!$D$2:$BB$276,40,0))</f>
        <v>#N/A</v>
      </c>
      <c r="V61" s="99" t="e">
        <f t="shared" si="8"/>
        <v>#N/A</v>
      </c>
      <c r="W61" s="99" t="e">
        <f t="shared" si="9"/>
        <v>#N/A</v>
      </c>
      <c r="X61" s="99" t="e">
        <f t="shared" si="10"/>
        <v>#N/A</v>
      </c>
      <c r="Y61" s="99" t="e">
        <f t="shared" si="11"/>
        <v>#N/A</v>
      </c>
      <c r="Z61" s="214">
        <f>IF(A61="","",AVERAGE(K61,Q61))</f>
        <v>226100</v>
      </c>
      <c r="AA61" s="100">
        <f t="shared" si="20"/>
        <v>226100</v>
      </c>
      <c r="AB61" s="78">
        <f>IF(B61="","",STDEV(M61,S61))</f>
        <v>0</v>
      </c>
      <c r="AC61" s="102">
        <f t="shared" si="12"/>
        <v>0</v>
      </c>
      <c r="AD61" s="5"/>
      <c r="AF61" s="7" t="s">
        <v>173</v>
      </c>
      <c r="AG61" s="7">
        <v>50</v>
      </c>
      <c r="AH61" s="7" t="s">
        <v>369</v>
      </c>
      <c r="BG61" s="7">
        <v>64</v>
      </c>
      <c r="DA61" s="7" t="e">
        <f>VLOOKUP(C61,listaBolsa!$D$2:$BA$248,1,0)</f>
        <v>#N/A</v>
      </c>
      <c r="DB61" s="7" t="e">
        <f>VLOOKUP(C61,listaBolsa!$D$2:$BA$248,2,0)</f>
        <v>#N/A</v>
      </c>
      <c r="DC61" s="7" t="e">
        <f>VLOOKUP(C61,listaBolsa!$D$2:$BA$248,10,0)</f>
        <v>#N/A</v>
      </c>
      <c r="DD61" s="7" t="e">
        <f>VLOOKUP(C61,listaBolsa!$D$2:$BA$248,14,0)</f>
        <v>#N/A</v>
      </c>
      <c r="DE61" s="7" t="e">
        <f>VLOOKUP(C61,listaBolsa!$D$2:$BA$248,23,0)</f>
        <v>#N/A</v>
      </c>
      <c r="DF61" s="7" t="e">
        <f>VLOOKUP(C61,listaBolsa!$D$2:$BA$248,29,0)</f>
        <v>#N/A</v>
      </c>
      <c r="DG61" s="7" t="e">
        <f>VLOOKUP(C61,listaBolsa!$D$2:$BA$248,36,0)</f>
        <v>#N/A</v>
      </c>
      <c r="DH61" s="7" t="e">
        <f>VLOOKUP(C61,listaBolsa!$D$2:$BA$248,40,0)</f>
        <v>#N/A</v>
      </c>
      <c r="DI61" s="7" t="e">
        <f>VLOOKUP(C61,listaBolsa!$D$2:$BA$248,48,0)</f>
        <v>#N/A</v>
      </c>
      <c r="DJ61" s="7" t="e">
        <f t="shared" si="23"/>
        <v>#N/A</v>
      </c>
      <c r="DK61" s="7" t="e">
        <f t="shared" si="23"/>
        <v>#N/A</v>
      </c>
      <c r="DL61" s="7" t="e">
        <f t="shared" si="14"/>
        <v>#N/A</v>
      </c>
      <c r="DM61" s="7" t="e">
        <f t="shared" si="14"/>
        <v>#N/A</v>
      </c>
      <c r="DN61" s="7" t="e">
        <f t="shared" si="15"/>
        <v>#N/A</v>
      </c>
      <c r="DO61" s="7" t="e">
        <f t="shared" si="15"/>
        <v>#N/A</v>
      </c>
      <c r="DP61" s="7" t="e">
        <f t="shared" si="16"/>
        <v>#N/A</v>
      </c>
      <c r="DQ61" s="7" t="e">
        <f t="shared" si="16"/>
        <v>#N/A</v>
      </c>
      <c r="DR61" s="7" t="e">
        <f t="shared" si="17"/>
        <v>#N/A</v>
      </c>
    </row>
    <row r="62" spans="1:122" s="7" customFormat="1" ht="105" customHeight="1">
      <c r="A62" s="75">
        <f t="shared" si="18"/>
        <v>51</v>
      </c>
      <c r="B62" s="199" t="s">
        <v>309</v>
      </c>
      <c r="C62" s="211" t="s">
        <v>370</v>
      </c>
      <c r="D62" s="212" t="s">
        <v>371</v>
      </c>
      <c r="E62" s="111" t="s">
        <v>191</v>
      </c>
      <c r="F62" s="112">
        <v>1</v>
      </c>
      <c r="G62" s="75" t="s">
        <v>192</v>
      </c>
      <c r="H62" s="106" t="s">
        <v>193</v>
      </c>
      <c r="I62" s="107">
        <v>250000</v>
      </c>
      <c r="J62" s="96">
        <f t="shared" si="0"/>
        <v>47500</v>
      </c>
      <c r="K62" s="96">
        <f t="shared" si="1"/>
        <v>297500</v>
      </c>
      <c r="L62" s="96">
        <f t="shared" si="2"/>
        <v>250000</v>
      </c>
      <c r="M62" s="96">
        <f t="shared" si="3"/>
        <v>297500</v>
      </c>
      <c r="N62" s="108" t="s">
        <v>194</v>
      </c>
      <c r="O62" s="109">
        <v>250000</v>
      </c>
      <c r="P62" s="110">
        <f t="shared" si="22"/>
        <v>47500</v>
      </c>
      <c r="Q62" s="110">
        <f t="shared" si="5"/>
        <v>297500</v>
      </c>
      <c r="R62" s="110">
        <f t="shared" si="6"/>
        <v>250000</v>
      </c>
      <c r="S62" s="110">
        <f t="shared" si="7"/>
        <v>297500</v>
      </c>
      <c r="T62" s="97" t="e">
        <f>IF(C62="","",VLOOKUP(C62,listaBolsa!$D$2:$BB$276,36,0))</f>
        <v>#N/A</v>
      </c>
      <c r="U62" s="98" t="e">
        <f>IF(C62="","",VLOOKUP(C62,listaBolsa!$D$2:$BB$276,40,0))</f>
        <v>#N/A</v>
      </c>
      <c r="V62" s="99" t="e">
        <f t="shared" si="8"/>
        <v>#N/A</v>
      </c>
      <c r="W62" s="99" t="e">
        <f t="shared" si="9"/>
        <v>#N/A</v>
      </c>
      <c r="X62" s="99" t="e">
        <f t="shared" si="10"/>
        <v>#N/A</v>
      </c>
      <c r="Y62" s="99" t="e">
        <f t="shared" si="11"/>
        <v>#N/A</v>
      </c>
      <c r="Z62" s="214">
        <f>IF(A62="","",AVERAGE(K62,Q62))</f>
        <v>297500</v>
      </c>
      <c r="AA62" s="100">
        <f t="shared" si="20"/>
        <v>297500</v>
      </c>
      <c r="AB62" s="78">
        <f>IF(B62="","",STDEV(M62,S62))</f>
        <v>0</v>
      </c>
      <c r="AC62" s="102">
        <f>IF(B62="","",(AB62/AA62))</f>
        <v>0</v>
      </c>
      <c r="AD62" s="5"/>
      <c r="AF62" s="7" t="s">
        <v>173</v>
      </c>
      <c r="AG62" s="7">
        <v>51</v>
      </c>
      <c r="AH62" s="7" t="s">
        <v>372</v>
      </c>
      <c r="BG62" s="7">
        <v>65</v>
      </c>
      <c r="DA62" s="7" t="e">
        <f>VLOOKUP(C62,listaBolsa!$D$2:$BA$248,1,0)</f>
        <v>#N/A</v>
      </c>
      <c r="DB62" s="7" t="e">
        <f>VLOOKUP(C62,listaBolsa!$D$2:$BA$248,2,0)</f>
        <v>#N/A</v>
      </c>
      <c r="DC62" s="7" t="e">
        <f>VLOOKUP(C62,listaBolsa!$D$2:$BA$248,10,0)</f>
        <v>#N/A</v>
      </c>
      <c r="DD62" s="7" t="e">
        <f>VLOOKUP(C62,listaBolsa!$D$2:$BA$248,14,0)</f>
        <v>#N/A</v>
      </c>
      <c r="DE62" s="7" t="e">
        <f>VLOOKUP(C62,listaBolsa!$D$2:$BA$248,23,0)</f>
        <v>#N/A</v>
      </c>
      <c r="DF62" s="7" t="e">
        <f>VLOOKUP(C62,listaBolsa!$D$2:$BA$248,29,0)</f>
        <v>#N/A</v>
      </c>
      <c r="DG62" s="7" t="e">
        <f>VLOOKUP(C62,listaBolsa!$D$2:$BA$248,36,0)</f>
        <v>#N/A</v>
      </c>
      <c r="DH62" s="7" t="e">
        <f>VLOOKUP(C62,listaBolsa!$D$2:$BA$248,40,0)</f>
        <v>#N/A</v>
      </c>
      <c r="DI62" s="7" t="e">
        <f>VLOOKUP(C62,listaBolsa!$D$2:$BA$248,48,0)</f>
        <v>#N/A</v>
      </c>
      <c r="DJ62" s="7" t="e">
        <f t="shared" si="23"/>
        <v>#N/A</v>
      </c>
      <c r="DK62" s="7" t="e">
        <f t="shared" si="23"/>
        <v>#N/A</v>
      </c>
      <c r="DL62" s="7" t="e">
        <f t="shared" si="14"/>
        <v>#N/A</v>
      </c>
      <c r="DM62" s="7" t="e">
        <f t="shared" si="14"/>
        <v>#N/A</v>
      </c>
      <c r="DN62" s="7" t="e">
        <f t="shared" si="15"/>
        <v>#N/A</v>
      </c>
      <c r="DO62" s="7" t="e">
        <f t="shared" si="15"/>
        <v>#N/A</v>
      </c>
      <c r="DP62" s="7" t="e">
        <f t="shared" si="16"/>
        <v>#N/A</v>
      </c>
      <c r="DQ62" s="7" t="e">
        <f t="shared" si="16"/>
        <v>#N/A</v>
      </c>
      <c r="DR62" s="7" t="e">
        <f t="shared" si="17"/>
        <v>#N/A</v>
      </c>
    </row>
    <row r="63" spans="1:122" s="7" customFormat="1" ht="105" customHeight="1">
      <c r="A63" s="75">
        <f t="shared" si="18"/>
        <v>52</v>
      </c>
      <c r="B63" s="199" t="s">
        <v>309</v>
      </c>
      <c r="C63" s="95" t="s">
        <v>373</v>
      </c>
      <c r="D63" s="186" t="s">
        <v>374</v>
      </c>
      <c r="E63" s="111" t="s">
        <v>191</v>
      </c>
      <c r="F63" s="112">
        <v>40</v>
      </c>
      <c r="G63" s="75" t="s">
        <v>192</v>
      </c>
      <c r="H63" s="106" t="s">
        <v>284</v>
      </c>
      <c r="I63" s="107">
        <v>1344.53781512605</v>
      </c>
      <c r="J63" s="96">
        <f t="shared" si="0"/>
        <v>255.4621848739495</v>
      </c>
      <c r="K63" s="96">
        <f t="shared" si="1"/>
        <v>1599.9999999999995</v>
      </c>
      <c r="L63" s="96">
        <f t="shared" si="2"/>
        <v>53781.512605042</v>
      </c>
      <c r="M63" s="96">
        <f t="shared" si="3"/>
        <v>63999.999999999985</v>
      </c>
      <c r="N63" s="108" t="s">
        <v>375</v>
      </c>
      <c r="O63" s="109">
        <v>1512.6050420168069</v>
      </c>
      <c r="P63" s="110">
        <f t="shared" si="22"/>
        <v>287.39495798319331</v>
      </c>
      <c r="Q63" s="110">
        <f t="shared" si="5"/>
        <v>1800.0000000000002</v>
      </c>
      <c r="R63" s="110">
        <f t="shared" si="6"/>
        <v>60504.201680672275</v>
      </c>
      <c r="S63" s="110">
        <f t="shared" si="7"/>
        <v>72000.000000000015</v>
      </c>
      <c r="T63" s="97" t="s">
        <v>376</v>
      </c>
      <c r="U63" s="98">
        <v>1008.403361344538</v>
      </c>
      <c r="V63" s="99">
        <f t="shared" si="8"/>
        <v>191.59663865546221</v>
      </c>
      <c r="W63" s="99">
        <f t="shared" si="9"/>
        <v>1200.0000000000002</v>
      </c>
      <c r="X63" s="99">
        <f t="shared" si="10"/>
        <v>40336.134453781517</v>
      </c>
      <c r="Y63" s="99">
        <f t="shared" si="11"/>
        <v>48000.000000000007</v>
      </c>
      <c r="Z63" s="100">
        <f t="shared" si="19"/>
        <v>1533.3333333333333</v>
      </c>
      <c r="AA63" s="100">
        <f>IF(B63="","",Z63*F63)</f>
        <v>61333.333333333328</v>
      </c>
      <c r="AB63" s="78">
        <f t="shared" si="21"/>
        <v>12220.20185321556</v>
      </c>
      <c r="AC63" s="102">
        <f t="shared" ref="AC63:AC129" si="24">IF(B63="","",(AB63/AA63))</f>
        <v>0.19924242151981891</v>
      </c>
      <c r="AD63" s="5"/>
      <c r="AF63" s="7" t="s">
        <v>173</v>
      </c>
      <c r="AG63" s="7">
        <v>52</v>
      </c>
      <c r="AH63" s="7" t="s">
        <v>377</v>
      </c>
      <c r="BG63" s="7">
        <v>66</v>
      </c>
      <c r="DA63" s="7" t="e">
        <f>VLOOKUP(C63,listaBolsa!$D$2:$BA$248,1,0)</f>
        <v>#N/A</v>
      </c>
      <c r="DB63" s="7" t="e">
        <f>VLOOKUP(C63,listaBolsa!$D$2:$BA$248,2,0)</f>
        <v>#N/A</v>
      </c>
      <c r="DC63" s="7" t="e">
        <f>VLOOKUP(C63,listaBolsa!$D$2:$BA$248,10,0)</f>
        <v>#N/A</v>
      </c>
      <c r="DD63" s="7" t="e">
        <f>VLOOKUP(C63,listaBolsa!$D$2:$BA$248,14,0)</f>
        <v>#N/A</v>
      </c>
      <c r="DE63" s="7" t="e">
        <f>VLOOKUP(C63,listaBolsa!$D$2:$BA$248,23,0)</f>
        <v>#N/A</v>
      </c>
      <c r="DF63" s="7" t="e">
        <f>VLOOKUP(C63,listaBolsa!$D$2:$BA$248,29,0)</f>
        <v>#N/A</v>
      </c>
      <c r="DG63" s="7" t="e">
        <f>VLOOKUP(C63,listaBolsa!$D$2:$BA$248,36,0)</f>
        <v>#N/A</v>
      </c>
      <c r="DH63" s="7" t="e">
        <f>VLOOKUP(C63,listaBolsa!$D$2:$BA$248,40,0)</f>
        <v>#N/A</v>
      </c>
      <c r="DI63" s="7" t="e">
        <f>VLOOKUP(C63,listaBolsa!$D$2:$BA$248,48,0)</f>
        <v>#N/A</v>
      </c>
      <c r="DJ63" s="7" t="e">
        <f t="shared" ref="DJ63:DK88" si="25">DA63=C63</f>
        <v>#N/A</v>
      </c>
      <c r="DK63" s="7" t="e">
        <f t="shared" si="25"/>
        <v>#N/A</v>
      </c>
      <c r="DL63" s="7" t="e">
        <f t="shared" ref="DL63:DM129" si="26">DC63=H63</f>
        <v>#N/A</v>
      </c>
      <c r="DM63" s="7" t="e">
        <f t="shared" si="26"/>
        <v>#N/A</v>
      </c>
      <c r="DN63" s="7" t="e">
        <f t="shared" ref="DN63:DO129" si="27">DE63=N63</f>
        <v>#N/A</v>
      </c>
      <c r="DO63" s="7" t="e">
        <f t="shared" si="27"/>
        <v>#N/A</v>
      </c>
      <c r="DP63" s="7" t="e">
        <f t="shared" ref="DP63:DQ129" si="28">DG63=T63</f>
        <v>#N/A</v>
      </c>
      <c r="DQ63" s="7" t="e">
        <f t="shared" si="28"/>
        <v>#N/A</v>
      </c>
      <c r="DR63" s="7" t="e">
        <f t="shared" si="17"/>
        <v>#N/A</v>
      </c>
    </row>
    <row r="64" spans="1:122" s="7" customFormat="1" ht="105" customHeight="1">
      <c r="A64" s="75">
        <f t="shared" si="18"/>
        <v>53</v>
      </c>
      <c r="B64" s="199" t="s">
        <v>309</v>
      </c>
      <c r="C64" s="95" t="s">
        <v>378</v>
      </c>
      <c r="D64" s="351" t="s">
        <v>379</v>
      </c>
      <c r="E64" s="111" t="s">
        <v>191</v>
      </c>
      <c r="F64" s="210">
        <v>450</v>
      </c>
      <c r="G64" s="75" t="s">
        <v>192</v>
      </c>
      <c r="H64" s="106" t="s">
        <v>380</v>
      </c>
      <c r="I64" s="107">
        <v>18000</v>
      </c>
      <c r="J64" s="96">
        <f t="shared" si="0"/>
        <v>3420</v>
      </c>
      <c r="K64" s="96">
        <f t="shared" si="1"/>
        <v>21420</v>
      </c>
      <c r="L64" s="96">
        <f t="shared" si="2"/>
        <v>8100000</v>
      </c>
      <c r="M64" s="96">
        <f t="shared" si="3"/>
        <v>9639000</v>
      </c>
      <c r="N64" s="108" t="s">
        <v>381</v>
      </c>
      <c r="O64" s="109">
        <v>17000</v>
      </c>
      <c r="P64" s="110">
        <f t="shared" si="22"/>
        <v>3230</v>
      </c>
      <c r="Q64" s="110">
        <f t="shared" si="5"/>
        <v>20230</v>
      </c>
      <c r="R64" s="110">
        <f t="shared" si="6"/>
        <v>7650000</v>
      </c>
      <c r="S64" s="110">
        <f t="shared" si="7"/>
        <v>9103500</v>
      </c>
      <c r="T64" s="97" t="s">
        <v>382</v>
      </c>
      <c r="U64" s="98">
        <v>15260</v>
      </c>
      <c r="V64" s="99">
        <f t="shared" si="8"/>
        <v>2899.4</v>
      </c>
      <c r="W64" s="99">
        <f t="shared" si="9"/>
        <v>18159.400000000001</v>
      </c>
      <c r="X64" s="99">
        <f t="shared" si="10"/>
        <v>6867000</v>
      </c>
      <c r="Y64" s="99">
        <f t="shared" si="11"/>
        <v>8171730.0000000009</v>
      </c>
      <c r="Z64" s="100">
        <f t="shared" si="19"/>
        <v>19936.466666666667</v>
      </c>
      <c r="AA64" s="100">
        <f t="shared" si="20"/>
        <v>8971410</v>
      </c>
      <c r="AB64" s="78">
        <f t="shared" si="21"/>
        <v>742499.92545454123</v>
      </c>
      <c r="AC64" s="102">
        <f t="shared" si="24"/>
        <v>8.2762901868774386E-2</v>
      </c>
      <c r="AD64" s="5"/>
      <c r="AF64" s="7" t="s">
        <v>173</v>
      </c>
      <c r="AG64" s="7">
        <v>53</v>
      </c>
      <c r="AH64" s="7" t="s">
        <v>383</v>
      </c>
      <c r="BG64" s="7">
        <v>67</v>
      </c>
      <c r="DA64" s="7" t="e">
        <f>VLOOKUP(C64,listaBolsa!$D$2:$BA$248,1,0)</f>
        <v>#N/A</v>
      </c>
      <c r="DB64" s="7" t="e">
        <f>VLOOKUP(C64,listaBolsa!$D$2:$BA$248,2,0)</f>
        <v>#N/A</v>
      </c>
      <c r="DC64" s="7" t="e">
        <f>VLOOKUP(C64,listaBolsa!$D$2:$BA$248,10,0)</f>
        <v>#N/A</v>
      </c>
      <c r="DD64" s="7" t="e">
        <f>VLOOKUP(C64,listaBolsa!$D$2:$BA$248,14,0)</f>
        <v>#N/A</v>
      </c>
      <c r="DE64" s="7" t="e">
        <f>VLOOKUP(C64,listaBolsa!$D$2:$BA$248,23,0)</f>
        <v>#N/A</v>
      </c>
      <c r="DF64" s="7" t="e">
        <f>VLOOKUP(C64,listaBolsa!$D$2:$BA$248,29,0)</f>
        <v>#N/A</v>
      </c>
      <c r="DG64" s="7" t="e">
        <f>VLOOKUP(C64,listaBolsa!$D$2:$BA$248,36,0)</f>
        <v>#N/A</v>
      </c>
      <c r="DH64" s="7" t="e">
        <f>VLOOKUP(C64,listaBolsa!$D$2:$BA$248,40,0)</f>
        <v>#N/A</v>
      </c>
      <c r="DI64" s="7" t="e">
        <f>VLOOKUP(C64,listaBolsa!$D$2:$BA$248,48,0)</f>
        <v>#N/A</v>
      </c>
      <c r="DJ64" s="7" t="e">
        <f t="shared" si="25"/>
        <v>#N/A</v>
      </c>
      <c r="DK64" s="7" t="e">
        <f t="shared" si="25"/>
        <v>#N/A</v>
      </c>
      <c r="DL64" s="7" t="e">
        <f t="shared" si="26"/>
        <v>#N/A</v>
      </c>
      <c r="DM64" s="7" t="e">
        <f t="shared" si="26"/>
        <v>#N/A</v>
      </c>
      <c r="DN64" s="7" t="e">
        <f t="shared" si="27"/>
        <v>#N/A</v>
      </c>
      <c r="DO64" s="7" t="e">
        <f t="shared" si="27"/>
        <v>#N/A</v>
      </c>
      <c r="DP64" s="7" t="e">
        <f t="shared" si="28"/>
        <v>#N/A</v>
      </c>
      <c r="DQ64" s="7" t="e">
        <f t="shared" si="28"/>
        <v>#N/A</v>
      </c>
      <c r="DR64" s="7" t="e">
        <f t="shared" si="17"/>
        <v>#N/A</v>
      </c>
    </row>
    <row r="65" spans="1:122" s="7" customFormat="1" ht="105" customHeight="1">
      <c r="A65" s="75">
        <f t="shared" si="18"/>
        <v>54</v>
      </c>
      <c r="B65" s="199" t="s">
        <v>309</v>
      </c>
      <c r="C65" s="95" t="s">
        <v>384</v>
      </c>
      <c r="D65" s="186" t="s">
        <v>385</v>
      </c>
      <c r="E65" s="111" t="s">
        <v>191</v>
      </c>
      <c r="F65" s="112">
        <v>6</v>
      </c>
      <c r="G65" s="75" t="s">
        <v>192</v>
      </c>
      <c r="H65" s="106" t="s">
        <v>386</v>
      </c>
      <c r="I65" s="107">
        <v>8907.5630252100837</v>
      </c>
      <c r="J65" s="96">
        <f t="shared" si="0"/>
        <v>1692.4369747899159</v>
      </c>
      <c r="K65" s="96">
        <f t="shared" si="1"/>
        <v>10600</v>
      </c>
      <c r="L65" s="96">
        <f t="shared" si="2"/>
        <v>53445.378151260506</v>
      </c>
      <c r="M65" s="96">
        <f t="shared" si="3"/>
        <v>63600</v>
      </c>
      <c r="N65" s="108" t="s">
        <v>387</v>
      </c>
      <c r="O65" s="109">
        <v>12605.042016806719</v>
      </c>
      <c r="P65" s="110">
        <f t="shared" si="22"/>
        <v>2394.9579831932765</v>
      </c>
      <c r="Q65" s="110">
        <f t="shared" si="5"/>
        <v>14999.999999999996</v>
      </c>
      <c r="R65" s="110">
        <f t="shared" si="6"/>
        <v>75630.252100840313</v>
      </c>
      <c r="S65" s="110">
        <f t="shared" si="7"/>
        <v>89999.999999999971</v>
      </c>
      <c r="T65" s="97" t="s">
        <v>388</v>
      </c>
      <c r="U65" s="98">
        <v>10504.20168067227</v>
      </c>
      <c r="V65" s="99">
        <f t="shared" si="8"/>
        <v>1995.7983193277312</v>
      </c>
      <c r="W65" s="99">
        <f t="shared" si="9"/>
        <v>12500</v>
      </c>
      <c r="X65" s="99">
        <f t="shared" si="10"/>
        <v>63025.210084033621</v>
      </c>
      <c r="Y65" s="99">
        <f t="shared" si="11"/>
        <v>75000</v>
      </c>
      <c r="Z65" s="100">
        <f t="shared" si="19"/>
        <v>12700</v>
      </c>
      <c r="AA65" s="100">
        <f t="shared" si="20"/>
        <v>76200</v>
      </c>
      <c r="AB65" s="78">
        <f t="shared" si="21"/>
        <v>13240.845894428347</v>
      </c>
      <c r="AC65" s="102">
        <f t="shared" si="24"/>
        <v>0.17376438181664497</v>
      </c>
      <c r="AD65" s="5"/>
      <c r="AF65" s="7" t="s">
        <v>173</v>
      </c>
      <c r="AG65" s="7">
        <v>54</v>
      </c>
      <c r="AH65" s="7" t="s">
        <v>389</v>
      </c>
      <c r="BG65" s="7">
        <v>68</v>
      </c>
      <c r="DA65" s="7" t="e">
        <f>VLOOKUP(C65,listaBolsa!$D$2:$BA$248,1,0)</f>
        <v>#N/A</v>
      </c>
      <c r="DB65" s="7" t="e">
        <f>VLOOKUP(C65,listaBolsa!$D$2:$BA$248,2,0)</f>
        <v>#N/A</v>
      </c>
      <c r="DC65" s="7" t="e">
        <f>VLOOKUP(C65,listaBolsa!$D$2:$BA$248,10,0)</f>
        <v>#N/A</v>
      </c>
      <c r="DD65" s="7" t="e">
        <f>VLOOKUP(C65,listaBolsa!$D$2:$BA$248,14,0)</f>
        <v>#N/A</v>
      </c>
      <c r="DE65" s="7" t="e">
        <f>VLOOKUP(C65,listaBolsa!$D$2:$BA$248,23,0)</f>
        <v>#N/A</v>
      </c>
      <c r="DF65" s="7" t="e">
        <f>VLOOKUP(C65,listaBolsa!$D$2:$BA$248,29,0)</f>
        <v>#N/A</v>
      </c>
      <c r="DG65" s="7" t="e">
        <f>VLOOKUP(C65,listaBolsa!$D$2:$BA$248,36,0)</f>
        <v>#N/A</v>
      </c>
      <c r="DH65" s="7" t="e">
        <f>VLOOKUP(C65,listaBolsa!$D$2:$BA$248,40,0)</f>
        <v>#N/A</v>
      </c>
      <c r="DI65" s="7" t="e">
        <f>VLOOKUP(C65,listaBolsa!$D$2:$BA$248,48,0)</f>
        <v>#N/A</v>
      </c>
      <c r="DJ65" s="7" t="e">
        <f t="shared" si="25"/>
        <v>#N/A</v>
      </c>
      <c r="DK65" s="7" t="e">
        <f t="shared" si="25"/>
        <v>#N/A</v>
      </c>
      <c r="DL65" s="7" t="e">
        <f t="shared" si="26"/>
        <v>#N/A</v>
      </c>
      <c r="DM65" s="7" t="e">
        <f t="shared" si="26"/>
        <v>#N/A</v>
      </c>
      <c r="DN65" s="7" t="e">
        <f t="shared" si="27"/>
        <v>#N/A</v>
      </c>
      <c r="DO65" s="7" t="e">
        <f t="shared" si="27"/>
        <v>#N/A</v>
      </c>
      <c r="DP65" s="7" t="e">
        <f t="shared" si="28"/>
        <v>#N/A</v>
      </c>
      <c r="DQ65" s="7" t="e">
        <f t="shared" si="28"/>
        <v>#N/A</v>
      </c>
      <c r="DR65" s="7" t="e">
        <f t="shared" si="17"/>
        <v>#N/A</v>
      </c>
    </row>
    <row r="66" spans="1:122" s="7" customFormat="1" ht="147" customHeight="1">
      <c r="A66" s="75">
        <f t="shared" si="18"/>
        <v>55</v>
      </c>
      <c r="B66" s="199" t="s">
        <v>309</v>
      </c>
      <c r="C66" s="186" t="s">
        <v>390</v>
      </c>
      <c r="D66" s="216" t="s">
        <v>391</v>
      </c>
      <c r="E66" s="111" t="s">
        <v>191</v>
      </c>
      <c r="F66" s="112">
        <v>150</v>
      </c>
      <c r="G66" s="75" t="s">
        <v>192</v>
      </c>
      <c r="H66" s="106" t="s">
        <v>193</v>
      </c>
      <c r="I66" s="107">
        <v>38000</v>
      </c>
      <c r="J66" s="96">
        <f t="shared" si="0"/>
        <v>7220</v>
      </c>
      <c r="K66" s="96">
        <f t="shared" si="1"/>
        <v>45220</v>
      </c>
      <c r="L66" s="96">
        <f t="shared" si="2"/>
        <v>5700000</v>
      </c>
      <c r="M66" s="96">
        <f t="shared" si="3"/>
        <v>6783000</v>
      </c>
      <c r="N66" s="108" t="s">
        <v>194</v>
      </c>
      <c r="O66" s="109">
        <v>38000</v>
      </c>
      <c r="P66" s="110">
        <f t="shared" si="22"/>
        <v>7220</v>
      </c>
      <c r="Q66" s="110">
        <f t="shared" si="5"/>
        <v>45220</v>
      </c>
      <c r="R66" s="110">
        <f t="shared" si="6"/>
        <v>5700000</v>
      </c>
      <c r="S66" s="110">
        <f t="shared" si="7"/>
        <v>6783000</v>
      </c>
      <c r="T66" s="97" t="s">
        <v>392</v>
      </c>
      <c r="U66" s="98">
        <v>26806.722689075628</v>
      </c>
      <c r="V66" s="99">
        <f t="shared" si="8"/>
        <v>5093.2773109243699</v>
      </c>
      <c r="W66" s="99">
        <f t="shared" si="9"/>
        <v>31900</v>
      </c>
      <c r="X66" s="99">
        <f t="shared" si="10"/>
        <v>4021008.4033613442</v>
      </c>
      <c r="Y66" s="99">
        <f t="shared" si="11"/>
        <v>4785000</v>
      </c>
      <c r="Z66" s="100">
        <f t="shared" si="19"/>
        <v>40780</v>
      </c>
      <c r="AA66" s="100">
        <f t="shared" si="20"/>
        <v>6117000</v>
      </c>
      <c r="AB66" s="78">
        <f t="shared" si="21"/>
        <v>1153545.8378408724</v>
      </c>
      <c r="AC66" s="102">
        <f t="shared" si="24"/>
        <v>0.18858032333511074</v>
      </c>
      <c r="AD66" s="5"/>
      <c r="AF66" s="7" t="s">
        <v>173</v>
      </c>
      <c r="AG66" s="7">
        <v>55</v>
      </c>
      <c r="AH66" s="7" t="s">
        <v>393</v>
      </c>
      <c r="BG66" s="7">
        <v>69</v>
      </c>
      <c r="DA66" s="7" t="e">
        <f>VLOOKUP(C66,listaBolsa!$D$2:$BA$248,1,0)</f>
        <v>#N/A</v>
      </c>
      <c r="DB66" s="7" t="e">
        <f>VLOOKUP(C66,listaBolsa!$D$2:$BA$248,2,0)</f>
        <v>#N/A</v>
      </c>
      <c r="DC66" s="7" t="e">
        <f>VLOOKUP(C66,listaBolsa!$D$2:$BA$248,10,0)</f>
        <v>#N/A</v>
      </c>
      <c r="DD66" s="7" t="e">
        <f>VLOOKUP(C66,listaBolsa!$D$2:$BA$248,14,0)</f>
        <v>#N/A</v>
      </c>
      <c r="DE66" s="7" t="e">
        <f>VLOOKUP(C66,listaBolsa!$D$2:$BA$248,23,0)</f>
        <v>#N/A</v>
      </c>
      <c r="DF66" s="7" t="e">
        <f>VLOOKUP(C66,listaBolsa!$D$2:$BA$248,29,0)</f>
        <v>#N/A</v>
      </c>
      <c r="DG66" s="7" t="e">
        <f>VLOOKUP(C66,listaBolsa!$D$2:$BA$248,36,0)</f>
        <v>#N/A</v>
      </c>
      <c r="DH66" s="7" t="e">
        <f>VLOOKUP(C66,listaBolsa!$D$2:$BA$248,40,0)</f>
        <v>#N/A</v>
      </c>
      <c r="DI66" s="7" t="e">
        <f>VLOOKUP(C66,listaBolsa!$D$2:$BA$248,48,0)</f>
        <v>#N/A</v>
      </c>
      <c r="DJ66" s="7" t="e">
        <f t="shared" si="25"/>
        <v>#N/A</v>
      </c>
      <c r="DK66" s="7" t="e">
        <f t="shared" si="25"/>
        <v>#N/A</v>
      </c>
      <c r="DL66" s="7" t="e">
        <f t="shared" si="26"/>
        <v>#N/A</v>
      </c>
      <c r="DM66" s="7" t="e">
        <f t="shared" si="26"/>
        <v>#N/A</v>
      </c>
      <c r="DN66" s="7" t="e">
        <f t="shared" si="27"/>
        <v>#N/A</v>
      </c>
      <c r="DO66" s="7" t="e">
        <f t="shared" si="27"/>
        <v>#N/A</v>
      </c>
      <c r="DP66" s="7" t="e">
        <f t="shared" si="28"/>
        <v>#N/A</v>
      </c>
      <c r="DQ66" s="7" t="e">
        <f t="shared" si="28"/>
        <v>#N/A</v>
      </c>
      <c r="DR66" s="7" t="e">
        <f t="shared" si="17"/>
        <v>#N/A</v>
      </c>
    </row>
    <row r="67" spans="1:122" s="7" customFormat="1" ht="105" customHeight="1">
      <c r="A67" s="75">
        <f t="shared" si="18"/>
        <v>56</v>
      </c>
      <c r="B67" s="199" t="s">
        <v>309</v>
      </c>
      <c r="C67" s="95" t="s">
        <v>394</v>
      </c>
      <c r="D67" s="186" t="s">
        <v>395</v>
      </c>
      <c r="E67" s="111" t="s">
        <v>191</v>
      </c>
      <c r="F67" s="112">
        <v>8</v>
      </c>
      <c r="G67" s="75" t="s">
        <v>192</v>
      </c>
      <c r="H67" s="106" t="s">
        <v>193</v>
      </c>
      <c r="I67" s="107">
        <v>35000</v>
      </c>
      <c r="J67" s="96">
        <f t="shared" si="0"/>
        <v>6650</v>
      </c>
      <c r="K67" s="96">
        <f t="shared" si="1"/>
        <v>41650</v>
      </c>
      <c r="L67" s="96">
        <f t="shared" si="2"/>
        <v>280000</v>
      </c>
      <c r="M67" s="96">
        <f t="shared" si="3"/>
        <v>333200</v>
      </c>
      <c r="N67" s="108" t="s">
        <v>194</v>
      </c>
      <c r="O67" s="109">
        <v>35000</v>
      </c>
      <c r="P67" s="110">
        <f t="shared" si="22"/>
        <v>6650</v>
      </c>
      <c r="Q67" s="110">
        <f t="shared" si="5"/>
        <v>41650</v>
      </c>
      <c r="R67" s="110">
        <f t="shared" si="6"/>
        <v>280000</v>
      </c>
      <c r="S67" s="110">
        <f t="shared" si="7"/>
        <v>333200</v>
      </c>
      <c r="T67" s="97" t="s">
        <v>230</v>
      </c>
      <c r="U67" s="98">
        <v>32900</v>
      </c>
      <c r="V67" s="99">
        <f t="shared" si="8"/>
        <v>6251</v>
      </c>
      <c r="W67" s="99">
        <f t="shared" si="9"/>
        <v>39151</v>
      </c>
      <c r="X67" s="99">
        <f t="shared" si="10"/>
        <v>263200</v>
      </c>
      <c r="Y67" s="99">
        <f t="shared" si="11"/>
        <v>313208</v>
      </c>
      <c r="Z67" s="100">
        <f t="shared" si="19"/>
        <v>40817</v>
      </c>
      <c r="AA67" s="100">
        <f t="shared" si="20"/>
        <v>326536</v>
      </c>
      <c r="AB67" s="78">
        <f t="shared" si="21"/>
        <v>11542.386581638999</v>
      </c>
      <c r="AC67" s="102">
        <f t="shared" si="24"/>
        <v>3.5347975664670968E-2</v>
      </c>
      <c r="AD67" s="5"/>
      <c r="AF67" s="7" t="s">
        <v>173</v>
      </c>
      <c r="AG67" s="7">
        <v>56</v>
      </c>
      <c r="AH67" s="7" t="s">
        <v>396</v>
      </c>
      <c r="BG67" s="7">
        <v>70</v>
      </c>
      <c r="DA67" s="7" t="e">
        <f>VLOOKUP(C67,listaBolsa!$D$2:$BA$248,1,0)</f>
        <v>#N/A</v>
      </c>
      <c r="DB67" s="7" t="e">
        <f>VLOOKUP(C67,listaBolsa!$D$2:$BA$248,2,0)</f>
        <v>#N/A</v>
      </c>
      <c r="DC67" s="7" t="e">
        <f>VLOOKUP(C67,listaBolsa!$D$2:$BA$248,10,0)</f>
        <v>#N/A</v>
      </c>
      <c r="DD67" s="7" t="e">
        <f>VLOOKUP(C67,listaBolsa!$D$2:$BA$248,14,0)</f>
        <v>#N/A</v>
      </c>
      <c r="DE67" s="7" t="e">
        <f>VLOOKUP(C67,listaBolsa!$D$2:$BA$248,23,0)</f>
        <v>#N/A</v>
      </c>
      <c r="DF67" s="7" t="e">
        <f>VLOOKUP(C67,listaBolsa!$D$2:$BA$248,29,0)</f>
        <v>#N/A</v>
      </c>
      <c r="DG67" s="7" t="e">
        <f>VLOOKUP(C67,listaBolsa!$D$2:$BA$248,36,0)</f>
        <v>#N/A</v>
      </c>
      <c r="DH67" s="7" t="e">
        <f>VLOOKUP(C67,listaBolsa!$D$2:$BA$248,40,0)</f>
        <v>#N/A</v>
      </c>
      <c r="DI67" s="7" t="e">
        <f>VLOOKUP(C67,listaBolsa!$D$2:$BA$248,48,0)</f>
        <v>#N/A</v>
      </c>
      <c r="DJ67" s="7" t="e">
        <f t="shared" si="25"/>
        <v>#N/A</v>
      </c>
      <c r="DK67" s="7" t="e">
        <f t="shared" si="25"/>
        <v>#N/A</v>
      </c>
      <c r="DL67" s="7" t="e">
        <f t="shared" si="26"/>
        <v>#N/A</v>
      </c>
      <c r="DM67" s="7" t="e">
        <f t="shared" si="26"/>
        <v>#N/A</v>
      </c>
      <c r="DN67" s="7" t="e">
        <f t="shared" si="27"/>
        <v>#N/A</v>
      </c>
      <c r="DO67" s="7" t="e">
        <f t="shared" si="27"/>
        <v>#N/A</v>
      </c>
      <c r="DP67" s="7" t="e">
        <f t="shared" si="28"/>
        <v>#N/A</v>
      </c>
      <c r="DQ67" s="7" t="e">
        <f t="shared" si="28"/>
        <v>#N/A</v>
      </c>
      <c r="DR67" s="7" t="e">
        <f t="shared" si="17"/>
        <v>#N/A</v>
      </c>
    </row>
    <row r="68" spans="1:122" s="7" customFormat="1" ht="105" customHeight="1">
      <c r="A68" s="75">
        <f t="shared" si="18"/>
        <v>57</v>
      </c>
      <c r="B68" s="199" t="s">
        <v>309</v>
      </c>
      <c r="C68" s="95" t="s">
        <v>397</v>
      </c>
      <c r="D68" s="186" t="s">
        <v>398</v>
      </c>
      <c r="E68" s="111" t="s">
        <v>244</v>
      </c>
      <c r="F68" s="112">
        <v>8</v>
      </c>
      <c r="G68" s="75" t="s">
        <v>192</v>
      </c>
      <c r="H68" s="106" t="s">
        <v>399</v>
      </c>
      <c r="I68" s="107">
        <v>6386.5546218487398</v>
      </c>
      <c r="J68" s="96">
        <f t="shared" si="0"/>
        <v>1213.4453781512607</v>
      </c>
      <c r="K68" s="96">
        <f t="shared" si="1"/>
        <v>7600</v>
      </c>
      <c r="L68" s="96">
        <f t="shared" si="2"/>
        <v>51092.436974789918</v>
      </c>
      <c r="M68" s="96">
        <f t="shared" si="3"/>
        <v>60800</v>
      </c>
      <c r="N68" s="108" t="s">
        <v>245</v>
      </c>
      <c r="O68" s="109">
        <v>8000</v>
      </c>
      <c r="P68" s="110">
        <f t="shared" si="22"/>
        <v>1520</v>
      </c>
      <c r="Q68" s="110">
        <f t="shared" si="5"/>
        <v>9520</v>
      </c>
      <c r="R68" s="110">
        <f t="shared" si="6"/>
        <v>64000</v>
      </c>
      <c r="S68" s="110">
        <f t="shared" si="7"/>
        <v>76160</v>
      </c>
      <c r="T68" s="97" t="s">
        <v>365</v>
      </c>
      <c r="U68" s="98">
        <v>7563.0252100840344</v>
      </c>
      <c r="V68" s="99">
        <f t="shared" si="8"/>
        <v>1436.9747899159665</v>
      </c>
      <c r="W68" s="99">
        <f t="shared" si="9"/>
        <v>9000</v>
      </c>
      <c r="X68" s="99">
        <f t="shared" si="10"/>
        <v>60504.201680672275</v>
      </c>
      <c r="Y68" s="99">
        <f t="shared" si="11"/>
        <v>72000</v>
      </c>
      <c r="Z68" s="100">
        <f t="shared" si="19"/>
        <v>8706.6666666666661</v>
      </c>
      <c r="AA68" s="100">
        <f t="shared" si="20"/>
        <v>69653.333333333328</v>
      </c>
      <c r="AB68" s="78">
        <f t="shared" si="21"/>
        <v>7944.3397040492509</v>
      </c>
      <c r="AC68" s="102">
        <f t="shared" si="24"/>
        <v>0.11405541305583726</v>
      </c>
      <c r="AD68" s="5"/>
      <c r="AF68" s="7" t="s">
        <v>173</v>
      </c>
      <c r="AG68" s="7">
        <v>57</v>
      </c>
      <c r="AH68" s="7" t="s">
        <v>400</v>
      </c>
      <c r="BG68" s="7">
        <v>71</v>
      </c>
      <c r="DA68" s="7" t="e">
        <f>VLOOKUP(C68,listaBolsa!$D$2:$BA$248,1,0)</f>
        <v>#N/A</v>
      </c>
      <c r="DB68" s="7" t="e">
        <f>VLOOKUP(C68,listaBolsa!$D$2:$BA$248,2,0)</f>
        <v>#N/A</v>
      </c>
      <c r="DC68" s="7" t="e">
        <f>VLOOKUP(C68,listaBolsa!$D$2:$BA$248,10,0)</f>
        <v>#N/A</v>
      </c>
      <c r="DD68" s="7" t="e">
        <f>VLOOKUP(C68,listaBolsa!$D$2:$BA$248,14,0)</f>
        <v>#N/A</v>
      </c>
      <c r="DE68" s="7" t="e">
        <f>VLOOKUP(C68,listaBolsa!$D$2:$BA$248,23,0)</f>
        <v>#N/A</v>
      </c>
      <c r="DF68" s="7" t="e">
        <f>VLOOKUP(C68,listaBolsa!$D$2:$BA$248,29,0)</f>
        <v>#N/A</v>
      </c>
      <c r="DG68" s="7" t="e">
        <f>VLOOKUP(C68,listaBolsa!$D$2:$BA$248,36,0)</f>
        <v>#N/A</v>
      </c>
      <c r="DH68" s="7" t="e">
        <f>VLOOKUP(C68,listaBolsa!$D$2:$BA$248,40,0)</f>
        <v>#N/A</v>
      </c>
      <c r="DI68" s="7" t="e">
        <f>VLOOKUP(C68,listaBolsa!$D$2:$BA$248,48,0)</f>
        <v>#N/A</v>
      </c>
      <c r="DJ68" s="7" t="e">
        <f t="shared" si="25"/>
        <v>#N/A</v>
      </c>
      <c r="DK68" s="7" t="e">
        <f t="shared" si="25"/>
        <v>#N/A</v>
      </c>
      <c r="DL68" s="7" t="e">
        <f t="shared" si="26"/>
        <v>#N/A</v>
      </c>
      <c r="DM68" s="7" t="e">
        <f t="shared" si="26"/>
        <v>#N/A</v>
      </c>
      <c r="DN68" s="7" t="e">
        <f t="shared" si="27"/>
        <v>#N/A</v>
      </c>
      <c r="DO68" s="7" t="e">
        <f t="shared" si="27"/>
        <v>#N/A</v>
      </c>
      <c r="DP68" s="7" t="e">
        <f t="shared" si="28"/>
        <v>#N/A</v>
      </c>
      <c r="DQ68" s="7" t="e">
        <f t="shared" si="28"/>
        <v>#N/A</v>
      </c>
      <c r="DR68" s="7" t="e">
        <f t="shared" si="17"/>
        <v>#N/A</v>
      </c>
    </row>
    <row r="69" spans="1:122" s="7" customFormat="1" ht="105" customHeight="1">
      <c r="A69" s="75">
        <f t="shared" si="18"/>
        <v>58</v>
      </c>
      <c r="B69" s="199" t="s">
        <v>309</v>
      </c>
      <c r="C69" s="95" t="s">
        <v>401</v>
      </c>
      <c r="D69" s="186" t="s">
        <v>402</v>
      </c>
      <c r="E69" s="111" t="s">
        <v>403</v>
      </c>
      <c r="F69" s="112">
        <v>200</v>
      </c>
      <c r="G69" s="75" t="s">
        <v>192</v>
      </c>
      <c r="H69" s="106" t="s">
        <v>193</v>
      </c>
      <c r="I69" s="107">
        <v>8300</v>
      </c>
      <c r="J69" s="96">
        <f t="shared" si="0"/>
        <v>1577</v>
      </c>
      <c r="K69" s="96">
        <f t="shared" si="1"/>
        <v>9877</v>
      </c>
      <c r="L69" s="96">
        <f t="shared" si="2"/>
        <v>1660000</v>
      </c>
      <c r="M69" s="96">
        <f t="shared" si="3"/>
        <v>1975400</v>
      </c>
      <c r="N69" s="108" t="s">
        <v>194</v>
      </c>
      <c r="O69" s="109">
        <v>8300</v>
      </c>
      <c r="P69" s="110">
        <f t="shared" si="22"/>
        <v>1577</v>
      </c>
      <c r="Q69" s="110">
        <f t="shared" si="5"/>
        <v>9877</v>
      </c>
      <c r="R69" s="110">
        <f t="shared" si="6"/>
        <v>1660000</v>
      </c>
      <c r="S69" s="110">
        <f t="shared" si="7"/>
        <v>1975400</v>
      </c>
      <c r="T69" s="97" t="s">
        <v>404</v>
      </c>
      <c r="U69" s="98">
        <v>9075.6302521008402</v>
      </c>
      <c r="V69" s="99">
        <f t="shared" si="8"/>
        <v>1724.3697478991596</v>
      </c>
      <c r="W69" s="99">
        <f t="shared" si="9"/>
        <v>10800</v>
      </c>
      <c r="X69" s="99">
        <f t="shared" si="10"/>
        <v>1815126.0504201681</v>
      </c>
      <c r="Y69" s="99">
        <f t="shared" si="11"/>
        <v>2160000</v>
      </c>
      <c r="Z69" s="100">
        <f t="shared" si="19"/>
        <v>10184.666666666666</v>
      </c>
      <c r="AA69" s="100">
        <f t="shared" si="20"/>
        <v>2036933.3333333333</v>
      </c>
      <c r="AB69" s="78">
        <f t="shared" si="21"/>
        <v>106578.85969240492</v>
      </c>
      <c r="AC69" s="102">
        <f t="shared" si="24"/>
        <v>5.2323194848009222E-2</v>
      </c>
      <c r="AD69" s="5"/>
      <c r="AF69" s="7" t="s">
        <v>173</v>
      </c>
      <c r="AG69" s="7">
        <v>58</v>
      </c>
      <c r="AH69" s="7" t="s">
        <v>405</v>
      </c>
      <c r="BG69" s="7">
        <v>72</v>
      </c>
      <c r="DA69" s="7" t="e">
        <f>VLOOKUP(C69,listaBolsa!$D$2:$BA$248,1,0)</f>
        <v>#N/A</v>
      </c>
      <c r="DB69" s="7" t="e">
        <f>VLOOKUP(C69,listaBolsa!$D$2:$BA$248,2,0)</f>
        <v>#N/A</v>
      </c>
      <c r="DC69" s="7" t="e">
        <f>VLOOKUP(C69,listaBolsa!$D$2:$BA$248,10,0)</f>
        <v>#N/A</v>
      </c>
      <c r="DD69" s="7" t="e">
        <f>VLOOKUP(C69,listaBolsa!$D$2:$BA$248,14,0)</f>
        <v>#N/A</v>
      </c>
      <c r="DE69" s="7" t="e">
        <f>VLOOKUP(C69,listaBolsa!$D$2:$BA$248,23,0)</f>
        <v>#N/A</v>
      </c>
      <c r="DF69" s="7" t="e">
        <f>VLOOKUP(C69,listaBolsa!$D$2:$BA$248,29,0)</f>
        <v>#N/A</v>
      </c>
      <c r="DG69" s="7" t="e">
        <f>VLOOKUP(C69,listaBolsa!$D$2:$BA$248,36,0)</f>
        <v>#N/A</v>
      </c>
      <c r="DH69" s="7" t="e">
        <f>VLOOKUP(C69,listaBolsa!$D$2:$BA$248,40,0)</f>
        <v>#N/A</v>
      </c>
      <c r="DI69" s="7" t="e">
        <f>VLOOKUP(C69,listaBolsa!$D$2:$BA$248,48,0)</f>
        <v>#N/A</v>
      </c>
      <c r="DJ69" s="7" t="e">
        <f t="shared" si="25"/>
        <v>#N/A</v>
      </c>
      <c r="DK69" s="7" t="e">
        <f t="shared" si="25"/>
        <v>#N/A</v>
      </c>
      <c r="DL69" s="7" t="e">
        <f t="shared" si="26"/>
        <v>#N/A</v>
      </c>
      <c r="DM69" s="7" t="e">
        <f t="shared" si="26"/>
        <v>#N/A</v>
      </c>
      <c r="DN69" s="7" t="e">
        <f t="shared" si="27"/>
        <v>#N/A</v>
      </c>
      <c r="DO69" s="7" t="e">
        <f t="shared" si="27"/>
        <v>#N/A</v>
      </c>
      <c r="DP69" s="7" t="e">
        <f t="shared" si="28"/>
        <v>#N/A</v>
      </c>
      <c r="DQ69" s="7" t="e">
        <f t="shared" si="28"/>
        <v>#N/A</v>
      </c>
      <c r="DR69" s="7" t="e">
        <f t="shared" si="17"/>
        <v>#N/A</v>
      </c>
    </row>
    <row r="70" spans="1:122" s="7" customFormat="1" ht="105" customHeight="1">
      <c r="A70" s="75">
        <f t="shared" si="18"/>
        <v>59</v>
      </c>
      <c r="B70" s="199" t="s">
        <v>309</v>
      </c>
      <c r="C70" s="95" t="s">
        <v>406</v>
      </c>
      <c r="D70" s="186" t="s">
        <v>407</v>
      </c>
      <c r="E70" s="111" t="s">
        <v>191</v>
      </c>
      <c r="F70" s="112">
        <v>10</v>
      </c>
      <c r="G70" s="75" t="s">
        <v>192</v>
      </c>
      <c r="H70" s="106" t="s">
        <v>245</v>
      </c>
      <c r="I70" s="107">
        <v>25000</v>
      </c>
      <c r="J70" s="96">
        <f t="shared" si="0"/>
        <v>4750</v>
      </c>
      <c r="K70" s="96">
        <f t="shared" si="1"/>
        <v>29750</v>
      </c>
      <c r="L70" s="96">
        <f t="shared" si="2"/>
        <v>250000</v>
      </c>
      <c r="M70" s="96">
        <f t="shared" si="3"/>
        <v>297500</v>
      </c>
      <c r="N70" s="108" t="s">
        <v>194</v>
      </c>
      <c r="O70" s="109">
        <v>23000</v>
      </c>
      <c r="P70" s="110">
        <f t="shared" si="22"/>
        <v>4370</v>
      </c>
      <c r="Q70" s="110">
        <f t="shared" si="5"/>
        <v>27370</v>
      </c>
      <c r="R70" s="110">
        <f t="shared" si="6"/>
        <v>230000</v>
      </c>
      <c r="S70" s="110">
        <f t="shared" si="7"/>
        <v>273700</v>
      </c>
      <c r="T70" s="97" t="s">
        <v>408</v>
      </c>
      <c r="U70" s="98">
        <v>25168.067226890758</v>
      </c>
      <c r="V70" s="99">
        <f t="shared" si="8"/>
        <v>4781.9327731092444</v>
      </c>
      <c r="W70" s="99">
        <f t="shared" si="9"/>
        <v>29950.000000000004</v>
      </c>
      <c r="X70" s="99">
        <f t="shared" si="10"/>
        <v>251680.6722689076</v>
      </c>
      <c r="Y70" s="99">
        <f t="shared" si="11"/>
        <v>299500.00000000006</v>
      </c>
      <c r="Z70" s="100">
        <f t="shared" si="19"/>
        <v>29023.333333333332</v>
      </c>
      <c r="AA70" s="100">
        <f t="shared" si="20"/>
        <v>290233.33333333331</v>
      </c>
      <c r="AB70" s="78">
        <f t="shared" si="21"/>
        <v>14353.164575567782</v>
      </c>
      <c r="AC70" s="102">
        <f t="shared" si="24"/>
        <v>4.9453880471693294E-2</v>
      </c>
      <c r="AD70" s="5"/>
      <c r="AF70" s="7" t="s">
        <v>173</v>
      </c>
      <c r="AG70" s="7">
        <v>59</v>
      </c>
      <c r="AH70" s="7" t="s">
        <v>409</v>
      </c>
      <c r="BG70" s="7">
        <v>73</v>
      </c>
      <c r="DA70" s="7" t="e">
        <f>VLOOKUP(C70,listaBolsa!$D$2:$BA$248,1,0)</f>
        <v>#N/A</v>
      </c>
      <c r="DB70" s="7" t="e">
        <f>VLOOKUP(C70,listaBolsa!$D$2:$BA$248,2,0)</f>
        <v>#N/A</v>
      </c>
      <c r="DC70" s="7" t="e">
        <f>VLOOKUP(C70,listaBolsa!$D$2:$BA$248,10,0)</f>
        <v>#N/A</v>
      </c>
      <c r="DD70" s="7" t="e">
        <f>VLOOKUP(C70,listaBolsa!$D$2:$BA$248,14,0)</f>
        <v>#N/A</v>
      </c>
      <c r="DE70" s="7" t="e">
        <f>VLOOKUP(C70,listaBolsa!$D$2:$BA$248,23,0)</f>
        <v>#N/A</v>
      </c>
      <c r="DF70" s="7" t="e">
        <f>VLOOKUP(C70,listaBolsa!$D$2:$BA$248,29,0)</f>
        <v>#N/A</v>
      </c>
      <c r="DG70" s="7" t="e">
        <f>VLOOKUP(C70,listaBolsa!$D$2:$BA$248,36,0)</f>
        <v>#N/A</v>
      </c>
      <c r="DH70" s="7" t="e">
        <f>VLOOKUP(C70,listaBolsa!$D$2:$BA$248,40,0)</f>
        <v>#N/A</v>
      </c>
      <c r="DI70" s="7" t="e">
        <f>VLOOKUP(C70,listaBolsa!$D$2:$BA$248,48,0)</f>
        <v>#N/A</v>
      </c>
      <c r="DJ70" s="7" t="e">
        <f t="shared" si="25"/>
        <v>#N/A</v>
      </c>
      <c r="DK70" s="7" t="e">
        <f t="shared" si="25"/>
        <v>#N/A</v>
      </c>
      <c r="DL70" s="7" t="e">
        <f t="shared" si="26"/>
        <v>#N/A</v>
      </c>
      <c r="DM70" s="7" t="e">
        <f t="shared" si="26"/>
        <v>#N/A</v>
      </c>
      <c r="DN70" s="7" t="e">
        <f t="shared" si="27"/>
        <v>#N/A</v>
      </c>
      <c r="DO70" s="7" t="e">
        <f t="shared" si="27"/>
        <v>#N/A</v>
      </c>
      <c r="DP70" s="7" t="e">
        <f t="shared" si="28"/>
        <v>#N/A</v>
      </c>
      <c r="DQ70" s="7" t="e">
        <f t="shared" si="28"/>
        <v>#N/A</v>
      </c>
      <c r="DR70" s="7" t="e">
        <f t="shared" si="17"/>
        <v>#N/A</v>
      </c>
    </row>
    <row r="71" spans="1:122" s="7" customFormat="1" ht="105" customHeight="1">
      <c r="A71" s="75">
        <f t="shared" si="18"/>
        <v>60</v>
      </c>
      <c r="B71" s="199" t="s">
        <v>309</v>
      </c>
      <c r="C71" s="95" t="s">
        <v>410</v>
      </c>
      <c r="D71" s="186" t="s">
        <v>411</v>
      </c>
      <c r="E71" s="111" t="s">
        <v>191</v>
      </c>
      <c r="F71" s="112">
        <v>1</v>
      </c>
      <c r="G71" s="75" t="s">
        <v>192</v>
      </c>
      <c r="H71" s="106" t="s">
        <v>245</v>
      </c>
      <c r="I71" s="107">
        <v>18000</v>
      </c>
      <c r="J71" s="96">
        <f t="shared" si="0"/>
        <v>3420</v>
      </c>
      <c r="K71" s="96">
        <f t="shared" si="1"/>
        <v>21420</v>
      </c>
      <c r="L71" s="96">
        <f t="shared" si="2"/>
        <v>18000</v>
      </c>
      <c r="M71" s="96">
        <f t="shared" si="3"/>
        <v>21420</v>
      </c>
      <c r="N71" s="108" t="s">
        <v>412</v>
      </c>
      <c r="O71" s="109">
        <v>15042.02</v>
      </c>
      <c r="P71" s="110">
        <f t="shared" si="22"/>
        <v>2857.9838</v>
      </c>
      <c r="Q71" s="110">
        <f t="shared" si="5"/>
        <v>17900.003799999999</v>
      </c>
      <c r="R71" s="110">
        <f t="shared" si="6"/>
        <v>15042.02</v>
      </c>
      <c r="S71" s="110">
        <f t="shared" si="7"/>
        <v>17900.003799999999</v>
      </c>
      <c r="T71" s="97" t="s">
        <v>194</v>
      </c>
      <c r="U71" s="98">
        <v>21000</v>
      </c>
      <c r="V71" s="99">
        <f>U71*19%</f>
        <v>3990</v>
      </c>
      <c r="W71" s="99">
        <f t="shared" si="9"/>
        <v>24990</v>
      </c>
      <c r="X71" s="99">
        <f t="shared" si="10"/>
        <v>21000</v>
      </c>
      <c r="Y71" s="99">
        <f t="shared" si="11"/>
        <v>24990</v>
      </c>
      <c r="Z71" s="100">
        <f t="shared" si="19"/>
        <v>21436.667933333334</v>
      </c>
      <c r="AA71" s="100">
        <f t="shared" si="20"/>
        <v>21436.667933333334</v>
      </c>
      <c r="AB71" s="78">
        <f t="shared" si="21"/>
        <v>3545.0274884695468</v>
      </c>
      <c r="AC71" s="102">
        <f t="shared" si="24"/>
        <v>0.16537213243655011</v>
      </c>
      <c r="AD71" s="5"/>
      <c r="AF71" s="7" t="s">
        <v>173</v>
      </c>
      <c r="AG71" s="7">
        <v>60</v>
      </c>
      <c r="AH71" s="7" t="s">
        <v>413</v>
      </c>
      <c r="BG71" s="7">
        <v>74</v>
      </c>
      <c r="DA71" s="7" t="e">
        <f>VLOOKUP(C71,listaBolsa!$D$2:$BA$248,1,0)</f>
        <v>#N/A</v>
      </c>
      <c r="DB71" s="7" t="e">
        <f>VLOOKUP(C71,listaBolsa!$D$2:$BA$248,2,0)</f>
        <v>#N/A</v>
      </c>
      <c r="DC71" s="7" t="e">
        <f>VLOOKUP(C71,listaBolsa!$D$2:$BA$248,10,0)</f>
        <v>#N/A</v>
      </c>
      <c r="DD71" s="7" t="e">
        <f>VLOOKUP(C71,listaBolsa!$D$2:$BA$248,14,0)</f>
        <v>#N/A</v>
      </c>
      <c r="DE71" s="7" t="e">
        <f>VLOOKUP(C71,listaBolsa!$D$2:$BA$248,23,0)</f>
        <v>#N/A</v>
      </c>
      <c r="DF71" s="7" t="e">
        <f>VLOOKUP(C71,listaBolsa!$D$2:$BA$248,29,0)</f>
        <v>#N/A</v>
      </c>
      <c r="DG71" s="7" t="e">
        <f>VLOOKUP(C71,listaBolsa!$D$2:$BA$248,36,0)</f>
        <v>#N/A</v>
      </c>
      <c r="DH71" s="7" t="e">
        <f>VLOOKUP(C71,listaBolsa!$D$2:$BA$248,40,0)</f>
        <v>#N/A</v>
      </c>
      <c r="DI71" s="7" t="e">
        <f>VLOOKUP(C71,listaBolsa!$D$2:$BA$248,48,0)</f>
        <v>#N/A</v>
      </c>
      <c r="DJ71" s="7" t="e">
        <f t="shared" si="25"/>
        <v>#N/A</v>
      </c>
      <c r="DK71" s="7" t="e">
        <f t="shared" si="25"/>
        <v>#N/A</v>
      </c>
      <c r="DL71" s="7" t="e">
        <f t="shared" si="26"/>
        <v>#N/A</v>
      </c>
      <c r="DM71" s="7" t="e">
        <f t="shared" si="26"/>
        <v>#N/A</v>
      </c>
      <c r="DN71" s="7" t="e">
        <f t="shared" si="27"/>
        <v>#N/A</v>
      </c>
      <c r="DO71" s="7" t="e">
        <f t="shared" si="27"/>
        <v>#N/A</v>
      </c>
      <c r="DP71" s="7" t="e">
        <f t="shared" si="28"/>
        <v>#N/A</v>
      </c>
      <c r="DQ71" s="7" t="e">
        <f t="shared" si="28"/>
        <v>#N/A</v>
      </c>
      <c r="DR71" s="7" t="e">
        <f t="shared" si="17"/>
        <v>#N/A</v>
      </c>
    </row>
    <row r="72" spans="1:122" s="7" customFormat="1" ht="105" customHeight="1">
      <c r="A72" s="75">
        <f t="shared" si="18"/>
        <v>61</v>
      </c>
      <c r="B72" s="199" t="s">
        <v>309</v>
      </c>
      <c r="C72" s="95" t="s">
        <v>414</v>
      </c>
      <c r="D72" s="215" t="s">
        <v>415</v>
      </c>
      <c r="E72" s="111" t="s">
        <v>191</v>
      </c>
      <c r="F72" s="112">
        <v>1</v>
      </c>
      <c r="G72" s="75" t="s">
        <v>192</v>
      </c>
      <c r="H72" s="106" t="s">
        <v>416</v>
      </c>
      <c r="I72" s="107">
        <v>98881.2</v>
      </c>
      <c r="J72" s="96">
        <f t="shared" si="0"/>
        <v>18787.428</v>
      </c>
      <c r="K72" s="96">
        <f t="shared" si="1"/>
        <v>117668.628</v>
      </c>
      <c r="L72" s="96">
        <f t="shared" si="2"/>
        <v>98881.2</v>
      </c>
      <c r="M72" s="96">
        <f t="shared" si="3"/>
        <v>117668.628</v>
      </c>
      <c r="N72" s="108" t="s">
        <v>239</v>
      </c>
      <c r="O72" s="109">
        <v>72819</v>
      </c>
      <c r="P72" s="110">
        <f t="shared" si="22"/>
        <v>13835.61</v>
      </c>
      <c r="Q72" s="110">
        <f t="shared" si="5"/>
        <v>86654.61</v>
      </c>
      <c r="R72" s="110">
        <f t="shared" si="6"/>
        <v>72819</v>
      </c>
      <c r="S72" s="110">
        <f t="shared" si="7"/>
        <v>86654.61</v>
      </c>
      <c r="T72" s="97" t="s">
        <v>230</v>
      </c>
      <c r="U72" s="98">
        <v>80109</v>
      </c>
      <c r="V72" s="99">
        <f t="shared" si="8"/>
        <v>15220.710000000001</v>
      </c>
      <c r="W72" s="99">
        <f t="shared" si="9"/>
        <v>95329.71</v>
      </c>
      <c r="X72" s="99">
        <f t="shared" si="10"/>
        <v>80109</v>
      </c>
      <c r="Y72" s="99">
        <f t="shared" si="11"/>
        <v>95329.71</v>
      </c>
      <c r="Z72" s="100">
        <f t="shared" si="19"/>
        <v>99884.316000000006</v>
      </c>
      <c r="AA72" s="100">
        <f t="shared" si="20"/>
        <v>99884.316000000006</v>
      </c>
      <c r="AB72" s="78">
        <f t="shared" si="21"/>
        <v>16000.801698274527</v>
      </c>
      <c r="AC72" s="102">
        <f t="shared" si="24"/>
        <v>0.16019333504045347</v>
      </c>
      <c r="AD72" s="5"/>
      <c r="AF72" s="7" t="s">
        <v>173</v>
      </c>
      <c r="AG72" s="7">
        <v>61</v>
      </c>
      <c r="AH72" s="7" t="s">
        <v>417</v>
      </c>
      <c r="BG72" s="7">
        <v>75</v>
      </c>
      <c r="DA72" s="7" t="e">
        <f>VLOOKUP(C72,listaBolsa!$D$2:$BA$248,1,0)</f>
        <v>#N/A</v>
      </c>
      <c r="DB72" s="7" t="e">
        <f>VLOOKUP(C72,listaBolsa!$D$2:$BA$248,2,0)</f>
        <v>#N/A</v>
      </c>
      <c r="DC72" s="7" t="e">
        <f>VLOOKUP(C72,listaBolsa!$D$2:$BA$248,10,0)</f>
        <v>#N/A</v>
      </c>
      <c r="DD72" s="7" t="e">
        <f>VLOOKUP(C72,listaBolsa!$D$2:$BA$248,14,0)</f>
        <v>#N/A</v>
      </c>
      <c r="DE72" s="7" t="e">
        <f>VLOOKUP(C72,listaBolsa!$D$2:$BA$248,23,0)</f>
        <v>#N/A</v>
      </c>
      <c r="DF72" s="7" t="e">
        <f>VLOOKUP(C72,listaBolsa!$D$2:$BA$248,29,0)</f>
        <v>#N/A</v>
      </c>
      <c r="DG72" s="7" t="e">
        <f>VLOOKUP(C72,listaBolsa!$D$2:$BA$248,36,0)</f>
        <v>#N/A</v>
      </c>
      <c r="DH72" s="7" t="e">
        <f>VLOOKUP(C72,listaBolsa!$D$2:$BA$248,40,0)</f>
        <v>#N/A</v>
      </c>
      <c r="DI72" s="7" t="e">
        <f>VLOOKUP(C72,listaBolsa!$D$2:$BA$248,48,0)</f>
        <v>#N/A</v>
      </c>
      <c r="DJ72" s="7" t="e">
        <f t="shared" si="25"/>
        <v>#N/A</v>
      </c>
      <c r="DK72" s="7" t="e">
        <f t="shared" si="25"/>
        <v>#N/A</v>
      </c>
      <c r="DL72" s="7" t="e">
        <f t="shared" si="26"/>
        <v>#N/A</v>
      </c>
      <c r="DM72" s="7" t="e">
        <f t="shared" si="26"/>
        <v>#N/A</v>
      </c>
      <c r="DN72" s="7" t="e">
        <f t="shared" si="27"/>
        <v>#N/A</v>
      </c>
      <c r="DO72" s="7" t="e">
        <f t="shared" si="27"/>
        <v>#N/A</v>
      </c>
      <c r="DP72" s="7" t="e">
        <f t="shared" si="28"/>
        <v>#N/A</v>
      </c>
      <c r="DQ72" s="7" t="e">
        <f t="shared" si="28"/>
        <v>#N/A</v>
      </c>
      <c r="DR72" s="7" t="e">
        <f t="shared" si="17"/>
        <v>#N/A</v>
      </c>
    </row>
    <row r="73" spans="1:122" s="7" customFormat="1" ht="105" customHeight="1">
      <c r="A73" s="75">
        <f t="shared" si="18"/>
        <v>62</v>
      </c>
      <c r="B73" s="199" t="s">
        <v>309</v>
      </c>
      <c r="C73" s="95" t="s">
        <v>397</v>
      </c>
      <c r="D73" s="186" t="s">
        <v>398</v>
      </c>
      <c r="E73" s="111" t="s">
        <v>244</v>
      </c>
      <c r="F73" s="112">
        <v>2.6</v>
      </c>
      <c r="G73" s="200" t="str">
        <f>IF(C73="","",VLOOKUP(C73,listaBolsa!$D$2:$H$276,5,0))</f>
        <v>Compra</v>
      </c>
      <c r="H73" s="106" t="s">
        <v>399</v>
      </c>
      <c r="I73" s="107">
        <v>6386.5546218487398</v>
      </c>
      <c r="J73" s="96">
        <f t="shared" si="0"/>
        <v>1213.4453781512607</v>
      </c>
      <c r="K73" s="96">
        <f t="shared" si="1"/>
        <v>7600</v>
      </c>
      <c r="L73" s="96">
        <f t="shared" si="2"/>
        <v>16605.042016806725</v>
      </c>
      <c r="M73" s="96">
        <f t="shared" si="3"/>
        <v>19760</v>
      </c>
      <c r="N73" s="108" t="s">
        <v>245</v>
      </c>
      <c r="O73" s="109">
        <v>8000</v>
      </c>
      <c r="P73" s="110">
        <f t="shared" si="22"/>
        <v>1520</v>
      </c>
      <c r="Q73" s="110">
        <f t="shared" si="5"/>
        <v>9520</v>
      </c>
      <c r="R73" s="110">
        <f t="shared" si="6"/>
        <v>20800</v>
      </c>
      <c r="S73" s="110">
        <f t="shared" si="7"/>
        <v>24752</v>
      </c>
      <c r="T73" s="97" t="s">
        <v>365</v>
      </c>
      <c r="U73" s="98">
        <v>7563.0252100840298</v>
      </c>
      <c r="V73" s="99">
        <f t="shared" si="8"/>
        <v>1436.9747899159656</v>
      </c>
      <c r="W73" s="99">
        <f t="shared" si="9"/>
        <v>8999.9999999999964</v>
      </c>
      <c r="X73" s="99">
        <f>IF(B73="","",(U73*F73))</f>
        <v>19663.86554621848</v>
      </c>
      <c r="Y73" s="99">
        <f t="shared" si="11"/>
        <v>23399.999999999993</v>
      </c>
      <c r="Z73" s="100">
        <f t="shared" si="19"/>
        <v>8706.6666666666661</v>
      </c>
      <c r="AA73" s="100">
        <f t="shared" si="20"/>
        <v>22637.333333333332</v>
      </c>
      <c r="AB73" s="78">
        <f t="shared" si="21"/>
        <v>2581.9104038160053</v>
      </c>
      <c r="AC73" s="102">
        <f t="shared" si="24"/>
        <v>0.1140554130558372</v>
      </c>
      <c r="AD73" s="5"/>
      <c r="AF73" s="7" t="s">
        <v>173</v>
      </c>
      <c r="AG73" s="7">
        <v>62</v>
      </c>
      <c r="AH73" s="7" t="s">
        <v>418</v>
      </c>
      <c r="BG73" s="7">
        <v>76</v>
      </c>
      <c r="DA73" s="7" t="e">
        <f>VLOOKUP(C73,listaBolsa!$D$2:$BA$248,1,0)</f>
        <v>#N/A</v>
      </c>
      <c r="DB73" s="7" t="e">
        <f>VLOOKUP(C73,listaBolsa!$D$2:$BA$248,2,0)</f>
        <v>#N/A</v>
      </c>
      <c r="DC73" s="7" t="e">
        <f>VLOOKUP(C73,listaBolsa!$D$2:$BA$248,10,0)</f>
        <v>#N/A</v>
      </c>
      <c r="DD73" s="7" t="e">
        <f>VLOOKUP(C73,listaBolsa!$D$2:$BA$248,14,0)</f>
        <v>#N/A</v>
      </c>
      <c r="DE73" s="7" t="e">
        <f>VLOOKUP(C73,listaBolsa!$D$2:$BA$248,23,0)</f>
        <v>#N/A</v>
      </c>
      <c r="DF73" s="7" t="e">
        <f>VLOOKUP(C73,listaBolsa!$D$2:$BA$248,29,0)</f>
        <v>#N/A</v>
      </c>
      <c r="DG73" s="7" t="e">
        <f>VLOOKUP(C73,listaBolsa!$D$2:$BA$248,36,0)</f>
        <v>#N/A</v>
      </c>
      <c r="DH73" s="7" t="e">
        <f>VLOOKUP(C73,listaBolsa!$D$2:$BA$248,40,0)</f>
        <v>#N/A</v>
      </c>
      <c r="DI73" s="7" t="e">
        <f>VLOOKUP(C73,listaBolsa!$D$2:$BA$248,48,0)</f>
        <v>#N/A</v>
      </c>
      <c r="DJ73" s="7" t="e">
        <f t="shared" si="25"/>
        <v>#N/A</v>
      </c>
      <c r="DK73" s="7" t="e">
        <f t="shared" si="25"/>
        <v>#N/A</v>
      </c>
      <c r="DL73" s="7" t="e">
        <f t="shared" si="26"/>
        <v>#N/A</v>
      </c>
      <c r="DM73" s="7" t="e">
        <f t="shared" si="26"/>
        <v>#N/A</v>
      </c>
      <c r="DN73" s="7" t="e">
        <f t="shared" si="27"/>
        <v>#N/A</v>
      </c>
      <c r="DO73" s="7" t="e">
        <f t="shared" si="27"/>
        <v>#N/A</v>
      </c>
      <c r="DP73" s="7" t="e">
        <f t="shared" si="28"/>
        <v>#N/A</v>
      </c>
      <c r="DQ73" s="7" t="e">
        <f t="shared" si="28"/>
        <v>#N/A</v>
      </c>
      <c r="DR73" s="7" t="e">
        <f t="shared" si="17"/>
        <v>#N/A</v>
      </c>
    </row>
    <row r="74" spans="1:122" s="7" customFormat="1" ht="105" customHeight="1">
      <c r="A74" s="75">
        <f t="shared" si="18"/>
        <v>63</v>
      </c>
      <c r="B74" s="199" t="s">
        <v>309</v>
      </c>
      <c r="C74" s="95" t="s">
        <v>419</v>
      </c>
      <c r="D74" s="186" t="s">
        <v>420</v>
      </c>
      <c r="E74" s="111" t="s">
        <v>421</v>
      </c>
      <c r="F74" s="112">
        <v>3.3</v>
      </c>
      <c r="G74" s="200" t="e">
        <f>IF(C74="","",VLOOKUP(C74,listaBolsa!$D$2:$H$276,5,0))</f>
        <v>#N/A</v>
      </c>
      <c r="H74" s="106" t="s">
        <v>193</v>
      </c>
      <c r="I74" s="107">
        <v>128000</v>
      </c>
      <c r="J74" s="96">
        <f t="shared" si="0"/>
        <v>24320</v>
      </c>
      <c r="K74" s="96">
        <f t="shared" si="1"/>
        <v>152320</v>
      </c>
      <c r="L74" s="96">
        <f t="shared" si="2"/>
        <v>422400</v>
      </c>
      <c r="M74" s="96">
        <f t="shared" si="3"/>
        <v>502656</v>
      </c>
      <c r="N74" s="108" t="s">
        <v>194</v>
      </c>
      <c r="O74" s="109">
        <v>116000</v>
      </c>
      <c r="P74" s="110">
        <f t="shared" si="22"/>
        <v>22040</v>
      </c>
      <c r="Q74" s="110">
        <f t="shared" si="5"/>
        <v>138040</v>
      </c>
      <c r="R74" s="110">
        <f t="shared" si="6"/>
        <v>382800</v>
      </c>
      <c r="S74" s="110">
        <f t="shared" si="7"/>
        <v>455532</v>
      </c>
      <c r="T74" s="97" t="s">
        <v>422</v>
      </c>
      <c r="U74" s="98">
        <v>96176.470588235301</v>
      </c>
      <c r="V74" s="99">
        <f t="shared" si="8"/>
        <v>18273.529411764706</v>
      </c>
      <c r="W74" s="99">
        <f t="shared" si="9"/>
        <v>114450</v>
      </c>
      <c r="X74" s="99">
        <f>IF(B74="","",(U74*F74))</f>
        <v>317382.3529411765</v>
      </c>
      <c r="Y74" s="99">
        <f t="shared" si="11"/>
        <v>377685</v>
      </c>
      <c r="Z74" s="100">
        <f t="shared" si="19"/>
        <v>134936.66666666666</v>
      </c>
      <c r="AA74" s="100">
        <f t="shared" si="20"/>
        <v>445290.99999999994</v>
      </c>
      <c r="AB74" s="78">
        <f t="shared" si="21"/>
        <v>63111.776008919289</v>
      </c>
      <c r="AC74" s="102">
        <f t="shared" si="24"/>
        <v>0.14173153288280987</v>
      </c>
      <c r="AD74" s="5"/>
      <c r="AF74" s="7" t="s">
        <v>173</v>
      </c>
      <c r="AG74" s="7">
        <v>63</v>
      </c>
      <c r="AH74" s="7" t="s">
        <v>423</v>
      </c>
      <c r="BG74" s="7">
        <v>77</v>
      </c>
      <c r="DA74" s="7" t="e">
        <f>VLOOKUP(C74,listaBolsa!$D$2:$BA$248,1,0)</f>
        <v>#N/A</v>
      </c>
      <c r="DB74" s="7" t="e">
        <f>VLOOKUP(C74,listaBolsa!$D$2:$BA$248,2,0)</f>
        <v>#N/A</v>
      </c>
      <c r="DC74" s="7" t="e">
        <f>VLOOKUP(C74,listaBolsa!$D$2:$BA$248,10,0)</f>
        <v>#N/A</v>
      </c>
      <c r="DD74" s="7" t="e">
        <f>VLOOKUP(C74,listaBolsa!$D$2:$BA$248,14,0)</f>
        <v>#N/A</v>
      </c>
      <c r="DE74" s="7" t="e">
        <f>VLOOKUP(C74,listaBolsa!$D$2:$BA$248,23,0)</f>
        <v>#N/A</v>
      </c>
      <c r="DF74" s="7" t="e">
        <f>VLOOKUP(C74,listaBolsa!$D$2:$BA$248,29,0)</f>
        <v>#N/A</v>
      </c>
      <c r="DG74" s="7" t="e">
        <f>VLOOKUP(C74,listaBolsa!$D$2:$BA$248,36,0)</f>
        <v>#N/A</v>
      </c>
      <c r="DH74" s="7" t="e">
        <f>VLOOKUP(C74,listaBolsa!$D$2:$BA$248,40,0)</f>
        <v>#N/A</v>
      </c>
      <c r="DI74" s="7" t="e">
        <f>VLOOKUP(C74,listaBolsa!$D$2:$BA$248,48,0)</f>
        <v>#N/A</v>
      </c>
      <c r="DJ74" s="7" t="e">
        <f t="shared" si="25"/>
        <v>#N/A</v>
      </c>
      <c r="DK74" s="7" t="e">
        <f t="shared" si="25"/>
        <v>#N/A</v>
      </c>
      <c r="DL74" s="7" t="e">
        <f t="shared" si="26"/>
        <v>#N/A</v>
      </c>
      <c r="DM74" s="7" t="e">
        <f t="shared" si="26"/>
        <v>#N/A</v>
      </c>
      <c r="DN74" s="7" t="e">
        <f t="shared" si="27"/>
        <v>#N/A</v>
      </c>
      <c r="DO74" s="7" t="e">
        <f t="shared" si="27"/>
        <v>#N/A</v>
      </c>
      <c r="DP74" s="7" t="e">
        <f t="shared" si="28"/>
        <v>#N/A</v>
      </c>
      <c r="DQ74" s="7" t="e">
        <f t="shared" si="28"/>
        <v>#N/A</v>
      </c>
      <c r="DR74" s="7" t="e">
        <f t="shared" si="17"/>
        <v>#N/A</v>
      </c>
    </row>
    <row r="75" spans="1:122" s="7" customFormat="1" ht="105" customHeight="1">
      <c r="A75" s="75">
        <f t="shared" si="18"/>
        <v>64</v>
      </c>
      <c r="B75" s="199" t="s">
        <v>309</v>
      </c>
      <c r="C75" s="95" t="s">
        <v>401</v>
      </c>
      <c r="D75" s="186" t="s">
        <v>424</v>
      </c>
      <c r="E75" s="111" t="s">
        <v>191</v>
      </c>
      <c r="F75" s="112">
        <v>1</v>
      </c>
      <c r="G75" s="75" t="s">
        <v>192</v>
      </c>
      <c r="H75" s="106" t="s">
        <v>193</v>
      </c>
      <c r="I75" s="107">
        <v>8300</v>
      </c>
      <c r="J75" s="96">
        <f t="shared" si="0"/>
        <v>1577</v>
      </c>
      <c r="K75" s="96">
        <f t="shared" si="1"/>
        <v>9877</v>
      </c>
      <c r="L75" s="96">
        <f t="shared" si="2"/>
        <v>8300</v>
      </c>
      <c r="M75" s="96">
        <f t="shared" si="3"/>
        <v>9877</v>
      </c>
      <c r="N75" s="108" t="s">
        <v>194</v>
      </c>
      <c r="O75" s="109">
        <v>8300</v>
      </c>
      <c r="P75" s="110">
        <f t="shared" si="22"/>
        <v>1577</v>
      </c>
      <c r="Q75" s="110">
        <f t="shared" si="5"/>
        <v>9877</v>
      </c>
      <c r="R75" s="110">
        <f t="shared" si="6"/>
        <v>8300</v>
      </c>
      <c r="S75" s="110">
        <f t="shared" si="7"/>
        <v>9877</v>
      </c>
      <c r="T75" s="97"/>
      <c r="U75" s="98">
        <v>0</v>
      </c>
      <c r="V75" s="99">
        <f t="shared" si="8"/>
        <v>0</v>
      </c>
      <c r="W75" s="99">
        <f t="shared" si="9"/>
        <v>0</v>
      </c>
      <c r="X75" s="99">
        <f t="shared" si="10"/>
        <v>0</v>
      </c>
      <c r="Y75" s="99">
        <f t="shared" si="11"/>
        <v>0</v>
      </c>
      <c r="Z75" s="100">
        <f>IF(A75="","",AVERAGE(K75,Q75))</f>
        <v>9877</v>
      </c>
      <c r="AA75" s="100">
        <f>IF(B75="","",Z75*F75)</f>
        <v>9877</v>
      </c>
      <c r="AB75" s="78">
        <f>IF(B75="","",STDEV(M75,S75))</f>
        <v>0</v>
      </c>
      <c r="AC75" s="102">
        <f t="shared" si="24"/>
        <v>0</v>
      </c>
      <c r="AD75" s="5"/>
      <c r="AF75" s="7" t="s">
        <v>173</v>
      </c>
      <c r="AG75" s="7">
        <v>64</v>
      </c>
      <c r="AH75" s="7" t="s">
        <v>425</v>
      </c>
      <c r="BG75" s="7">
        <v>78</v>
      </c>
      <c r="DA75" s="7" t="e">
        <f>VLOOKUP(C75,listaBolsa!$D$2:$BA$248,1,0)</f>
        <v>#N/A</v>
      </c>
      <c r="DB75" s="7" t="e">
        <f>VLOOKUP(C75,listaBolsa!$D$2:$BA$248,2,0)</f>
        <v>#N/A</v>
      </c>
      <c r="DC75" s="7" t="e">
        <f>VLOOKUP(C75,listaBolsa!$D$2:$BA$248,10,0)</f>
        <v>#N/A</v>
      </c>
      <c r="DD75" s="7" t="e">
        <f>VLOOKUP(C75,listaBolsa!$D$2:$BA$248,14,0)</f>
        <v>#N/A</v>
      </c>
      <c r="DE75" s="7" t="e">
        <f>VLOOKUP(C75,listaBolsa!$D$2:$BA$248,23,0)</f>
        <v>#N/A</v>
      </c>
      <c r="DF75" s="7" t="e">
        <f>VLOOKUP(C75,listaBolsa!$D$2:$BA$248,29,0)</f>
        <v>#N/A</v>
      </c>
      <c r="DG75" s="7" t="e">
        <f>VLOOKUP(C75,listaBolsa!$D$2:$BA$248,36,0)</f>
        <v>#N/A</v>
      </c>
      <c r="DH75" s="7" t="e">
        <f>VLOOKUP(C75,listaBolsa!$D$2:$BA$248,40,0)</f>
        <v>#N/A</v>
      </c>
      <c r="DI75" s="7" t="e">
        <f>VLOOKUP(C75,listaBolsa!$D$2:$BA$248,48,0)</f>
        <v>#N/A</v>
      </c>
      <c r="DJ75" s="7" t="e">
        <f t="shared" si="25"/>
        <v>#N/A</v>
      </c>
      <c r="DK75" s="7" t="e">
        <f t="shared" si="25"/>
        <v>#N/A</v>
      </c>
      <c r="DL75" s="7" t="e">
        <f t="shared" si="26"/>
        <v>#N/A</v>
      </c>
      <c r="DM75" s="7" t="e">
        <f t="shared" si="26"/>
        <v>#N/A</v>
      </c>
      <c r="DN75" s="7" t="e">
        <f t="shared" si="27"/>
        <v>#N/A</v>
      </c>
      <c r="DO75" s="7" t="e">
        <f t="shared" si="27"/>
        <v>#N/A</v>
      </c>
      <c r="DP75" s="7" t="e">
        <f t="shared" si="28"/>
        <v>#N/A</v>
      </c>
      <c r="DQ75" s="7" t="e">
        <f t="shared" si="28"/>
        <v>#N/A</v>
      </c>
      <c r="DR75" s="7" t="e">
        <f t="shared" si="17"/>
        <v>#N/A</v>
      </c>
    </row>
    <row r="76" spans="1:122" s="7" customFormat="1" ht="105" customHeight="1">
      <c r="A76" s="75">
        <f t="shared" si="18"/>
        <v>65</v>
      </c>
      <c r="B76" s="199" t="s">
        <v>309</v>
      </c>
      <c r="C76" s="95" t="s">
        <v>401</v>
      </c>
      <c r="D76" s="186" t="s">
        <v>426</v>
      </c>
      <c r="E76" s="111" t="s">
        <v>191</v>
      </c>
      <c r="F76" s="112">
        <v>150</v>
      </c>
      <c r="G76" s="75" t="s">
        <v>192</v>
      </c>
      <c r="H76" s="106" t="s">
        <v>193</v>
      </c>
      <c r="I76" s="107">
        <v>8300</v>
      </c>
      <c r="J76" s="96">
        <f t="shared" ref="J76:J119" si="29">I76*19%</f>
        <v>1577</v>
      </c>
      <c r="K76" s="96">
        <f t="shared" ref="K76:K142" si="30">I76+J76</f>
        <v>9877</v>
      </c>
      <c r="L76" s="96">
        <f t="shared" ref="L76:L89" si="31">IF(B76="","",(I76*F76))</f>
        <v>1245000</v>
      </c>
      <c r="M76" s="96">
        <f t="shared" ref="M76:M89" si="32">IF(B76="","",(K76*F76))</f>
        <v>1481550</v>
      </c>
      <c r="N76" s="108" t="s">
        <v>194</v>
      </c>
      <c r="O76" s="109">
        <v>8300</v>
      </c>
      <c r="P76" s="110">
        <f t="shared" si="22"/>
        <v>1577</v>
      </c>
      <c r="Q76" s="110">
        <f t="shared" ref="Q76:Q142" si="33">O76+P76</f>
        <v>9877</v>
      </c>
      <c r="R76" s="110">
        <f t="shared" ref="R76:R89" si="34">IF(B76="","",(O76*F76))</f>
        <v>1245000</v>
      </c>
      <c r="S76" s="110">
        <f t="shared" ref="S76:S89" si="35">IF(B76="","",(Q76*F76))</f>
        <v>1481550</v>
      </c>
      <c r="T76" s="97" t="s">
        <v>427</v>
      </c>
      <c r="U76" s="98">
        <v>8394.957983193277</v>
      </c>
      <c r="V76" s="99">
        <f t="shared" ref="V76:V119" si="36">U76*19%</f>
        <v>1595.0420168067226</v>
      </c>
      <c r="W76" s="99">
        <f t="shared" ref="W76:W142" si="37">U76+V76</f>
        <v>9990</v>
      </c>
      <c r="X76" s="99">
        <f t="shared" ref="X76:X89" si="38">IF(B76="","",(U76*F76))</f>
        <v>1259243.6974789915</v>
      </c>
      <c r="Y76" s="99">
        <f t="shared" ref="Y76:Y89" si="39">IF(B76="","",(W76*F76))</f>
        <v>1498500</v>
      </c>
      <c r="Z76" s="100">
        <f t="shared" si="19"/>
        <v>9914.6666666666661</v>
      </c>
      <c r="AA76" s="100">
        <f t="shared" si="20"/>
        <v>1487200</v>
      </c>
      <c r="AB76" s="78">
        <f t="shared" si="21"/>
        <v>9786.0870627641561</v>
      </c>
      <c r="AC76" s="102">
        <f t="shared" si="24"/>
        <v>6.5802091600081734E-3</v>
      </c>
      <c r="AD76" s="5"/>
      <c r="AF76" s="7" t="s">
        <v>173</v>
      </c>
      <c r="AG76" s="7">
        <v>65</v>
      </c>
      <c r="AH76" s="7" t="s">
        <v>428</v>
      </c>
      <c r="BG76" s="7">
        <v>79</v>
      </c>
      <c r="DA76" s="7" t="e">
        <f>VLOOKUP(C76,listaBolsa!$D$2:$BA$248,1,0)</f>
        <v>#N/A</v>
      </c>
      <c r="DB76" s="7" t="e">
        <f>VLOOKUP(C76,listaBolsa!$D$2:$BA$248,2,0)</f>
        <v>#N/A</v>
      </c>
      <c r="DC76" s="7" t="e">
        <f>VLOOKUP(C76,listaBolsa!$D$2:$BA$248,10,0)</f>
        <v>#N/A</v>
      </c>
      <c r="DD76" s="7" t="e">
        <f>VLOOKUP(C76,listaBolsa!$D$2:$BA$248,14,0)</f>
        <v>#N/A</v>
      </c>
      <c r="DE76" s="7" t="e">
        <f>VLOOKUP(C76,listaBolsa!$D$2:$BA$248,23,0)</f>
        <v>#N/A</v>
      </c>
      <c r="DF76" s="7" t="e">
        <f>VLOOKUP(C76,listaBolsa!$D$2:$BA$248,29,0)</f>
        <v>#N/A</v>
      </c>
      <c r="DG76" s="7" t="e">
        <f>VLOOKUP(C76,listaBolsa!$D$2:$BA$248,36,0)</f>
        <v>#N/A</v>
      </c>
      <c r="DH76" s="7" t="e">
        <f>VLOOKUP(C76,listaBolsa!$D$2:$BA$248,40,0)</f>
        <v>#N/A</v>
      </c>
      <c r="DI76" s="7" t="e">
        <f>VLOOKUP(C76,listaBolsa!$D$2:$BA$248,48,0)</f>
        <v>#N/A</v>
      </c>
      <c r="DJ76" s="7" t="e">
        <f t="shared" si="25"/>
        <v>#N/A</v>
      </c>
      <c r="DK76" s="7" t="e">
        <f t="shared" si="25"/>
        <v>#N/A</v>
      </c>
      <c r="DL76" s="7" t="e">
        <f t="shared" si="26"/>
        <v>#N/A</v>
      </c>
      <c r="DM76" s="7" t="e">
        <f t="shared" si="26"/>
        <v>#N/A</v>
      </c>
      <c r="DN76" s="7" t="e">
        <f t="shared" si="27"/>
        <v>#N/A</v>
      </c>
      <c r="DO76" s="7" t="e">
        <f t="shared" si="27"/>
        <v>#N/A</v>
      </c>
      <c r="DP76" s="7" t="e">
        <f t="shared" si="28"/>
        <v>#N/A</v>
      </c>
      <c r="DQ76" s="7" t="e">
        <f t="shared" si="28"/>
        <v>#N/A</v>
      </c>
      <c r="DR76" s="7" t="e">
        <f t="shared" ref="DR76:DR142" si="40">DI76=AC76</f>
        <v>#N/A</v>
      </c>
    </row>
    <row r="77" spans="1:122" s="7" customFormat="1" ht="105" customHeight="1">
      <c r="A77" s="75">
        <f t="shared" ref="A77:A115" si="41">A76+1</f>
        <v>66</v>
      </c>
      <c r="B77" s="199" t="s">
        <v>309</v>
      </c>
      <c r="C77" s="183" t="s">
        <v>254</v>
      </c>
      <c r="D77" s="183" t="s">
        <v>255</v>
      </c>
      <c r="E77" s="111" t="s">
        <v>191</v>
      </c>
      <c r="F77" s="112">
        <v>15</v>
      </c>
      <c r="G77" s="75" t="s">
        <v>192</v>
      </c>
      <c r="H77" s="106" t="s">
        <v>256</v>
      </c>
      <c r="I77" s="107">
        <v>150.42016806722691</v>
      </c>
      <c r="J77" s="96">
        <f t="shared" si="29"/>
        <v>28.579831932773114</v>
      </c>
      <c r="K77" s="96">
        <f t="shared" si="30"/>
        <v>179.00000000000003</v>
      </c>
      <c r="L77" s="96">
        <f t="shared" si="31"/>
        <v>2256.3025210084038</v>
      </c>
      <c r="M77" s="96">
        <f t="shared" si="32"/>
        <v>2685.0000000000005</v>
      </c>
      <c r="N77" s="108" t="s">
        <v>257</v>
      </c>
      <c r="O77" s="109">
        <v>117.64705882352941</v>
      </c>
      <c r="P77" s="110">
        <f t="shared" si="22"/>
        <v>22.352941176470587</v>
      </c>
      <c r="Q77" s="110">
        <f t="shared" si="33"/>
        <v>140</v>
      </c>
      <c r="R77" s="110">
        <f t="shared" si="34"/>
        <v>1764.705882352941</v>
      </c>
      <c r="S77" s="110">
        <f t="shared" si="35"/>
        <v>2100</v>
      </c>
      <c r="T77" s="97" t="s">
        <v>258</v>
      </c>
      <c r="U77" s="98">
        <v>168.0672268907563</v>
      </c>
      <c r="V77" s="99">
        <f t="shared" si="36"/>
        <v>31.932773109243698</v>
      </c>
      <c r="W77" s="99">
        <f t="shared" si="37"/>
        <v>200</v>
      </c>
      <c r="X77" s="99">
        <f t="shared" si="38"/>
        <v>2521.0084033613443</v>
      </c>
      <c r="Y77" s="99">
        <f t="shared" si="39"/>
        <v>3000</v>
      </c>
      <c r="Z77" s="100">
        <f t="shared" si="19"/>
        <v>173</v>
      </c>
      <c r="AA77" s="100">
        <f t="shared" si="20"/>
        <v>2595</v>
      </c>
      <c r="AB77" s="78">
        <f t="shared" si="21"/>
        <v>456.70012042915192</v>
      </c>
      <c r="AC77" s="102">
        <f t="shared" si="24"/>
        <v>0.17599233927905661</v>
      </c>
      <c r="AD77" s="5"/>
      <c r="AF77" s="7" t="s">
        <v>173</v>
      </c>
      <c r="AG77" s="7">
        <v>66</v>
      </c>
      <c r="AH77" s="7" t="s">
        <v>429</v>
      </c>
      <c r="BG77" s="7">
        <v>80</v>
      </c>
      <c r="DA77" s="7" t="e">
        <f>VLOOKUP(C77,listaBolsa!$D$2:$BA$248,1,0)</f>
        <v>#N/A</v>
      </c>
      <c r="DB77" s="7" t="e">
        <f>VLOOKUP(C77,listaBolsa!$D$2:$BA$248,2,0)</f>
        <v>#N/A</v>
      </c>
      <c r="DC77" s="7" t="e">
        <f>VLOOKUP(C77,listaBolsa!$D$2:$BA$248,10,0)</f>
        <v>#N/A</v>
      </c>
      <c r="DD77" s="7" t="e">
        <f>VLOOKUP(C77,listaBolsa!$D$2:$BA$248,14,0)</f>
        <v>#N/A</v>
      </c>
      <c r="DE77" s="7" t="e">
        <f>VLOOKUP(C77,listaBolsa!$D$2:$BA$248,23,0)</f>
        <v>#N/A</v>
      </c>
      <c r="DF77" s="7" t="e">
        <f>VLOOKUP(C77,listaBolsa!$D$2:$BA$248,29,0)</f>
        <v>#N/A</v>
      </c>
      <c r="DG77" s="7" t="e">
        <f>VLOOKUP(C77,listaBolsa!$D$2:$BA$248,36,0)</f>
        <v>#N/A</v>
      </c>
      <c r="DH77" s="7" t="e">
        <f>VLOOKUP(C77,listaBolsa!$D$2:$BA$248,40,0)</f>
        <v>#N/A</v>
      </c>
      <c r="DI77" s="7" t="e">
        <f>VLOOKUP(C77,listaBolsa!$D$2:$BA$248,48,0)</f>
        <v>#N/A</v>
      </c>
      <c r="DJ77" s="7" t="e">
        <f t="shared" si="25"/>
        <v>#N/A</v>
      </c>
      <c r="DK77" s="7" t="e">
        <f t="shared" si="25"/>
        <v>#N/A</v>
      </c>
      <c r="DL77" s="7" t="e">
        <f t="shared" si="26"/>
        <v>#N/A</v>
      </c>
      <c r="DM77" s="7" t="e">
        <f t="shared" si="26"/>
        <v>#N/A</v>
      </c>
      <c r="DN77" s="7" t="e">
        <f t="shared" si="27"/>
        <v>#N/A</v>
      </c>
      <c r="DO77" s="7" t="e">
        <f t="shared" si="27"/>
        <v>#N/A</v>
      </c>
      <c r="DP77" s="7" t="e">
        <f t="shared" si="28"/>
        <v>#N/A</v>
      </c>
      <c r="DQ77" s="7" t="e">
        <f t="shared" si="28"/>
        <v>#N/A</v>
      </c>
      <c r="DR77" s="7" t="e">
        <f t="shared" si="40"/>
        <v>#N/A</v>
      </c>
    </row>
    <row r="78" spans="1:122" s="7" customFormat="1" ht="105" customHeight="1">
      <c r="A78" s="75">
        <f t="shared" si="41"/>
        <v>67</v>
      </c>
      <c r="B78" s="199" t="s">
        <v>309</v>
      </c>
      <c r="C78" s="95" t="s">
        <v>227</v>
      </c>
      <c r="D78" s="186" t="s">
        <v>430</v>
      </c>
      <c r="E78" s="111" t="s">
        <v>191</v>
      </c>
      <c r="F78" s="112">
        <v>1</v>
      </c>
      <c r="G78" s="75" t="s">
        <v>192</v>
      </c>
      <c r="H78" s="106" t="s">
        <v>431</v>
      </c>
      <c r="I78" s="107">
        <v>8655.4621848739498</v>
      </c>
      <c r="J78" s="96">
        <f t="shared" si="29"/>
        <v>1644.5378151260504</v>
      </c>
      <c r="K78" s="96">
        <f t="shared" si="30"/>
        <v>10300</v>
      </c>
      <c r="L78" s="96">
        <f t="shared" si="31"/>
        <v>8655.4621848739498</v>
      </c>
      <c r="M78" s="96">
        <f t="shared" si="32"/>
        <v>10300</v>
      </c>
      <c r="N78" s="108" t="s">
        <v>432</v>
      </c>
      <c r="O78" s="109">
        <v>9831.9327731092435</v>
      </c>
      <c r="P78" s="110">
        <f t="shared" si="22"/>
        <v>1868.0672268907563</v>
      </c>
      <c r="Q78" s="110">
        <f t="shared" si="33"/>
        <v>11700</v>
      </c>
      <c r="R78" s="110">
        <f t="shared" si="34"/>
        <v>9831.9327731092435</v>
      </c>
      <c r="S78" s="110">
        <f t="shared" si="35"/>
        <v>11700</v>
      </c>
      <c r="T78" s="97" t="s">
        <v>433</v>
      </c>
      <c r="U78" s="98">
        <v>8739.495798319329</v>
      </c>
      <c r="V78" s="99">
        <f t="shared" si="36"/>
        <v>1660.5042016806726</v>
      </c>
      <c r="W78" s="99">
        <f t="shared" si="37"/>
        <v>10400.000000000002</v>
      </c>
      <c r="X78" s="99">
        <f t="shared" si="38"/>
        <v>8739.495798319329</v>
      </c>
      <c r="Y78" s="99">
        <f t="shared" si="39"/>
        <v>10400.000000000002</v>
      </c>
      <c r="Z78" s="100">
        <f t="shared" si="19"/>
        <v>10800</v>
      </c>
      <c r="AA78" s="100">
        <f t="shared" si="20"/>
        <v>10800</v>
      </c>
      <c r="AB78" s="78">
        <f t="shared" si="21"/>
        <v>781.02496759066503</v>
      </c>
      <c r="AC78" s="102">
        <f t="shared" si="24"/>
        <v>7.2317126628765285E-2</v>
      </c>
      <c r="AD78" s="5"/>
      <c r="AF78" s="7" t="s">
        <v>173</v>
      </c>
      <c r="AG78" s="7">
        <v>67</v>
      </c>
      <c r="AH78" s="7" t="s">
        <v>434</v>
      </c>
      <c r="BG78" s="7">
        <v>81</v>
      </c>
      <c r="DA78" s="7" t="e">
        <f>VLOOKUP(C78,listaBolsa!$D$2:$BA$248,1,0)</f>
        <v>#N/A</v>
      </c>
      <c r="DB78" s="7" t="e">
        <f>VLOOKUP(C78,listaBolsa!$D$2:$BA$248,2,0)</f>
        <v>#N/A</v>
      </c>
      <c r="DC78" s="7" t="e">
        <f>VLOOKUP(C78,listaBolsa!$D$2:$BA$248,10,0)</f>
        <v>#N/A</v>
      </c>
      <c r="DD78" s="7" t="e">
        <f>VLOOKUP(C78,listaBolsa!$D$2:$BA$248,14,0)</f>
        <v>#N/A</v>
      </c>
      <c r="DE78" s="7" t="e">
        <f>VLOOKUP(C78,listaBolsa!$D$2:$BA$248,23,0)</f>
        <v>#N/A</v>
      </c>
      <c r="DF78" s="7" t="e">
        <f>VLOOKUP(C78,listaBolsa!$D$2:$BA$248,29,0)</f>
        <v>#N/A</v>
      </c>
      <c r="DG78" s="7" t="e">
        <f>VLOOKUP(C78,listaBolsa!$D$2:$BA$248,36,0)</f>
        <v>#N/A</v>
      </c>
      <c r="DH78" s="7" t="e">
        <f>VLOOKUP(C78,listaBolsa!$D$2:$BA$248,40,0)</f>
        <v>#N/A</v>
      </c>
      <c r="DI78" s="7" t="e">
        <f>VLOOKUP(C78,listaBolsa!$D$2:$BA$248,48,0)</f>
        <v>#N/A</v>
      </c>
      <c r="DJ78" s="7" t="e">
        <f t="shared" si="25"/>
        <v>#N/A</v>
      </c>
      <c r="DK78" s="7" t="e">
        <f t="shared" si="25"/>
        <v>#N/A</v>
      </c>
      <c r="DL78" s="7" t="e">
        <f t="shared" si="26"/>
        <v>#N/A</v>
      </c>
      <c r="DM78" s="7" t="e">
        <f t="shared" si="26"/>
        <v>#N/A</v>
      </c>
      <c r="DN78" s="7" t="e">
        <f t="shared" si="27"/>
        <v>#N/A</v>
      </c>
      <c r="DO78" s="7" t="e">
        <f t="shared" si="27"/>
        <v>#N/A</v>
      </c>
      <c r="DP78" s="7" t="e">
        <f t="shared" si="28"/>
        <v>#N/A</v>
      </c>
      <c r="DQ78" s="7" t="e">
        <f t="shared" si="28"/>
        <v>#N/A</v>
      </c>
      <c r="DR78" s="7" t="e">
        <f t="shared" si="40"/>
        <v>#N/A</v>
      </c>
    </row>
    <row r="79" spans="1:122" s="7" customFormat="1" ht="105" customHeight="1">
      <c r="A79" s="75">
        <f t="shared" si="41"/>
        <v>68</v>
      </c>
      <c r="B79" s="199" t="s">
        <v>309</v>
      </c>
      <c r="C79" s="95" t="s">
        <v>435</v>
      </c>
      <c r="D79" s="186" t="s">
        <v>436</v>
      </c>
      <c r="E79" s="111" t="s">
        <v>191</v>
      </c>
      <c r="F79" s="112">
        <v>150</v>
      </c>
      <c r="G79" s="75" t="s">
        <v>192</v>
      </c>
      <c r="H79" s="106" t="s">
        <v>193</v>
      </c>
      <c r="I79" s="107">
        <v>3800</v>
      </c>
      <c r="J79" s="96">
        <f t="shared" si="29"/>
        <v>722</v>
      </c>
      <c r="K79" s="96">
        <f t="shared" si="30"/>
        <v>4522</v>
      </c>
      <c r="L79" s="96">
        <f t="shared" si="31"/>
        <v>570000</v>
      </c>
      <c r="M79" s="96">
        <f t="shared" si="32"/>
        <v>678300</v>
      </c>
      <c r="N79" s="108" t="s">
        <v>245</v>
      </c>
      <c r="O79" s="109">
        <v>6000</v>
      </c>
      <c r="P79" s="110">
        <f t="shared" si="22"/>
        <v>1140</v>
      </c>
      <c r="Q79" s="110">
        <f t="shared" si="33"/>
        <v>7140</v>
      </c>
      <c r="R79" s="110">
        <f t="shared" si="34"/>
        <v>900000</v>
      </c>
      <c r="S79" s="110">
        <f t="shared" si="35"/>
        <v>1071000</v>
      </c>
      <c r="T79" s="97" t="s">
        <v>437</v>
      </c>
      <c r="U79" s="98">
        <v>6722.6890756302528</v>
      </c>
      <c r="V79" s="99">
        <f t="shared" si="36"/>
        <v>1277.3109243697481</v>
      </c>
      <c r="W79" s="99">
        <f t="shared" si="37"/>
        <v>8000.0000000000009</v>
      </c>
      <c r="X79" s="99">
        <f t="shared" si="38"/>
        <v>1008403.3613445379</v>
      </c>
      <c r="Y79" s="99">
        <f t="shared" si="39"/>
        <v>1200000.0000000002</v>
      </c>
      <c r="Z79" s="100">
        <f t="shared" si="19"/>
        <v>6554</v>
      </c>
      <c r="AA79" s="100">
        <f t="shared" si="20"/>
        <v>983100</v>
      </c>
      <c r="AB79" s="78">
        <f>IF(B79="","",STDEV(M79,S79,Y79))</f>
        <v>271730.62028413406</v>
      </c>
      <c r="AC79" s="102">
        <f t="shared" si="24"/>
        <v>0.2764018108881437</v>
      </c>
      <c r="AD79" s="5"/>
      <c r="AF79" s="7" t="s">
        <v>173</v>
      </c>
      <c r="AG79" s="7">
        <v>68</v>
      </c>
      <c r="AH79" s="7" t="s">
        <v>438</v>
      </c>
      <c r="BG79" s="7">
        <v>82</v>
      </c>
      <c r="DA79" s="7" t="e">
        <f>VLOOKUP(C79,listaBolsa!$D$2:$BA$248,1,0)</f>
        <v>#N/A</v>
      </c>
      <c r="DB79" s="7" t="e">
        <f>VLOOKUP(C79,listaBolsa!$D$2:$BA$248,2,0)</f>
        <v>#N/A</v>
      </c>
      <c r="DC79" s="7" t="e">
        <f>VLOOKUP(C79,listaBolsa!$D$2:$BA$248,10,0)</f>
        <v>#N/A</v>
      </c>
      <c r="DD79" s="7" t="e">
        <f>VLOOKUP(C79,listaBolsa!$D$2:$BA$248,14,0)</f>
        <v>#N/A</v>
      </c>
      <c r="DE79" s="7" t="e">
        <f>VLOOKUP(C79,listaBolsa!$D$2:$BA$248,23,0)</f>
        <v>#N/A</v>
      </c>
      <c r="DF79" s="7" t="e">
        <f>VLOOKUP(C79,listaBolsa!$D$2:$BA$248,29,0)</f>
        <v>#N/A</v>
      </c>
      <c r="DG79" s="7" t="e">
        <f>VLOOKUP(C79,listaBolsa!$D$2:$BA$248,36,0)</f>
        <v>#N/A</v>
      </c>
      <c r="DH79" s="7" t="e">
        <f>VLOOKUP(C79,listaBolsa!$D$2:$BA$248,40,0)</f>
        <v>#N/A</v>
      </c>
      <c r="DI79" s="7" t="e">
        <f>VLOOKUP(C79,listaBolsa!$D$2:$BA$248,48,0)</f>
        <v>#N/A</v>
      </c>
      <c r="DJ79" s="7" t="e">
        <f t="shared" si="25"/>
        <v>#N/A</v>
      </c>
      <c r="DK79" s="7" t="e">
        <f t="shared" si="25"/>
        <v>#N/A</v>
      </c>
      <c r="DL79" s="7" t="e">
        <f t="shared" si="26"/>
        <v>#N/A</v>
      </c>
      <c r="DM79" s="7" t="e">
        <f t="shared" si="26"/>
        <v>#N/A</v>
      </c>
      <c r="DN79" s="7" t="e">
        <f t="shared" si="27"/>
        <v>#N/A</v>
      </c>
      <c r="DO79" s="7" t="e">
        <f t="shared" si="27"/>
        <v>#N/A</v>
      </c>
      <c r="DP79" s="7" t="e">
        <f t="shared" si="28"/>
        <v>#N/A</v>
      </c>
      <c r="DQ79" s="7" t="e">
        <f t="shared" si="28"/>
        <v>#N/A</v>
      </c>
      <c r="DR79" s="7" t="e">
        <f t="shared" si="40"/>
        <v>#N/A</v>
      </c>
    </row>
    <row r="80" spans="1:122" s="7" customFormat="1" ht="105" customHeight="1">
      <c r="A80" s="75">
        <f t="shared" si="41"/>
        <v>69</v>
      </c>
      <c r="B80" s="199" t="s">
        <v>309</v>
      </c>
      <c r="C80" s="95" t="s">
        <v>439</v>
      </c>
      <c r="D80" s="186" t="s">
        <v>440</v>
      </c>
      <c r="E80" s="111" t="s">
        <v>191</v>
      </c>
      <c r="F80" s="112">
        <v>1</v>
      </c>
      <c r="G80" s="75" t="s">
        <v>192</v>
      </c>
      <c r="H80" s="106" t="s">
        <v>193</v>
      </c>
      <c r="I80" s="107">
        <v>12000</v>
      </c>
      <c r="J80" s="96">
        <f t="shared" si="29"/>
        <v>2280</v>
      </c>
      <c r="K80" s="96">
        <f t="shared" si="30"/>
        <v>14280</v>
      </c>
      <c r="L80" s="96">
        <f t="shared" si="31"/>
        <v>12000</v>
      </c>
      <c r="M80" s="96">
        <f t="shared" si="32"/>
        <v>14280</v>
      </c>
      <c r="N80" s="108" t="s">
        <v>194</v>
      </c>
      <c r="O80" s="109">
        <v>12000</v>
      </c>
      <c r="P80" s="110">
        <f t="shared" si="22"/>
        <v>2280</v>
      </c>
      <c r="Q80" s="110">
        <f t="shared" si="33"/>
        <v>14280</v>
      </c>
      <c r="R80" s="110">
        <f t="shared" si="34"/>
        <v>12000</v>
      </c>
      <c r="S80" s="110">
        <f t="shared" si="35"/>
        <v>14280</v>
      </c>
      <c r="T80" s="97" t="s">
        <v>313</v>
      </c>
      <c r="U80" s="98">
        <v>16638.65546218487</v>
      </c>
      <c r="V80" s="99">
        <f t="shared" si="36"/>
        <v>3161.3445378151255</v>
      </c>
      <c r="W80" s="99">
        <f t="shared" si="37"/>
        <v>19799.999999999996</v>
      </c>
      <c r="X80" s="99">
        <f t="shared" si="38"/>
        <v>16638.65546218487</v>
      </c>
      <c r="Y80" s="99">
        <f t="shared" si="39"/>
        <v>19799.999999999996</v>
      </c>
      <c r="Z80" s="100">
        <f t="shared" si="19"/>
        <v>16120</v>
      </c>
      <c r="AA80" s="100">
        <f t="shared" si="20"/>
        <v>16120</v>
      </c>
      <c r="AB80" s="78">
        <f t="shared" si="21"/>
        <v>3186.9734859267251</v>
      </c>
      <c r="AC80" s="102">
        <f t="shared" si="24"/>
        <v>0.19770306984657104</v>
      </c>
      <c r="AD80" s="5"/>
      <c r="AF80" s="7" t="s">
        <v>173</v>
      </c>
      <c r="AG80" s="7">
        <v>69</v>
      </c>
      <c r="AH80" s="7" t="s">
        <v>441</v>
      </c>
      <c r="BG80" s="7">
        <v>83</v>
      </c>
      <c r="DA80" s="7" t="e">
        <f>VLOOKUP(C80,listaBolsa!$D$2:$BA$248,1,0)</f>
        <v>#N/A</v>
      </c>
      <c r="DB80" s="7" t="e">
        <f>VLOOKUP(C80,listaBolsa!$D$2:$BA$248,2,0)</f>
        <v>#N/A</v>
      </c>
      <c r="DC80" s="7" t="e">
        <f>VLOOKUP(C80,listaBolsa!$D$2:$BA$248,10,0)</f>
        <v>#N/A</v>
      </c>
      <c r="DD80" s="7" t="e">
        <f>VLOOKUP(C80,listaBolsa!$D$2:$BA$248,14,0)</f>
        <v>#N/A</v>
      </c>
      <c r="DE80" s="7" t="e">
        <f>VLOOKUP(C80,listaBolsa!$D$2:$BA$248,23,0)</f>
        <v>#N/A</v>
      </c>
      <c r="DF80" s="7" t="e">
        <f>VLOOKUP(C80,listaBolsa!$D$2:$BA$248,29,0)</f>
        <v>#N/A</v>
      </c>
      <c r="DG80" s="7" t="e">
        <f>VLOOKUP(C80,listaBolsa!$D$2:$BA$248,36,0)</f>
        <v>#N/A</v>
      </c>
      <c r="DH80" s="7" t="e">
        <f>VLOOKUP(C80,listaBolsa!$D$2:$BA$248,40,0)</f>
        <v>#N/A</v>
      </c>
      <c r="DI80" s="7" t="e">
        <f>VLOOKUP(C80,listaBolsa!$D$2:$BA$248,48,0)</f>
        <v>#N/A</v>
      </c>
      <c r="DJ80" s="7" t="e">
        <f t="shared" si="25"/>
        <v>#N/A</v>
      </c>
      <c r="DK80" s="7" t="e">
        <f t="shared" si="25"/>
        <v>#N/A</v>
      </c>
      <c r="DL80" s="7" t="e">
        <f t="shared" si="26"/>
        <v>#N/A</v>
      </c>
      <c r="DM80" s="7" t="e">
        <f t="shared" si="26"/>
        <v>#N/A</v>
      </c>
      <c r="DN80" s="7" t="e">
        <f t="shared" si="27"/>
        <v>#N/A</v>
      </c>
      <c r="DO80" s="7" t="e">
        <f t="shared" si="27"/>
        <v>#N/A</v>
      </c>
      <c r="DP80" s="7" t="e">
        <f t="shared" si="28"/>
        <v>#N/A</v>
      </c>
      <c r="DQ80" s="7" t="e">
        <f t="shared" si="28"/>
        <v>#N/A</v>
      </c>
      <c r="DR80" s="7" t="e">
        <f t="shared" si="40"/>
        <v>#N/A</v>
      </c>
    </row>
    <row r="81" spans="1:122" s="7" customFormat="1" ht="105" customHeight="1">
      <c r="A81" s="75">
        <f t="shared" si="41"/>
        <v>70</v>
      </c>
      <c r="B81" s="199" t="s">
        <v>309</v>
      </c>
      <c r="C81" s="95" t="s">
        <v>442</v>
      </c>
      <c r="D81" s="186" t="s">
        <v>443</v>
      </c>
      <c r="E81" s="111" t="s">
        <v>191</v>
      </c>
      <c r="F81" s="112">
        <v>150</v>
      </c>
      <c r="G81" s="75" t="s">
        <v>192</v>
      </c>
      <c r="H81" s="106" t="s">
        <v>444</v>
      </c>
      <c r="I81" s="107">
        <v>15714.285714285719</v>
      </c>
      <c r="J81" s="96">
        <f t="shared" si="29"/>
        <v>2985.7142857142867</v>
      </c>
      <c r="K81" s="96">
        <f t="shared" si="30"/>
        <v>18700.000000000007</v>
      </c>
      <c r="L81" s="96">
        <f t="shared" si="31"/>
        <v>2357142.8571428577</v>
      </c>
      <c r="M81" s="96">
        <f t="shared" si="32"/>
        <v>2805000.0000000009</v>
      </c>
      <c r="N81" s="108" t="s">
        <v>194</v>
      </c>
      <c r="O81" s="109">
        <v>22000</v>
      </c>
      <c r="P81" s="110">
        <f t="shared" si="22"/>
        <v>4180</v>
      </c>
      <c r="Q81" s="110">
        <f t="shared" si="33"/>
        <v>26180</v>
      </c>
      <c r="R81" s="110">
        <f t="shared" si="34"/>
        <v>3300000</v>
      </c>
      <c r="S81" s="110">
        <f t="shared" si="35"/>
        <v>3927000</v>
      </c>
      <c r="T81" s="97" t="s">
        <v>445</v>
      </c>
      <c r="U81" s="98">
        <v>15957.98319327731</v>
      </c>
      <c r="V81" s="99">
        <f t="shared" si="36"/>
        <v>3032.0168067226891</v>
      </c>
      <c r="W81" s="99">
        <f t="shared" si="37"/>
        <v>18990</v>
      </c>
      <c r="X81" s="99">
        <f t="shared" si="38"/>
        <v>2393697.4789915965</v>
      </c>
      <c r="Y81" s="99">
        <f t="shared" si="39"/>
        <v>2848500</v>
      </c>
      <c r="Z81" s="100">
        <f t="shared" ref="Z81:Z147" si="42">IF(A81="","",AVERAGE(K81,Q81,W81))</f>
        <v>21290.000000000004</v>
      </c>
      <c r="AA81" s="100">
        <f t="shared" ref="AA81:AA88" si="43">IF(B81="","",Z81*F81)</f>
        <v>3193500.0000000005</v>
      </c>
      <c r="AB81" s="78">
        <f t="shared" ref="AB81:AB147" si="44">IF(B81="","",STDEV(M81,S81,Y81))</f>
        <v>635601.88011049968</v>
      </c>
      <c r="AC81" s="102">
        <f t="shared" si="24"/>
        <v>0.19902986695177691</v>
      </c>
      <c r="AD81" s="5"/>
      <c r="AF81" s="7" t="s">
        <v>173</v>
      </c>
      <c r="AG81" s="7">
        <v>70</v>
      </c>
      <c r="AH81" s="7" t="s">
        <v>446</v>
      </c>
      <c r="BG81" s="7">
        <v>84</v>
      </c>
      <c r="DA81" s="7" t="e">
        <f>VLOOKUP(C81,listaBolsa!$D$2:$BA$248,1,0)</f>
        <v>#N/A</v>
      </c>
      <c r="DB81" s="7" t="e">
        <f>VLOOKUP(C81,listaBolsa!$D$2:$BA$248,2,0)</f>
        <v>#N/A</v>
      </c>
      <c r="DC81" s="7" t="e">
        <f>VLOOKUP(C81,listaBolsa!$D$2:$BA$248,10,0)</f>
        <v>#N/A</v>
      </c>
      <c r="DD81" s="7" t="e">
        <f>VLOOKUP(C81,listaBolsa!$D$2:$BA$248,14,0)</f>
        <v>#N/A</v>
      </c>
      <c r="DE81" s="7" t="e">
        <f>VLOOKUP(C81,listaBolsa!$D$2:$BA$248,23,0)</f>
        <v>#N/A</v>
      </c>
      <c r="DF81" s="7" t="e">
        <f>VLOOKUP(C81,listaBolsa!$D$2:$BA$248,29,0)</f>
        <v>#N/A</v>
      </c>
      <c r="DG81" s="7" t="e">
        <f>VLOOKUP(C81,listaBolsa!$D$2:$BA$248,36,0)</f>
        <v>#N/A</v>
      </c>
      <c r="DH81" s="7" t="e">
        <f>VLOOKUP(C81,listaBolsa!$D$2:$BA$248,40,0)</f>
        <v>#N/A</v>
      </c>
      <c r="DI81" s="7" t="e">
        <f>VLOOKUP(C81,listaBolsa!$D$2:$BA$248,48,0)</f>
        <v>#N/A</v>
      </c>
      <c r="DJ81" s="7" t="e">
        <f t="shared" si="25"/>
        <v>#N/A</v>
      </c>
      <c r="DK81" s="7" t="e">
        <f t="shared" si="25"/>
        <v>#N/A</v>
      </c>
      <c r="DL81" s="7" t="e">
        <f t="shared" si="26"/>
        <v>#N/A</v>
      </c>
      <c r="DM81" s="7" t="e">
        <f t="shared" si="26"/>
        <v>#N/A</v>
      </c>
      <c r="DN81" s="7" t="e">
        <f t="shared" si="27"/>
        <v>#N/A</v>
      </c>
      <c r="DO81" s="7" t="e">
        <f t="shared" si="27"/>
        <v>#N/A</v>
      </c>
      <c r="DP81" s="7" t="e">
        <f t="shared" si="28"/>
        <v>#N/A</v>
      </c>
      <c r="DQ81" s="7" t="e">
        <f t="shared" si="28"/>
        <v>#N/A</v>
      </c>
      <c r="DR81" s="7" t="e">
        <f t="shared" si="40"/>
        <v>#N/A</v>
      </c>
    </row>
    <row r="82" spans="1:122" s="7" customFormat="1" ht="105" customHeight="1">
      <c r="A82" s="75">
        <f t="shared" si="41"/>
        <v>71</v>
      </c>
      <c r="B82" s="199" t="s">
        <v>309</v>
      </c>
      <c r="C82" s="95" t="s">
        <v>447</v>
      </c>
      <c r="D82" s="186" t="s">
        <v>448</v>
      </c>
      <c r="E82" s="111" t="s">
        <v>191</v>
      </c>
      <c r="F82" s="112">
        <v>54</v>
      </c>
      <c r="G82" s="75" t="s">
        <v>192</v>
      </c>
      <c r="H82" s="106" t="s">
        <v>193</v>
      </c>
      <c r="I82" s="107">
        <v>8200</v>
      </c>
      <c r="J82" s="96">
        <f t="shared" si="29"/>
        <v>1558</v>
      </c>
      <c r="K82" s="96">
        <f t="shared" si="30"/>
        <v>9758</v>
      </c>
      <c r="L82" s="96">
        <f t="shared" si="31"/>
        <v>442800</v>
      </c>
      <c r="M82" s="96">
        <f t="shared" si="32"/>
        <v>526932</v>
      </c>
      <c r="N82" s="108" t="s">
        <v>194</v>
      </c>
      <c r="O82" s="109">
        <v>8200</v>
      </c>
      <c r="P82" s="110">
        <f t="shared" si="22"/>
        <v>1558</v>
      </c>
      <c r="Q82" s="110">
        <f t="shared" si="33"/>
        <v>9758</v>
      </c>
      <c r="R82" s="110">
        <f t="shared" si="34"/>
        <v>442800</v>
      </c>
      <c r="S82" s="110">
        <f t="shared" si="35"/>
        <v>526932</v>
      </c>
      <c r="T82" s="97" t="s">
        <v>449</v>
      </c>
      <c r="U82" s="98">
        <v>6722.6890756302528</v>
      </c>
      <c r="V82" s="99">
        <f t="shared" si="36"/>
        <v>1277.3109243697481</v>
      </c>
      <c r="W82" s="99">
        <f t="shared" si="37"/>
        <v>8000.0000000000009</v>
      </c>
      <c r="X82" s="99">
        <f t="shared" si="38"/>
        <v>363025.21008403366</v>
      </c>
      <c r="Y82" s="99">
        <f t="shared" si="39"/>
        <v>432000.00000000006</v>
      </c>
      <c r="Z82" s="100">
        <f t="shared" si="42"/>
        <v>9172</v>
      </c>
      <c r="AA82" s="100">
        <f t="shared" si="43"/>
        <v>495288</v>
      </c>
      <c r="AB82" s="78">
        <f t="shared" si="44"/>
        <v>54809.015754709515</v>
      </c>
      <c r="AC82" s="102">
        <f t="shared" si="24"/>
        <v>0.11066089982941141</v>
      </c>
      <c r="AD82" s="5"/>
      <c r="AF82" s="7" t="s">
        <v>173</v>
      </c>
      <c r="AG82" s="7">
        <v>71</v>
      </c>
      <c r="AH82" s="7" t="s">
        <v>450</v>
      </c>
      <c r="BG82" s="7">
        <v>85</v>
      </c>
      <c r="DA82" s="7" t="e">
        <f>VLOOKUP(C82,listaBolsa!$D$2:$BA$248,1,0)</f>
        <v>#N/A</v>
      </c>
      <c r="DB82" s="7" t="e">
        <f>VLOOKUP(C82,listaBolsa!$D$2:$BA$248,2,0)</f>
        <v>#N/A</v>
      </c>
      <c r="DC82" s="7" t="e">
        <f>VLOOKUP(C82,listaBolsa!$D$2:$BA$248,10,0)</f>
        <v>#N/A</v>
      </c>
      <c r="DD82" s="7" t="e">
        <f>VLOOKUP(C82,listaBolsa!$D$2:$BA$248,14,0)</f>
        <v>#N/A</v>
      </c>
      <c r="DE82" s="7" t="e">
        <f>VLOOKUP(C82,listaBolsa!$D$2:$BA$248,23,0)</f>
        <v>#N/A</v>
      </c>
      <c r="DF82" s="7" t="e">
        <f>VLOOKUP(C82,listaBolsa!$D$2:$BA$248,29,0)</f>
        <v>#N/A</v>
      </c>
      <c r="DG82" s="7" t="e">
        <f>VLOOKUP(C82,listaBolsa!$D$2:$BA$248,36,0)</f>
        <v>#N/A</v>
      </c>
      <c r="DH82" s="7" t="e">
        <f>VLOOKUP(C82,listaBolsa!$D$2:$BA$248,40,0)</f>
        <v>#N/A</v>
      </c>
      <c r="DI82" s="7" t="e">
        <f>VLOOKUP(C82,listaBolsa!$D$2:$BA$248,48,0)</f>
        <v>#N/A</v>
      </c>
      <c r="DJ82" s="7" t="e">
        <f t="shared" si="25"/>
        <v>#N/A</v>
      </c>
      <c r="DK82" s="7" t="e">
        <f t="shared" si="25"/>
        <v>#N/A</v>
      </c>
      <c r="DL82" s="7" t="e">
        <f t="shared" si="26"/>
        <v>#N/A</v>
      </c>
      <c r="DM82" s="7" t="e">
        <f t="shared" si="26"/>
        <v>#N/A</v>
      </c>
      <c r="DN82" s="7" t="e">
        <f t="shared" si="27"/>
        <v>#N/A</v>
      </c>
      <c r="DO82" s="7" t="e">
        <f t="shared" si="27"/>
        <v>#N/A</v>
      </c>
      <c r="DP82" s="7" t="e">
        <f t="shared" si="28"/>
        <v>#N/A</v>
      </c>
      <c r="DQ82" s="7" t="e">
        <f t="shared" si="28"/>
        <v>#N/A</v>
      </c>
      <c r="DR82" s="7" t="e">
        <f t="shared" si="40"/>
        <v>#N/A</v>
      </c>
    </row>
    <row r="83" spans="1:122" s="7" customFormat="1" ht="105" customHeight="1">
      <c r="A83" s="75">
        <f t="shared" si="41"/>
        <v>72</v>
      </c>
      <c r="B83" s="199" t="s">
        <v>309</v>
      </c>
      <c r="C83" s="95" t="s">
        <v>451</v>
      </c>
      <c r="D83" s="186" t="s">
        <v>452</v>
      </c>
      <c r="E83" s="111" t="s">
        <v>191</v>
      </c>
      <c r="F83" s="112">
        <v>42</v>
      </c>
      <c r="G83" s="75" t="s">
        <v>192</v>
      </c>
      <c r="H83" s="106" t="s">
        <v>193</v>
      </c>
      <c r="I83" s="107">
        <v>8200</v>
      </c>
      <c r="J83" s="96">
        <f t="shared" si="29"/>
        <v>1558</v>
      </c>
      <c r="K83" s="96">
        <f t="shared" si="30"/>
        <v>9758</v>
      </c>
      <c r="L83" s="96">
        <f t="shared" si="31"/>
        <v>344400</v>
      </c>
      <c r="M83" s="96">
        <f t="shared" si="32"/>
        <v>409836</v>
      </c>
      <c r="N83" s="108" t="s">
        <v>194</v>
      </c>
      <c r="O83" s="109">
        <v>8200</v>
      </c>
      <c r="P83" s="110">
        <f t="shared" si="22"/>
        <v>1558</v>
      </c>
      <c r="Q83" s="110">
        <f t="shared" si="33"/>
        <v>9758</v>
      </c>
      <c r="R83" s="110">
        <f t="shared" si="34"/>
        <v>344400</v>
      </c>
      <c r="S83" s="110">
        <f t="shared" si="35"/>
        <v>409836</v>
      </c>
      <c r="T83" s="97" t="s">
        <v>453</v>
      </c>
      <c r="U83" s="98">
        <v>5882.3529411764712</v>
      </c>
      <c r="V83" s="99">
        <f t="shared" si="36"/>
        <v>1117.6470588235295</v>
      </c>
      <c r="W83" s="99">
        <f t="shared" si="37"/>
        <v>7000.0000000000009</v>
      </c>
      <c r="X83" s="99">
        <f t="shared" si="38"/>
        <v>247058.82352941178</v>
      </c>
      <c r="Y83" s="99">
        <f t="shared" si="39"/>
        <v>294000.00000000006</v>
      </c>
      <c r="Z83" s="100">
        <f t="shared" si="42"/>
        <v>8838.6666666666661</v>
      </c>
      <c r="AA83" s="100">
        <f t="shared" si="43"/>
        <v>371224</v>
      </c>
      <c r="AB83" s="78">
        <f t="shared" si="44"/>
        <v>66877.945781849485</v>
      </c>
      <c r="AC83" s="102">
        <f t="shared" si="24"/>
        <v>0.18015523183266569</v>
      </c>
      <c r="AD83" s="5"/>
      <c r="AF83" s="7" t="s">
        <v>173</v>
      </c>
      <c r="AG83" s="7">
        <v>72</v>
      </c>
      <c r="AH83" s="7" t="s">
        <v>454</v>
      </c>
      <c r="BG83" s="7">
        <v>86</v>
      </c>
      <c r="DA83" s="7" t="e">
        <f>VLOOKUP(C83,listaBolsa!$D$2:$BA$248,1,0)</f>
        <v>#N/A</v>
      </c>
      <c r="DB83" s="7" t="e">
        <f>VLOOKUP(C83,listaBolsa!$D$2:$BA$248,2,0)</f>
        <v>#N/A</v>
      </c>
      <c r="DC83" s="7" t="e">
        <f>VLOOKUP(C83,listaBolsa!$D$2:$BA$248,10,0)</f>
        <v>#N/A</v>
      </c>
      <c r="DD83" s="7" t="e">
        <f>VLOOKUP(C83,listaBolsa!$D$2:$BA$248,14,0)</f>
        <v>#N/A</v>
      </c>
      <c r="DE83" s="7" t="e">
        <f>VLOOKUP(C83,listaBolsa!$D$2:$BA$248,23,0)</f>
        <v>#N/A</v>
      </c>
      <c r="DF83" s="7" t="e">
        <f>VLOOKUP(C83,listaBolsa!$D$2:$BA$248,29,0)</f>
        <v>#N/A</v>
      </c>
      <c r="DG83" s="7" t="e">
        <f>VLOOKUP(C83,listaBolsa!$D$2:$BA$248,36,0)</f>
        <v>#N/A</v>
      </c>
      <c r="DH83" s="7" t="e">
        <f>VLOOKUP(C83,listaBolsa!$D$2:$BA$248,40,0)</f>
        <v>#N/A</v>
      </c>
      <c r="DI83" s="7" t="e">
        <f>VLOOKUP(C83,listaBolsa!$D$2:$BA$248,48,0)</f>
        <v>#N/A</v>
      </c>
      <c r="DJ83" s="7" t="e">
        <f t="shared" si="25"/>
        <v>#N/A</v>
      </c>
      <c r="DK83" s="7" t="e">
        <f t="shared" si="25"/>
        <v>#N/A</v>
      </c>
      <c r="DL83" s="7" t="e">
        <f t="shared" si="26"/>
        <v>#N/A</v>
      </c>
      <c r="DM83" s="7" t="e">
        <f t="shared" si="26"/>
        <v>#N/A</v>
      </c>
      <c r="DN83" s="7" t="e">
        <f t="shared" si="27"/>
        <v>#N/A</v>
      </c>
      <c r="DO83" s="7" t="e">
        <f t="shared" si="27"/>
        <v>#N/A</v>
      </c>
      <c r="DP83" s="7" t="e">
        <f t="shared" si="28"/>
        <v>#N/A</v>
      </c>
      <c r="DQ83" s="7" t="e">
        <f t="shared" si="28"/>
        <v>#N/A</v>
      </c>
      <c r="DR83" s="7" t="e">
        <f t="shared" si="40"/>
        <v>#N/A</v>
      </c>
    </row>
    <row r="84" spans="1:122" s="7" customFormat="1" ht="105" customHeight="1">
      <c r="A84" s="75">
        <f t="shared" si="41"/>
        <v>73</v>
      </c>
      <c r="B84" s="199" t="s">
        <v>309</v>
      </c>
      <c r="C84" s="95" t="s">
        <v>455</v>
      </c>
      <c r="D84" s="186" t="s">
        <v>456</v>
      </c>
      <c r="E84" s="111" t="s">
        <v>191</v>
      </c>
      <c r="F84" s="112">
        <v>22</v>
      </c>
      <c r="G84" s="75" t="s">
        <v>192</v>
      </c>
      <c r="H84" s="106" t="s">
        <v>193</v>
      </c>
      <c r="I84" s="107">
        <v>22000</v>
      </c>
      <c r="J84" s="96">
        <f t="shared" si="29"/>
        <v>4180</v>
      </c>
      <c r="K84" s="96">
        <f t="shared" si="30"/>
        <v>26180</v>
      </c>
      <c r="L84" s="96">
        <f t="shared" si="31"/>
        <v>484000</v>
      </c>
      <c r="M84" s="96">
        <f t="shared" si="32"/>
        <v>575960</v>
      </c>
      <c r="N84" s="108" t="s">
        <v>194</v>
      </c>
      <c r="O84" s="109">
        <v>22000</v>
      </c>
      <c r="P84" s="110">
        <f t="shared" si="22"/>
        <v>4180</v>
      </c>
      <c r="Q84" s="110">
        <f t="shared" si="33"/>
        <v>26180</v>
      </c>
      <c r="R84" s="110">
        <f t="shared" si="34"/>
        <v>484000</v>
      </c>
      <c r="S84" s="110">
        <f t="shared" si="35"/>
        <v>575960</v>
      </c>
      <c r="T84" s="97" t="s">
        <v>457</v>
      </c>
      <c r="U84" s="98">
        <v>18487.39495798319</v>
      </c>
      <c r="V84" s="99">
        <f t="shared" si="36"/>
        <v>3512.6050420168062</v>
      </c>
      <c r="W84" s="99">
        <f t="shared" si="37"/>
        <v>21999.999999999996</v>
      </c>
      <c r="X84" s="99">
        <f t="shared" si="38"/>
        <v>406722.68907563016</v>
      </c>
      <c r="Y84" s="99">
        <f t="shared" si="39"/>
        <v>483999.99999999994</v>
      </c>
      <c r="Z84" s="100">
        <f t="shared" si="42"/>
        <v>24786.666666666668</v>
      </c>
      <c r="AA84" s="100">
        <f t="shared" si="43"/>
        <v>545306.66666666674</v>
      </c>
      <c r="AB84" s="78">
        <f t="shared" si="44"/>
        <v>53093.130754678015</v>
      </c>
      <c r="AC84" s="102">
        <f t="shared" si="24"/>
        <v>9.7363802792333379E-2</v>
      </c>
      <c r="AD84" s="5"/>
      <c r="AF84" s="7" t="s">
        <v>173</v>
      </c>
      <c r="AG84" s="7">
        <v>73</v>
      </c>
      <c r="AH84" s="7" t="s">
        <v>458</v>
      </c>
      <c r="BG84" s="7">
        <v>87</v>
      </c>
      <c r="DA84" s="7" t="e">
        <f>VLOOKUP(C84,listaBolsa!$D$2:$BA$248,1,0)</f>
        <v>#N/A</v>
      </c>
      <c r="DB84" s="7" t="e">
        <f>VLOOKUP(C84,listaBolsa!$D$2:$BA$248,2,0)</f>
        <v>#N/A</v>
      </c>
      <c r="DC84" s="7" t="e">
        <f>VLOOKUP(C84,listaBolsa!$D$2:$BA$248,10,0)</f>
        <v>#N/A</v>
      </c>
      <c r="DD84" s="7" t="e">
        <f>VLOOKUP(C84,listaBolsa!$D$2:$BA$248,14,0)</f>
        <v>#N/A</v>
      </c>
      <c r="DE84" s="7" t="e">
        <f>VLOOKUP(C84,listaBolsa!$D$2:$BA$248,23,0)</f>
        <v>#N/A</v>
      </c>
      <c r="DF84" s="7" t="e">
        <f>VLOOKUP(C84,listaBolsa!$D$2:$BA$248,29,0)</f>
        <v>#N/A</v>
      </c>
      <c r="DG84" s="7" t="e">
        <f>VLOOKUP(C84,listaBolsa!$D$2:$BA$248,36,0)</f>
        <v>#N/A</v>
      </c>
      <c r="DH84" s="7" t="e">
        <f>VLOOKUP(C84,listaBolsa!$D$2:$BA$248,40,0)</f>
        <v>#N/A</v>
      </c>
      <c r="DI84" s="7" t="e">
        <f>VLOOKUP(C84,listaBolsa!$D$2:$BA$248,48,0)</f>
        <v>#N/A</v>
      </c>
      <c r="DJ84" s="7" t="e">
        <f t="shared" si="25"/>
        <v>#N/A</v>
      </c>
      <c r="DK84" s="7" t="e">
        <f t="shared" si="25"/>
        <v>#N/A</v>
      </c>
      <c r="DL84" s="7" t="e">
        <f t="shared" si="26"/>
        <v>#N/A</v>
      </c>
      <c r="DM84" s="7" t="e">
        <f t="shared" si="26"/>
        <v>#N/A</v>
      </c>
      <c r="DN84" s="7" t="e">
        <f t="shared" si="27"/>
        <v>#N/A</v>
      </c>
      <c r="DO84" s="7" t="e">
        <f t="shared" si="27"/>
        <v>#N/A</v>
      </c>
      <c r="DP84" s="7" t="e">
        <f t="shared" si="28"/>
        <v>#N/A</v>
      </c>
      <c r="DQ84" s="7" t="e">
        <f t="shared" si="28"/>
        <v>#N/A</v>
      </c>
      <c r="DR84" s="7" t="e">
        <f t="shared" si="40"/>
        <v>#N/A</v>
      </c>
    </row>
    <row r="85" spans="1:122" s="7" customFormat="1" ht="105" customHeight="1">
      <c r="A85" s="75">
        <f t="shared" si="41"/>
        <v>74</v>
      </c>
      <c r="B85" s="199" t="s">
        <v>309</v>
      </c>
      <c r="C85" s="95" t="s">
        <v>459</v>
      </c>
      <c r="D85" s="186" t="s">
        <v>460</v>
      </c>
      <c r="E85" s="111" t="s">
        <v>191</v>
      </c>
      <c r="F85" s="112">
        <v>150</v>
      </c>
      <c r="G85" s="75" t="s">
        <v>192</v>
      </c>
      <c r="H85" s="106" t="s">
        <v>193</v>
      </c>
      <c r="I85" s="107">
        <v>2500</v>
      </c>
      <c r="J85" s="96">
        <f t="shared" si="29"/>
        <v>475</v>
      </c>
      <c r="K85" s="96">
        <f t="shared" si="30"/>
        <v>2975</v>
      </c>
      <c r="L85" s="96">
        <f t="shared" si="31"/>
        <v>375000</v>
      </c>
      <c r="M85" s="96">
        <f t="shared" si="32"/>
        <v>446250</v>
      </c>
      <c r="N85" s="108" t="s">
        <v>194</v>
      </c>
      <c r="O85" s="109">
        <v>2500</v>
      </c>
      <c r="P85" s="110">
        <f t="shared" si="22"/>
        <v>475</v>
      </c>
      <c r="Q85" s="110">
        <f t="shared" si="33"/>
        <v>2975</v>
      </c>
      <c r="R85" s="110">
        <f t="shared" si="34"/>
        <v>375000</v>
      </c>
      <c r="S85" s="110">
        <f t="shared" si="35"/>
        <v>446250</v>
      </c>
      <c r="T85" s="97" t="s">
        <v>461</v>
      </c>
      <c r="U85" s="98">
        <v>2100.840336134454</v>
      </c>
      <c r="V85" s="99">
        <f t="shared" si="36"/>
        <v>399.15966386554624</v>
      </c>
      <c r="W85" s="99">
        <f t="shared" si="37"/>
        <v>2500</v>
      </c>
      <c r="X85" s="99">
        <f t="shared" si="38"/>
        <v>315126.05042016809</v>
      </c>
      <c r="Y85" s="99">
        <f t="shared" si="39"/>
        <v>375000</v>
      </c>
      <c r="Z85" s="100">
        <f t="shared" si="42"/>
        <v>2816.6666666666665</v>
      </c>
      <c r="AA85" s="100">
        <f t="shared" si="43"/>
        <v>422500</v>
      </c>
      <c r="AB85" s="78">
        <f t="shared" si="44"/>
        <v>41136.206679760835</v>
      </c>
      <c r="AC85" s="102">
        <f t="shared" si="24"/>
        <v>9.7363802792333337E-2</v>
      </c>
      <c r="AD85" s="5"/>
      <c r="AF85" s="7" t="s">
        <v>173</v>
      </c>
      <c r="AG85" s="7">
        <v>74</v>
      </c>
      <c r="AH85" s="7" t="s">
        <v>462</v>
      </c>
      <c r="BG85" s="7">
        <v>88</v>
      </c>
      <c r="DA85" s="7" t="e">
        <f>VLOOKUP(C85,listaBolsa!$D$2:$BA$248,1,0)</f>
        <v>#N/A</v>
      </c>
      <c r="DB85" s="7" t="e">
        <f>VLOOKUP(C85,listaBolsa!$D$2:$BA$248,2,0)</f>
        <v>#N/A</v>
      </c>
      <c r="DC85" s="7" t="e">
        <f>VLOOKUP(C85,listaBolsa!$D$2:$BA$248,10,0)</f>
        <v>#N/A</v>
      </c>
      <c r="DD85" s="7" t="e">
        <f>VLOOKUP(C85,listaBolsa!$D$2:$BA$248,14,0)</f>
        <v>#N/A</v>
      </c>
      <c r="DE85" s="7" t="e">
        <f>VLOOKUP(C85,listaBolsa!$D$2:$BA$248,23,0)</f>
        <v>#N/A</v>
      </c>
      <c r="DF85" s="7" t="e">
        <f>VLOOKUP(C85,listaBolsa!$D$2:$BA$248,29,0)</f>
        <v>#N/A</v>
      </c>
      <c r="DG85" s="7" t="e">
        <f>VLOOKUP(C85,listaBolsa!$D$2:$BA$248,36,0)</f>
        <v>#N/A</v>
      </c>
      <c r="DH85" s="7" t="e">
        <f>VLOOKUP(C85,listaBolsa!$D$2:$BA$248,40,0)</f>
        <v>#N/A</v>
      </c>
      <c r="DI85" s="7" t="e">
        <f>VLOOKUP(C85,listaBolsa!$D$2:$BA$248,48,0)</f>
        <v>#N/A</v>
      </c>
      <c r="DJ85" s="7" t="e">
        <f t="shared" si="25"/>
        <v>#N/A</v>
      </c>
      <c r="DK85" s="7" t="e">
        <f t="shared" si="25"/>
        <v>#N/A</v>
      </c>
      <c r="DL85" s="7" t="e">
        <f t="shared" si="26"/>
        <v>#N/A</v>
      </c>
      <c r="DM85" s="7" t="e">
        <f t="shared" si="26"/>
        <v>#N/A</v>
      </c>
      <c r="DN85" s="7" t="e">
        <f t="shared" si="27"/>
        <v>#N/A</v>
      </c>
      <c r="DO85" s="7" t="e">
        <f t="shared" si="27"/>
        <v>#N/A</v>
      </c>
      <c r="DP85" s="7" t="e">
        <f t="shared" si="28"/>
        <v>#N/A</v>
      </c>
      <c r="DQ85" s="7" t="e">
        <f t="shared" si="28"/>
        <v>#N/A</v>
      </c>
      <c r="DR85" s="7" t="e">
        <f t="shared" si="40"/>
        <v>#N/A</v>
      </c>
    </row>
    <row r="86" spans="1:122" s="7" customFormat="1" ht="105" customHeight="1">
      <c r="A86" s="75">
        <f t="shared" si="41"/>
        <v>75</v>
      </c>
      <c r="B86" s="199" t="s">
        <v>309</v>
      </c>
      <c r="C86" s="95" t="s">
        <v>463</v>
      </c>
      <c r="D86" s="186" t="s">
        <v>464</v>
      </c>
      <c r="E86" s="111" t="s">
        <v>191</v>
      </c>
      <c r="F86" s="112">
        <v>28</v>
      </c>
      <c r="G86" s="75" t="s">
        <v>192</v>
      </c>
      <c r="H86" s="106" t="s">
        <v>465</v>
      </c>
      <c r="I86" s="107">
        <v>9243.6974789915967</v>
      </c>
      <c r="J86" s="96">
        <f t="shared" si="29"/>
        <v>1756.3025210084033</v>
      </c>
      <c r="K86" s="96">
        <f t="shared" si="30"/>
        <v>11000</v>
      </c>
      <c r="L86" s="96">
        <f t="shared" si="31"/>
        <v>258823.5294117647</v>
      </c>
      <c r="M86" s="96">
        <f t="shared" si="32"/>
        <v>308000</v>
      </c>
      <c r="N86" s="108" t="s">
        <v>466</v>
      </c>
      <c r="O86" s="109">
        <v>10084.033613445379</v>
      </c>
      <c r="P86" s="110">
        <f t="shared" ref="P86:P131" si="45">O86*19%</f>
        <v>1915.966386554622</v>
      </c>
      <c r="Q86" s="110">
        <f t="shared" si="33"/>
        <v>12000.000000000002</v>
      </c>
      <c r="R86" s="110">
        <f t="shared" si="34"/>
        <v>282352.9411764706</v>
      </c>
      <c r="S86" s="110">
        <f t="shared" si="35"/>
        <v>336000.00000000006</v>
      </c>
      <c r="T86" s="97" t="s">
        <v>467</v>
      </c>
      <c r="U86" s="98">
        <v>9411.7647058823532</v>
      </c>
      <c r="V86" s="99">
        <f t="shared" si="36"/>
        <v>1788.2352941176471</v>
      </c>
      <c r="W86" s="99">
        <f t="shared" si="37"/>
        <v>11200</v>
      </c>
      <c r="X86" s="99">
        <f t="shared" si="38"/>
        <v>263529.4117647059</v>
      </c>
      <c r="Y86" s="99">
        <f t="shared" si="39"/>
        <v>313600</v>
      </c>
      <c r="Z86" s="100">
        <f t="shared" si="42"/>
        <v>11400</v>
      </c>
      <c r="AA86" s="100">
        <f t="shared" si="43"/>
        <v>319200</v>
      </c>
      <c r="AB86" s="78">
        <f t="shared" si="44"/>
        <v>14816.207341961741</v>
      </c>
      <c r="AC86" s="102">
        <f t="shared" si="24"/>
        <v>4.6416689667799937E-2</v>
      </c>
      <c r="AD86" s="5"/>
      <c r="AF86" s="7" t="s">
        <v>173</v>
      </c>
      <c r="AG86" s="7">
        <v>75</v>
      </c>
      <c r="AH86" s="7" t="s">
        <v>468</v>
      </c>
      <c r="BG86" s="7">
        <v>89</v>
      </c>
      <c r="DA86" s="7" t="e">
        <f>VLOOKUP(C86,listaBolsa!$D$2:$BA$248,1,0)</f>
        <v>#N/A</v>
      </c>
      <c r="DB86" s="7" t="e">
        <f>VLOOKUP(C86,listaBolsa!$D$2:$BA$248,2,0)</f>
        <v>#N/A</v>
      </c>
      <c r="DC86" s="7" t="e">
        <f>VLOOKUP(C86,listaBolsa!$D$2:$BA$248,10,0)</f>
        <v>#N/A</v>
      </c>
      <c r="DD86" s="7" t="e">
        <f>VLOOKUP(C86,listaBolsa!$D$2:$BA$248,14,0)</f>
        <v>#N/A</v>
      </c>
      <c r="DE86" s="7" t="e">
        <f>VLOOKUP(C86,listaBolsa!$D$2:$BA$248,23,0)</f>
        <v>#N/A</v>
      </c>
      <c r="DF86" s="7" t="e">
        <f>VLOOKUP(C86,listaBolsa!$D$2:$BA$248,29,0)</f>
        <v>#N/A</v>
      </c>
      <c r="DG86" s="7" t="e">
        <f>VLOOKUP(C86,listaBolsa!$D$2:$BA$248,36,0)</f>
        <v>#N/A</v>
      </c>
      <c r="DH86" s="7" t="e">
        <f>VLOOKUP(C86,listaBolsa!$D$2:$BA$248,40,0)</f>
        <v>#N/A</v>
      </c>
      <c r="DI86" s="7" t="e">
        <f>VLOOKUP(C86,listaBolsa!$D$2:$BA$248,48,0)</f>
        <v>#N/A</v>
      </c>
      <c r="DJ86" s="7" t="e">
        <f t="shared" si="25"/>
        <v>#N/A</v>
      </c>
      <c r="DK86" s="7" t="e">
        <f t="shared" si="25"/>
        <v>#N/A</v>
      </c>
      <c r="DL86" s="7" t="e">
        <f t="shared" si="26"/>
        <v>#N/A</v>
      </c>
      <c r="DM86" s="7" t="e">
        <f t="shared" si="26"/>
        <v>#N/A</v>
      </c>
      <c r="DN86" s="7" t="e">
        <f t="shared" si="27"/>
        <v>#N/A</v>
      </c>
      <c r="DO86" s="7" t="e">
        <f t="shared" si="27"/>
        <v>#N/A</v>
      </c>
      <c r="DP86" s="7" t="e">
        <f t="shared" si="28"/>
        <v>#N/A</v>
      </c>
      <c r="DQ86" s="7" t="e">
        <f t="shared" si="28"/>
        <v>#N/A</v>
      </c>
      <c r="DR86" s="7" t="e">
        <f t="shared" si="40"/>
        <v>#N/A</v>
      </c>
    </row>
    <row r="87" spans="1:122" s="7" customFormat="1" ht="105" customHeight="1">
      <c r="A87" s="75">
        <f t="shared" si="41"/>
        <v>76</v>
      </c>
      <c r="B87" s="199" t="s">
        <v>309</v>
      </c>
      <c r="C87" s="95" t="s">
        <v>469</v>
      </c>
      <c r="D87" s="200" t="s">
        <v>470</v>
      </c>
      <c r="E87" s="111" t="s">
        <v>191</v>
      </c>
      <c r="F87" s="112">
        <v>2</v>
      </c>
      <c r="G87" s="75" t="s">
        <v>192</v>
      </c>
      <c r="H87" s="106" t="s">
        <v>230</v>
      </c>
      <c r="I87" s="107">
        <v>29000</v>
      </c>
      <c r="J87" s="96">
        <f t="shared" si="29"/>
        <v>5510</v>
      </c>
      <c r="K87" s="96">
        <f t="shared" si="30"/>
        <v>34510</v>
      </c>
      <c r="L87" s="96">
        <f t="shared" si="31"/>
        <v>58000</v>
      </c>
      <c r="M87" s="96">
        <f t="shared" si="32"/>
        <v>69020</v>
      </c>
      <c r="N87" s="108" t="s">
        <v>471</v>
      </c>
      <c r="O87" s="109">
        <v>32900</v>
      </c>
      <c r="P87" s="110">
        <f t="shared" si="45"/>
        <v>6251</v>
      </c>
      <c r="Q87" s="110">
        <f t="shared" si="33"/>
        <v>39151</v>
      </c>
      <c r="R87" s="110">
        <f t="shared" si="34"/>
        <v>65800</v>
      </c>
      <c r="S87" s="110">
        <f t="shared" si="35"/>
        <v>78302</v>
      </c>
      <c r="T87" s="97"/>
      <c r="U87" s="98">
        <v>0</v>
      </c>
      <c r="V87" s="99">
        <f t="shared" si="36"/>
        <v>0</v>
      </c>
      <c r="W87" s="99">
        <f t="shared" si="37"/>
        <v>0</v>
      </c>
      <c r="X87" s="99">
        <f t="shared" si="38"/>
        <v>0</v>
      </c>
      <c r="Y87" s="99">
        <f t="shared" si="39"/>
        <v>0</v>
      </c>
      <c r="Z87" s="100">
        <f>IF(A87="","",AVERAGE(K87,Q87))</f>
        <v>36830.5</v>
      </c>
      <c r="AA87" s="100">
        <f t="shared" si="43"/>
        <v>73661</v>
      </c>
      <c r="AB87" s="78">
        <f>IF(B87="","",STDEV(M87,S87))</f>
        <v>6563.3651429735337</v>
      </c>
      <c r="AC87" s="102">
        <f t="shared" si="24"/>
        <v>8.9102308453232151E-2</v>
      </c>
      <c r="AD87" s="5"/>
      <c r="AF87" s="7" t="s">
        <v>173</v>
      </c>
      <c r="AG87" s="7">
        <v>76</v>
      </c>
      <c r="AH87" s="7" t="s">
        <v>472</v>
      </c>
      <c r="BG87" s="7">
        <v>90</v>
      </c>
      <c r="DA87" s="7" t="e">
        <f>VLOOKUP(C87,listaBolsa!$D$2:$BA$248,1,0)</f>
        <v>#N/A</v>
      </c>
      <c r="DB87" s="7" t="e">
        <f>VLOOKUP(C87,listaBolsa!$D$2:$BA$248,2,0)</f>
        <v>#N/A</v>
      </c>
      <c r="DC87" s="7" t="e">
        <f>VLOOKUP(C87,listaBolsa!$D$2:$BA$248,10,0)</f>
        <v>#N/A</v>
      </c>
      <c r="DD87" s="7" t="e">
        <f>VLOOKUP(C87,listaBolsa!$D$2:$BA$248,14,0)</f>
        <v>#N/A</v>
      </c>
      <c r="DE87" s="7" t="e">
        <f>VLOOKUP(C87,listaBolsa!$D$2:$BA$248,23,0)</f>
        <v>#N/A</v>
      </c>
      <c r="DF87" s="7" t="e">
        <f>VLOOKUP(C87,listaBolsa!$D$2:$BA$248,29,0)</f>
        <v>#N/A</v>
      </c>
      <c r="DG87" s="7" t="e">
        <f>VLOOKUP(C87,listaBolsa!$D$2:$BA$248,36,0)</f>
        <v>#N/A</v>
      </c>
      <c r="DH87" s="7" t="e">
        <f>VLOOKUP(C87,listaBolsa!$D$2:$BA$248,40,0)</f>
        <v>#N/A</v>
      </c>
      <c r="DI87" s="7" t="e">
        <f>VLOOKUP(C87,listaBolsa!$D$2:$BA$248,48,0)</f>
        <v>#N/A</v>
      </c>
      <c r="DJ87" s="7" t="e">
        <f t="shared" si="25"/>
        <v>#N/A</v>
      </c>
      <c r="DK87" s="7" t="e">
        <f t="shared" si="25"/>
        <v>#N/A</v>
      </c>
      <c r="DL87" s="7" t="e">
        <f t="shared" si="26"/>
        <v>#N/A</v>
      </c>
      <c r="DM87" s="7" t="e">
        <f t="shared" si="26"/>
        <v>#N/A</v>
      </c>
      <c r="DN87" s="7" t="e">
        <f t="shared" si="27"/>
        <v>#N/A</v>
      </c>
      <c r="DO87" s="7" t="e">
        <f t="shared" si="27"/>
        <v>#N/A</v>
      </c>
      <c r="DP87" s="7" t="e">
        <f t="shared" si="28"/>
        <v>#N/A</v>
      </c>
      <c r="DQ87" s="7" t="e">
        <f t="shared" si="28"/>
        <v>#N/A</v>
      </c>
      <c r="DR87" s="7" t="e">
        <f t="shared" si="40"/>
        <v>#N/A</v>
      </c>
    </row>
    <row r="88" spans="1:122" s="7" customFormat="1" ht="105" customHeight="1">
      <c r="A88" s="75">
        <f t="shared" si="41"/>
        <v>77</v>
      </c>
      <c r="B88" s="199" t="s">
        <v>309</v>
      </c>
      <c r="C88" s="95" t="s">
        <v>473</v>
      </c>
      <c r="D88" s="186" t="s">
        <v>474</v>
      </c>
      <c r="E88" s="111" t="s">
        <v>191</v>
      </c>
      <c r="F88" s="112">
        <v>7</v>
      </c>
      <c r="G88" s="75" t="s">
        <v>192</v>
      </c>
      <c r="H88" s="106" t="s">
        <v>193</v>
      </c>
      <c r="I88" s="107">
        <v>6000</v>
      </c>
      <c r="J88" s="96">
        <f t="shared" si="29"/>
        <v>1140</v>
      </c>
      <c r="K88" s="96">
        <f t="shared" si="30"/>
        <v>7140</v>
      </c>
      <c r="L88" s="96">
        <f t="shared" si="31"/>
        <v>42000</v>
      </c>
      <c r="M88" s="96">
        <f t="shared" si="32"/>
        <v>49980</v>
      </c>
      <c r="N88" s="108" t="s">
        <v>194</v>
      </c>
      <c r="O88" s="109">
        <v>8000</v>
      </c>
      <c r="P88" s="110">
        <f t="shared" si="45"/>
        <v>1520</v>
      </c>
      <c r="Q88" s="110">
        <f t="shared" si="33"/>
        <v>9520</v>
      </c>
      <c r="R88" s="110">
        <f t="shared" si="34"/>
        <v>56000</v>
      </c>
      <c r="S88" s="110">
        <f t="shared" si="35"/>
        <v>66640</v>
      </c>
      <c r="T88" s="97" t="s">
        <v>263</v>
      </c>
      <c r="U88" s="98">
        <v>8403.361344537816</v>
      </c>
      <c r="V88" s="99">
        <f t="shared" si="36"/>
        <v>1596.6386554621849</v>
      </c>
      <c r="W88" s="99">
        <f t="shared" si="37"/>
        <v>10000</v>
      </c>
      <c r="X88" s="99">
        <f t="shared" si="38"/>
        <v>58823.529411764714</v>
      </c>
      <c r="Y88" s="99">
        <f t="shared" si="39"/>
        <v>70000</v>
      </c>
      <c r="Z88" s="100">
        <f t="shared" si="42"/>
        <v>8886.6666666666661</v>
      </c>
      <c r="AA88" s="100">
        <f t="shared" si="43"/>
        <v>62206.666666666664</v>
      </c>
      <c r="AB88" s="78">
        <f t="shared" si="44"/>
        <v>10721.05094350983</v>
      </c>
      <c r="AC88" s="102">
        <f t="shared" si="24"/>
        <v>0.17234569087198312</v>
      </c>
      <c r="AD88" s="5"/>
      <c r="AF88" s="7" t="s">
        <v>173</v>
      </c>
      <c r="AG88" s="7">
        <v>77</v>
      </c>
      <c r="AH88" s="7" t="s">
        <v>475</v>
      </c>
      <c r="BG88" s="7">
        <v>91</v>
      </c>
      <c r="DA88" s="7" t="e">
        <f>VLOOKUP(C88,listaBolsa!$D$2:$BA$248,1,0)</f>
        <v>#N/A</v>
      </c>
      <c r="DB88" s="7" t="e">
        <f>VLOOKUP(C88,listaBolsa!$D$2:$BA$248,2,0)</f>
        <v>#N/A</v>
      </c>
      <c r="DC88" s="7" t="e">
        <f>VLOOKUP(C88,listaBolsa!$D$2:$BA$248,10,0)</f>
        <v>#N/A</v>
      </c>
      <c r="DD88" s="7" t="e">
        <f>VLOOKUP(C88,listaBolsa!$D$2:$BA$248,14,0)</f>
        <v>#N/A</v>
      </c>
      <c r="DE88" s="7" t="e">
        <f>VLOOKUP(C88,listaBolsa!$D$2:$BA$248,23,0)</f>
        <v>#N/A</v>
      </c>
      <c r="DF88" s="7" t="e">
        <f>VLOOKUP(C88,listaBolsa!$D$2:$BA$248,29,0)</f>
        <v>#N/A</v>
      </c>
      <c r="DG88" s="7" t="e">
        <f>VLOOKUP(C88,listaBolsa!$D$2:$BA$248,36,0)</f>
        <v>#N/A</v>
      </c>
      <c r="DH88" s="7" t="e">
        <f>VLOOKUP(C88,listaBolsa!$D$2:$BA$248,40,0)</f>
        <v>#N/A</v>
      </c>
      <c r="DI88" s="7" t="e">
        <f>VLOOKUP(C88,listaBolsa!$D$2:$BA$248,48,0)</f>
        <v>#N/A</v>
      </c>
      <c r="DJ88" s="7" t="e">
        <f t="shared" si="25"/>
        <v>#N/A</v>
      </c>
      <c r="DK88" s="7" t="e">
        <f t="shared" si="25"/>
        <v>#N/A</v>
      </c>
      <c r="DL88" s="7" t="e">
        <f t="shared" si="26"/>
        <v>#N/A</v>
      </c>
      <c r="DM88" s="7" t="e">
        <f t="shared" si="26"/>
        <v>#N/A</v>
      </c>
      <c r="DN88" s="7" t="e">
        <f t="shared" si="27"/>
        <v>#N/A</v>
      </c>
      <c r="DO88" s="7" t="e">
        <f t="shared" si="27"/>
        <v>#N/A</v>
      </c>
      <c r="DP88" s="7" t="e">
        <f t="shared" si="28"/>
        <v>#N/A</v>
      </c>
      <c r="DQ88" s="7" t="e">
        <f t="shared" si="28"/>
        <v>#N/A</v>
      </c>
      <c r="DR88" s="7" t="e">
        <f t="shared" si="40"/>
        <v>#N/A</v>
      </c>
    </row>
    <row r="89" spans="1:122" s="7" customFormat="1" ht="105" customHeight="1">
      <c r="A89" s="75">
        <f t="shared" si="41"/>
        <v>78</v>
      </c>
      <c r="B89" s="199" t="s">
        <v>309</v>
      </c>
      <c r="C89" s="95" t="s">
        <v>476</v>
      </c>
      <c r="D89" s="186" t="s">
        <v>477</v>
      </c>
      <c r="E89" s="111" t="s">
        <v>478</v>
      </c>
      <c r="F89" s="112">
        <v>45</v>
      </c>
      <c r="G89" s="75" t="s">
        <v>192</v>
      </c>
      <c r="H89" s="106" t="s">
        <v>193</v>
      </c>
      <c r="I89" s="107">
        <v>70000</v>
      </c>
      <c r="J89" s="96">
        <f t="shared" si="29"/>
        <v>13300</v>
      </c>
      <c r="K89" s="96">
        <f t="shared" si="30"/>
        <v>83300</v>
      </c>
      <c r="L89" s="96">
        <f t="shared" si="31"/>
        <v>3150000</v>
      </c>
      <c r="M89" s="96">
        <f t="shared" si="32"/>
        <v>3748500</v>
      </c>
      <c r="N89" s="108" t="s">
        <v>194</v>
      </c>
      <c r="O89" s="109">
        <v>70000</v>
      </c>
      <c r="P89" s="110">
        <f t="shared" si="45"/>
        <v>13300</v>
      </c>
      <c r="Q89" s="110">
        <f t="shared" si="33"/>
        <v>83300</v>
      </c>
      <c r="R89" s="110">
        <f t="shared" si="34"/>
        <v>3150000</v>
      </c>
      <c r="S89" s="110">
        <f t="shared" si="35"/>
        <v>3748500</v>
      </c>
      <c r="T89" s="97"/>
      <c r="U89" s="98">
        <v>0</v>
      </c>
      <c r="V89" s="99">
        <f t="shared" si="36"/>
        <v>0</v>
      </c>
      <c r="W89" s="99">
        <f t="shared" si="37"/>
        <v>0</v>
      </c>
      <c r="X89" s="99">
        <f t="shared" si="38"/>
        <v>0</v>
      </c>
      <c r="Y89" s="99">
        <f t="shared" si="39"/>
        <v>0</v>
      </c>
      <c r="Z89" s="100" t="s">
        <v>479</v>
      </c>
      <c r="AA89" s="100" t="s">
        <v>480</v>
      </c>
      <c r="AB89" s="78" t="s">
        <v>481</v>
      </c>
      <c r="AC89" s="102">
        <v>0</v>
      </c>
      <c r="AD89" s="5"/>
      <c r="AF89" s="7" t="s">
        <v>173</v>
      </c>
      <c r="AG89" s="7">
        <v>78</v>
      </c>
      <c r="AH89" s="7" t="s">
        <v>482</v>
      </c>
      <c r="BG89" s="7">
        <v>92</v>
      </c>
      <c r="DA89" s="7" t="e">
        <f>VLOOKUP(#REF!,listaBolsa!$D$2:$BA$248,1,0)</f>
        <v>#REF!</v>
      </c>
      <c r="DB89" s="7" t="e">
        <f>VLOOKUP(#REF!,listaBolsa!$D$2:$BA$248,2,0)</f>
        <v>#REF!</v>
      </c>
      <c r="DC89" s="7" t="e">
        <f>VLOOKUP(#REF!,listaBolsa!$D$2:$BA$248,10,0)</f>
        <v>#REF!</v>
      </c>
      <c r="DD89" s="7" t="e">
        <f>VLOOKUP(#REF!,listaBolsa!$D$2:$BA$248,14,0)</f>
        <v>#REF!</v>
      </c>
      <c r="DE89" s="7" t="e">
        <f>VLOOKUP(#REF!,listaBolsa!$D$2:$BA$248,23,0)</f>
        <v>#REF!</v>
      </c>
      <c r="DF89" s="7" t="e">
        <f>VLOOKUP(#REF!,listaBolsa!$D$2:$BA$248,29,0)</f>
        <v>#REF!</v>
      </c>
      <c r="DG89" s="7" t="e">
        <f>VLOOKUP(#REF!,listaBolsa!$D$2:$BA$248,36,0)</f>
        <v>#REF!</v>
      </c>
      <c r="DH89" s="7" t="e">
        <f>VLOOKUP(#REF!,listaBolsa!$D$2:$BA$248,40,0)</f>
        <v>#REF!</v>
      </c>
      <c r="DI89" s="7" t="e">
        <f>VLOOKUP(#REF!,listaBolsa!$D$2:$BA$248,48,0)</f>
        <v>#REF!</v>
      </c>
      <c r="DJ89" s="7" t="e">
        <f>DA89=#REF!</f>
        <v>#REF!</v>
      </c>
      <c r="DK89" s="7" t="e">
        <f>DB89=#REF!</f>
        <v>#REF!</v>
      </c>
      <c r="DL89" s="7" t="e">
        <f t="shared" si="26"/>
        <v>#REF!</v>
      </c>
      <c r="DM89" s="7" t="e">
        <f t="shared" si="26"/>
        <v>#REF!</v>
      </c>
      <c r="DN89" s="7" t="e">
        <f t="shared" si="27"/>
        <v>#REF!</v>
      </c>
      <c r="DO89" s="7" t="e">
        <f t="shared" si="27"/>
        <v>#REF!</v>
      </c>
      <c r="DP89" s="7" t="e">
        <f t="shared" si="28"/>
        <v>#REF!</v>
      </c>
      <c r="DQ89" s="7" t="e">
        <f t="shared" si="28"/>
        <v>#REF!</v>
      </c>
      <c r="DR89" s="7" t="e">
        <f t="shared" si="40"/>
        <v>#REF!</v>
      </c>
    </row>
    <row r="90" spans="1:122" s="7" customFormat="1" ht="105" customHeight="1">
      <c r="A90" s="75">
        <f t="shared" si="41"/>
        <v>79</v>
      </c>
      <c r="B90" s="199" t="s">
        <v>309</v>
      </c>
      <c r="C90" s="187" t="s">
        <v>483</v>
      </c>
      <c r="D90" s="186" t="s">
        <v>484</v>
      </c>
      <c r="E90" s="111" t="s">
        <v>485</v>
      </c>
      <c r="F90" s="112">
        <v>8</v>
      </c>
      <c r="G90" s="75" t="s">
        <v>192</v>
      </c>
      <c r="H90" s="106" t="s">
        <v>245</v>
      </c>
      <c r="I90" s="107">
        <v>1600000</v>
      </c>
      <c r="J90" s="96">
        <f t="shared" si="29"/>
        <v>304000</v>
      </c>
      <c r="K90" s="96">
        <f t="shared" si="30"/>
        <v>1904000</v>
      </c>
      <c r="L90" s="96">
        <f>IF(B90="","",(I90*F89))</f>
        <v>72000000</v>
      </c>
      <c r="M90" s="96">
        <f>IF(B90="","",(K90*F89))</f>
        <v>85680000</v>
      </c>
      <c r="N90" s="108" t="s">
        <v>194</v>
      </c>
      <c r="O90" s="109">
        <v>1700000</v>
      </c>
      <c r="P90" s="110">
        <f t="shared" si="45"/>
        <v>323000</v>
      </c>
      <c r="Q90" s="110">
        <f t="shared" si="33"/>
        <v>2023000</v>
      </c>
      <c r="R90" s="110">
        <f>IF(B90="","",(O90*F89))</f>
        <v>76500000</v>
      </c>
      <c r="S90" s="110">
        <f>IF(B90="","",(Q90*F89))</f>
        <v>91035000</v>
      </c>
      <c r="T90" s="97"/>
      <c r="U90" s="98"/>
      <c r="V90" s="99">
        <f t="shared" si="36"/>
        <v>0</v>
      </c>
      <c r="W90" s="99">
        <f t="shared" si="37"/>
        <v>0</v>
      </c>
      <c r="X90" s="99">
        <f>IF(B90="","",(U90*F89))</f>
        <v>0</v>
      </c>
      <c r="Y90" s="99">
        <f>IF(B90="","",(W90*F89))</f>
        <v>0</v>
      </c>
      <c r="Z90" s="100" t="s">
        <v>486</v>
      </c>
      <c r="AA90" s="100" t="s">
        <v>487</v>
      </c>
      <c r="AB90" s="78" t="s">
        <v>488</v>
      </c>
      <c r="AC90" s="102">
        <v>4.2900000000000001E-2</v>
      </c>
      <c r="AD90" s="5"/>
      <c r="AF90" s="7" t="s">
        <v>173</v>
      </c>
      <c r="AG90" s="7">
        <v>79</v>
      </c>
      <c r="AH90" s="7" t="s">
        <v>489</v>
      </c>
      <c r="BG90" s="7">
        <v>93</v>
      </c>
      <c r="DA90" s="7" t="e">
        <f>VLOOKUP(C89,listaBolsa!$D$2:$BA$248,1,0)</f>
        <v>#N/A</v>
      </c>
      <c r="DB90" s="7" t="e">
        <f>VLOOKUP(C89,listaBolsa!$D$2:$BA$248,2,0)</f>
        <v>#N/A</v>
      </c>
      <c r="DC90" s="7" t="e">
        <f>VLOOKUP(C89,listaBolsa!$D$2:$BA$248,10,0)</f>
        <v>#N/A</v>
      </c>
      <c r="DD90" s="7" t="e">
        <f>VLOOKUP(C89,listaBolsa!$D$2:$BA$248,14,0)</f>
        <v>#N/A</v>
      </c>
      <c r="DE90" s="7" t="e">
        <f>VLOOKUP(C89,listaBolsa!$D$2:$BA$248,23,0)</f>
        <v>#N/A</v>
      </c>
      <c r="DF90" s="7" t="e">
        <f>VLOOKUP(C89,listaBolsa!$D$2:$BA$248,29,0)</f>
        <v>#N/A</v>
      </c>
      <c r="DG90" s="7" t="e">
        <f>VLOOKUP(C89,listaBolsa!$D$2:$BA$248,36,0)</f>
        <v>#N/A</v>
      </c>
      <c r="DH90" s="7" t="e">
        <f>VLOOKUP(C89,listaBolsa!$D$2:$BA$248,40,0)</f>
        <v>#N/A</v>
      </c>
      <c r="DI90" s="7" t="e">
        <f>VLOOKUP(C89,listaBolsa!$D$2:$BA$248,48,0)</f>
        <v>#N/A</v>
      </c>
      <c r="DJ90" s="7" t="e">
        <f>DA90=C89</f>
        <v>#N/A</v>
      </c>
      <c r="DK90" s="7" t="e">
        <f>DB90=D89</f>
        <v>#N/A</v>
      </c>
      <c r="DL90" s="7" t="e">
        <f t="shared" si="26"/>
        <v>#N/A</v>
      </c>
      <c r="DM90" s="7" t="e">
        <f t="shared" si="26"/>
        <v>#N/A</v>
      </c>
      <c r="DN90" s="7" t="e">
        <f t="shared" si="27"/>
        <v>#N/A</v>
      </c>
      <c r="DO90" s="7" t="e">
        <f t="shared" si="27"/>
        <v>#N/A</v>
      </c>
      <c r="DP90" s="7" t="e">
        <f t="shared" si="28"/>
        <v>#N/A</v>
      </c>
      <c r="DQ90" s="7" t="e">
        <f t="shared" si="28"/>
        <v>#N/A</v>
      </c>
      <c r="DR90" s="7" t="e">
        <f t="shared" si="40"/>
        <v>#N/A</v>
      </c>
    </row>
    <row r="91" spans="1:122" s="7" customFormat="1" ht="105" customHeight="1">
      <c r="A91" s="75">
        <f t="shared" si="41"/>
        <v>80</v>
      </c>
      <c r="B91" s="199" t="s">
        <v>309</v>
      </c>
      <c r="C91" s="186" t="s">
        <v>490</v>
      </c>
      <c r="D91" s="186" t="s">
        <v>491</v>
      </c>
      <c r="E91" s="188" t="s">
        <v>191</v>
      </c>
      <c r="F91" s="189">
        <v>1</v>
      </c>
      <c r="G91" s="75" t="s">
        <v>192</v>
      </c>
      <c r="H91" s="106" t="s">
        <v>492</v>
      </c>
      <c r="I91" s="107">
        <v>760000</v>
      </c>
      <c r="J91" s="96">
        <f t="shared" si="29"/>
        <v>144400</v>
      </c>
      <c r="K91" s="96">
        <f t="shared" si="30"/>
        <v>904400</v>
      </c>
      <c r="L91" s="96">
        <f t="shared" ref="L91:L154" si="46">IF(B91="","",(I91*F91))</f>
        <v>760000</v>
      </c>
      <c r="M91" s="96">
        <f t="shared" ref="M91:M154" si="47">IF(B91="","",(K91*F91))</f>
        <v>904400</v>
      </c>
      <c r="N91" s="108" t="s">
        <v>493</v>
      </c>
      <c r="O91" s="109">
        <v>760000</v>
      </c>
      <c r="P91" s="110">
        <f t="shared" si="45"/>
        <v>144400</v>
      </c>
      <c r="Q91" s="110">
        <f t="shared" si="33"/>
        <v>904400</v>
      </c>
      <c r="R91" s="110">
        <f t="shared" ref="R91:R154" si="48">IF(B91="","",(O91*F91))</f>
        <v>760000</v>
      </c>
      <c r="S91" s="110">
        <f t="shared" ref="S91:S154" si="49">IF(B91="","",(Q91*F91))</f>
        <v>904400</v>
      </c>
      <c r="T91" s="97" t="s">
        <v>494</v>
      </c>
      <c r="U91" s="98">
        <v>800000</v>
      </c>
      <c r="V91" s="99">
        <f t="shared" si="36"/>
        <v>152000</v>
      </c>
      <c r="W91" s="99">
        <f t="shared" si="37"/>
        <v>952000</v>
      </c>
      <c r="X91" s="99">
        <f t="shared" ref="X91:X154" si="50">IF(B91="","",(U91*F91))</f>
        <v>800000</v>
      </c>
      <c r="Y91" s="99">
        <f t="shared" ref="Y91:Y154" si="51">IF(B91="","",(W91*F91))</f>
        <v>952000</v>
      </c>
      <c r="Z91" s="100">
        <f t="shared" si="42"/>
        <v>920266.66666666663</v>
      </c>
      <c r="AA91" s="100">
        <f t="shared" ref="AA91:AA154" si="52">IF(B91="","",Z91*F91)</f>
        <v>920266.66666666663</v>
      </c>
      <c r="AB91" s="78">
        <f t="shared" si="44"/>
        <v>27481.872813426187</v>
      </c>
      <c r="AC91" s="102">
        <f t="shared" si="24"/>
        <v>2.9862944958084094E-2</v>
      </c>
      <c r="AD91" s="5"/>
      <c r="AF91" s="7" t="s">
        <v>173</v>
      </c>
      <c r="AG91" s="7">
        <v>80</v>
      </c>
      <c r="AH91" s="7" t="s">
        <v>495</v>
      </c>
      <c r="BG91" s="7">
        <v>94</v>
      </c>
      <c r="DA91" s="7" t="e">
        <f>VLOOKUP(C91,listaBolsa!$D$2:$BA$248,1,0)</f>
        <v>#N/A</v>
      </c>
      <c r="DB91" s="7" t="e">
        <f>VLOOKUP(C91,listaBolsa!$D$2:$BA$248,2,0)</f>
        <v>#N/A</v>
      </c>
      <c r="DC91" s="7" t="e">
        <f>VLOOKUP(C91,listaBolsa!$D$2:$BA$248,10,0)</f>
        <v>#N/A</v>
      </c>
      <c r="DD91" s="7" t="e">
        <f>VLOOKUP(C91,listaBolsa!$D$2:$BA$248,14,0)</f>
        <v>#N/A</v>
      </c>
      <c r="DE91" s="7" t="e">
        <f>VLOOKUP(C91,listaBolsa!$D$2:$BA$248,23,0)</f>
        <v>#N/A</v>
      </c>
      <c r="DF91" s="7" t="e">
        <f>VLOOKUP(C91,listaBolsa!$D$2:$BA$248,29,0)</f>
        <v>#N/A</v>
      </c>
      <c r="DG91" s="7" t="e">
        <f>VLOOKUP(C91,listaBolsa!$D$2:$BA$248,36,0)</f>
        <v>#N/A</v>
      </c>
      <c r="DH91" s="7" t="e">
        <f>VLOOKUP(C91,listaBolsa!$D$2:$BA$248,40,0)</f>
        <v>#N/A</v>
      </c>
      <c r="DI91" s="7" t="e">
        <f>VLOOKUP(C91,listaBolsa!$D$2:$BA$248,48,0)</f>
        <v>#N/A</v>
      </c>
      <c r="DJ91" s="7" t="e">
        <f t="shared" ref="DJ91:DK125" si="53">DA91=C91</f>
        <v>#N/A</v>
      </c>
      <c r="DK91" s="7" t="e">
        <f t="shared" si="53"/>
        <v>#N/A</v>
      </c>
      <c r="DL91" s="7" t="e">
        <f t="shared" si="26"/>
        <v>#N/A</v>
      </c>
      <c r="DM91" s="7" t="e">
        <f t="shared" si="26"/>
        <v>#N/A</v>
      </c>
      <c r="DN91" s="7" t="e">
        <f t="shared" si="27"/>
        <v>#N/A</v>
      </c>
      <c r="DO91" s="7" t="e">
        <f t="shared" si="27"/>
        <v>#N/A</v>
      </c>
      <c r="DP91" s="7" t="e">
        <f t="shared" si="28"/>
        <v>#N/A</v>
      </c>
      <c r="DQ91" s="7" t="e">
        <f t="shared" si="28"/>
        <v>#N/A</v>
      </c>
      <c r="DR91" s="7" t="e">
        <f t="shared" si="40"/>
        <v>#N/A</v>
      </c>
    </row>
    <row r="92" spans="1:122" s="7" customFormat="1" ht="105" customHeight="1">
      <c r="A92" s="75">
        <f t="shared" si="41"/>
        <v>81</v>
      </c>
      <c r="B92" s="199" t="s">
        <v>309</v>
      </c>
      <c r="C92" s="186" t="s">
        <v>496</v>
      </c>
      <c r="D92" s="186" t="s">
        <v>497</v>
      </c>
      <c r="E92" s="188" t="s">
        <v>191</v>
      </c>
      <c r="F92" s="189">
        <v>30</v>
      </c>
      <c r="G92" s="75" t="s">
        <v>192</v>
      </c>
      <c r="H92" s="106" t="s">
        <v>498</v>
      </c>
      <c r="I92" s="107">
        <v>24200</v>
      </c>
      <c r="J92" s="96">
        <f t="shared" si="29"/>
        <v>4598</v>
      </c>
      <c r="K92" s="96">
        <f t="shared" si="30"/>
        <v>28798</v>
      </c>
      <c r="L92" s="96">
        <f t="shared" si="46"/>
        <v>726000</v>
      </c>
      <c r="M92" s="96">
        <f t="shared" si="47"/>
        <v>863940</v>
      </c>
      <c r="N92" s="108" t="s">
        <v>499</v>
      </c>
      <c r="O92" s="109">
        <v>23529.411764705881</v>
      </c>
      <c r="P92" s="110">
        <f t="shared" si="45"/>
        <v>4470.5882352941171</v>
      </c>
      <c r="Q92" s="110">
        <f t="shared" si="33"/>
        <v>28000</v>
      </c>
      <c r="R92" s="110">
        <f t="shared" si="48"/>
        <v>705882.35294117639</v>
      </c>
      <c r="S92" s="110">
        <f t="shared" si="49"/>
        <v>840000</v>
      </c>
      <c r="T92" s="97" t="s">
        <v>500</v>
      </c>
      <c r="U92" s="98">
        <v>19747.89915966387</v>
      </c>
      <c r="V92" s="99">
        <f t="shared" si="36"/>
        <v>3752.1008403361352</v>
      </c>
      <c r="W92" s="99">
        <f t="shared" si="37"/>
        <v>23500.000000000004</v>
      </c>
      <c r="X92" s="99">
        <f t="shared" si="50"/>
        <v>592436.97478991607</v>
      </c>
      <c r="Y92" s="99">
        <f t="shared" si="51"/>
        <v>705000.00000000012</v>
      </c>
      <c r="Z92" s="100">
        <f t="shared" si="42"/>
        <v>26766</v>
      </c>
      <c r="AA92" s="100">
        <f t="shared" si="52"/>
        <v>802980</v>
      </c>
      <c r="AB92" s="78">
        <f t="shared" si="44"/>
        <v>85693.297287477442</v>
      </c>
      <c r="AC92" s="102">
        <f t="shared" si="24"/>
        <v>0.10671909298796663</v>
      </c>
      <c r="AD92" s="5"/>
      <c r="AF92" s="7" t="s">
        <v>173</v>
      </c>
      <c r="AG92" s="7">
        <v>81</v>
      </c>
      <c r="AH92" s="7" t="s">
        <v>501</v>
      </c>
      <c r="BG92" s="7">
        <v>95</v>
      </c>
      <c r="DA92" s="7" t="e">
        <f>VLOOKUP(C92,listaBolsa!$D$2:$BA$248,1,0)</f>
        <v>#N/A</v>
      </c>
      <c r="DB92" s="7" t="e">
        <f>VLOOKUP(C92,listaBolsa!$D$2:$BA$248,2,0)</f>
        <v>#N/A</v>
      </c>
      <c r="DC92" s="7" t="e">
        <f>VLOOKUP(C92,listaBolsa!$D$2:$BA$248,10,0)</f>
        <v>#N/A</v>
      </c>
      <c r="DD92" s="7" t="e">
        <f>VLOOKUP(C92,listaBolsa!$D$2:$BA$248,14,0)</f>
        <v>#N/A</v>
      </c>
      <c r="DE92" s="7" t="e">
        <f>VLOOKUP(C92,listaBolsa!$D$2:$BA$248,23,0)</f>
        <v>#N/A</v>
      </c>
      <c r="DF92" s="7" t="e">
        <f>VLOOKUP(C92,listaBolsa!$D$2:$BA$248,29,0)</f>
        <v>#N/A</v>
      </c>
      <c r="DG92" s="7" t="e">
        <f>VLOOKUP(C92,listaBolsa!$D$2:$BA$248,36,0)</f>
        <v>#N/A</v>
      </c>
      <c r="DH92" s="7" t="e">
        <f>VLOOKUP(C92,listaBolsa!$D$2:$BA$248,40,0)</f>
        <v>#N/A</v>
      </c>
      <c r="DI92" s="7" t="e">
        <f>VLOOKUP(C92,listaBolsa!$D$2:$BA$248,48,0)</f>
        <v>#N/A</v>
      </c>
      <c r="DJ92" s="7" t="e">
        <f t="shared" si="53"/>
        <v>#N/A</v>
      </c>
      <c r="DK92" s="7" t="e">
        <f t="shared" si="53"/>
        <v>#N/A</v>
      </c>
      <c r="DL92" s="7" t="e">
        <f t="shared" si="26"/>
        <v>#N/A</v>
      </c>
      <c r="DM92" s="7" t="e">
        <f t="shared" si="26"/>
        <v>#N/A</v>
      </c>
      <c r="DN92" s="7" t="e">
        <f t="shared" si="27"/>
        <v>#N/A</v>
      </c>
      <c r="DO92" s="7" t="e">
        <f t="shared" si="27"/>
        <v>#N/A</v>
      </c>
      <c r="DP92" s="7" t="e">
        <f t="shared" si="28"/>
        <v>#N/A</v>
      </c>
      <c r="DQ92" s="7" t="e">
        <f t="shared" si="28"/>
        <v>#N/A</v>
      </c>
      <c r="DR92" s="7" t="e">
        <f t="shared" si="40"/>
        <v>#N/A</v>
      </c>
    </row>
    <row r="93" spans="1:122" s="7" customFormat="1" ht="105" customHeight="1">
      <c r="A93" s="75">
        <f t="shared" si="41"/>
        <v>82</v>
      </c>
      <c r="B93" s="199" t="s">
        <v>309</v>
      </c>
      <c r="C93" s="186" t="s">
        <v>502</v>
      </c>
      <c r="D93" s="186" t="s">
        <v>503</v>
      </c>
      <c r="E93" s="188" t="s">
        <v>191</v>
      </c>
      <c r="F93" s="189">
        <v>100</v>
      </c>
      <c r="G93" s="200" t="str">
        <f>IF(C93="","",VLOOKUP(C93,listaBolsa!$D$2:$H$276,5,0))</f>
        <v>Compra</v>
      </c>
      <c r="H93" s="106" t="str">
        <f>IF(C93="","",VLOOKUP(C93,listaBolsa!$D$2:$W$276,10,0))</f>
        <v>INVENTIVA</v>
      </c>
      <c r="I93" s="107">
        <f>IF(C93="","",VLOOKUP(C93,listaBolsa!$D$2:$W$276,14,0))</f>
        <v>18000</v>
      </c>
      <c r="J93" s="96">
        <f t="shared" si="29"/>
        <v>3420</v>
      </c>
      <c r="K93" s="96">
        <f t="shared" si="30"/>
        <v>21420</v>
      </c>
      <c r="L93" s="96">
        <f t="shared" si="46"/>
        <v>1800000</v>
      </c>
      <c r="M93" s="96">
        <f t="shared" si="47"/>
        <v>2142000</v>
      </c>
      <c r="N93" s="108" t="str">
        <f>IF(C93="","",VLOOKUP(C93,listaBolsa!$D$2:$AZ$276,23,0))</f>
        <v>SG DIGITAL S.A.S</v>
      </c>
      <c r="O93" s="109">
        <f>IF(C93="","",VLOOKUP(C93,listaBolsa!$D$2:$AZ$276,27,0))</f>
        <v>17226.89075630252</v>
      </c>
      <c r="P93" s="110">
        <f t="shared" si="45"/>
        <v>3273.1092436974791</v>
      </c>
      <c r="Q93" s="110">
        <f t="shared" si="33"/>
        <v>20500</v>
      </c>
      <c r="R93" s="110">
        <f t="shared" si="48"/>
        <v>1722689.075630252</v>
      </c>
      <c r="S93" s="110">
        <f t="shared" si="49"/>
        <v>2050000</v>
      </c>
      <c r="T93" s="97" t="str">
        <f>IF(C93="","",VLOOKUP(C93,listaBolsa!$D$2:$BB$276,36,0))</f>
        <v>Angie Pachon (personalizado INK)</v>
      </c>
      <c r="U93" s="98">
        <f>IF(C93="","",VLOOKUP(C93,listaBolsa!$D$2:$BB$276,40,0))</f>
        <v>25000</v>
      </c>
      <c r="V93" s="99">
        <f t="shared" si="36"/>
        <v>4750</v>
      </c>
      <c r="W93" s="99">
        <f t="shared" si="37"/>
        <v>29750</v>
      </c>
      <c r="X93" s="99">
        <f t="shared" si="50"/>
        <v>2500000</v>
      </c>
      <c r="Y93" s="99">
        <f t="shared" si="51"/>
        <v>2975000</v>
      </c>
      <c r="Z93" s="100">
        <f t="shared" si="42"/>
        <v>23890</v>
      </c>
      <c r="AA93" s="100">
        <f t="shared" si="52"/>
        <v>2389000</v>
      </c>
      <c r="AB93" s="78">
        <f t="shared" si="44"/>
        <v>509571.38852176542</v>
      </c>
      <c r="AC93" s="102">
        <f t="shared" si="24"/>
        <v>0.2132990324494623</v>
      </c>
      <c r="AD93" s="5"/>
      <c r="AF93" s="7" t="s">
        <v>173</v>
      </c>
      <c r="AG93" s="7">
        <v>82</v>
      </c>
      <c r="AH93" s="7" t="s">
        <v>504</v>
      </c>
      <c r="BG93" s="7">
        <v>96</v>
      </c>
      <c r="DA93" s="7" t="str">
        <f>VLOOKUP(C93,listaBolsa!$D$2:$BA$248,1,0)</f>
        <v>Gorra tela bordada con logo</v>
      </c>
      <c r="DB93" s="7" t="str">
        <f>VLOOKUP(C93,listaBolsa!$D$2:$BA$248,2,0)</f>
        <v>Gorra de seis (6) paneles en dril con cierre de velcro, botón forrado, en dril liviano y víscera rígida, en plástico de polietileno. cierre en plástico o velcro. bordado 1 uno al frente. Logo impreso aprobado por Oficina de Prensa del FDLS.</v>
      </c>
      <c r="DC93" s="7" t="str">
        <f>VLOOKUP(C93,listaBolsa!$D$2:$BA$248,10,0)</f>
        <v>INVENTIVA</v>
      </c>
      <c r="DD93" s="7">
        <f>VLOOKUP(C93,listaBolsa!$D$2:$BA$248,14,0)</f>
        <v>18000</v>
      </c>
      <c r="DE93" s="7" t="str">
        <f>VLOOKUP(C93,listaBolsa!$D$2:$BA$248,23,0)</f>
        <v>SG DIGITAL S.A.S</v>
      </c>
      <c r="DF93" s="7">
        <f>VLOOKUP(C93,listaBolsa!$D$2:$BA$248,29,0)</f>
        <v>20500</v>
      </c>
      <c r="DG93" s="7" t="str">
        <f>VLOOKUP(C93,listaBolsa!$D$2:$BA$248,36,0)</f>
        <v>Angie Pachon (personalizado INK)</v>
      </c>
      <c r="DH93" s="7">
        <f>VLOOKUP(C93,listaBolsa!$D$2:$BA$248,40,0)</f>
        <v>25000</v>
      </c>
      <c r="DI93" s="7">
        <f>VLOOKUP(C93,listaBolsa!$D$2:$BA$248,48,0)</f>
        <v>0.10657897067342009</v>
      </c>
      <c r="DJ93" s="7" t="b">
        <f t="shared" si="53"/>
        <v>1</v>
      </c>
      <c r="DK93" s="7" t="b">
        <f t="shared" si="53"/>
        <v>0</v>
      </c>
      <c r="DL93" s="7" t="b">
        <f t="shared" si="26"/>
        <v>1</v>
      </c>
      <c r="DM93" s="7" t="b">
        <f t="shared" si="26"/>
        <v>1</v>
      </c>
      <c r="DN93" s="7" t="b">
        <f t="shared" si="27"/>
        <v>1</v>
      </c>
      <c r="DO93" s="7" t="b">
        <f t="shared" si="27"/>
        <v>0</v>
      </c>
      <c r="DP93" s="7" t="b">
        <f t="shared" si="28"/>
        <v>1</v>
      </c>
      <c r="DQ93" s="7" t="b">
        <f t="shared" si="28"/>
        <v>1</v>
      </c>
      <c r="DR93" s="7" t="b">
        <f t="shared" si="40"/>
        <v>0</v>
      </c>
    </row>
    <row r="94" spans="1:122" s="7" customFormat="1" ht="145.15" customHeight="1">
      <c r="A94" s="75">
        <f t="shared" si="41"/>
        <v>83</v>
      </c>
      <c r="B94" s="199" t="s">
        <v>309</v>
      </c>
      <c r="C94" s="186" t="s">
        <v>505</v>
      </c>
      <c r="D94" s="202" t="s">
        <v>470</v>
      </c>
      <c r="E94" s="188" t="s">
        <v>191</v>
      </c>
      <c r="F94" s="189">
        <v>100</v>
      </c>
      <c r="G94" s="200" t="str">
        <f>IF(C94="","",VLOOKUP(C94,listaBolsa!$D$2:$H$276,5,0))</f>
        <v>Compra</v>
      </c>
      <c r="H94" s="106"/>
      <c r="I94" s="107"/>
      <c r="J94" s="96">
        <f t="shared" si="29"/>
        <v>0</v>
      </c>
      <c r="K94" s="96">
        <f t="shared" si="30"/>
        <v>0</v>
      </c>
      <c r="L94" s="96">
        <f t="shared" si="46"/>
        <v>0</v>
      </c>
      <c r="M94" s="96">
        <f t="shared" si="47"/>
        <v>0</v>
      </c>
      <c r="N94" s="108" t="str">
        <f>IF(C94="","",VLOOKUP(C94,listaBolsa!$D$2:$AZ$276,23,0))</f>
        <v>Angie Pachon (personalizado INK)</v>
      </c>
      <c r="O94" s="109">
        <f>IF(C94="","",VLOOKUP(C94,listaBolsa!$D$2:$AZ$276,27,0))</f>
        <v>15000</v>
      </c>
      <c r="P94" s="110">
        <f t="shared" si="45"/>
        <v>2850</v>
      </c>
      <c r="Q94" s="110">
        <f t="shared" si="33"/>
        <v>17850</v>
      </c>
      <c r="R94" s="110">
        <f t="shared" si="48"/>
        <v>1500000</v>
      </c>
      <c r="S94" s="110">
        <f t="shared" si="49"/>
        <v>1785000</v>
      </c>
      <c r="T94" s="97" t="str">
        <f>IF(C94="","",VLOOKUP(C94,listaBolsa!$D$2:$BB$276,36,0))</f>
        <v>INVENTIVA</v>
      </c>
      <c r="U94" s="98">
        <f>IF(C94="","",VLOOKUP(C94,listaBolsa!$D$2:$BB$276,40,0))</f>
        <v>12000</v>
      </c>
      <c r="V94" s="99">
        <f t="shared" si="36"/>
        <v>2280</v>
      </c>
      <c r="W94" s="99">
        <f t="shared" si="37"/>
        <v>14280</v>
      </c>
      <c r="X94" s="99">
        <f t="shared" si="50"/>
        <v>1200000</v>
      </c>
      <c r="Y94" s="99">
        <f t="shared" si="51"/>
        <v>1428000</v>
      </c>
      <c r="Z94" s="100">
        <f>IF(A94="","",AVERAGE(Q94,W94))</f>
        <v>16065</v>
      </c>
      <c r="AA94" s="100">
        <f>IF(B94="","",Z94*F94)</f>
        <v>1606500</v>
      </c>
      <c r="AB94" s="78">
        <f>IF(B94="","",STDEV(S94,Y94))</f>
        <v>252437.12088359747</v>
      </c>
      <c r="AC94" s="102">
        <f t="shared" si="24"/>
        <v>0.15713484026367722</v>
      </c>
      <c r="AD94" s="5"/>
      <c r="AF94" s="7" t="s">
        <v>173</v>
      </c>
      <c r="AG94" s="7">
        <v>83</v>
      </c>
      <c r="AH94" s="7" t="s">
        <v>506</v>
      </c>
      <c r="BG94" s="7">
        <v>97</v>
      </c>
      <c r="DA94" s="7" t="str">
        <f>VLOOKUP(C94,listaBolsa!$D$2:$BA$248,1,0)</f>
        <v>Tula Deportiva con logos</v>
      </c>
      <c r="DB94" s="7" t="str">
        <f>VLOOKUP(C94,listaBolsa!$D$2:$BA$248,2,0)</f>
        <v>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v>
      </c>
      <c r="DC94" s="7">
        <f>VLOOKUP(C94,listaBolsa!$D$2:$BA$248,10,0)</f>
        <v>0</v>
      </c>
      <c r="DD94" s="7">
        <f>VLOOKUP(C94,listaBolsa!$D$2:$BA$248,14,0)</f>
        <v>0</v>
      </c>
      <c r="DE94" s="7" t="str">
        <f>VLOOKUP(C94,listaBolsa!$D$2:$BA$248,23,0)</f>
        <v>Angie Pachon (personalizado INK)</v>
      </c>
      <c r="DF94" s="7">
        <f>VLOOKUP(C94,listaBolsa!$D$2:$BA$248,29,0)</f>
        <v>15000</v>
      </c>
      <c r="DG94" s="7" t="str">
        <f>VLOOKUP(C94,listaBolsa!$D$2:$BA$248,36,0)</f>
        <v>INVENTIVA</v>
      </c>
      <c r="DH94" s="7">
        <f>VLOOKUP(C94,listaBolsa!$D$2:$BA$248,40,0)</f>
        <v>12000</v>
      </c>
      <c r="DI94" s="7">
        <f>VLOOKUP(C94,listaBolsa!$D$2:$BA$248,48,0)</f>
        <v>3.4775743337043322E-2</v>
      </c>
      <c r="DJ94" s="7" t="b">
        <f t="shared" si="53"/>
        <v>1</v>
      </c>
      <c r="DK94" s="7" t="b">
        <f t="shared" si="53"/>
        <v>0</v>
      </c>
      <c r="DL94" s="7" t="b">
        <f t="shared" si="26"/>
        <v>1</v>
      </c>
      <c r="DM94" s="7" t="b">
        <f t="shared" si="26"/>
        <v>1</v>
      </c>
      <c r="DN94" s="7" t="b">
        <f t="shared" si="27"/>
        <v>1</v>
      </c>
      <c r="DO94" s="7" t="b">
        <f t="shared" si="27"/>
        <v>1</v>
      </c>
      <c r="DP94" s="7" t="b">
        <f t="shared" si="28"/>
        <v>1</v>
      </c>
      <c r="DQ94" s="7" t="b">
        <f t="shared" si="28"/>
        <v>1</v>
      </c>
      <c r="DR94" s="7" t="b">
        <f t="shared" si="40"/>
        <v>0</v>
      </c>
    </row>
    <row r="95" spans="1:122" s="7" customFormat="1" ht="105" customHeight="1">
      <c r="A95" s="75">
        <f t="shared" si="41"/>
        <v>84</v>
      </c>
      <c r="B95" s="199" t="s">
        <v>309</v>
      </c>
      <c r="C95" s="186" t="s">
        <v>507</v>
      </c>
      <c r="D95" s="186" t="s">
        <v>508</v>
      </c>
      <c r="E95" s="188" t="s">
        <v>191</v>
      </c>
      <c r="F95" s="189">
        <v>100</v>
      </c>
      <c r="G95" s="75" t="s">
        <v>192</v>
      </c>
      <c r="H95" s="106" t="s">
        <v>193</v>
      </c>
      <c r="I95" s="107">
        <v>14500</v>
      </c>
      <c r="J95" s="96">
        <f t="shared" si="29"/>
        <v>2755</v>
      </c>
      <c r="K95" s="96">
        <f t="shared" si="30"/>
        <v>17255</v>
      </c>
      <c r="L95" s="96">
        <f t="shared" si="46"/>
        <v>1450000</v>
      </c>
      <c r="M95" s="96">
        <f t="shared" si="47"/>
        <v>1725500</v>
      </c>
      <c r="N95" s="108" t="s">
        <v>263</v>
      </c>
      <c r="O95" s="109">
        <v>12521.008403361349</v>
      </c>
      <c r="P95" s="110">
        <f t="shared" si="45"/>
        <v>2378.9915966386566</v>
      </c>
      <c r="Q95" s="110">
        <f t="shared" si="33"/>
        <v>14900.000000000005</v>
      </c>
      <c r="R95" s="110">
        <f t="shared" si="48"/>
        <v>1252100.8403361349</v>
      </c>
      <c r="S95" s="110">
        <f t="shared" si="49"/>
        <v>1490000.0000000005</v>
      </c>
      <c r="T95" s="97" t="s">
        <v>194</v>
      </c>
      <c r="U95" s="98">
        <v>16500</v>
      </c>
      <c r="V95" s="99">
        <f t="shared" si="36"/>
        <v>3135</v>
      </c>
      <c r="W95" s="99">
        <f t="shared" si="37"/>
        <v>19635</v>
      </c>
      <c r="X95" s="99">
        <f t="shared" si="50"/>
        <v>1650000</v>
      </c>
      <c r="Y95" s="99">
        <f t="shared" si="51"/>
        <v>1963500</v>
      </c>
      <c r="Z95" s="100">
        <f t="shared" si="42"/>
        <v>17263.333333333336</v>
      </c>
      <c r="AA95" s="100">
        <f t="shared" si="52"/>
        <v>1726333.3333333335</v>
      </c>
      <c r="AB95" s="78">
        <f t="shared" si="44"/>
        <v>236751.09996224724</v>
      </c>
      <c r="AC95" s="102">
        <f t="shared" si="24"/>
        <v>0.13714101175646681</v>
      </c>
      <c r="AD95" s="5"/>
      <c r="AF95" s="7" t="s">
        <v>173</v>
      </c>
      <c r="AG95" s="7">
        <v>84</v>
      </c>
      <c r="AH95" s="7" t="s">
        <v>509</v>
      </c>
      <c r="BG95" s="7">
        <v>98</v>
      </c>
      <c r="DA95" s="7" t="e">
        <f>VLOOKUP(C95,listaBolsa!$D$2:$BA$248,1,0)</f>
        <v>#N/A</v>
      </c>
      <c r="DB95" s="7" t="e">
        <f>VLOOKUP(C95,listaBolsa!$D$2:$BA$248,2,0)</f>
        <v>#N/A</v>
      </c>
      <c r="DC95" s="7" t="e">
        <f>VLOOKUP(C95,listaBolsa!$D$2:$BA$248,10,0)</f>
        <v>#N/A</v>
      </c>
      <c r="DD95" s="7" t="e">
        <f>VLOOKUP(C95,listaBolsa!$D$2:$BA$248,14,0)</f>
        <v>#N/A</v>
      </c>
      <c r="DE95" s="7" t="e">
        <f>VLOOKUP(C95,listaBolsa!$D$2:$BA$248,23,0)</f>
        <v>#N/A</v>
      </c>
      <c r="DF95" s="7" t="e">
        <f>VLOOKUP(C95,listaBolsa!$D$2:$BA$248,29,0)</f>
        <v>#N/A</v>
      </c>
      <c r="DG95" s="7" t="e">
        <f>VLOOKUP(C95,listaBolsa!$D$2:$BA$248,36,0)</f>
        <v>#N/A</v>
      </c>
      <c r="DH95" s="7" t="e">
        <f>VLOOKUP(C95,listaBolsa!$D$2:$BA$248,40,0)</f>
        <v>#N/A</v>
      </c>
      <c r="DI95" s="7" t="e">
        <f>VLOOKUP(C95,listaBolsa!$D$2:$BA$248,48,0)</f>
        <v>#N/A</v>
      </c>
      <c r="DJ95" s="7" t="e">
        <f t="shared" si="53"/>
        <v>#N/A</v>
      </c>
      <c r="DK95" s="7" t="e">
        <f t="shared" si="53"/>
        <v>#N/A</v>
      </c>
      <c r="DL95" s="7" t="e">
        <f t="shared" si="26"/>
        <v>#N/A</v>
      </c>
      <c r="DM95" s="7" t="e">
        <f t="shared" si="26"/>
        <v>#N/A</v>
      </c>
      <c r="DN95" s="7" t="e">
        <f t="shared" si="27"/>
        <v>#N/A</v>
      </c>
      <c r="DO95" s="7" t="e">
        <f t="shared" si="27"/>
        <v>#N/A</v>
      </c>
      <c r="DP95" s="7" t="e">
        <f t="shared" si="28"/>
        <v>#N/A</v>
      </c>
      <c r="DQ95" s="7" t="e">
        <f t="shared" si="28"/>
        <v>#N/A</v>
      </c>
      <c r="DR95" s="7" t="e">
        <f t="shared" si="40"/>
        <v>#N/A</v>
      </c>
    </row>
    <row r="96" spans="1:122" s="7" customFormat="1" ht="105" customHeight="1">
      <c r="A96" s="75">
        <f t="shared" si="41"/>
        <v>85</v>
      </c>
      <c r="B96" s="199" t="s">
        <v>309</v>
      </c>
      <c r="C96" s="186" t="s">
        <v>510</v>
      </c>
      <c r="D96" s="186" t="s">
        <v>511</v>
      </c>
      <c r="E96" s="188" t="s">
        <v>191</v>
      </c>
      <c r="F96" s="189">
        <v>8</v>
      </c>
      <c r="G96" s="200" t="str">
        <f>IF(C96="","",VLOOKUP(C96,listaBolsa!$D$2:$H$276,5,0))</f>
        <v>Compra</v>
      </c>
      <c r="H96" s="106" t="str">
        <f>IF(C96="","",VLOOKUP(C96,listaBolsa!$D$2:$W$276,10,0))</f>
        <v>Exito</v>
      </c>
      <c r="I96" s="107">
        <f>IF(C96="","",VLOOKUP(C96,listaBolsa!$D$2:$W$276,14,0))</f>
        <v>13277.310924369749</v>
      </c>
      <c r="J96" s="96">
        <f t="shared" si="29"/>
        <v>2522.6890756302523</v>
      </c>
      <c r="K96" s="96">
        <f t="shared" si="30"/>
        <v>15800.000000000002</v>
      </c>
      <c r="L96" s="96">
        <f t="shared" si="46"/>
        <v>106218.48739495799</v>
      </c>
      <c r="M96" s="96">
        <f t="shared" si="47"/>
        <v>126400.00000000001</v>
      </c>
      <c r="N96" s="108" t="str">
        <f>IF(C96="","",VLOOKUP(C96,listaBolsa!$D$2:$AZ$276,23,0))</f>
        <v>Olimpica</v>
      </c>
      <c r="O96" s="109">
        <f>IF(C96="","",VLOOKUP(C96,listaBolsa!$D$2:$AZ$276,27,0))</f>
        <v>16369.747899159665</v>
      </c>
      <c r="P96" s="110">
        <f t="shared" si="45"/>
        <v>3110.2521008403364</v>
      </c>
      <c r="Q96" s="110">
        <f t="shared" si="33"/>
        <v>19480</v>
      </c>
      <c r="R96" s="110">
        <f t="shared" si="48"/>
        <v>130957.98319327732</v>
      </c>
      <c r="S96" s="110">
        <f t="shared" si="49"/>
        <v>155840</v>
      </c>
      <c r="T96" s="97" t="str">
        <f>IF(C96="","",VLOOKUP(C96,listaBolsa!$D$2:$BB$276,36,0))</f>
        <v>Tiendas Jumbo</v>
      </c>
      <c r="U96" s="98">
        <f>IF(C96="","",VLOOKUP(C96,listaBolsa!$D$2:$BB$276,40,0))</f>
        <v>14621.848739495799</v>
      </c>
      <c r="V96" s="99">
        <f t="shared" si="36"/>
        <v>2778.1512605042017</v>
      </c>
      <c r="W96" s="99">
        <f t="shared" si="37"/>
        <v>17400</v>
      </c>
      <c r="X96" s="99">
        <f t="shared" si="50"/>
        <v>116974.78991596639</v>
      </c>
      <c r="Y96" s="99">
        <f t="shared" si="51"/>
        <v>139200</v>
      </c>
      <c r="Z96" s="100">
        <f t="shared" si="42"/>
        <v>17560</v>
      </c>
      <c r="AA96" s="100">
        <f t="shared" si="52"/>
        <v>140480</v>
      </c>
      <c r="AB96" s="78">
        <f t="shared" si="44"/>
        <v>14761.680121178611</v>
      </c>
      <c r="AC96" s="102">
        <f t="shared" si="24"/>
        <v>0.10508029699016665</v>
      </c>
      <c r="AD96" s="5"/>
      <c r="AF96" s="7" t="s">
        <v>173</v>
      </c>
      <c r="AG96" s="7">
        <v>85</v>
      </c>
      <c r="AH96" s="7" t="s">
        <v>512</v>
      </c>
      <c r="BG96" s="7">
        <v>99</v>
      </c>
      <c r="DA96" s="7" t="str">
        <f>VLOOKUP(C96,listaBolsa!$D$2:$BA$248,1,0)</f>
        <v>Agua en botella x 24 unidades 300 ml</v>
      </c>
      <c r="DB96" s="7" t="str">
        <f>VLOOKUP(C96,listaBolsa!$D$2:$BA$248,2,0)</f>
        <v>Bandeja X 24 unidades de agua en botella por 300 ML.</v>
      </c>
      <c r="DC96" s="7" t="str">
        <f>VLOOKUP(C96,listaBolsa!$D$2:$BA$248,10,0)</f>
        <v>Exito</v>
      </c>
      <c r="DD96" s="7">
        <f>VLOOKUP(C96,listaBolsa!$D$2:$BA$248,14,0)</f>
        <v>13277.310924369749</v>
      </c>
      <c r="DE96" s="7" t="str">
        <f>VLOOKUP(C96,listaBolsa!$D$2:$BA$248,23,0)</f>
        <v>Olimpica</v>
      </c>
      <c r="DF96" s="7">
        <f>VLOOKUP(C96,listaBolsa!$D$2:$BA$248,29,0)</f>
        <v>19480</v>
      </c>
      <c r="DG96" s="7" t="str">
        <f>VLOOKUP(C96,listaBolsa!$D$2:$BA$248,36,0)</f>
        <v>Tiendas Jumbo</v>
      </c>
      <c r="DH96" s="7">
        <f>VLOOKUP(C96,listaBolsa!$D$2:$BA$248,40,0)</f>
        <v>14621.848739495799</v>
      </c>
      <c r="DI96" s="7">
        <f>VLOOKUP(C96,listaBolsa!$D$2:$BA$248,48,0)</f>
        <v>0.10508029699016665</v>
      </c>
      <c r="DJ96" s="7" t="b">
        <f t="shared" si="53"/>
        <v>1</v>
      </c>
      <c r="DK96" s="7" t="b">
        <f t="shared" si="53"/>
        <v>1</v>
      </c>
      <c r="DL96" s="7" t="b">
        <f t="shared" si="26"/>
        <v>1</v>
      </c>
      <c r="DM96" s="7" t="b">
        <f t="shared" si="26"/>
        <v>1</v>
      </c>
      <c r="DN96" s="7" t="b">
        <f t="shared" si="27"/>
        <v>1</v>
      </c>
      <c r="DO96" s="7" t="b">
        <f t="shared" si="27"/>
        <v>0</v>
      </c>
      <c r="DP96" s="7" t="b">
        <f t="shared" si="28"/>
        <v>1</v>
      </c>
      <c r="DQ96" s="7" t="b">
        <f t="shared" si="28"/>
        <v>1</v>
      </c>
      <c r="DR96" s="7" t="b">
        <f t="shared" si="40"/>
        <v>1</v>
      </c>
    </row>
    <row r="97" spans="1:122" s="7" customFormat="1" ht="105" customHeight="1">
      <c r="A97" s="75">
        <f t="shared" si="41"/>
        <v>86</v>
      </c>
      <c r="B97" s="199" t="s">
        <v>309</v>
      </c>
      <c r="C97" s="186" t="s">
        <v>513</v>
      </c>
      <c r="D97" s="186" t="s">
        <v>514</v>
      </c>
      <c r="E97" s="188" t="s">
        <v>191</v>
      </c>
      <c r="F97" s="189">
        <v>1</v>
      </c>
      <c r="G97" s="75" t="s">
        <v>192</v>
      </c>
      <c r="H97" s="106" t="s">
        <v>515</v>
      </c>
      <c r="I97" s="107">
        <v>1050000</v>
      </c>
      <c r="J97" s="96">
        <f t="shared" si="29"/>
        <v>199500</v>
      </c>
      <c r="K97" s="96">
        <f t="shared" si="30"/>
        <v>1249500</v>
      </c>
      <c r="L97" s="96">
        <f t="shared" si="46"/>
        <v>1050000</v>
      </c>
      <c r="M97" s="96">
        <f t="shared" si="47"/>
        <v>1249500</v>
      </c>
      <c r="N97" s="108" t="s">
        <v>516</v>
      </c>
      <c r="O97" s="109">
        <v>1500000</v>
      </c>
      <c r="P97" s="110">
        <f t="shared" si="45"/>
        <v>285000</v>
      </c>
      <c r="Q97" s="110">
        <f t="shared" si="33"/>
        <v>1785000</v>
      </c>
      <c r="R97" s="110">
        <f t="shared" si="48"/>
        <v>1500000</v>
      </c>
      <c r="S97" s="110">
        <f t="shared" si="49"/>
        <v>1785000</v>
      </c>
      <c r="T97" s="97" t="s">
        <v>517</v>
      </c>
      <c r="U97" s="98">
        <v>1260504</v>
      </c>
      <c r="V97" s="99">
        <f t="shared" si="36"/>
        <v>239495.76</v>
      </c>
      <c r="W97" s="99">
        <f t="shared" si="37"/>
        <v>1499999.76</v>
      </c>
      <c r="X97" s="99">
        <f t="shared" si="50"/>
        <v>1260504</v>
      </c>
      <c r="Y97" s="99">
        <f t="shared" si="51"/>
        <v>1499999.76</v>
      </c>
      <c r="Z97" s="100">
        <f t="shared" si="42"/>
        <v>1511499.92</v>
      </c>
      <c r="AA97" s="100">
        <f t="shared" si="52"/>
        <v>1511499.92</v>
      </c>
      <c r="AB97" s="78">
        <f t="shared" si="44"/>
        <v>267935.1652172957</v>
      </c>
      <c r="AC97" s="102">
        <f t="shared" si="24"/>
        <v>0.17726442566883874</v>
      </c>
      <c r="AD97" s="5"/>
      <c r="AF97" s="7" t="s">
        <v>173</v>
      </c>
      <c r="AG97" s="7">
        <v>86</v>
      </c>
      <c r="AH97" s="7" t="s">
        <v>518</v>
      </c>
      <c r="BG97" s="7">
        <v>100</v>
      </c>
      <c r="DA97" s="7" t="e">
        <f>VLOOKUP(C97,listaBolsa!$D$2:$BA$248,1,0)</f>
        <v>#N/A</v>
      </c>
      <c r="DB97" s="7" t="e">
        <f>VLOOKUP(C97,listaBolsa!$D$2:$BA$248,2,0)</f>
        <v>#N/A</v>
      </c>
      <c r="DC97" s="7" t="e">
        <f>VLOOKUP(C97,listaBolsa!$D$2:$BA$248,10,0)</f>
        <v>#N/A</v>
      </c>
      <c r="DD97" s="7" t="e">
        <f>VLOOKUP(C97,listaBolsa!$D$2:$BA$248,14,0)</f>
        <v>#N/A</v>
      </c>
      <c r="DE97" s="7" t="e">
        <f>VLOOKUP(C97,listaBolsa!$D$2:$BA$248,23,0)</f>
        <v>#N/A</v>
      </c>
      <c r="DF97" s="7" t="e">
        <f>VLOOKUP(C97,listaBolsa!$D$2:$BA$248,29,0)</f>
        <v>#N/A</v>
      </c>
      <c r="DG97" s="7" t="e">
        <f>VLOOKUP(C97,listaBolsa!$D$2:$BA$248,36,0)</f>
        <v>#N/A</v>
      </c>
      <c r="DH97" s="7" t="e">
        <f>VLOOKUP(C97,listaBolsa!$D$2:$BA$248,40,0)</f>
        <v>#N/A</v>
      </c>
      <c r="DI97" s="7" t="e">
        <f>VLOOKUP(C97,listaBolsa!$D$2:$BA$248,48,0)</f>
        <v>#N/A</v>
      </c>
      <c r="DJ97" s="7" t="e">
        <f t="shared" si="53"/>
        <v>#N/A</v>
      </c>
      <c r="DK97" s="7" t="e">
        <f t="shared" si="53"/>
        <v>#N/A</v>
      </c>
      <c r="DL97" s="7" t="e">
        <f t="shared" si="26"/>
        <v>#N/A</v>
      </c>
      <c r="DM97" s="7" t="e">
        <f t="shared" si="26"/>
        <v>#N/A</v>
      </c>
      <c r="DN97" s="7" t="e">
        <f t="shared" si="27"/>
        <v>#N/A</v>
      </c>
      <c r="DO97" s="7" t="e">
        <f t="shared" si="27"/>
        <v>#N/A</v>
      </c>
      <c r="DP97" s="7" t="e">
        <f t="shared" si="28"/>
        <v>#N/A</v>
      </c>
      <c r="DQ97" s="7" t="e">
        <f t="shared" si="28"/>
        <v>#N/A</v>
      </c>
      <c r="DR97" s="7" t="e">
        <f t="shared" si="40"/>
        <v>#N/A</v>
      </c>
    </row>
    <row r="98" spans="1:122" s="7" customFormat="1" ht="105" customHeight="1">
      <c r="A98" s="75">
        <f t="shared" si="41"/>
        <v>87</v>
      </c>
      <c r="B98" s="199" t="s">
        <v>309</v>
      </c>
      <c r="C98" s="186" t="s">
        <v>519</v>
      </c>
      <c r="D98" s="186" t="s">
        <v>520</v>
      </c>
      <c r="E98" s="188" t="s">
        <v>191</v>
      </c>
      <c r="F98" s="189">
        <v>1</v>
      </c>
      <c r="G98" s="200" t="str">
        <f>IF(C98="","",VLOOKUP(C98,listaBolsa!$D$2:$H$276,5,0))</f>
        <v>Alquiler</v>
      </c>
      <c r="H98" s="106" t="str">
        <f>IF(C98="","",VLOOKUP(C98,listaBolsa!$D$2:$W$276,10,0))</f>
        <v>Ambulancias Particulares Ayudar</v>
      </c>
      <c r="I98" s="107">
        <f>IF(C98="","",VLOOKUP(C98,listaBolsa!$D$2:$W$276,14,0))</f>
        <v>1360000</v>
      </c>
      <c r="J98" s="96">
        <f t="shared" si="29"/>
        <v>258400</v>
      </c>
      <c r="K98" s="96">
        <f t="shared" si="30"/>
        <v>1618400</v>
      </c>
      <c r="L98" s="96">
        <f t="shared" si="46"/>
        <v>1360000</v>
      </c>
      <c r="M98" s="96">
        <f t="shared" si="47"/>
        <v>1618400</v>
      </c>
      <c r="N98" s="108" t="str">
        <f>IF(C98="","",VLOOKUP(C98,listaBolsa!$D$2:$AZ$276,23,0))</f>
        <v>D&amp;R PRODUCCIONES SAS</v>
      </c>
      <c r="O98" s="109">
        <f>IF(C98="","",VLOOKUP(C98,listaBolsa!$D$2:$AZ$276,27,0))</f>
        <v>1280000</v>
      </c>
      <c r="P98" s="110">
        <f t="shared" si="45"/>
        <v>243200</v>
      </c>
      <c r="Q98" s="110">
        <f t="shared" si="33"/>
        <v>1523200</v>
      </c>
      <c r="R98" s="110">
        <f t="shared" si="48"/>
        <v>1280000</v>
      </c>
      <c r="S98" s="110">
        <f t="shared" si="49"/>
        <v>1523200</v>
      </c>
      <c r="T98" s="97" t="str">
        <f>IF(C98="","",VLOOKUP(C98,listaBolsa!$D$2:$BB$276,36,0))</f>
        <v>LOGISTBOX L&amp;L SAS</v>
      </c>
      <c r="U98" s="98">
        <f>IF(C98="","",VLOOKUP(C98,listaBolsa!$D$2:$BB$276,40,0))</f>
        <v>1394000</v>
      </c>
      <c r="V98" s="99">
        <f t="shared" si="36"/>
        <v>264860</v>
      </c>
      <c r="W98" s="99">
        <f t="shared" si="37"/>
        <v>1658860</v>
      </c>
      <c r="X98" s="99">
        <f t="shared" si="50"/>
        <v>1394000</v>
      </c>
      <c r="Y98" s="99">
        <f t="shared" si="51"/>
        <v>1658860</v>
      </c>
      <c r="Z98" s="100">
        <f t="shared" si="42"/>
        <v>1600153.3333333333</v>
      </c>
      <c r="AA98" s="100">
        <f t="shared" si="52"/>
        <v>1600153.3333333333</v>
      </c>
      <c r="AB98" s="78">
        <f t="shared" si="44"/>
        <v>69646.353338371802</v>
      </c>
      <c r="AC98" s="102">
        <f t="shared" si="24"/>
        <v>4.352479970984352E-2</v>
      </c>
      <c r="AD98" s="5"/>
      <c r="AF98" s="7" t="s">
        <v>173</v>
      </c>
      <c r="AG98" s="7">
        <v>87</v>
      </c>
      <c r="AH98" s="7" t="s">
        <v>521</v>
      </c>
      <c r="BG98" s="7">
        <v>101</v>
      </c>
      <c r="DA98" s="7" t="str">
        <f>VLOOKUP(C98,listaBolsa!$D$2:$BA$248,1,0)</f>
        <v>Alquiler ambulancia</v>
      </c>
      <c r="DB98" s="7" t="str">
        <f>VLOOKUP(C98,listaBolsa!$D$2:$BA$248,2,0)</f>
        <v>Alquiler de Ambulancia medicalizada durante una jornada de 6 a 8 horas</v>
      </c>
      <c r="DC98" s="7" t="str">
        <f>VLOOKUP(C98,listaBolsa!$D$2:$BA$248,10,0)</f>
        <v>Ambulancias Particulares Ayudar</v>
      </c>
      <c r="DD98" s="7">
        <f>VLOOKUP(C98,listaBolsa!$D$2:$BA$248,14,0)</f>
        <v>1360000</v>
      </c>
      <c r="DE98" s="7" t="str">
        <f>VLOOKUP(C98,listaBolsa!$D$2:$BA$248,23,0)</f>
        <v>D&amp;R PRODUCCIONES SAS</v>
      </c>
      <c r="DF98" s="7">
        <f>VLOOKUP(C98,listaBolsa!$D$2:$BA$248,29,0)</f>
        <v>1280000</v>
      </c>
      <c r="DG98" s="7" t="str">
        <f>VLOOKUP(C98,listaBolsa!$D$2:$BA$248,36,0)</f>
        <v>LOGISTBOX L&amp;L SAS</v>
      </c>
      <c r="DH98" s="7">
        <f>VLOOKUP(C98,listaBolsa!$D$2:$BA$248,40,0)</f>
        <v>1394000</v>
      </c>
      <c r="DI98" s="7">
        <f>VLOOKUP(C98,listaBolsa!$D$2:$BA$248,48,0)</f>
        <v>4.3524799709843513E-2</v>
      </c>
      <c r="DJ98" s="7" t="b">
        <f t="shared" si="53"/>
        <v>1</v>
      </c>
      <c r="DK98" s="7" t="b">
        <f t="shared" si="53"/>
        <v>1</v>
      </c>
      <c r="DL98" s="7" t="b">
        <f t="shared" si="26"/>
        <v>1</v>
      </c>
      <c r="DM98" s="7" t="b">
        <f t="shared" si="26"/>
        <v>1</v>
      </c>
      <c r="DN98" s="7" t="b">
        <f t="shared" si="27"/>
        <v>1</v>
      </c>
      <c r="DO98" s="7" t="b">
        <f t="shared" si="27"/>
        <v>1</v>
      </c>
      <c r="DP98" s="7" t="b">
        <f t="shared" si="28"/>
        <v>1</v>
      </c>
      <c r="DQ98" s="7" t="b">
        <f t="shared" si="28"/>
        <v>1</v>
      </c>
      <c r="DR98" s="7" t="b">
        <f t="shared" si="40"/>
        <v>1</v>
      </c>
    </row>
    <row r="99" spans="1:122" s="7" customFormat="1" ht="105" customHeight="1">
      <c r="A99" s="75">
        <f t="shared" si="41"/>
        <v>88</v>
      </c>
      <c r="B99" s="199" t="s">
        <v>309</v>
      </c>
      <c r="C99" s="186" t="s">
        <v>522</v>
      </c>
      <c r="D99" s="186" t="s">
        <v>523</v>
      </c>
      <c r="E99" s="188" t="s">
        <v>191</v>
      </c>
      <c r="F99" s="189">
        <v>1</v>
      </c>
      <c r="G99" s="75" t="s">
        <v>192</v>
      </c>
      <c r="H99" s="106" t="s">
        <v>193</v>
      </c>
      <c r="I99" s="107">
        <v>1350000</v>
      </c>
      <c r="J99" s="96">
        <f t="shared" si="29"/>
        <v>256500</v>
      </c>
      <c r="K99" s="96">
        <f t="shared" si="30"/>
        <v>1606500</v>
      </c>
      <c r="L99" s="96">
        <f t="shared" si="46"/>
        <v>1350000</v>
      </c>
      <c r="M99" s="96">
        <f t="shared" si="47"/>
        <v>1606500</v>
      </c>
      <c r="N99" s="108" t="s">
        <v>245</v>
      </c>
      <c r="O99" s="109">
        <v>1600000</v>
      </c>
      <c r="P99" s="110">
        <f t="shared" si="45"/>
        <v>304000</v>
      </c>
      <c r="Q99" s="110">
        <f t="shared" si="33"/>
        <v>1904000</v>
      </c>
      <c r="R99" s="110">
        <f t="shared" si="48"/>
        <v>1600000</v>
      </c>
      <c r="S99" s="110">
        <f t="shared" si="49"/>
        <v>1904000</v>
      </c>
      <c r="T99" s="97" t="s">
        <v>194</v>
      </c>
      <c r="U99" s="98">
        <v>1400000</v>
      </c>
      <c r="V99" s="99">
        <f t="shared" si="36"/>
        <v>266000</v>
      </c>
      <c r="W99" s="99">
        <f t="shared" si="37"/>
        <v>1666000</v>
      </c>
      <c r="X99" s="99">
        <f t="shared" si="50"/>
        <v>1400000</v>
      </c>
      <c r="Y99" s="99">
        <f t="shared" si="51"/>
        <v>1666000</v>
      </c>
      <c r="Z99" s="100">
        <f t="shared" si="42"/>
        <v>1725500</v>
      </c>
      <c r="AA99" s="100">
        <f t="shared" si="52"/>
        <v>1725500</v>
      </c>
      <c r="AB99" s="78">
        <f t="shared" si="44"/>
        <v>157422.20300834315</v>
      </c>
      <c r="AC99" s="102">
        <f t="shared" si="24"/>
        <v>9.1232803829813469E-2</v>
      </c>
      <c r="AD99" s="5"/>
      <c r="AF99" s="7" t="s">
        <v>173</v>
      </c>
      <c r="AG99" s="7">
        <v>88</v>
      </c>
      <c r="AH99" s="7" t="s">
        <v>524</v>
      </c>
      <c r="BG99" s="7">
        <v>102</v>
      </c>
      <c r="DA99" s="7" t="e">
        <f>VLOOKUP(C99,listaBolsa!$D$2:$BA$248,1,0)</f>
        <v>#N/A</v>
      </c>
      <c r="DB99" s="7" t="e">
        <f>VLOOKUP(C99,listaBolsa!$D$2:$BA$248,2,0)</f>
        <v>#N/A</v>
      </c>
      <c r="DC99" s="7" t="e">
        <f>VLOOKUP(C99,listaBolsa!$D$2:$BA$248,10,0)</f>
        <v>#N/A</v>
      </c>
      <c r="DD99" s="7" t="e">
        <f>VLOOKUP(C99,listaBolsa!$D$2:$BA$248,14,0)</f>
        <v>#N/A</v>
      </c>
      <c r="DE99" s="7" t="e">
        <f>VLOOKUP(C99,listaBolsa!$D$2:$BA$248,23,0)</f>
        <v>#N/A</v>
      </c>
      <c r="DF99" s="7" t="e">
        <f>VLOOKUP(C99,listaBolsa!$D$2:$BA$248,29,0)</f>
        <v>#N/A</v>
      </c>
      <c r="DG99" s="7" t="e">
        <f>VLOOKUP(C99,listaBolsa!$D$2:$BA$248,36,0)</f>
        <v>#N/A</v>
      </c>
      <c r="DH99" s="7" t="e">
        <f>VLOOKUP(C99,listaBolsa!$D$2:$BA$248,40,0)</f>
        <v>#N/A</v>
      </c>
      <c r="DI99" s="7" t="e">
        <f>VLOOKUP(C99,listaBolsa!$D$2:$BA$248,48,0)</f>
        <v>#N/A</v>
      </c>
      <c r="DJ99" s="7" t="e">
        <f t="shared" si="53"/>
        <v>#N/A</v>
      </c>
      <c r="DK99" s="7" t="e">
        <f t="shared" si="53"/>
        <v>#N/A</v>
      </c>
      <c r="DL99" s="7" t="e">
        <f t="shared" si="26"/>
        <v>#N/A</v>
      </c>
      <c r="DM99" s="7" t="e">
        <f t="shared" si="26"/>
        <v>#N/A</v>
      </c>
      <c r="DN99" s="7" t="e">
        <f t="shared" si="27"/>
        <v>#N/A</v>
      </c>
      <c r="DO99" s="7" t="e">
        <f t="shared" si="27"/>
        <v>#N/A</v>
      </c>
      <c r="DP99" s="7" t="e">
        <f t="shared" si="28"/>
        <v>#N/A</v>
      </c>
      <c r="DQ99" s="7" t="e">
        <f t="shared" si="28"/>
        <v>#N/A</v>
      </c>
      <c r="DR99" s="7" t="e">
        <f t="shared" si="40"/>
        <v>#N/A</v>
      </c>
    </row>
    <row r="100" spans="1:122" s="7" customFormat="1" ht="105" customHeight="1">
      <c r="A100" s="75">
        <f t="shared" si="41"/>
        <v>89</v>
      </c>
      <c r="B100" s="199" t="s">
        <v>309</v>
      </c>
      <c r="C100" s="186" t="s">
        <v>525</v>
      </c>
      <c r="D100" s="186" t="s">
        <v>526</v>
      </c>
      <c r="E100" s="188" t="s">
        <v>191</v>
      </c>
      <c r="F100" s="189">
        <v>3</v>
      </c>
      <c r="G100" s="75" t="s">
        <v>192</v>
      </c>
      <c r="H100" s="106" t="s">
        <v>193</v>
      </c>
      <c r="I100" s="107">
        <v>1250000</v>
      </c>
      <c r="J100" s="96">
        <f t="shared" si="29"/>
        <v>237500</v>
      </c>
      <c r="K100" s="96">
        <f t="shared" si="30"/>
        <v>1487500</v>
      </c>
      <c r="L100" s="96">
        <f t="shared" si="46"/>
        <v>3750000</v>
      </c>
      <c r="M100" s="96">
        <f t="shared" si="47"/>
        <v>4462500</v>
      </c>
      <c r="N100" s="108" t="s">
        <v>245</v>
      </c>
      <c r="O100" s="109">
        <v>1000000</v>
      </c>
      <c r="P100" s="110">
        <f t="shared" si="45"/>
        <v>190000</v>
      </c>
      <c r="Q100" s="110">
        <f t="shared" si="33"/>
        <v>1190000</v>
      </c>
      <c r="R100" s="110">
        <f t="shared" si="48"/>
        <v>3000000</v>
      </c>
      <c r="S100" s="110">
        <f t="shared" si="49"/>
        <v>3570000</v>
      </c>
      <c r="T100" s="97" t="s">
        <v>527</v>
      </c>
      <c r="U100" s="98">
        <v>1285714.2857142859</v>
      </c>
      <c r="V100" s="99">
        <f t="shared" si="36"/>
        <v>244285.71428571432</v>
      </c>
      <c r="W100" s="99">
        <f t="shared" si="37"/>
        <v>1530000.0000000002</v>
      </c>
      <c r="X100" s="99">
        <f t="shared" si="50"/>
        <v>3857142.8571428577</v>
      </c>
      <c r="Y100" s="99">
        <f t="shared" si="51"/>
        <v>4590000.0000000009</v>
      </c>
      <c r="Z100" s="100">
        <f t="shared" si="42"/>
        <v>1402500</v>
      </c>
      <c r="AA100" s="100">
        <f t="shared" si="52"/>
        <v>4207500</v>
      </c>
      <c r="AB100" s="78">
        <f t="shared" si="44"/>
        <v>555759.61530143942</v>
      </c>
      <c r="AC100" s="102">
        <f t="shared" si="24"/>
        <v>0.13208784677396065</v>
      </c>
      <c r="AD100" s="5"/>
      <c r="AF100" s="7" t="s">
        <v>173</v>
      </c>
      <c r="AG100" s="7">
        <v>89</v>
      </c>
      <c r="AH100" s="7" t="s">
        <v>528</v>
      </c>
      <c r="BG100" s="7">
        <v>103</v>
      </c>
      <c r="DA100" s="7" t="e">
        <f>VLOOKUP(C100,listaBolsa!$D$2:$BA$248,1,0)</f>
        <v>#N/A</v>
      </c>
      <c r="DB100" s="7" t="e">
        <f>VLOOKUP(C100,listaBolsa!$D$2:$BA$248,2,0)</f>
        <v>#N/A</v>
      </c>
      <c r="DC100" s="7" t="e">
        <f>VLOOKUP(C100,listaBolsa!$D$2:$BA$248,10,0)</f>
        <v>#N/A</v>
      </c>
      <c r="DD100" s="7" t="e">
        <f>VLOOKUP(C100,listaBolsa!$D$2:$BA$248,14,0)</f>
        <v>#N/A</v>
      </c>
      <c r="DE100" s="7" t="e">
        <f>VLOOKUP(C100,listaBolsa!$D$2:$BA$248,23,0)</f>
        <v>#N/A</v>
      </c>
      <c r="DF100" s="7" t="e">
        <f>VLOOKUP(C100,listaBolsa!$D$2:$BA$248,29,0)</f>
        <v>#N/A</v>
      </c>
      <c r="DG100" s="7" t="e">
        <f>VLOOKUP(C100,listaBolsa!$D$2:$BA$248,36,0)</f>
        <v>#N/A</v>
      </c>
      <c r="DH100" s="7" t="e">
        <f>VLOOKUP(C100,listaBolsa!$D$2:$BA$248,40,0)</f>
        <v>#N/A</v>
      </c>
      <c r="DI100" s="7" t="e">
        <f>VLOOKUP(C100,listaBolsa!$D$2:$BA$248,48,0)</f>
        <v>#N/A</v>
      </c>
      <c r="DJ100" s="7" t="e">
        <f t="shared" si="53"/>
        <v>#N/A</v>
      </c>
      <c r="DK100" s="7" t="e">
        <f t="shared" si="53"/>
        <v>#N/A</v>
      </c>
      <c r="DL100" s="7" t="e">
        <f t="shared" si="26"/>
        <v>#N/A</v>
      </c>
      <c r="DM100" s="7" t="e">
        <f t="shared" si="26"/>
        <v>#N/A</v>
      </c>
      <c r="DN100" s="7" t="e">
        <f t="shared" si="27"/>
        <v>#N/A</v>
      </c>
      <c r="DO100" s="7" t="e">
        <f t="shared" si="27"/>
        <v>#N/A</v>
      </c>
      <c r="DP100" s="7" t="e">
        <f t="shared" si="28"/>
        <v>#N/A</v>
      </c>
      <c r="DQ100" s="7" t="e">
        <f t="shared" si="28"/>
        <v>#N/A</v>
      </c>
      <c r="DR100" s="7" t="e">
        <f t="shared" si="40"/>
        <v>#N/A</v>
      </c>
    </row>
    <row r="101" spans="1:122" s="7" customFormat="1" ht="105" customHeight="1">
      <c r="A101" s="75">
        <f t="shared" si="41"/>
        <v>90</v>
      </c>
      <c r="B101" s="199" t="s">
        <v>309</v>
      </c>
      <c r="C101" s="186" t="s">
        <v>529</v>
      </c>
      <c r="D101" s="186" t="s">
        <v>530</v>
      </c>
      <c r="E101" s="188" t="s">
        <v>191</v>
      </c>
      <c r="F101" s="189">
        <v>100</v>
      </c>
      <c r="G101" s="75" t="s">
        <v>192</v>
      </c>
      <c r="H101" s="106" t="s">
        <v>531</v>
      </c>
      <c r="I101" s="107">
        <v>7226.8907563025214</v>
      </c>
      <c r="J101" s="96">
        <f t="shared" si="29"/>
        <v>1373.1092436974791</v>
      </c>
      <c r="K101" s="96">
        <f t="shared" si="30"/>
        <v>8600</v>
      </c>
      <c r="L101" s="96">
        <f t="shared" si="46"/>
        <v>722689.07563025213</v>
      </c>
      <c r="M101" s="96">
        <f t="shared" si="47"/>
        <v>860000</v>
      </c>
      <c r="N101" s="108" t="s">
        <v>532</v>
      </c>
      <c r="O101" s="109">
        <v>5462.1848739495799</v>
      </c>
      <c r="P101" s="110">
        <f t="shared" si="45"/>
        <v>1037.8151260504203</v>
      </c>
      <c r="Q101" s="110">
        <f t="shared" si="33"/>
        <v>6500</v>
      </c>
      <c r="R101" s="110">
        <f t="shared" si="48"/>
        <v>546218.48739495804</v>
      </c>
      <c r="S101" s="110">
        <f t="shared" si="49"/>
        <v>650000</v>
      </c>
      <c r="T101" s="97" t="s">
        <v>533</v>
      </c>
      <c r="U101" s="98">
        <v>6050.4201680672268</v>
      </c>
      <c r="V101" s="99">
        <f t="shared" si="36"/>
        <v>1149.579831932773</v>
      </c>
      <c r="W101" s="99">
        <f t="shared" si="37"/>
        <v>7200</v>
      </c>
      <c r="X101" s="99">
        <f t="shared" si="50"/>
        <v>605042.01680672262</v>
      </c>
      <c r="Y101" s="99">
        <f t="shared" si="51"/>
        <v>720000</v>
      </c>
      <c r="Z101" s="100">
        <f t="shared" si="42"/>
        <v>7433.333333333333</v>
      </c>
      <c r="AA101" s="100">
        <f t="shared" si="52"/>
        <v>743333.33333333326</v>
      </c>
      <c r="AB101" s="78">
        <f t="shared" si="44"/>
        <v>106926.76621563645</v>
      </c>
      <c r="AC101" s="102">
        <f t="shared" si="24"/>
        <v>0.14384766755466788</v>
      </c>
      <c r="AD101" s="5"/>
      <c r="AF101" s="7" t="s">
        <v>173</v>
      </c>
      <c r="AG101" s="7">
        <v>90</v>
      </c>
      <c r="AH101" s="7" t="s">
        <v>534</v>
      </c>
      <c r="BG101" s="7">
        <v>104</v>
      </c>
      <c r="DA101" s="7" t="e">
        <f>VLOOKUP(C101,listaBolsa!$D$2:$BA$248,1,0)</f>
        <v>#N/A</v>
      </c>
      <c r="DB101" s="7" t="e">
        <f>VLOOKUP(C101,listaBolsa!$D$2:$BA$248,2,0)</f>
        <v>#N/A</v>
      </c>
      <c r="DC101" s="7" t="e">
        <f>VLOOKUP(C101,listaBolsa!$D$2:$BA$248,10,0)</f>
        <v>#N/A</v>
      </c>
      <c r="DD101" s="7" t="e">
        <f>VLOOKUP(C101,listaBolsa!$D$2:$BA$248,14,0)</f>
        <v>#N/A</v>
      </c>
      <c r="DE101" s="7" t="e">
        <f>VLOOKUP(C101,listaBolsa!$D$2:$BA$248,23,0)</f>
        <v>#N/A</v>
      </c>
      <c r="DF101" s="7" t="e">
        <f>VLOOKUP(C101,listaBolsa!$D$2:$BA$248,29,0)</f>
        <v>#N/A</v>
      </c>
      <c r="DG101" s="7" t="e">
        <f>VLOOKUP(C101,listaBolsa!$D$2:$BA$248,36,0)</f>
        <v>#N/A</v>
      </c>
      <c r="DH101" s="7" t="e">
        <f>VLOOKUP(C101,listaBolsa!$D$2:$BA$248,40,0)</f>
        <v>#N/A</v>
      </c>
      <c r="DI101" s="7" t="e">
        <f>VLOOKUP(C101,listaBolsa!$D$2:$BA$248,48,0)</f>
        <v>#N/A</v>
      </c>
      <c r="DJ101" s="7" t="e">
        <f t="shared" si="53"/>
        <v>#N/A</v>
      </c>
      <c r="DK101" s="7" t="e">
        <f t="shared" si="53"/>
        <v>#N/A</v>
      </c>
      <c r="DL101" s="7" t="e">
        <f t="shared" si="26"/>
        <v>#N/A</v>
      </c>
      <c r="DM101" s="7" t="e">
        <f t="shared" si="26"/>
        <v>#N/A</v>
      </c>
      <c r="DN101" s="7" t="e">
        <f t="shared" si="27"/>
        <v>#N/A</v>
      </c>
      <c r="DO101" s="7" t="e">
        <f t="shared" si="27"/>
        <v>#N/A</v>
      </c>
      <c r="DP101" s="7" t="e">
        <f t="shared" si="28"/>
        <v>#N/A</v>
      </c>
      <c r="DQ101" s="7" t="e">
        <f t="shared" si="28"/>
        <v>#N/A</v>
      </c>
      <c r="DR101" s="7" t="e">
        <f t="shared" si="40"/>
        <v>#N/A</v>
      </c>
    </row>
    <row r="102" spans="1:122" s="7" customFormat="1" ht="105" customHeight="1">
      <c r="A102" s="75">
        <f t="shared" si="41"/>
        <v>91</v>
      </c>
      <c r="B102" s="199" t="s">
        <v>309</v>
      </c>
      <c r="C102" s="186" t="s">
        <v>535</v>
      </c>
      <c r="D102" s="186" t="s">
        <v>536</v>
      </c>
      <c r="E102" s="188" t="s">
        <v>537</v>
      </c>
      <c r="F102" s="189">
        <v>1</v>
      </c>
      <c r="G102" s="75" t="s">
        <v>192</v>
      </c>
      <c r="H102" s="106" t="s">
        <v>538</v>
      </c>
      <c r="I102" s="107">
        <v>230000</v>
      </c>
      <c r="J102" s="96">
        <f t="shared" si="29"/>
        <v>43700</v>
      </c>
      <c r="K102" s="96">
        <f t="shared" si="30"/>
        <v>273700</v>
      </c>
      <c r="L102" s="96">
        <f t="shared" si="46"/>
        <v>230000</v>
      </c>
      <c r="M102" s="96">
        <f t="shared" si="47"/>
        <v>273700</v>
      </c>
      <c r="N102" s="108" t="s">
        <v>539</v>
      </c>
      <c r="O102" s="109">
        <v>227960</v>
      </c>
      <c r="P102" s="110">
        <f t="shared" si="45"/>
        <v>43312.4</v>
      </c>
      <c r="Q102" s="110">
        <f t="shared" si="33"/>
        <v>271272.40000000002</v>
      </c>
      <c r="R102" s="110">
        <f t="shared" si="48"/>
        <v>227960</v>
      </c>
      <c r="S102" s="110">
        <f t="shared" si="49"/>
        <v>271272.40000000002</v>
      </c>
      <c r="T102" s="98" t="s">
        <v>540</v>
      </c>
      <c r="U102" s="98">
        <v>190000</v>
      </c>
      <c r="V102" s="99">
        <f t="shared" si="36"/>
        <v>36100</v>
      </c>
      <c r="W102" s="99">
        <f t="shared" si="37"/>
        <v>226100</v>
      </c>
      <c r="X102" s="99">
        <f t="shared" si="50"/>
        <v>190000</v>
      </c>
      <c r="Y102" s="99">
        <f t="shared" si="51"/>
        <v>226100</v>
      </c>
      <c r="Z102" s="100">
        <f t="shared" si="42"/>
        <v>257024.13333333333</v>
      </c>
      <c r="AA102" s="100">
        <f t="shared" si="52"/>
        <v>257024.13333333333</v>
      </c>
      <c r="AB102" s="78">
        <f t="shared" si="44"/>
        <v>26808.577494028541</v>
      </c>
      <c r="AC102" s="102">
        <f t="shared" si="24"/>
        <v>0.10430373656492649</v>
      </c>
      <c r="AD102" s="5"/>
      <c r="AF102" s="7" t="s">
        <v>173</v>
      </c>
      <c r="AG102" s="7">
        <v>91</v>
      </c>
      <c r="AH102" s="7" t="s">
        <v>541</v>
      </c>
      <c r="BG102" s="7">
        <v>105</v>
      </c>
      <c r="DA102" s="7" t="e">
        <f>VLOOKUP(C102,listaBolsa!$D$2:$BA$248,1,0)</f>
        <v>#N/A</v>
      </c>
      <c r="DB102" s="7" t="e">
        <f>VLOOKUP(C102,listaBolsa!$D$2:$BA$248,2,0)</f>
        <v>#N/A</v>
      </c>
      <c r="DC102" s="7" t="e">
        <f>VLOOKUP(C102,listaBolsa!$D$2:$BA$248,10,0)</f>
        <v>#N/A</v>
      </c>
      <c r="DD102" s="7" t="e">
        <f>VLOOKUP(C102,listaBolsa!$D$2:$BA$248,14,0)</f>
        <v>#N/A</v>
      </c>
      <c r="DE102" s="7" t="e">
        <f>VLOOKUP(C102,listaBolsa!$D$2:$BA$248,23,0)</f>
        <v>#N/A</v>
      </c>
      <c r="DF102" s="7" t="e">
        <f>VLOOKUP(C102,listaBolsa!$D$2:$BA$248,29,0)</f>
        <v>#N/A</v>
      </c>
      <c r="DG102" s="7" t="e">
        <f>VLOOKUP(C102,listaBolsa!$D$2:$BA$248,36,0)</f>
        <v>#N/A</v>
      </c>
      <c r="DH102" s="7" t="e">
        <f>VLOOKUP(C102,listaBolsa!$D$2:$BA$248,40,0)</f>
        <v>#N/A</v>
      </c>
      <c r="DI102" s="7" t="e">
        <f>VLOOKUP(C102,listaBolsa!$D$2:$BA$248,48,0)</f>
        <v>#N/A</v>
      </c>
      <c r="DJ102" s="7" t="e">
        <f t="shared" si="53"/>
        <v>#N/A</v>
      </c>
      <c r="DK102" s="7" t="e">
        <f t="shared" si="53"/>
        <v>#N/A</v>
      </c>
      <c r="DL102" s="7" t="e">
        <f t="shared" si="26"/>
        <v>#N/A</v>
      </c>
      <c r="DM102" s="7" t="e">
        <f t="shared" si="26"/>
        <v>#N/A</v>
      </c>
      <c r="DN102" s="7" t="e">
        <f t="shared" si="27"/>
        <v>#N/A</v>
      </c>
      <c r="DO102" s="7" t="e">
        <f t="shared" si="27"/>
        <v>#N/A</v>
      </c>
      <c r="DP102" s="7" t="e">
        <f t="shared" si="28"/>
        <v>#N/A</v>
      </c>
      <c r="DQ102" s="7" t="e">
        <f t="shared" si="28"/>
        <v>#N/A</v>
      </c>
      <c r="DR102" s="7" t="e">
        <f t="shared" si="40"/>
        <v>#N/A</v>
      </c>
    </row>
    <row r="103" spans="1:122" s="7" customFormat="1" ht="105" customHeight="1">
      <c r="A103" s="75">
        <f t="shared" si="41"/>
        <v>92</v>
      </c>
      <c r="B103" s="199" t="s">
        <v>309</v>
      </c>
      <c r="C103" s="186" t="s">
        <v>542</v>
      </c>
      <c r="D103" s="186" t="s">
        <v>543</v>
      </c>
      <c r="E103" s="188" t="s">
        <v>544</v>
      </c>
      <c r="F103" s="189">
        <v>1</v>
      </c>
      <c r="G103" s="75" t="s">
        <v>192</v>
      </c>
      <c r="H103" s="106"/>
      <c r="I103" s="107">
        <v>50000</v>
      </c>
      <c r="J103" s="96">
        <f t="shared" si="29"/>
        <v>9500</v>
      </c>
      <c r="K103" s="96">
        <f t="shared" si="30"/>
        <v>59500</v>
      </c>
      <c r="L103" s="96">
        <f t="shared" si="46"/>
        <v>50000</v>
      </c>
      <c r="M103" s="96">
        <f t="shared" si="47"/>
        <v>59500</v>
      </c>
      <c r="N103" s="108"/>
      <c r="O103" s="109">
        <v>60504.201680672268</v>
      </c>
      <c r="P103" s="110">
        <f t="shared" si="45"/>
        <v>11495.79831932773</v>
      </c>
      <c r="Q103" s="110">
        <f t="shared" si="33"/>
        <v>72000</v>
      </c>
      <c r="R103" s="110">
        <f t="shared" si="48"/>
        <v>60504.201680672268</v>
      </c>
      <c r="S103" s="110">
        <f t="shared" si="49"/>
        <v>72000</v>
      </c>
      <c r="T103" s="97"/>
      <c r="U103" s="98">
        <v>60504.201680672268</v>
      </c>
      <c r="V103" s="99">
        <f t="shared" si="36"/>
        <v>11495.79831932773</v>
      </c>
      <c r="W103" s="99">
        <f t="shared" si="37"/>
        <v>72000</v>
      </c>
      <c r="X103" s="99">
        <f t="shared" si="50"/>
        <v>60504.201680672268</v>
      </c>
      <c r="Y103" s="99">
        <f t="shared" si="51"/>
        <v>72000</v>
      </c>
      <c r="Z103" s="100">
        <f t="shared" si="42"/>
        <v>67833.333333333328</v>
      </c>
      <c r="AA103" s="100">
        <f t="shared" si="52"/>
        <v>67833.333333333328</v>
      </c>
      <c r="AB103" s="78">
        <f t="shared" si="44"/>
        <v>7216.878364870322</v>
      </c>
      <c r="AC103" s="102">
        <f t="shared" si="24"/>
        <v>0.10639132724624555</v>
      </c>
      <c r="AD103" s="5"/>
      <c r="AF103" s="7" t="s">
        <v>173</v>
      </c>
      <c r="AG103" s="7">
        <v>92</v>
      </c>
      <c r="AH103" s="7" t="s">
        <v>545</v>
      </c>
      <c r="BG103" s="7">
        <v>106</v>
      </c>
      <c r="DA103" s="7" t="e">
        <f>VLOOKUP(C103,listaBolsa!$D$2:$BA$248,1,0)</f>
        <v>#N/A</v>
      </c>
      <c r="DB103" s="7" t="e">
        <f>VLOOKUP(C103,listaBolsa!$D$2:$BA$248,2,0)</f>
        <v>#N/A</v>
      </c>
      <c r="DC103" s="7" t="e">
        <f>VLOOKUP(C103,listaBolsa!$D$2:$BA$248,10,0)</f>
        <v>#N/A</v>
      </c>
      <c r="DD103" s="7" t="e">
        <f>VLOOKUP(C103,listaBolsa!$D$2:$BA$248,14,0)</f>
        <v>#N/A</v>
      </c>
      <c r="DE103" s="7" t="e">
        <f>VLOOKUP(C103,listaBolsa!$D$2:$BA$248,23,0)</f>
        <v>#N/A</v>
      </c>
      <c r="DF103" s="7" t="e">
        <f>VLOOKUP(C103,listaBolsa!$D$2:$BA$248,29,0)</f>
        <v>#N/A</v>
      </c>
      <c r="DG103" s="7" t="e">
        <f>VLOOKUP(C103,listaBolsa!$D$2:$BA$248,36,0)</f>
        <v>#N/A</v>
      </c>
      <c r="DH103" s="7" t="e">
        <f>VLOOKUP(C103,listaBolsa!$D$2:$BA$248,40,0)</f>
        <v>#N/A</v>
      </c>
      <c r="DI103" s="7" t="e">
        <f>VLOOKUP(C103,listaBolsa!$D$2:$BA$248,48,0)</f>
        <v>#N/A</v>
      </c>
      <c r="DJ103" s="7" t="e">
        <f t="shared" si="53"/>
        <v>#N/A</v>
      </c>
      <c r="DK103" s="7" t="e">
        <f t="shared" si="53"/>
        <v>#N/A</v>
      </c>
      <c r="DL103" s="7" t="e">
        <f t="shared" si="26"/>
        <v>#N/A</v>
      </c>
      <c r="DM103" s="7" t="e">
        <f t="shared" si="26"/>
        <v>#N/A</v>
      </c>
      <c r="DN103" s="7" t="e">
        <f t="shared" si="27"/>
        <v>#N/A</v>
      </c>
      <c r="DO103" s="7" t="e">
        <f t="shared" si="27"/>
        <v>#N/A</v>
      </c>
      <c r="DP103" s="7" t="e">
        <f t="shared" si="28"/>
        <v>#N/A</v>
      </c>
      <c r="DQ103" s="7" t="e">
        <f t="shared" si="28"/>
        <v>#N/A</v>
      </c>
      <c r="DR103" s="7" t="e">
        <f t="shared" si="40"/>
        <v>#N/A</v>
      </c>
    </row>
    <row r="104" spans="1:122" s="7" customFormat="1" ht="105" customHeight="1">
      <c r="A104" s="75">
        <f t="shared" si="41"/>
        <v>93</v>
      </c>
      <c r="B104" s="199" t="s">
        <v>309</v>
      </c>
      <c r="C104" s="186" t="s">
        <v>546</v>
      </c>
      <c r="D104" s="186" t="s">
        <v>547</v>
      </c>
      <c r="E104" s="188" t="s">
        <v>191</v>
      </c>
      <c r="F104" s="189">
        <v>1</v>
      </c>
      <c r="G104" s="75" t="s">
        <v>192</v>
      </c>
      <c r="H104" s="106" t="s">
        <v>193</v>
      </c>
      <c r="I104" s="107">
        <v>50000</v>
      </c>
      <c r="J104" s="96">
        <f t="shared" si="29"/>
        <v>9500</v>
      </c>
      <c r="K104" s="96">
        <f t="shared" si="30"/>
        <v>59500</v>
      </c>
      <c r="L104" s="96">
        <f t="shared" si="46"/>
        <v>50000</v>
      </c>
      <c r="M104" s="96">
        <f t="shared" si="47"/>
        <v>59500</v>
      </c>
      <c r="N104" s="108" t="s">
        <v>245</v>
      </c>
      <c r="O104" s="109">
        <v>50000</v>
      </c>
      <c r="P104" s="110">
        <f t="shared" si="45"/>
        <v>9500</v>
      </c>
      <c r="Q104" s="110">
        <f t="shared" si="33"/>
        <v>59500</v>
      </c>
      <c r="R104" s="110">
        <f t="shared" si="48"/>
        <v>50000</v>
      </c>
      <c r="S104" s="110">
        <f t="shared" si="49"/>
        <v>59500</v>
      </c>
      <c r="T104" s="97" t="s">
        <v>194</v>
      </c>
      <c r="U104" s="98">
        <v>52000</v>
      </c>
      <c r="V104" s="99">
        <f t="shared" si="36"/>
        <v>9880</v>
      </c>
      <c r="W104" s="99">
        <f t="shared" si="37"/>
        <v>61880</v>
      </c>
      <c r="X104" s="99">
        <f t="shared" si="50"/>
        <v>52000</v>
      </c>
      <c r="Y104" s="99">
        <f t="shared" si="51"/>
        <v>61880</v>
      </c>
      <c r="Z104" s="100">
        <f t="shared" si="42"/>
        <v>60293.333333333336</v>
      </c>
      <c r="AA104" s="100">
        <f t="shared" si="52"/>
        <v>60293.333333333336</v>
      </c>
      <c r="AB104" s="78">
        <f t="shared" si="44"/>
        <v>1374.0936406713095</v>
      </c>
      <c r="AC104" s="102">
        <f t="shared" si="24"/>
        <v>2.2790142204853651E-2</v>
      </c>
      <c r="AD104" s="5"/>
      <c r="AF104" s="7" t="s">
        <v>173</v>
      </c>
      <c r="AG104" s="7">
        <v>93</v>
      </c>
      <c r="AH104" s="7" t="s">
        <v>548</v>
      </c>
      <c r="BG104" s="7">
        <v>107</v>
      </c>
      <c r="DA104" s="7" t="e">
        <f>VLOOKUP(C104,listaBolsa!$D$2:$BA$248,1,0)</f>
        <v>#N/A</v>
      </c>
      <c r="DB104" s="7" t="e">
        <f>VLOOKUP(C104,listaBolsa!$D$2:$BA$248,2,0)</f>
        <v>#N/A</v>
      </c>
      <c r="DC104" s="7" t="e">
        <f>VLOOKUP(C104,listaBolsa!$D$2:$BA$248,10,0)</f>
        <v>#N/A</v>
      </c>
      <c r="DD104" s="7" t="e">
        <f>VLOOKUP(C104,listaBolsa!$D$2:$BA$248,14,0)</f>
        <v>#N/A</v>
      </c>
      <c r="DE104" s="7" t="e">
        <f>VLOOKUP(C104,listaBolsa!$D$2:$BA$248,23,0)</f>
        <v>#N/A</v>
      </c>
      <c r="DF104" s="7" t="e">
        <f>VLOOKUP(C104,listaBolsa!$D$2:$BA$248,29,0)</f>
        <v>#N/A</v>
      </c>
      <c r="DG104" s="7" t="e">
        <f>VLOOKUP(C104,listaBolsa!$D$2:$BA$248,36,0)</f>
        <v>#N/A</v>
      </c>
      <c r="DH104" s="7" t="e">
        <f>VLOOKUP(C104,listaBolsa!$D$2:$BA$248,40,0)</f>
        <v>#N/A</v>
      </c>
      <c r="DI104" s="7" t="e">
        <f>VLOOKUP(C104,listaBolsa!$D$2:$BA$248,48,0)</f>
        <v>#N/A</v>
      </c>
      <c r="DJ104" s="7" t="e">
        <f t="shared" si="53"/>
        <v>#N/A</v>
      </c>
      <c r="DK104" s="7" t="e">
        <f t="shared" si="53"/>
        <v>#N/A</v>
      </c>
      <c r="DL104" s="7" t="e">
        <f t="shared" si="26"/>
        <v>#N/A</v>
      </c>
      <c r="DM104" s="7" t="e">
        <f t="shared" si="26"/>
        <v>#N/A</v>
      </c>
      <c r="DN104" s="7" t="e">
        <f t="shared" si="27"/>
        <v>#N/A</v>
      </c>
      <c r="DO104" s="7" t="e">
        <f t="shared" si="27"/>
        <v>#N/A</v>
      </c>
      <c r="DP104" s="7" t="e">
        <f t="shared" si="28"/>
        <v>#N/A</v>
      </c>
      <c r="DQ104" s="7" t="e">
        <f t="shared" si="28"/>
        <v>#N/A</v>
      </c>
      <c r="DR104" s="7" t="e">
        <f t="shared" si="40"/>
        <v>#N/A</v>
      </c>
    </row>
    <row r="105" spans="1:122" s="7" customFormat="1" ht="105" customHeight="1">
      <c r="A105" s="75">
        <f t="shared" si="41"/>
        <v>94</v>
      </c>
      <c r="B105" s="199" t="s">
        <v>309</v>
      </c>
      <c r="C105" s="95" t="s">
        <v>214</v>
      </c>
      <c r="D105" s="75" t="str">
        <f>IF(C105="","",VLOOKUP(C105,listaBolsa!$D$2:$H$276,2,0))</f>
        <v>100% en algodón de 185 gr. cuello redondo y/o en v, de diferentes tallas, marcadas en screen 4 tintas. fabricación y materiales nacionales</v>
      </c>
      <c r="E105" s="111" t="str">
        <f>IF(C105="","",VLOOKUP(C105,listaBolsa!$D$2:$H$276,3,0))</f>
        <v>Unidad</v>
      </c>
      <c r="F105" s="112">
        <v>100</v>
      </c>
      <c r="G105" s="200" t="str">
        <f>IF(C105="","",VLOOKUP(C105,listaBolsa!$D$2:$H$276,5,0))</f>
        <v>Compra</v>
      </c>
      <c r="H105" s="106" t="str">
        <f>IF(C105="","",VLOOKUP(C105,listaBolsa!$D$2:$W$276,10,0))</f>
        <v>MARIA CONFLICTO</v>
      </c>
      <c r="I105" s="107">
        <f>IF(C105="","",VLOOKUP(C105,listaBolsa!$D$2:$W$276,14,0))</f>
        <v>22000</v>
      </c>
      <c r="J105" s="96">
        <f t="shared" si="29"/>
        <v>4180</v>
      </c>
      <c r="K105" s="96">
        <f t="shared" si="30"/>
        <v>26180</v>
      </c>
      <c r="L105" s="96">
        <f t="shared" si="46"/>
        <v>2200000</v>
      </c>
      <c r="M105" s="96">
        <f t="shared" si="47"/>
        <v>2618000</v>
      </c>
      <c r="N105" s="108" t="str">
        <f>IF(C105="","",VLOOKUP(C105,listaBolsa!$D$2:$AZ$276,23,0))</f>
        <v>Angie Pachon (personalizado INK)</v>
      </c>
      <c r="O105" s="109">
        <f>IF(C105="","",VLOOKUP(C105,listaBolsa!$D$2:$AZ$276,27,0))</f>
        <v>28000</v>
      </c>
      <c r="P105" s="110">
        <f t="shared" si="45"/>
        <v>5320</v>
      </c>
      <c r="Q105" s="110">
        <f t="shared" si="33"/>
        <v>33320</v>
      </c>
      <c r="R105" s="110">
        <f t="shared" si="48"/>
        <v>2800000</v>
      </c>
      <c r="S105" s="110">
        <f t="shared" si="49"/>
        <v>3332000</v>
      </c>
      <c r="T105" s="97" t="str">
        <f>IF(C105="","",VLOOKUP(C105,listaBolsa!$D$2:$BB$276,36,0))</f>
        <v>INVENTIVA</v>
      </c>
      <c r="U105" s="98">
        <f>IF(C105="","",VLOOKUP(C105,listaBolsa!$D$2:$BB$276,40,0))</f>
        <v>25000</v>
      </c>
      <c r="V105" s="99">
        <f t="shared" si="36"/>
        <v>4750</v>
      </c>
      <c r="W105" s="99">
        <f t="shared" si="37"/>
        <v>29750</v>
      </c>
      <c r="X105" s="99">
        <f t="shared" si="50"/>
        <v>2500000</v>
      </c>
      <c r="Y105" s="99">
        <f t="shared" si="51"/>
        <v>2975000</v>
      </c>
      <c r="Z105" s="100">
        <f t="shared" si="42"/>
        <v>29750</v>
      </c>
      <c r="AA105" s="100">
        <f t="shared" si="52"/>
        <v>2975000</v>
      </c>
      <c r="AB105" s="78">
        <f t="shared" si="44"/>
        <v>357000</v>
      </c>
      <c r="AC105" s="102">
        <f t="shared" si="24"/>
        <v>0.12</v>
      </c>
      <c r="AD105" s="5"/>
      <c r="AF105" s="7" t="s">
        <v>173</v>
      </c>
      <c r="AG105" s="7">
        <v>94</v>
      </c>
      <c r="AH105" s="7" t="s">
        <v>549</v>
      </c>
      <c r="BG105" s="7">
        <v>108</v>
      </c>
      <c r="DA105" s="7" t="str">
        <f>VLOOKUP(C105,listaBolsa!$D$2:$BA$248,1,0)</f>
        <v>Camiseta t-shirt o Camiseta blanca</v>
      </c>
      <c r="DB105" s="7" t="str">
        <f>VLOOKUP(C105,listaBolsa!$D$2:$BA$248,2,0)</f>
        <v>100% en algodón de 185 gr. cuello redondo y/o en v, de diferentes tallas, marcadas en screen 4 tintas. fabricación y materiales nacionales</v>
      </c>
      <c r="DC105" s="7" t="str">
        <f>VLOOKUP(C105,listaBolsa!$D$2:$BA$248,10,0)</f>
        <v>MARIA CONFLICTO</v>
      </c>
      <c r="DD105" s="7">
        <f>VLOOKUP(C105,listaBolsa!$D$2:$BA$248,14,0)</f>
        <v>22000</v>
      </c>
      <c r="DE105" s="7" t="str">
        <f>VLOOKUP(C105,listaBolsa!$D$2:$BA$248,23,0)</f>
        <v>Angie Pachon (personalizado INK)</v>
      </c>
      <c r="DF105" s="7">
        <f>VLOOKUP(C105,listaBolsa!$D$2:$BA$248,29,0)</f>
        <v>28000</v>
      </c>
      <c r="DG105" s="7" t="str">
        <f>VLOOKUP(C105,listaBolsa!$D$2:$BA$248,36,0)</f>
        <v>INVENTIVA</v>
      </c>
      <c r="DH105" s="7">
        <f>VLOOKUP(C105,listaBolsa!$D$2:$BA$248,40,0)</f>
        <v>25000</v>
      </c>
      <c r="DI105" s="7">
        <f>VLOOKUP(C105,listaBolsa!$D$2:$BA$248,48,0)</f>
        <v>0.15289966643582714</v>
      </c>
      <c r="DJ105" s="7" t="b">
        <f t="shared" si="53"/>
        <v>1</v>
      </c>
      <c r="DK105" s="7" t="b">
        <f t="shared" si="53"/>
        <v>1</v>
      </c>
      <c r="DL105" s="7" t="b">
        <f t="shared" si="26"/>
        <v>1</v>
      </c>
      <c r="DM105" s="7" t="b">
        <f t="shared" si="26"/>
        <v>1</v>
      </c>
      <c r="DN105" s="7" t="b">
        <f t="shared" si="27"/>
        <v>1</v>
      </c>
      <c r="DO105" s="7" t="b">
        <f t="shared" si="27"/>
        <v>1</v>
      </c>
      <c r="DP105" s="7" t="b">
        <f t="shared" si="28"/>
        <v>1</v>
      </c>
      <c r="DQ105" s="7" t="b">
        <f t="shared" si="28"/>
        <v>1</v>
      </c>
      <c r="DR105" s="7" t="b">
        <f t="shared" si="40"/>
        <v>0</v>
      </c>
    </row>
    <row r="106" spans="1:122" s="7" customFormat="1" ht="348" customHeight="1">
      <c r="A106" s="75">
        <f t="shared" si="41"/>
        <v>95</v>
      </c>
      <c r="B106" s="199" t="s">
        <v>309</v>
      </c>
      <c r="C106" s="95" t="s">
        <v>187</v>
      </c>
      <c r="D106" s="75" t="str">
        <f>IF(C106="","",VLOOKUP(C106,listaBolsa!$D$2:$H$276,2,0))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06" s="111" t="str">
        <f>IF(C106="","",VLOOKUP(C106,listaBolsa!$D$2:$H$276,3,0))</f>
        <v>Unidad</v>
      </c>
      <c r="F106" s="112">
        <v>700</v>
      </c>
      <c r="G106" s="200" t="str">
        <f>IF(C106="","",VLOOKUP(C106,listaBolsa!$D$2:$H$276,5,0))</f>
        <v>Compra</v>
      </c>
      <c r="H106" s="106" t="str">
        <f>IF(C106="","",VLOOKUP(C106,listaBolsa!$D$2:$W$276,10,0))</f>
        <v>INVERSIONES BECORATI E Y O SAS</v>
      </c>
      <c r="I106" s="107">
        <f>IF(C106="","",VLOOKUP(C106,listaBolsa!$D$2:$W$276,14,0))</f>
        <v>11700</v>
      </c>
      <c r="J106" s="96">
        <f t="shared" si="29"/>
        <v>2223</v>
      </c>
      <c r="K106" s="96">
        <f t="shared" si="30"/>
        <v>13923</v>
      </c>
      <c r="L106" s="96">
        <f t="shared" si="46"/>
        <v>8190000</v>
      </c>
      <c r="M106" s="96">
        <f t="shared" si="47"/>
        <v>9746100</v>
      </c>
      <c r="N106" s="108" t="str">
        <f>IF(C106="","",VLOOKUP(C106,listaBolsa!$D$2:$AZ$276,23,0))</f>
        <v>ENTERPRISE INVESTMENT DEVELOPMENT S.A.S.</v>
      </c>
      <c r="O106" s="109">
        <f>IF(C106="","",VLOOKUP(C106,listaBolsa!$D$2:$AZ$276,27,0))</f>
        <v>8570</v>
      </c>
      <c r="P106" s="110">
        <f t="shared" si="45"/>
        <v>1628.3</v>
      </c>
      <c r="Q106" s="110">
        <f t="shared" si="33"/>
        <v>10198.299999999999</v>
      </c>
      <c r="R106" s="110">
        <f t="shared" si="48"/>
        <v>5999000</v>
      </c>
      <c r="S106" s="110">
        <f t="shared" si="49"/>
        <v>7138809.9999999991</v>
      </c>
      <c r="T106" s="97" t="str">
        <f>IF(C106="","",VLOOKUP(C106,listaBolsa!$D$2:$BB$276,36,0))</f>
        <v>Estimación de precios con base en el proceso FDLSUBA-LP-013-2025 (140689) – Contrato 1000 – 2025, indexando el incremento de precios en el mercado con base en el Índice de Precios al Consumidor (IPC) para el mes de marzo de 2026, el cual fue de 5,56%.</v>
      </c>
      <c r="U106" s="98">
        <f>IF(C106="","",VLOOKUP(C106,listaBolsa!$D$2:$BB$276,40,0))</f>
        <v>12843.518518518518</v>
      </c>
      <c r="V106" s="99">
        <f t="shared" si="36"/>
        <v>2440.2685185185187</v>
      </c>
      <c r="W106" s="99">
        <f t="shared" si="37"/>
        <v>15283.787037037036</v>
      </c>
      <c r="X106" s="99">
        <f t="shared" si="50"/>
        <v>8990462.9629629627</v>
      </c>
      <c r="Y106" s="99">
        <f t="shared" si="51"/>
        <v>10698650.925925925</v>
      </c>
      <c r="Z106" s="100">
        <f t="shared" si="42"/>
        <v>13135.02901234568</v>
      </c>
      <c r="AA106" s="100">
        <f t="shared" si="52"/>
        <v>9194520.3086419757</v>
      </c>
      <c r="AB106" s="78">
        <f t="shared" si="44"/>
        <v>1842904.4932967226</v>
      </c>
      <c r="AC106" s="102">
        <f t="shared" si="24"/>
        <v>0.20043508866520937</v>
      </c>
      <c r="AD106" s="5"/>
      <c r="AF106" s="7" t="s">
        <v>173</v>
      </c>
      <c r="AG106" s="7">
        <v>95</v>
      </c>
      <c r="AH106" s="7" t="s">
        <v>550</v>
      </c>
      <c r="BG106" s="7">
        <v>109</v>
      </c>
      <c r="DA106" s="7" t="str">
        <f>VLOOKUP(C106,listaBolsa!$D$2:$BA$248,1,0)</f>
        <v>Refrigerio Tipo 1</v>
      </c>
      <c r="DB106" s="7" t="str">
        <f>VLOOKUP(C106,listaBolsa!$D$2:$BA$248,2,0)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C106" s="7" t="str">
        <f>VLOOKUP(C106,listaBolsa!$D$2:$BA$248,10,0)</f>
        <v>INVERSIONES BECORATI E Y O SAS</v>
      </c>
      <c r="DD106" s="7">
        <f>VLOOKUP(C106,listaBolsa!$D$2:$BA$248,14,0)</f>
        <v>11700</v>
      </c>
      <c r="DE106" s="7" t="str">
        <f>VLOOKUP(C106,listaBolsa!$D$2:$BA$248,23,0)</f>
        <v>ENTERPRISE INVESTMENT DEVELOPMENT S.A.S.</v>
      </c>
      <c r="DF106" s="7">
        <f>VLOOKUP(C106,listaBolsa!$D$2:$BA$248,29,0)</f>
        <v>9255.6</v>
      </c>
      <c r="DG106" s="7" t="str">
        <f>VLOOKUP(C106,listaBolsa!$D$2:$BA$248,36,0)</f>
        <v>Estimación de precios con base en el proceso FDLSUBA-LP-013-2025 (140689) – Contrato 1000 – 2025, indexando el incremento de precios en el mercado con base en el Índice de Precios al Consumidor (IPC) para el mes de marzo de 2026, el cual fue de 5,56%.</v>
      </c>
      <c r="DH106" s="7">
        <f>VLOOKUP(C106,listaBolsa!$D$2:$BA$248,40,0)</f>
        <v>12843.518518518518</v>
      </c>
      <c r="DI106" s="7">
        <f>VLOOKUP(C106,listaBolsa!$D$2:$BA$248,48,0)</f>
        <v>0.20043508866520951</v>
      </c>
      <c r="DJ106" s="7" t="b">
        <f t="shared" si="53"/>
        <v>1</v>
      </c>
      <c r="DK106" s="7" t="b">
        <f t="shared" si="53"/>
        <v>1</v>
      </c>
      <c r="DL106" s="7" t="b">
        <f t="shared" si="26"/>
        <v>1</v>
      </c>
      <c r="DM106" s="7" t="b">
        <f t="shared" si="26"/>
        <v>1</v>
      </c>
      <c r="DN106" s="7" t="b">
        <f t="shared" si="27"/>
        <v>1</v>
      </c>
      <c r="DO106" s="7" t="b">
        <f t="shared" si="27"/>
        <v>0</v>
      </c>
      <c r="DP106" s="7" t="b">
        <f t="shared" si="28"/>
        <v>1</v>
      </c>
      <c r="DQ106" s="7" t="b">
        <f t="shared" si="28"/>
        <v>1</v>
      </c>
      <c r="DR106" s="7" t="b">
        <f t="shared" si="40"/>
        <v>0</v>
      </c>
    </row>
    <row r="107" spans="1:122" s="7" customFormat="1" ht="105" customHeight="1">
      <c r="A107" s="75">
        <f t="shared" si="41"/>
        <v>96</v>
      </c>
      <c r="B107" s="199" t="s">
        <v>309</v>
      </c>
      <c r="C107" s="95" t="s">
        <v>189</v>
      </c>
      <c r="D107" s="75" t="s">
        <v>190</v>
      </c>
      <c r="E107" s="111" t="s">
        <v>191</v>
      </c>
      <c r="F107" s="112">
        <v>1</v>
      </c>
      <c r="G107" s="200" t="s">
        <v>192</v>
      </c>
      <c r="H107" s="106" t="s">
        <v>193</v>
      </c>
      <c r="I107" s="107">
        <v>15000</v>
      </c>
      <c r="J107" s="96">
        <f t="shared" si="29"/>
        <v>2850</v>
      </c>
      <c r="K107" s="96">
        <f t="shared" si="30"/>
        <v>17850</v>
      </c>
      <c r="L107" s="96">
        <f t="shared" si="46"/>
        <v>15000</v>
      </c>
      <c r="M107" s="96">
        <f t="shared" si="47"/>
        <v>17850</v>
      </c>
      <c r="N107" s="195" t="s">
        <v>194</v>
      </c>
      <c r="O107" s="109">
        <v>16200</v>
      </c>
      <c r="P107" s="110">
        <f t="shared" si="45"/>
        <v>3078</v>
      </c>
      <c r="Q107" s="110">
        <f t="shared" si="33"/>
        <v>19278</v>
      </c>
      <c r="R107" s="110">
        <f t="shared" si="48"/>
        <v>16200</v>
      </c>
      <c r="S107" s="110">
        <f t="shared" si="49"/>
        <v>19278</v>
      </c>
      <c r="T107" s="97" t="s">
        <v>195</v>
      </c>
      <c r="U107" s="98">
        <v>13319.32773109244</v>
      </c>
      <c r="V107" s="99">
        <f t="shared" si="36"/>
        <v>2530.6722689075636</v>
      </c>
      <c r="W107" s="99">
        <f t="shared" si="37"/>
        <v>15850.000000000004</v>
      </c>
      <c r="X107" s="99">
        <f t="shared" si="50"/>
        <v>13319.32773109244</v>
      </c>
      <c r="Y107" s="99">
        <f t="shared" si="51"/>
        <v>15850.000000000004</v>
      </c>
      <c r="Z107" s="100">
        <f t="shared" si="42"/>
        <v>17659.333333333332</v>
      </c>
      <c r="AA107" s="100">
        <f t="shared" si="52"/>
        <v>17659.333333333332</v>
      </c>
      <c r="AB107" s="78">
        <f t="shared" si="44"/>
        <v>1721.9353452825478</v>
      </c>
      <c r="AC107" s="102">
        <f t="shared" si="24"/>
        <v>9.7508513644298453E-2</v>
      </c>
      <c r="AD107" s="5"/>
      <c r="AF107" s="7" t="s">
        <v>173</v>
      </c>
      <c r="AG107" s="7">
        <v>96</v>
      </c>
      <c r="AH107" s="7" t="s">
        <v>551</v>
      </c>
      <c r="BG107" s="7">
        <v>110</v>
      </c>
      <c r="DA107" s="7" t="e">
        <f>VLOOKUP(C107,listaBolsa!$D$2:$BA$248,1,0)</f>
        <v>#N/A</v>
      </c>
      <c r="DB107" s="7" t="e">
        <f>VLOOKUP(C107,listaBolsa!$D$2:$BA$248,2,0)</f>
        <v>#N/A</v>
      </c>
      <c r="DC107" s="7" t="e">
        <f>VLOOKUP(C107,listaBolsa!$D$2:$BA$248,10,0)</f>
        <v>#N/A</v>
      </c>
      <c r="DD107" s="7" t="e">
        <f>VLOOKUP(C107,listaBolsa!$D$2:$BA$248,14,0)</f>
        <v>#N/A</v>
      </c>
      <c r="DE107" s="7" t="e">
        <f>VLOOKUP(C107,listaBolsa!$D$2:$BA$248,23,0)</f>
        <v>#N/A</v>
      </c>
      <c r="DF107" s="7" t="e">
        <f>VLOOKUP(C107,listaBolsa!$D$2:$BA$248,29,0)</f>
        <v>#N/A</v>
      </c>
      <c r="DG107" s="7" t="e">
        <f>VLOOKUP(C107,listaBolsa!$D$2:$BA$248,36,0)</f>
        <v>#N/A</v>
      </c>
      <c r="DH107" s="7" t="e">
        <f>VLOOKUP(C107,listaBolsa!$D$2:$BA$248,40,0)</f>
        <v>#N/A</v>
      </c>
      <c r="DI107" s="7" t="e">
        <f>VLOOKUP(C107,listaBolsa!$D$2:$BA$248,48,0)</f>
        <v>#N/A</v>
      </c>
      <c r="DJ107" s="7" t="e">
        <f t="shared" si="53"/>
        <v>#N/A</v>
      </c>
      <c r="DK107" s="7" t="e">
        <f t="shared" si="53"/>
        <v>#N/A</v>
      </c>
      <c r="DL107" s="7" t="e">
        <f t="shared" si="26"/>
        <v>#N/A</v>
      </c>
      <c r="DM107" s="7" t="e">
        <f t="shared" si="26"/>
        <v>#N/A</v>
      </c>
      <c r="DN107" s="7" t="e">
        <f t="shared" si="27"/>
        <v>#N/A</v>
      </c>
      <c r="DO107" s="7" t="e">
        <f t="shared" si="27"/>
        <v>#N/A</v>
      </c>
      <c r="DP107" s="7" t="e">
        <f t="shared" si="28"/>
        <v>#N/A</v>
      </c>
      <c r="DQ107" s="7" t="e">
        <f t="shared" si="28"/>
        <v>#N/A</v>
      </c>
      <c r="DR107" s="7" t="e">
        <f t="shared" si="40"/>
        <v>#N/A</v>
      </c>
    </row>
    <row r="108" spans="1:122" s="7" customFormat="1" ht="105" customHeight="1">
      <c r="A108" s="75">
        <f t="shared" si="41"/>
        <v>97</v>
      </c>
      <c r="B108" s="199" t="s">
        <v>309</v>
      </c>
      <c r="C108" s="95" t="s">
        <v>197</v>
      </c>
      <c r="D108" s="75" t="s">
        <v>198</v>
      </c>
      <c r="E108" s="111" t="s">
        <v>191</v>
      </c>
      <c r="F108" s="112">
        <v>1</v>
      </c>
      <c r="G108" s="200" t="s">
        <v>192</v>
      </c>
      <c r="H108" s="106" t="s">
        <v>193</v>
      </c>
      <c r="I108" s="107">
        <v>15000</v>
      </c>
      <c r="J108" s="96">
        <f t="shared" si="29"/>
        <v>2850</v>
      </c>
      <c r="K108" s="96">
        <f t="shared" si="30"/>
        <v>17850</v>
      </c>
      <c r="L108" s="96">
        <f t="shared" si="46"/>
        <v>15000</v>
      </c>
      <c r="M108" s="96">
        <f t="shared" si="47"/>
        <v>17850</v>
      </c>
      <c r="N108" s="195" t="s">
        <v>194</v>
      </c>
      <c r="O108" s="109">
        <v>16200</v>
      </c>
      <c r="P108" s="110">
        <f t="shared" si="45"/>
        <v>3078</v>
      </c>
      <c r="Q108" s="110">
        <f t="shared" si="33"/>
        <v>19278</v>
      </c>
      <c r="R108" s="110">
        <f t="shared" si="48"/>
        <v>16200</v>
      </c>
      <c r="S108" s="110">
        <f t="shared" si="49"/>
        <v>19278</v>
      </c>
      <c r="T108" s="97" t="s">
        <v>195</v>
      </c>
      <c r="U108" s="98">
        <v>15110.9243697479</v>
      </c>
      <c r="V108" s="99">
        <f t="shared" si="36"/>
        <v>2871.0756302521008</v>
      </c>
      <c r="W108" s="99">
        <f t="shared" si="37"/>
        <v>17982</v>
      </c>
      <c r="X108" s="99">
        <f t="shared" si="50"/>
        <v>15110.9243697479</v>
      </c>
      <c r="Y108" s="99">
        <f t="shared" si="51"/>
        <v>17982</v>
      </c>
      <c r="Z108" s="100">
        <f t="shared" si="42"/>
        <v>18370</v>
      </c>
      <c r="AA108" s="100">
        <f t="shared" si="52"/>
        <v>18370</v>
      </c>
      <c r="AB108" s="78">
        <f t="shared" si="44"/>
        <v>789.11596106022341</v>
      </c>
      <c r="AC108" s="102">
        <f t="shared" si="24"/>
        <v>4.2956775234633829E-2</v>
      </c>
      <c r="AD108" s="5"/>
      <c r="AF108" s="7" t="s">
        <v>173</v>
      </c>
      <c r="AG108" s="7">
        <v>97</v>
      </c>
      <c r="AH108" s="7" t="s">
        <v>552</v>
      </c>
      <c r="BG108" s="7">
        <v>111</v>
      </c>
      <c r="DA108" s="7" t="e">
        <f>VLOOKUP(C108,listaBolsa!$D$2:$BA$248,1,0)</f>
        <v>#N/A</v>
      </c>
      <c r="DB108" s="7" t="e">
        <f>VLOOKUP(C108,listaBolsa!$D$2:$BA$248,2,0)</f>
        <v>#N/A</v>
      </c>
      <c r="DC108" s="7" t="e">
        <f>VLOOKUP(C108,listaBolsa!$D$2:$BA$248,10,0)</f>
        <v>#N/A</v>
      </c>
      <c r="DD108" s="7" t="e">
        <f>VLOOKUP(C108,listaBolsa!$D$2:$BA$248,14,0)</f>
        <v>#N/A</v>
      </c>
      <c r="DE108" s="7" t="e">
        <f>VLOOKUP(C108,listaBolsa!$D$2:$BA$248,23,0)</f>
        <v>#N/A</v>
      </c>
      <c r="DF108" s="7" t="e">
        <f>VLOOKUP(C108,listaBolsa!$D$2:$BA$248,29,0)</f>
        <v>#N/A</v>
      </c>
      <c r="DG108" s="7" t="e">
        <f>VLOOKUP(C108,listaBolsa!$D$2:$BA$248,36,0)</f>
        <v>#N/A</v>
      </c>
      <c r="DH108" s="7" t="e">
        <f>VLOOKUP(C108,listaBolsa!$D$2:$BA$248,40,0)</f>
        <v>#N/A</v>
      </c>
      <c r="DI108" s="7" t="e">
        <f>VLOOKUP(C108,listaBolsa!$D$2:$BA$248,48,0)</f>
        <v>#N/A</v>
      </c>
      <c r="DJ108" s="7" t="e">
        <f t="shared" si="53"/>
        <v>#N/A</v>
      </c>
      <c r="DK108" s="7" t="e">
        <f t="shared" si="53"/>
        <v>#N/A</v>
      </c>
      <c r="DL108" s="7" t="e">
        <f t="shared" si="26"/>
        <v>#N/A</v>
      </c>
      <c r="DM108" s="7" t="e">
        <f t="shared" si="26"/>
        <v>#N/A</v>
      </c>
      <c r="DN108" s="7" t="e">
        <f t="shared" si="27"/>
        <v>#N/A</v>
      </c>
      <c r="DO108" s="7" t="e">
        <f t="shared" si="27"/>
        <v>#N/A</v>
      </c>
      <c r="DP108" s="7" t="e">
        <f t="shared" si="28"/>
        <v>#N/A</v>
      </c>
      <c r="DQ108" s="7" t="e">
        <f t="shared" si="28"/>
        <v>#N/A</v>
      </c>
      <c r="DR108" s="7" t="e">
        <f t="shared" si="40"/>
        <v>#N/A</v>
      </c>
    </row>
    <row r="109" spans="1:122" s="7" customFormat="1" ht="105" customHeight="1">
      <c r="A109" s="75">
        <f t="shared" si="41"/>
        <v>98</v>
      </c>
      <c r="B109" s="199" t="s">
        <v>309</v>
      </c>
      <c r="C109" s="95" t="s">
        <v>200</v>
      </c>
      <c r="D109" s="75" t="s">
        <v>201</v>
      </c>
      <c r="E109" s="111" t="s">
        <v>191</v>
      </c>
      <c r="F109" s="112">
        <v>1</v>
      </c>
      <c r="G109" s="200" t="s">
        <v>192</v>
      </c>
      <c r="H109" s="106" t="s">
        <v>193</v>
      </c>
      <c r="I109" s="107">
        <v>15000</v>
      </c>
      <c r="J109" s="96">
        <f t="shared" si="29"/>
        <v>2850</v>
      </c>
      <c r="K109" s="96">
        <f t="shared" si="30"/>
        <v>17850</v>
      </c>
      <c r="L109" s="96">
        <f t="shared" si="46"/>
        <v>15000</v>
      </c>
      <c r="M109" s="96">
        <f t="shared" si="47"/>
        <v>17850</v>
      </c>
      <c r="N109" s="195" t="s">
        <v>194</v>
      </c>
      <c r="O109" s="109">
        <v>16200</v>
      </c>
      <c r="P109" s="110">
        <f t="shared" si="45"/>
        <v>3078</v>
      </c>
      <c r="Q109" s="110">
        <f t="shared" si="33"/>
        <v>19278</v>
      </c>
      <c r="R109" s="110">
        <f t="shared" si="48"/>
        <v>16200</v>
      </c>
      <c r="S109" s="110">
        <f t="shared" si="49"/>
        <v>19278</v>
      </c>
      <c r="T109" s="97" t="s">
        <v>195</v>
      </c>
      <c r="U109" s="98">
        <v>15110.9243697479</v>
      </c>
      <c r="V109" s="99">
        <f t="shared" si="36"/>
        <v>2871.0756302521008</v>
      </c>
      <c r="W109" s="99">
        <f t="shared" si="37"/>
        <v>17982</v>
      </c>
      <c r="X109" s="99">
        <f t="shared" si="50"/>
        <v>15110.9243697479</v>
      </c>
      <c r="Y109" s="99">
        <f t="shared" si="51"/>
        <v>17982</v>
      </c>
      <c r="Z109" s="100">
        <f t="shared" si="42"/>
        <v>18370</v>
      </c>
      <c r="AA109" s="100">
        <f t="shared" si="52"/>
        <v>18370</v>
      </c>
      <c r="AB109" s="78">
        <f t="shared" si="44"/>
        <v>789.11596106022341</v>
      </c>
      <c r="AC109" s="102">
        <f t="shared" si="24"/>
        <v>4.2956775234633829E-2</v>
      </c>
      <c r="AD109" s="5"/>
      <c r="AF109" s="7" t="s">
        <v>173</v>
      </c>
      <c r="AG109" s="7">
        <v>98</v>
      </c>
      <c r="AH109" s="7" t="s">
        <v>553</v>
      </c>
      <c r="BG109" s="7">
        <v>112</v>
      </c>
      <c r="DA109" s="7" t="e">
        <f>VLOOKUP(C109,listaBolsa!$D$2:$BA$248,1,0)</f>
        <v>#N/A</v>
      </c>
      <c r="DB109" s="7" t="e">
        <f>VLOOKUP(C109,listaBolsa!$D$2:$BA$248,2,0)</f>
        <v>#N/A</v>
      </c>
      <c r="DC109" s="7" t="e">
        <f>VLOOKUP(C109,listaBolsa!$D$2:$BA$248,10,0)</f>
        <v>#N/A</v>
      </c>
      <c r="DD109" s="7" t="e">
        <f>VLOOKUP(C109,listaBolsa!$D$2:$BA$248,14,0)</f>
        <v>#N/A</v>
      </c>
      <c r="DE109" s="7" t="e">
        <f>VLOOKUP(C109,listaBolsa!$D$2:$BA$248,23,0)</f>
        <v>#N/A</v>
      </c>
      <c r="DF109" s="7" t="e">
        <f>VLOOKUP(C109,listaBolsa!$D$2:$BA$248,29,0)</f>
        <v>#N/A</v>
      </c>
      <c r="DG109" s="7" t="e">
        <f>VLOOKUP(C109,listaBolsa!$D$2:$BA$248,36,0)</f>
        <v>#N/A</v>
      </c>
      <c r="DH109" s="7" t="e">
        <f>VLOOKUP(C109,listaBolsa!$D$2:$BA$248,40,0)</f>
        <v>#N/A</v>
      </c>
      <c r="DI109" s="7" t="e">
        <f>VLOOKUP(C109,listaBolsa!$D$2:$BA$248,48,0)</f>
        <v>#N/A</v>
      </c>
      <c r="DJ109" s="7" t="e">
        <f t="shared" si="53"/>
        <v>#N/A</v>
      </c>
      <c r="DK109" s="7" t="e">
        <f t="shared" si="53"/>
        <v>#N/A</v>
      </c>
      <c r="DL109" s="7" t="e">
        <f t="shared" si="26"/>
        <v>#N/A</v>
      </c>
      <c r="DM109" s="7" t="e">
        <f t="shared" si="26"/>
        <v>#N/A</v>
      </c>
      <c r="DN109" s="7" t="e">
        <f t="shared" si="27"/>
        <v>#N/A</v>
      </c>
      <c r="DO109" s="7" t="e">
        <f t="shared" si="27"/>
        <v>#N/A</v>
      </c>
      <c r="DP109" s="7" t="e">
        <f t="shared" si="28"/>
        <v>#N/A</v>
      </c>
      <c r="DQ109" s="7" t="e">
        <f t="shared" si="28"/>
        <v>#N/A</v>
      </c>
      <c r="DR109" s="7" t="e">
        <f t="shared" si="40"/>
        <v>#N/A</v>
      </c>
    </row>
    <row r="110" spans="1:122" s="7" customFormat="1" ht="105" customHeight="1">
      <c r="A110" s="75">
        <f t="shared" si="41"/>
        <v>99</v>
      </c>
      <c r="B110" s="199" t="s">
        <v>309</v>
      </c>
      <c r="C110" s="183" t="s">
        <v>207</v>
      </c>
      <c r="D110" s="75" t="s">
        <v>208</v>
      </c>
      <c r="E110" s="111" t="s">
        <v>191</v>
      </c>
      <c r="F110" s="112">
        <v>12</v>
      </c>
      <c r="G110" s="75" t="s">
        <v>209</v>
      </c>
      <c r="H110" s="106" t="s">
        <v>194</v>
      </c>
      <c r="I110" s="107">
        <v>660000</v>
      </c>
      <c r="J110" s="96">
        <f t="shared" si="29"/>
        <v>125400</v>
      </c>
      <c r="K110" s="96">
        <f t="shared" si="30"/>
        <v>785400</v>
      </c>
      <c r="L110" s="96">
        <f t="shared" si="46"/>
        <v>7920000</v>
      </c>
      <c r="M110" s="96">
        <f t="shared" si="47"/>
        <v>9424800</v>
      </c>
      <c r="N110" s="108" t="s">
        <v>193</v>
      </c>
      <c r="O110" s="109">
        <v>620000</v>
      </c>
      <c r="P110" s="110">
        <f t="shared" si="45"/>
        <v>117800</v>
      </c>
      <c r="Q110" s="110">
        <f t="shared" si="33"/>
        <v>737800</v>
      </c>
      <c r="R110" s="110">
        <f t="shared" si="48"/>
        <v>7440000</v>
      </c>
      <c r="S110" s="110">
        <f t="shared" si="49"/>
        <v>8853600</v>
      </c>
      <c r="T110" s="97" t="s">
        <v>210</v>
      </c>
      <c r="U110" s="98">
        <v>850000</v>
      </c>
      <c r="V110" s="99">
        <f t="shared" si="36"/>
        <v>161500</v>
      </c>
      <c r="W110" s="99">
        <f t="shared" si="37"/>
        <v>1011500</v>
      </c>
      <c r="X110" s="99">
        <f t="shared" si="50"/>
        <v>10200000</v>
      </c>
      <c r="Y110" s="99">
        <f t="shared" si="51"/>
        <v>12138000</v>
      </c>
      <c r="Z110" s="100">
        <f t="shared" si="42"/>
        <v>844900</v>
      </c>
      <c r="AA110" s="100">
        <f t="shared" si="52"/>
        <v>10138800</v>
      </c>
      <c r="AB110" s="78">
        <f t="shared" si="44"/>
        <v>1754755.7778790756</v>
      </c>
      <c r="AC110" s="102">
        <f t="shared" si="24"/>
        <v>0.17307332010485221</v>
      </c>
      <c r="AD110" s="5"/>
      <c r="AF110" s="7" t="s">
        <v>173</v>
      </c>
      <c r="AG110" s="7">
        <v>99</v>
      </c>
      <c r="AH110" s="7" t="s">
        <v>554</v>
      </c>
      <c r="BG110" s="7">
        <v>113</v>
      </c>
      <c r="DA110" s="7" t="e">
        <f>VLOOKUP(C110,listaBolsa!$D$2:$BA$248,1,0)</f>
        <v>#N/A</v>
      </c>
      <c r="DB110" s="7" t="e">
        <f>VLOOKUP(C110,listaBolsa!$D$2:$BA$248,2,0)</f>
        <v>#N/A</v>
      </c>
      <c r="DC110" s="7" t="e">
        <f>VLOOKUP(C110,listaBolsa!$D$2:$BA$248,10,0)</f>
        <v>#N/A</v>
      </c>
      <c r="DD110" s="7" t="e">
        <f>VLOOKUP(C110,listaBolsa!$D$2:$BA$248,14,0)</f>
        <v>#N/A</v>
      </c>
      <c r="DE110" s="7" t="e">
        <f>VLOOKUP(C110,listaBolsa!$D$2:$BA$248,23,0)</f>
        <v>#N/A</v>
      </c>
      <c r="DF110" s="7" t="e">
        <f>VLOOKUP(C110,listaBolsa!$D$2:$BA$248,29,0)</f>
        <v>#N/A</v>
      </c>
      <c r="DG110" s="7" t="e">
        <f>VLOOKUP(C110,listaBolsa!$D$2:$BA$248,36,0)</f>
        <v>#N/A</v>
      </c>
      <c r="DH110" s="7" t="e">
        <f>VLOOKUP(C110,listaBolsa!$D$2:$BA$248,40,0)</f>
        <v>#N/A</v>
      </c>
      <c r="DI110" s="7" t="e">
        <f>VLOOKUP(C110,listaBolsa!$D$2:$BA$248,48,0)</f>
        <v>#N/A</v>
      </c>
      <c r="DJ110" s="7" t="e">
        <f t="shared" si="53"/>
        <v>#N/A</v>
      </c>
      <c r="DK110" s="7" t="e">
        <f t="shared" si="53"/>
        <v>#N/A</v>
      </c>
      <c r="DL110" s="7" t="e">
        <f t="shared" si="26"/>
        <v>#N/A</v>
      </c>
      <c r="DM110" s="7" t="e">
        <f t="shared" si="26"/>
        <v>#N/A</v>
      </c>
      <c r="DN110" s="7" t="e">
        <f t="shared" si="27"/>
        <v>#N/A</v>
      </c>
      <c r="DO110" s="7" t="e">
        <f t="shared" si="27"/>
        <v>#N/A</v>
      </c>
      <c r="DP110" s="7" t="e">
        <f t="shared" si="28"/>
        <v>#N/A</v>
      </c>
      <c r="DQ110" s="7" t="e">
        <f t="shared" si="28"/>
        <v>#N/A</v>
      </c>
      <c r="DR110" s="7" t="e">
        <f t="shared" si="40"/>
        <v>#N/A</v>
      </c>
    </row>
    <row r="111" spans="1:122" s="7" customFormat="1" ht="74.099999999999994" customHeight="1">
      <c r="A111" s="75">
        <f t="shared" si="41"/>
        <v>100</v>
      </c>
      <c r="B111" s="199" t="s">
        <v>309</v>
      </c>
      <c r="C111" s="191" t="s">
        <v>525</v>
      </c>
      <c r="D111" s="190" t="s">
        <v>526</v>
      </c>
      <c r="E111" s="192" t="s">
        <v>191</v>
      </c>
      <c r="F111" s="190">
        <v>3</v>
      </c>
      <c r="G111" s="75" t="s">
        <v>305</v>
      </c>
      <c r="H111" s="106" t="s">
        <v>193</v>
      </c>
      <c r="I111" s="107">
        <v>1250000</v>
      </c>
      <c r="J111" s="96">
        <f t="shared" si="29"/>
        <v>237500</v>
      </c>
      <c r="K111" s="96">
        <f t="shared" si="30"/>
        <v>1487500</v>
      </c>
      <c r="L111" s="96">
        <f t="shared" si="46"/>
        <v>3750000</v>
      </c>
      <c r="M111" s="96">
        <f t="shared" si="47"/>
        <v>4462500</v>
      </c>
      <c r="N111" s="108" t="s">
        <v>245</v>
      </c>
      <c r="O111" s="109">
        <v>1000000</v>
      </c>
      <c r="P111" s="110">
        <f t="shared" si="45"/>
        <v>190000</v>
      </c>
      <c r="Q111" s="110">
        <f t="shared" si="33"/>
        <v>1190000</v>
      </c>
      <c r="R111" s="110">
        <f t="shared" si="48"/>
        <v>3000000</v>
      </c>
      <c r="S111" s="110">
        <f t="shared" si="49"/>
        <v>3570000</v>
      </c>
      <c r="T111" s="97" t="s">
        <v>527</v>
      </c>
      <c r="U111" s="98">
        <v>1285714.2857142859</v>
      </c>
      <c r="V111" s="99">
        <f t="shared" si="36"/>
        <v>244285.71428571432</v>
      </c>
      <c r="W111" s="99">
        <f t="shared" si="37"/>
        <v>1530000.0000000002</v>
      </c>
      <c r="X111" s="99">
        <f t="shared" si="50"/>
        <v>3857142.8571428577</v>
      </c>
      <c r="Y111" s="99">
        <f t="shared" si="51"/>
        <v>4590000.0000000009</v>
      </c>
      <c r="Z111" s="100">
        <f t="shared" si="42"/>
        <v>1402500</v>
      </c>
      <c r="AA111" s="100">
        <f t="shared" si="52"/>
        <v>4207500</v>
      </c>
      <c r="AB111" s="78">
        <f t="shared" si="44"/>
        <v>555759.61530143942</v>
      </c>
      <c r="AC111" s="102">
        <f t="shared" si="24"/>
        <v>0.13208784677396065</v>
      </c>
      <c r="AD111" s="5"/>
      <c r="AF111" s="7" t="s">
        <v>173</v>
      </c>
      <c r="AG111" s="7">
        <v>100</v>
      </c>
      <c r="AH111" s="7" t="s">
        <v>555</v>
      </c>
      <c r="BG111" s="7">
        <v>114</v>
      </c>
      <c r="DA111" s="7" t="e">
        <f>VLOOKUP(C111,listaBolsa!$D$2:$BA$248,1,0)</f>
        <v>#N/A</v>
      </c>
      <c r="DB111" s="7" t="e">
        <f>VLOOKUP(C111,listaBolsa!$D$2:$BA$248,2,0)</f>
        <v>#N/A</v>
      </c>
      <c r="DC111" s="7" t="e">
        <f>VLOOKUP(C111,listaBolsa!$D$2:$BA$248,10,0)</f>
        <v>#N/A</v>
      </c>
      <c r="DD111" s="7" t="e">
        <f>VLOOKUP(C111,listaBolsa!$D$2:$BA$248,14,0)</f>
        <v>#N/A</v>
      </c>
      <c r="DE111" s="7" t="e">
        <f>VLOOKUP(C111,listaBolsa!$D$2:$BA$248,23,0)</f>
        <v>#N/A</v>
      </c>
      <c r="DF111" s="7" t="e">
        <f>VLOOKUP(C111,listaBolsa!$D$2:$BA$248,29,0)</f>
        <v>#N/A</v>
      </c>
      <c r="DG111" s="7" t="e">
        <f>VLOOKUP(C111,listaBolsa!$D$2:$BA$248,36,0)</f>
        <v>#N/A</v>
      </c>
      <c r="DH111" s="7" t="e">
        <f>VLOOKUP(C111,listaBolsa!$D$2:$BA$248,40,0)</f>
        <v>#N/A</v>
      </c>
      <c r="DI111" s="7" t="e">
        <f>VLOOKUP(C111,listaBolsa!$D$2:$BA$248,48,0)</f>
        <v>#N/A</v>
      </c>
      <c r="DJ111" s="7" t="e">
        <f t="shared" si="53"/>
        <v>#N/A</v>
      </c>
      <c r="DK111" s="7" t="e">
        <f t="shared" si="53"/>
        <v>#N/A</v>
      </c>
      <c r="DL111" s="7" t="e">
        <f t="shared" si="26"/>
        <v>#N/A</v>
      </c>
      <c r="DM111" s="7" t="e">
        <f t="shared" si="26"/>
        <v>#N/A</v>
      </c>
      <c r="DN111" s="7" t="e">
        <f t="shared" si="27"/>
        <v>#N/A</v>
      </c>
      <c r="DO111" s="7" t="e">
        <f t="shared" si="27"/>
        <v>#N/A</v>
      </c>
      <c r="DP111" s="7" t="e">
        <f t="shared" si="28"/>
        <v>#N/A</v>
      </c>
      <c r="DQ111" s="7" t="e">
        <f t="shared" si="28"/>
        <v>#N/A</v>
      </c>
      <c r="DR111" s="7" t="e">
        <f t="shared" si="40"/>
        <v>#N/A</v>
      </c>
    </row>
    <row r="112" spans="1:122" s="7" customFormat="1" ht="74.099999999999994" customHeight="1">
      <c r="A112" s="75">
        <f t="shared" si="41"/>
        <v>101</v>
      </c>
      <c r="B112" s="199" t="s">
        <v>309</v>
      </c>
      <c r="C112" s="191" t="s">
        <v>529</v>
      </c>
      <c r="D112" s="190" t="s">
        <v>530</v>
      </c>
      <c r="E112" s="192" t="s">
        <v>191</v>
      </c>
      <c r="F112" s="190">
        <v>100</v>
      </c>
      <c r="G112" s="75" t="s">
        <v>192</v>
      </c>
      <c r="H112" s="106" t="s">
        <v>531</v>
      </c>
      <c r="I112" s="107">
        <v>7226.8907563025214</v>
      </c>
      <c r="J112" s="96">
        <f t="shared" si="29"/>
        <v>1373.1092436974791</v>
      </c>
      <c r="K112" s="96">
        <f t="shared" si="30"/>
        <v>8600</v>
      </c>
      <c r="L112" s="96">
        <f t="shared" si="46"/>
        <v>722689.07563025213</v>
      </c>
      <c r="M112" s="96">
        <f t="shared" si="47"/>
        <v>860000</v>
      </c>
      <c r="N112" s="108" t="s">
        <v>532</v>
      </c>
      <c r="O112" s="109">
        <v>5462.1848739495799</v>
      </c>
      <c r="P112" s="110">
        <f t="shared" si="45"/>
        <v>1037.8151260504203</v>
      </c>
      <c r="Q112" s="110">
        <f t="shared" si="33"/>
        <v>6500</v>
      </c>
      <c r="R112" s="110">
        <f t="shared" si="48"/>
        <v>546218.48739495804</v>
      </c>
      <c r="S112" s="110">
        <f t="shared" si="49"/>
        <v>650000</v>
      </c>
      <c r="T112" s="97" t="s">
        <v>533</v>
      </c>
      <c r="U112" s="98">
        <v>6050.4201680672268</v>
      </c>
      <c r="V112" s="99">
        <f t="shared" si="36"/>
        <v>1149.579831932773</v>
      </c>
      <c r="W112" s="99">
        <f t="shared" si="37"/>
        <v>7200</v>
      </c>
      <c r="X112" s="99">
        <f t="shared" si="50"/>
        <v>605042.01680672262</v>
      </c>
      <c r="Y112" s="99">
        <f t="shared" si="51"/>
        <v>720000</v>
      </c>
      <c r="Z112" s="100">
        <f t="shared" si="42"/>
        <v>7433.333333333333</v>
      </c>
      <c r="AA112" s="100">
        <f t="shared" si="52"/>
        <v>743333.33333333326</v>
      </c>
      <c r="AB112" s="78">
        <f t="shared" si="44"/>
        <v>106926.76621563645</v>
      </c>
      <c r="AC112" s="102">
        <f t="shared" si="24"/>
        <v>0.14384766755466788</v>
      </c>
      <c r="AD112" s="5"/>
      <c r="AF112" s="7" t="s">
        <v>173</v>
      </c>
      <c r="AG112" s="7">
        <v>101</v>
      </c>
      <c r="AH112" s="7" t="s">
        <v>556</v>
      </c>
      <c r="BG112" s="7">
        <v>115</v>
      </c>
      <c r="DA112" s="7" t="e">
        <f>VLOOKUP(C112,listaBolsa!$D$2:$BA$248,1,0)</f>
        <v>#N/A</v>
      </c>
      <c r="DB112" s="7" t="e">
        <f>VLOOKUP(C112,listaBolsa!$D$2:$BA$248,2,0)</f>
        <v>#N/A</v>
      </c>
      <c r="DC112" s="7" t="e">
        <f>VLOOKUP(C112,listaBolsa!$D$2:$BA$248,10,0)</f>
        <v>#N/A</v>
      </c>
      <c r="DD112" s="7" t="e">
        <f>VLOOKUP(C112,listaBolsa!$D$2:$BA$248,14,0)</f>
        <v>#N/A</v>
      </c>
      <c r="DE112" s="7" t="e">
        <f>VLOOKUP(C112,listaBolsa!$D$2:$BA$248,23,0)</f>
        <v>#N/A</v>
      </c>
      <c r="DF112" s="7" t="e">
        <f>VLOOKUP(C112,listaBolsa!$D$2:$BA$248,29,0)</f>
        <v>#N/A</v>
      </c>
      <c r="DG112" s="7" t="e">
        <f>VLOOKUP(C112,listaBolsa!$D$2:$BA$248,36,0)</f>
        <v>#N/A</v>
      </c>
      <c r="DH112" s="7" t="e">
        <f>VLOOKUP(C112,listaBolsa!$D$2:$BA$248,40,0)</f>
        <v>#N/A</v>
      </c>
      <c r="DI112" s="7" t="e">
        <f>VLOOKUP(C112,listaBolsa!$D$2:$BA$248,48,0)</f>
        <v>#N/A</v>
      </c>
      <c r="DJ112" s="7" t="e">
        <f t="shared" si="53"/>
        <v>#N/A</v>
      </c>
      <c r="DK112" s="7" t="e">
        <f t="shared" si="53"/>
        <v>#N/A</v>
      </c>
      <c r="DL112" s="7" t="e">
        <f t="shared" si="26"/>
        <v>#N/A</v>
      </c>
      <c r="DM112" s="7" t="e">
        <f t="shared" si="26"/>
        <v>#N/A</v>
      </c>
      <c r="DN112" s="7" t="e">
        <f t="shared" si="27"/>
        <v>#N/A</v>
      </c>
      <c r="DO112" s="7" t="e">
        <f t="shared" si="27"/>
        <v>#N/A</v>
      </c>
      <c r="DP112" s="7" t="e">
        <f t="shared" si="28"/>
        <v>#N/A</v>
      </c>
      <c r="DQ112" s="7" t="e">
        <f t="shared" si="28"/>
        <v>#N/A</v>
      </c>
      <c r="DR112" s="7" t="e">
        <f t="shared" si="40"/>
        <v>#N/A</v>
      </c>
    </row>
    <row r="113" spans="1:122" s="7" customFormat="1" ht="74.099999999999994" customHeight="1">
      <c r="A113" s="75">
        <f t="shared" si="41"/>
        <v>102</v>
      </c>
      <c r="B113" s="199" t="s">
        <v>309</v>
      </c>
      <c r="C113" s="191" t="s">
        <v>535</v>
      </c>
      <c r="D113" s="190" t="s">
        <v>557</v>
      </c>
      <c r="E113" s="192" t="s">
        <v>537</v>
      </c>
      <c r="F113" s="190">
        <v>1</v>
      </c>
      <c r="G113" s="75" t="s">
        <v>305</v>
      </c>
      <c r="H113" s="106" t="s">
        <v>540</v>
      </c>
      <c r="I113" s="107">
        <v>159663.8655462185</v>
      </c>
      <c r="J113" s="96">
        <f t="shared" si="29"/>
        <v>30336.134453781517</v>
      </c>
      <c r="K113" s="96">
        <f t="shared" si="30"/>
        <v>190000</v>
      </c>
      <c r="L113" s="96">
        <f t="shared" si="46"/>
        <v>159663.8655462185</v>
      </c>
      <c r="M113" s="96">
        <f t="shared" si="47"/>
        <v>190000</v>
      </c>
      <c r="N113" s="108" t="s">
        <v>538</v>
      </c>
      <c r="O113" s="109">
        <v>193277.31092436981</v>
      </c>
      <c r="P113" s="110">
        <f t="shared" si="45"/>
        <v>36722.689075630267</v>
      </c>
      <c r="Q113" s="110">
        <f t="shared" si="33"/>
        <v>230000.00000000009</v>
      </c>
      <c r="R113" s="110">
        <f t="shared" si="48"/>
        <v>193277.31092436981</v>
      </c>
      <c r="S113" s="110">
        <f t="shared" si="49"/>
        <v>230000.00000000009</v>
      </c>
      <c r="T113" s="97" t="s">
        <v>558</v>
      </c>
      <c r="U113" s="98">
        <v>191563.02521008399</v>
      </c>
      <c r="V113" s="99">
        <f t="shared" si="36"/>
        <v>36396.974789915956</v>
      </c>
      <c r="W113" s="99">
        <f t="shared" si="37"/>
        <v>227959.99999999994</v>
      </c>
      <c r="X113" s="99">
        <f t="shared" si="50"/>
        <v>191563.02521008399</v>
      </c>
      <c r="Y113" s="99">
        <f t="shared" si="51"/>
        <v>227959.99999999994</v>
      </c>
      <c r="Z113" s="100">
        <f t="shared" si="42"/>
        <v>215986.66666666666</v>
      </c>
      <c r="AA113" s="100">
        <f t="shared" si="52"/>
        <v>215986.66666666666</v>
      </c>
      <c r="AB113" s="78">
        <f t="shared" si="44"/>
        <v>22528.216381536597</v>
      </c>
      <c r="AC113" s="102">
        <f t="shared" si="24"/>
        <v>0.10430373656492653</v>
      </c>
      <c r="AD113" s="5"/>
      <c r="AF113" s="7" t="s">
        <v>173</v>
      </c>
      <c r="AG113" s="7">
        <v>102</v>
      </c>
      <c r="AH113" s="7" t="s">
        <v>559</v>
      </c>
      <c r="BG113" s="7">
        <v>116</v>
      </c>
      <c r="DA113" s="7" t="e">
        <f>VLOOKUP(C113,listaBolsa!$D$2:$BA$248,1,0)</f>
        <v>#N/A</v>
      </c>
      <c r="DB113" s="7" t="e">
        <f>VLOOKUP(C113,listaBolsa!$D$2:$BA$248,2,0)</f>
        <v>#N/A</v>
      </c>
      <c r="DC113" s="7" t="e">
        <f>VLOOKUP(C113,listaBolsa!$D$2:$BA$248,10,0)</f>
        <v>#N/A</v>
      </c>
      <c r="DD113" s="7" t="e">
        <f>VLOOKUP(C113,listaBolsa!$D$2:$BA$248,14,0)</f>
        <v>#N/A</v>
      </c>
      <c r="DE113" s="7" t="e">
        <f>VLOOKUP(C113,listaBolsa!$D$2:$BA$248,23,0)</f>
        <v>#N/A</v>
      </c>
      <c r="DF113" s="7" t="e">
        <f>VLOOKUP(C113,listaBolsa!$D$2:$BA$248,29,0)</f>
        <v>#N/A</v>
      </c>
      <c r="DG113" s="7" t="e">
        <f>VLOOKUP(C113,listaBolsa!$D$2:$BA$248,36,0)</f>
        <v>#N/A</v>
      </c>
      <c r="DH113" s="7" t="e">
        <f>VLOOKUP(C113,listaBolsa!$D$2:$BA$248,40,0)</f>
        <v>#N/A</v>
      </c>
      <c r="DI113" s="7" t="e">
        <f>VLOOKUP(C113,listaBolsa!$D$2:$BA$248,48,0)</f>
        <v>#N/A</v>
      </c>
      <c r="DJ113" s="7" t="e">
        <f t="shared" si="53"/>
        <v>#N/A</v>
      </c>
      <c r="DK113" s="7" t="e">
        <f t="shared" si="53"/>
        <v>#N/A</v>
      </c>
      <c r="DL113" s="7" t="e">
        <f t="shared" si="26"/>
        <v>#N/A</v>
      </c>
      <c r="DM113" s="7" t="e">
        <f t="shared" si="26"/>
        <v>#N/A</v>
      </c>
      <c r="DN113" s="7" t="e">
        <f t="shared" si="27"/>
        <v>#N/A</v>
      </c>
      <c r="DO113" s="7" t="e">
        <f t="shared" si="27"/>
        <v>#N/A</v>
      </c>
      <c r="DP113" s="7" t="e">
        <f t="shared" si="28"/>
        <v>#N/A</v>
      </c>
      <c r="DQ113" s="7" t="e">
        <f t="shared" si="28"/>
        <v>#N/A</v>
      </c>
      <c r="DR113" s="7" t="e">
        <f t="shared" si="40"/>
        <v>#N/A</v>
      </c>
    </row>
    <row r="114" spans="1:122" s="7" customFormat="1" ht="74.099999999999994" customHeight="1">
      <c r="A114" s="75">
        <f t="shared" si="41"/>
        <v>103</v>
      </c>
      <c r="B114" s="199" t="s">
        <v>309</v>
      </c>
      <c r="C114" s="191" t="s">
        <v>542</v>
      </c>
      <c r="D114" s="213" t="s">
        <v>543</v>
      </c>
      <c r="E114" s="192" t="s">
        <v>544</v>
      </c>
      <c r="F114" s="190">
        <v>1</v>
      </c>
      <c r="G114" s="75" t="s">
        <v>192</v>
      </c>
      <c r="H114" s="106" t="s">
        <v>194</v>
      </c>
      <c r="I114" s="107">
        <v>130000</v>
      </c>
      <c r="J114" s="96">
        <f t="shared" si="29"/>
        <v>24700</v>
      </c>
      <c r="K114" s="96">
        <f t="shared" si="30"/>
        <v>154700</v>
      </c>
      <c r="L114" s="96">
        <f t="shared" si="46"/>
        <v>130000</v>
      </c>
      <c r="M114" s="96">
        <f t="shared" si="47"/>
        <v>154700</v>
      </c>
      <c r="N114" s="108" t="s">
        <v>245</v>
      </c>
      <c r="O114" s="109">
        <v>350000</v>
      </c>
      <c r="P114" s="110">
        <f t="shared" si="45"/>
        <v>66500</v>
      </c>
      <c r="Q114" s="110">
        <f t="shared" si="33"/>
        <v>416500</v>
      </c>
      <c r="R114" s="110">
        <f t="shared" si="48"/>
        <v>350000</v>
      </c>
      <c r="S114" s="110">
        <f t="shared" si="49"/>
        <v>416500</v>
      </c>
      <c r="T114" s="97"/>
      <c r="U114" s="98"/>
      <c r="V114" s="99">
        <f t="shared" si="36"/>
        <v>0</v>
      </c>
      <c r="W114" s="99">
        <f t="shared" si="37"/>
        <v>0</v>
      </c>
      <c r="X114" s="99">
        <f t="shared" si="50"/>
        <v>0</v>
      </c>
      <c r="Y114" s="99">
        <f t="shared" si="51"/>
        <v>0</v>
      </c>
      <c r="Z114" s="100">
        <f>IF(A114="","",AVERAGE(K114,Q114))</f>
        <v>285600</v>
      </c>
      <c r="AA114" s="100">
        <f t="shared" si="52"/>
        <v>285600</v>
      </c>
      <c r="AB114" s="78">
        <f>IF(B114="","",STDEV(M114,S114))</f>
        <v>185120.55531463813</v>
      </c>
      <c r="AC114" s="102">
        <f t="shared" si="24"/>
        <v>0.64818121608766854</v>
      </c>
      <c r="AD114" s="5"/>
      <c r="AF114" s="7" t="s">
        <v>173</v>
      </c>
      <c r="AG114" s="7">
        <v>103</v>
      </c>
      <c r="AH114" s="7" t="s">
        <v>560</v>
      </c>
      <c r="BG114" s="7">
        <v>117</v>
      </c>
      <c r="DA114" s="7" t="e">
        <f>VLOOKUP(C114,listaBolsa!$D$2:$BA$248,1,0)</f>
        <v>#N/A</v>
      </c>
      <c r="DB114" s="7" t="e">
        <f>VLOOKUP(C114,listaBolsa!$D$2:$BA$248,2,0)</f>
        <v>#N/A</v>
      </c>
      <c r="DC114" s="7" t="e">
        <f>VLOOKUP(C114,listaBolsa!$D$2:$BA$248,10,0)</f>
        <v>#N/A</v>
      </c>
      <c r="DD114" s="7" t="e">
        <f>VLOOKUP(C114,listaBolsa!$D$2:$BA$248,14,0)</f>
        <v>#N/A</v>
      </c>
      <c r="DE114" s="7" t="e">
        <f>VLOOKUP(C114,listaBolsa!$D$2:$BA$248,23,0)</f>
        <v>#N/A</v>
      </c>
      <c r="DF114" s="7" t="e">
        <f>VLOOKUP(C114,listaBolsa!$D$2:$BA$248,29,0)</f>
        <v>#N/A</v>
      </c>
      <c r="DG114" s="7" t="e">
        <f>VLOOKUP(C114,listaBolsa!$D$2:$BA$248,36,0)</f>
        <v>#N/A</v>
      </c>
      <c r="DH114" s="7" t="e">
        <f>VLOOKUP(C114,listaBolsa!$D$2:$BA$248,40,0)</f>
        <v>#N/A</v>
      </c>
      <c r="DI114" s="7" t="e">
        <f>VLOOKUP(C114,listaBolsa!$D$2:$BA$248,48,0)</f>
        <v>#N/A</v>
      </c>
      <c r="DJ114" s="7" t="e">
        <f t="shared" si="53"/>
        <v>#N/A</v>
      </c>
      <c r="DK114" s="7" t="e">
        <f t="shared" si="53"/>
        <v>#N/A</v>
      </c>
      <c r="DL114" s="7" t="e">
        <f t="shared" si="26"/>
        <v>#N/A</v>
      </c>
      <c r="DM114" s="7" t="e">
        <f t="shared" si="26"/>
        <v>#N/A</v>
      </c>
      <c r="DN114" s="7" t="e">
        <f t="shared" si="27"/>
        <v>#N/A</v>
      </c>
      <c r="DO114" s="7" t="e">
        <f t="shared" si="27"/>
        <v>#N/A</v>
      </c>
      <c r="DP114" s="7" t="e">
        <f t="shared" si="28"/>
        <v>#N/A</v>
      </c>
      <c r="DQ114" s="7" t="e">
        <f t="shared" si="28"/>
        <v>#N/A</v>
      </c>
      <c r="DR114" s="7" t="e">
        <f t="shared" si="40"/>
        <v>#N/A</v>
      </c>
    </row>
    <row r="115" spans="1:122" s="7" customFormat="1" ht="74.099999999999994" customHeight="1">
      <c r="A115" s="75">
        <f t="shared" si="41"/>
        <v>104</v>
      </c>
      <c r="B115" s="199" t="s">
        <v>309</v>
      </c>
      <c r="C115" s="191" t="s">
        <v>546</v>
      </c>
      <c r="D115" s="190" t="s">
        <v>561</v>
      </c>
      <c r="E115" s="192" t="s">
        <v>191</v>
      </c>
      <c r="F115" s="190">
        <v>1</v>
      </c>
      <c r="G115" s="75" t="s">
        <v>192</v>
      </c>
      <c r="H115" s="106" t="e">
        <f>IF(C115="","",VLOOKUP(C115,listaBolsa!$D$2:$W$276,10,0))</f>
        <v>#N/A</v>
      </c>
      <c r="I115" s="107">
        <v>50000</v>
      </c>
      <c r="J115" s="96">
        <f t="shared" si="29"/>
        <v>9500</v>
      </c>
      <c r="K115" s="96">
        <f t="shared" si="30"/>
        <v>59500</v>
      </c>
      <c r="L115" s="96">
        <f t="shared" si="46"/>
        <v>50000</v>
      </c>
      <c r="M115" s="96">
        <f t="shared" si="47"/>
        <v>59500</v>
      </c>
      <c r="N115" s="108" t="e">
        <f>IF(C115="","",VLOOKUP(C115,listaBolsa!$D$2:$AZ$276,23,0))</f>
        <v>#N/A</v>
      </c>
      <c r="O115" s="109">
        <v>60504.201680672268</v>
      </c>
      <c r="P115" s="110">
        <f t="shared" si="45"/>
        <v>11495.79831932773</v>
      </c>
      <c r="Q115" s="110">
        <f t="shared" si="33"/>
        <v>72000</v>
      </c>
      <c r="R115" s="110">
        <f t="shared" si="48"/>
        <v>60504.201680672268</v>
      </c>
      <c r="S115" s="110">
        <f t="shared" si="49"/>
        <v>72000</v>
      </c>
      <c r="T115" s="97" t="e">
        <f>IF(C115="","",VLOOKUP(C115,listaBolsa!$D$2:$BB$276,36,0))</f>
        <v>#N/A</v>
      </c>
      <c r="U115" s="98">
        <v>60504.201680672268</v>
      </c>
      <c r="V115" s="99">
        <f t="shared" si="36"/>
        <v>11495.79831932773</v>
      </c>
      <c r="W115" s="99">
        <f t="shared" si="37"/>
        <v>72000</v>
      </c>
      <c r="X115" s="99">
        <f t="shared" si="50"/>
        <v>60504.201680672268</v>
      </c>
      <c r="Y115" s="99">
        <f t="shared" si="51"/>
        <v>72000</v>
      </c>
      <c r="Z115" s="100">
        <f t="shared" si="42"/>
        <v>67833.333333333328</v>
      </c>
      <c r="AA115" s="100">
        <f t="shared" si="52"/>
        <v>67833.333333333328</v>
      </c>
      <c r="AB115" s="78">
        <f t="shared" si="44"/>
        <v>7216.878364870322</v>
      </c>
      <c r="AC115" s="102">
        <f t="shared" si="24"/>
        <v>0.10639132724624555</v>
      </c>
      <c r="AD115" s="5"/>
      <c r="AF115" s="7" t="s">
        <v>173</v>
      </c>
      <c r="AG115" s="7">
        <v>104</v>
      </c>
      <c r="AH115" s="7" t="s">
        <v>562</v>
      </c>
      <c r="BG115" s="7">
        <v>118</v>
      </c>
      <c r="DA115" s="7" t="e">
        <f>VLOOKUP(C115,listaBolsa!$D$2:$BA$248,1,0)</f>
        <v>#N/A</v>
      </c>
      <c r="DB115" s="7" t="e">
        <f>VLOOKUP(C115,listaBolsa!$D$2:$BA$248,2,0)</f>
        <v>#N/A</v>
      </c>
      <c r="DC115" s="7" t="e">
        <f>VLOOKUP(C115,listaBolsa!$D$2:$BA$248,10,0)</f>
        <v>#N/A</v>
      </c>
      <c r="DD115" s="7" t="e">
        <f>VLOOKUP(C115,listaBolsa!$D$2:$BA$248,14,0)</f>
        <v>#N/A</v>
      </c>
      <c r="DE115" s="7" t="e">
        <f>VLOOKUP(C115,listaBolsa!$D$2:$BA$248,23,0)</f>
        <v>#N/A</v>
      </c>
      <c r="DF115" s="7" t="e">
        <f>VLOOKUP(C115,listaBolsa!$D$2:$BA$248,29,0)</f>
        <v>#N/A</v>
      </c>
      <c r="DG115" s="7" t="e">
        <f>VLOOKUP(C115,listaBolsa!$D$2:$BA$248,36,0)</f>
        <v>#N/A</v>
      </c>
      <c r="DH115" s="7" t="e">
        <f>VLOOKUP(C115,listaBolsa!$D$2:$BA$248,40,0)</f>
        <v>#N/A</v>
      </c>
      <c r="DI115" s="7" t="e">
        <f>VLOOKUP(C115,listaBolsa!$D$2:$BA$248,48,0)</f>
        <v>#N/A</v>
      </c>
      <c r="DJ115" s="7" t="e">
        <f t="shared" si="53"/>
        <v>#N/A</v>
      </c>
      <c r="DK115" s="7" t="e">
        <f t="shared" si="53"/>
        <v>#N/A</v>
      </c>
      <c r="DL115" s="7" t="e">
        <f t="shared" si="26"/>
        <v>#N/A</v>
      </c>
      <c r="DM115" s="7" t="e">
        <f t="shared" si="26"/>
        <v>#N/A</v>
      </c>
      <c r="DN115" s="7" t="e">
        <f t="shared" si="27"/>
        <v>#N/A</v>
      </c>
      <c r="DO115" s="7" t="e">
        <f t="shared" si="27"/>
        <v>#N/A</v>
      </c>
      <c r="DP115" s="7" t="e">
        <f t="shared" si="28"/>
        <v>#N/A</v>
      </c>
      <c r="DQ115" s="7" t="e">
        <f t="shared" si="28"/>
        <v>#N/A</v>
      </c>
      <c r="DR115" s="7" t="e">
        <f t="shared" si="40"/>
        <v>#N/A</v>
      </c>
    </row>
    <row r="116" spans="1:122" s="7" customFormat="1" ht="74.099999999999994" customHeight="1">
      <c r="A116" s="75"/>
      <c r="B116" s="199"/>
      <c r="C116" s="191"/>
      <c r="D116" s="190"/>
      <c r="E116" s="192"/>
      <c r="F116" s="190"/>
      <c r="G116" s="75"/>
      <c r="H116" s="106"/>
      <c r="I116" s="107"/>
      <c r="J116" s="96"/>
      <c r="K116" s="96"/>
      <c r="L116" s="96"/>
      <c r="M116" s="96"/>
      <c r="N116" s="108"/>
      <c r="O116" s="109"/>
      <c r="P116" s="110"/>
      <c r="Q116" s="110"/>
      <c r="R116" s="110"/>
      <c r="S116" s="110"/>
      <c r="T116" s="97"/>
      <c r="U116" s="98"/>
      <c r="V116" s="99"/>
      <c r="W116" s="99"/>
      <c r="X116" s="99"/>
      <c r="Y116" s="99"/>
      <c r="Z116" s="100" t="s">
        <v>563</v>
      </c>
      <c r="AA116" s="100">
        <f>SUM(AA12:AA115)</f>
        <v>199729407.78947419</v>
      </c>
      <c r="AB116" s="78"/>
      <c r="AC116" s="102"/>
      <c r="AD116" s="5"/>
    </row>
    <row r="117" spans="1:122" s="7" customFormat="1" ht="74.099999999999994" customHeight="1">
      <c r="A117" s="631" t="s">
        <v>564</v>
      </c>
      <c r="B117" s="632"/>
      <c r="C117" s="632"/>
      <c r="D117" s="632"/>
      <c r="E117" s="632"/>
      <c r="F117" s="632"/>
      <c r="G117" s="632"/>
      <c r="H117" s="632"/>
      <c r="I117" s="632"/>
      <c r="J117" s="632"/>
      <c r="K117" s="632"/>
      <c r="L117" s="632"/>
      <c r="M117" s="632"/>
      <c r="N117" s="632"/>
      <c r="O117" s="632"/>
      <c r="P117" s="632"/>
      <c r="Q117" s="632"/>
      <c r="R117" s="632"/>
      <c r="S117" s="632"/>
      <c r="T117" s="632"/>
      <c r="U117" s="632"/>
      <c r="V117" s="632"/>
      <c r="W117" s="632"/>
      <c r="X117" s="632"/>
      <c r="Y117" s="632"/>
      <c r="Z117" s="632"/>
      <c r="AA117" s="632"/>
      <c r="AB117" s="632"/>
      <c r="AC117" s="633"/>
      <c r="AD117" s="5"/>
    </row>
    <row r="118" spans="1:122" s="177" customFormat="1" ht="103.15" customHeight="1">
      <c r="A118" s="178" t="s">
        <v>23</v>
      </c>
      <c r="B118" s="178" t="s">
        <v>24</v>
      </c>
      <c r="C118" s="178" t="s">
        <v>25</v>
      </c>
      <c r="D118" s="178" t="s">
        <v>26</v>
      </c>
      <c r="E118" s="178" t="s">
        <v>27</v>
      </c>
      <c r="F118" s="178" t="s">
        <v>28</v>
      </c>
      <c r="G118" s="206" t="s">
        <v>174</v>
      </c>
      <c r="H118" s="179" t="s">
        <v>29</v>
      </c>
      <c r="I118" s="179" t="s">
        <v>30</v>
      </c>
      <c r="J118" s="179" t="s">
        <v>175</v>
      </c>
      <c r="K118" s="179" t="s">
        <v>32</v>
      </c>
      <c r="L118" s="179" t="s">
        <v>33</v>
      </c>
      <c r="M118" s="179" t="s">
        <v>34</v>
      </c>
      <c r="N118" s="178" t="s">
        <v>35</v>
      </c>
      <c r="O118" s="178" t="s">
        <v>30</v>
      </c>
      <c r="P118" s="178" t="s">
        <v>176</v>
      </c>
      <c r="Q118" s="178" t="s">
        <v>32</v>
      </c>
      <c r="R118" s="178" t="s">
        <v>33</v>
      </c>
      <c r="S118" s="178" t="s">
        <v>34</v>
      </c>
      <c r="T118" s="180" t="s">
        <v>36</v>
      </c>
      <c r="U118" s="180" t="s">
        <v>30</v>
      </c>
      <c r="V118" s="180" t="s">
        <v>31</v>
      </c>
      <c r="W118" s="180" t="s">
        <v>32</v>
      </c>
      <c r="X118" s="180" t="s">
        <v>33</v>
      </c>
      <c r="Y118" s="180" t="s">
        <v>34</v>
      </c>
      <c r="Z118" s="179" t="s">
        <v>38</v>
      </c>
      <c r="AA118" s="179" t="s">
        <v>39</v>
      </c>
      <c r="AB118" s="179" t="s">
        <v>40</v>
      </c>
      <c r="AC118" s="179" t="s">
        <v>41</v>
      </c>
      <c r="AD118" s="181" t="s">
        <v>46</v>
      </c>
      <c r="AG118" s="7"/>
      <c r="AH118" s="7"/>
      <c r="DA118" s="177" t="s">
        <v>177</v>
      </c>
      <c r="DB118" s="177" t="s">
        <v>178</v>
      </c>
      <c r="DC118" s="177" t="s">
        <v>179</v>
      </c>
      <c r="DD118" s="177" t="s">
        <v>180</v>
      </c>
      <c r="DE118" s="177" t="s">
        <v>181</v>
      </c>
      <c r="DF118" s="177" t="s">
        <v>182</v>
      </c>
      <c r="DG118" s="177" t="s">
        <v>183</v>
      </c>
      <c r="DH118" s="177" t="s">
        <v>184</v>
      </c>
      <c r="DI118" s="177" t="s">
        <v>185</v>
      </c>
      <c r="DJ118" s="177" t="s">
        <v>177</v>
      </c>
      <c r="DK118" s="177" t="s">
        <v>178</v>
      </c>
      <c r="DL118" s="177" t="s">
        <v>179</v>
      </c>
      <c r="DM118" s="177" t="s">
        <v>180</v>
      </c>
      <c r="DN118" s="177" t="s">
        <v>181</v>
      </c>
      <c r="DO118" s="177" t="s">
        <v>182</v>
      </c>
      <c r="DP118" s="177" t="s">
        <v>183</v>
      </c>
      <c r="DQ118" s="177" t="s">
        <v>184</v>
      </c>
      <c r="DR118" s="177" t="s">
        <v>185</v>
      </c>
    </row>
    <row r="119" spans="1:122" s="7" customFormat="1" ht="348" customHeight="1">
      <c r="A119" s="75">
        <f>A115+1</f>
        <v>105</v>
      </c>
      <c r="B119" s="211" t="s">
        <v>565</v>
      </c>
      <c r="C119" s="75" t="s">
        <v>566</v>
      </c>
      <c r="D119" s="75" t="s">
        <v>567</v>
      </c>
      <c r="E119" s="211" t="s">
        <v>568</v>
      </c>
      <c r="F119" s="75">
        <v>10</v>
      </c>
      <c r="G119" s="75" t="s">
        <v>209</v>
      </c>
      <c r="H119" s="106" t="str">
        <f>IF(C119="","",VLOOKUP(C119,listaBolsa!$D$2:$W$276,10,0))</f>
        <v>OPERADOR LOGÍSTICO</v>
      </c>
      <c r="I119" s="107" t="str">
        <f>IF(C119="","",VLOOKUP(C119,listaBolsa!$D$2:$W$276,14,0))</f>
        <v> </v>
      </c>
      <c r="J119" s="96" t="e">
        <f t="shared" si="29"/>
        <v>#VALUE!</v>
      </c>
      <c r="K119" s="96" t="e">
        <f t="shared" si="30"/>
        <v>#VALUE!</v>
      </c>
      <c r="L119" s="96" t="e">
        <f t="shared" si="46"/>
        <v>#VALUE!</v>
      </c>
      <c r="M119" s="96" t="e">
        <f t="shared" si="47"/>
        <v>#VALUE!</v>
      </c>
      <c r="N119" s="108" t="s">
        <v>569</v>
      </c>
      <c r="O119" s="109">
        <v>432995.79831932776</v>
      </c>
      <c r="P119" s="110">
        <f t="shared" si="45"/>
        <v>82269.201680672282</v>
      </c>
      <c r="Q119" s="110">
        <f t="shared" si="33"/>
        <v>515265.00000000006</v>
      </c>
      <c r="R119" s="110">
        <f t="shared" si="48"/>
        <v>4329957.9831932774</v>
      </c>
      <c r="S119" s="110">
        <f t="shared" si="49"/>
        <v>5152650.0000000009</v>
      </c>
      <c r="T119" s="97" t="str">
        <f>IF(C119="","",VLOOKUP(C119,listaBolsa!$D$2:$BB$276,36,0))</f>
        <v>FUNCAS</v>
      </c>
      <c r="U119" s="98">
        <f>IF(C119="","",VLOOKUP(C119,listaBolsa!$D$2:$BB$276,40,0))</f>
        <v>426597</v>
      </c>
      <c r="V119" s="99">
        <f t="shared" si="36"/>
        <v>81053.430000000008</v>
      </c>
      <c r="W119" s="99">
        <f t="shared" si="37"/>
        <v>507650.43</v>
      </c>
      <c r="X119" s="99">
        <f t="shared" si="50"/>
        <v>4265970</v>
      </c>
      <c r="Y119" s="99">
        <f t="shared" si="51"/>
        <v>5076504.3</v>
      </c>
      <c r="Z119" s="100">
        <f>IF(A119="","",AVERAGE(Q119,W119))</f>
        <v>511457.71500000003</v>
      </c>
      <c r="AA119" s="100">
        <f t="shared" si="52"/>
        <v>5114577.1500000004</v>
      </c>
      <c r="AB119" s="78">
        <f>IF(B119="","",STDEV(S119,Y119))</f>
        <v>53843.140828197284</v>
      </c>
      <c r="AC119" s="102">
        <f t="shared" si="24"/>
        <v>1.0527388530681813E-2</v>
      </c>
      <c r="AD119" s="5"/>
      <c r="AF119" s="7" t="s">
        <v>570</v>
      </c>
      <c r="AG119" s="7">
        <v>1</v>
      </c>
      <c r="AH119" s="7" t="s">
        <v>571</v>
      </c>
      <c r="BG119" s="7">
        <v>119</v>
      </c>
      <c r="DA119" s="7" t="str">
        <f>VLOOKUP(C119,listaBolsa!$D$2:$BA$248,1,0)</f>
        <v>Estación de café tipo 1</v>
      </c>
      <c r="DB119" s="7" t="str">
        <f>VLOOKUP(C119,listaBolsa!$D$2:$BA$248,2,0)</f>
        <v>Servicio de cafetería para 50 personas (tinto, aromática y agua): Operario + presentación mesa + vasos de cartón bebida caliente 4 oz. + mezclador + azúcar + crema para café. Duración del evento aprox. 6 horas. Transporte incluido</v>
      </c>
      <c r="DC119" s="7" t="str">
        <f>VLOOKUP(C119,listaBolsa!$D$2:$BA$248,10,0)</f>
        <v>OPERADOR LOGÍSTICO</v>
      </c>
      <c r="DD119" s="7" t="str">
        <f>VLOOKUP(C119,listaBolsa!$D$2:$BA$248,14,0)</f>
        <v> </v>
      </c>
      <c r="DE119" s="7" t="str">
        <f>VLOOKUP(C119,listaBolsa!$D$2:$BA$248,23,0)</f>
        <v>Estimación de precios con base en el proceso FDLSUBA-LP-013-2025 (140689) – Contrato 1000 – 2025, indexando el incremento de precios en el mercado con base en el Índice de Precios al Consumidor (IPC) para el mes de marzo de 2026, el cual fue de 5,56%.</v>
      </c>
      <c r="DF119" s="7">
        <f>VLOOKUP(C119,listaBolsa!$D$2:$BA$248,29,0)</f>
        <v>488125</v>
      </c>
      <c r="DG119" s="7" t="str">
        <f>VLOOKUP(C119,listaBolsa!$D$2:$BA$248,36,0)</f>
        <v>FUNCAS</v>
      </c>
      <c r="DH119" s="7">
        <f>VLOOKUP(C119,listaBolsa!$D$2:$BA$248,40,0)</f>
        <v>426597</v>
      </c>
      <c r="DI119" s="7">
        <f>VLOOKUP(C119,listaBolsa!$D$2:$BA$248,48,0)</f>
        <v>1.0500000000000001E-2</v>
      </c>
      <c r="DJ119" s="7" t="b">
        <f t="shared" si="53"/>
        <v>1</v>
      </c>
      <c r="DK119" s="7" t="b">
        <f t="shared" si="53"/>
        <v>1</v>
      </c>
      <c r="DL119" s="7" t="b">
        <f t="shared" si="26"/>
        <v>1</v>
      </c>
      <c r="DM119" s="7" t="b">
        <f t="shared" si="26"/>
        <v>1</v>
      </c>
      <c r="DN119" s="7" t="b">
        <f t="shared" si="27"/>
        <v>0</v>
      </c>
      <c r="DO119" s="7" t="b">
        <f t="shared" si="27"/>
        <v>0</v>
      </c>
      <c r="DP119" s="7" t="b">
        <f t="shared" si="28"/>
        <v>1</v>
      </c>
      <c r="DQ119" s="7" t="b">
        <f t="shared" si="28"/>
        <v>1</v>
      </c>
      <c r="DR119" s="7" t="b">
        <f t="shared" si="40"/>
        <v>0</v>
      </c>
    </row>
    <row r="120" spans="1:122" s="7" customFormat="1" ht="105" customHeight="1">
      <c r="A120" s="75">
        <f t="shared" ref="A120:A183" si="54">A119+1</f>
        <v>106</v>
      </c>
      <c r="B120" s="211" t="s">
        <v>572</v>
      </c>
      <c r="C120" s="351" t="s">
        <v>573</v>
      </c>
      <c r="D120" s="351" t="s">
        <v>574</v>
      </c>
      <c r="E120" s="193" t="s">
        <v>568</v>
      </c>
      <c r="F120" s="75">
        <v>1</v>
      </c>
      <c r="G120" s="75" t="s">
        <v>209</v>
      </c>
      <c r="H120" s="106" t="s">
        <v>380</v>
      </c>
      <c r="I120" s="107">
        <v>750000</v>
      </c>
      <c r="J120" s="96"/>
      <c r="K120" s="96">
        <f t="shared" si="30"/>
        <v>750000</v>
      </c>
      <c r="L120" s="96">
        <f t="shared" si="46"/>
        <v>750000</v>
      </c>
      <c r="M120" s="96">
        <f t="shared" si="47"/>
        <v>750000</v>
      </c>
      <c r="N120" s="108" t="s">
        <v>381</v>
      </c>
      <c r="O120" s="109">
        <v>820000</v>
      </c>
      <c r="P120" s="110"/>
      <c r="Q120" s="110">
        <f t="shared" si="33"/>
        <v>820000</v>
      </c>
      <c r="R120" s="110">
        <f t="shared" si="48"/>
        <v>820000</v>
      </c>
      <c r="S120" s="110">
        <f t="shared" si="49"/>
        <v>820000</v>
      </c>
      <c r="T120" s="97" t="s">
        <v>382</v>
      </c>
      <c r="U120" s="98">
        <v>800000</v>
      </c>
      <c r="V120" s="99"/>
      <c r="W120" s="99">
        <f t="shared" si="37"/>
        <v>800000</v>
      </c>
      <c r="X120" s="99">
        <f t="shared" si="50"/>
        <v>800000</v>
      </c>
      <c r="Y120" s="99">
        <f t="shared" si="51"/>
        <v>800000</v>
      </c>
      <c r="Z120" s="100">
        <f t="shared" si="42"/>
        <v>790000</v>
      </c>
      <c r="AA120" s="100">
        <f t="shared" si="52"/>
        <v>790000</v>
      </c>
      <c r="AB120" s="78">
        <f t="shared" si="44"/>
        <v>36055.512754639894</v>
      </c>
      <c r="AC120" s="102">
        <f t="shared" si="24"/>
        <v>4.5639889562835309E-2</v>
      </c>
      <c r="AD120" s="5"/>
      <c r="AF120" s="7" t="s">
        <v>570</v>
      </c>
      <c r="AG120" s="7">
        <v>2</v>
      </c>
      <c r="AH120" s="7" t="s">
        <v>575</v>
      </c>
      <c r="BG120" s="7">
        <v>120</v>
      </c>
      <c r="DA120" s="7" t="e">
        <f>VLOOKUP(C120,listaBolsa!$D$2:$BA$248,1,0)</f>
        <v>#N/A</v>
      </c>
      <c r="DB120" s="7" t="e">
        <f>VLOOKUP(C120,listaBolsa!$D$2:$BA$248,2,0)</f>
        <v>#N/A</v>
      </c>
      <c r="DC120" s="7" t="e">
        <f>VLOOKUP(C120,listaBolsa!$D$2:$BA$248,10,0)</f>
        <v>#N/A</v>
      </c>
      <c r="DD120" s="7" t="e">
        <f>VLOOKUP(C120,listaBolsa!$D$2:$BA$248,14,0)</f>
        <v>#N/A</v>
      </c>
      <c r="DE120" s="7" t="e">
        <f>VLOOKUP(C120,listaBolsa!$D$2:$BA$248,23,0)</f>
        <v>#N/A</v>
      </c>
      <c r="DF120" s="7" t="e">
        <f>VLOOKUP(C120,listaBolsa!$D$2:$BA$248,29,0)</f>
        <v>#N/A</v>
      </c>
      <c r="DG120" s="7" t="e">
        <f>VLOOKUP(C120,listaBolsa!$D$2:$BA$248,36,0)</f>
        <v>#N/A</v>
      </c>
      <c r="DH120" s="7" t="e">
        <f>VLOOKUP(C120,listaBolsa!$D$2:$BA$248,40,0)</f>
        <v>#N/A</v>
      </c>
      <c r="DI120" s="7" t="e">
        <f>VLOOKUP(C120,listaBolsa!$D$2:$BA$248,48,0)</f>
        <v>#N/A</v>
      </c>
      <c r="DJ120" s="7" t="e">
        <f t="shared" si="53"/>
        <v>#N/A</v>
      </c>
      <c r="DK120" s="7" t="e">
        <f t="shared" si="53"/>
        <v>#N/A</v>
      </c>
      <c r="DL120" s="7" t="e">
        <f t="shared" si="26"/>
        <v>#N/A</v>
      </c>
      <c r="DM120" s="7" t="e">
        <f t="shared" si="26"/>
        <v>#N/A</v>
      </c>
      <c r="DN120" s="7" t="e">
        <f t="shared" si="27"/>
        <v>#N/A</v>
      </c>
      <c r="DO120" s="7" t="e">
        <f t="shared" si="27"/>
        <v>#N/A</v>
      </c>
      <c r="DP120" s="7" t="e">
        <f t="shared" si="28"/>
        <v>#N/A</v>
      </c>
      <c r="DQ120" s="7" t="e">
        <f t="shared" si="28"/>
        <v>#N/A</v>
      </c>
      <c r="DR120" s="7" t="e">
        <f t="shared" si="40"/>
        <v>#N/A</v>
      </c>
    </row>
    <row r="121" spans="1:122" s="7" customFormat="1" ht="105" customHeight="1">
      <c r="A121" s="75">
        <f t="shared" si="54"/>
        <v>107</v>
      </c>
      <c r="B121" s="211" t="s">
        <v>572</v>
      </c>
      <c r="C121" s="351" t="s">
        <v>576</v>
      </c>
      <c r="D121" s="351" t="s">
        <v>577</v>
      </c>
      <c r="E121" s="193" t="s">
        <v>568</v>
      </c>
      <c r="F121" s="75">
        <v>1</v>
      </c>
      <c r="G121" s="75" t="s">
        <v>209</v>
      </c>
      <c r="H121" s="106" t="s">
        <v>380</v>
      </c>
      <c r="I121" s="107">
        <v>280000</v>
      </c>
      <c r="J121" s="96"/>
      <c r="K121" s="96">
        <f t="shared" si="30"/>
        <v>280000</v>
      </c>
      <c r="L121" s="96">
        <f t="shared" si="46"/>
        <v>280000</v>
      </c>
      <c r="M121" s="96">
        <f t="shared" si="47"/>
        <v>280000</v>
      </c>
      <c r="N121" s="108" t="s">
        <v>381</v>
      </c>
      <c r="O121" s="109">
        <v>290000</v>
      </c>
      <c r="P121" s="110"/>
      <c r="Q121" s="110">
        <f t="shared" si="33"/>
        <v>290000</v>
      </c>
      <c r="R121" s="110">
        <f t="shared" si="48"/>
        <v>290000</v>
      </c>
      <c r="S121" s="110">
        <f t="shared" si="49"/>
        <v>290000</v>
      </c>
      <c r="T121" s="97" t="s">
        <v>382</v>
      </c>
      <c r="U121" s="98">
        <v>250000</v>
      </c>
      <c r="V121" s="99"/>
      <c r="W121" s="99">
        <f t="shared" si="37"/>
        <v>250000</v>
      </c>
      <c r="X121" s="99">
        <f t="shared" si="50"/>
        <v>250000</v>
      </c>
      <c r="Y121" s="99">
        <f t="shared" si="51"/>
        <v>250000</v>
      </c>
      <c r="Z121" s="100">
        <f t="shared" si="42"/>
        <v>273333.33333333331</v>
      </c>
      <c r="AA121" s="100">
        <f t="shared" si="52"/>
        <v>273333.33333333331</v>
      </c>
      <c r="AB121" s="78">
        <f t="shared" si="44"/>
        <v>20816.659994661328</v>
      </c>
      <c r="AC121" s="102">
        <f t="shared" si="24"/>
        <v>7.6158512175590234E-2</v>
      </c>
      <c r="AD121" s="5"/>
      <c r="AF121" s="7" t="s">
        <v>570</v>
      </c>
      <c r="AG121" s="7">
        <v>3</v>
      </c>
      <c r="AH121" s="7" t="s">
        <v>578</v>
      </c>
      <c r="BG121" s="7">
        <v>121</v>
      </c>
      <c r="DA121" s="7" t="e">
        <f>VLOOKUP(C121,listaBolsa!$D$2:$BA$248,1,0)</f>
        <v>#N/A</v>
      </c>
      <c r="DB121" s="7" t="e">
        <f>VLOOKUP(C121,listaBolsa!$D$2:$BA$248,2,0)</f>
        <v>#N/A</v>
      </c>
      <c r="DC121" s="7" t="e">
        <f>VLOOKUP(C121,listaBolsa!$D$2:$BA$248,10,0)</f>
        <v>#N/A</v>
      </c>
      <c r="DD121" s="7" t="e">
        <f>VLOOKUP(C121,listaBolsa!$D$2:$BA$248,14,0)</f>
        <v>#N/A</v>
      </c>
      <c r="DE121" s="7" t="e">
        <f>VLOOKUP(C121,listaBolsa!$D$2:$BA$248,23,0)</f>
        <v>#N/A</v>
      </c>
      <c r="DF121" s="7" t="e">
        <f>VLOOKUP(C121,listaBolsa!$D$2:$BA$248,29,0)</f>
        <v>#N/A</v>
      </c>
      <c r="DG121" s="7" t="e">
        <f>VLOOKUP(C121,listaBolsa!$D$2:$BA$248,36,0)</f>
        <v>#N/A</v>
      </c>
      <c r="DH121" s="7" t="e">
        <f>VLOOKUP(C121,listaBolsa!$D$2:$BA$248,40,0)</f>
        <v>#N/A</v>
      </c>
      <c r="DI121" s="7" t="e">
        <f>VLOOKUP(C121,listaBolsa!$D$2:$BA$248,48,0)</f>
        <v>#N/A</v>
      </c>
      <c r="DJ121" s="7" t="e">
        <f t="shared" si="53"/>
        <v>#N/A</v>
      </c>
      <c r="DK121" s="7" t="e">
        <f t="shared" si="53"/>
        <v>#N/A</v>
      </c>
      <c r="DL121" s="7" t="e">
        <f t="shared" si="26"/>
        <v>#N/A</v>
      </c>
      <c r="DM121" s="7" t="e">
        <f t="shared" si="26"/>
        <v>#N/A</v>
      </c>
      <c r="DN121" s="7" t="e">
        <f t="shared" si="27"/>
        <v>#N/A</v>
      </c>
      <c r="DO121" s="7" t="e">
        <f t="shared" si="27"/>
        <v>#N/A</v>
      </c>
      <c r="DP121" s="7" t="e">
        <f t="shared" si="28"/>
        <v>#N/A</v>
      </c>
      <c r="DQ121" s="7" t="e">
        <f t="shared" si="28"/>
        <v>#N/A</v>
      </c>
      <c r="DR121" s="7" t="e">
        <f t="shared" si="40"/>
        <v>#N/A</v>
      </c>
    </row>
    <row r="122" spans="1:122" s="7" customFormat="1" ht="84" customHeight="1">
      <c r="A122" s="75">
        <f t="shared" si="54"/>
        <v>108</v>
      </c>
      <c r="B122" s="538" t="s">
        <v>579</v>
      </c>
      <c r="C122" s="351" t="s">
        <v>580</v>
      </c>
      <c r="D122" s="351" t="s">
        <v>581</v>
      </c>
      <c r="E122" s="193" t="s">
        <v>568</v>
      </c>
      <c r="F122" s="75">
        <v>1</v>
      </c>
      <c r="G122" s="75" t="s">
        <v>192</v>
      </c>
      <c r="H122" s="106" t="s">
        <v>380</v>
      </c>
      <c r="I122" s="107">
        <v>3900</v>
      </c>
      <c r="J122" s="96"/>
      <c r="K122" s="96">
        <f t="shared" si="30"/>
        <v>3900</v>
      </c>
      <c r="L122" s="96">
        <f t="shared" si="46"/>
        <v>3900</v>
      </c>
      <c r="M122" s="96">
        <f t="shared" si="47"/>
        <v>3900</v>
      </c>
      <c r="N122" s="108" t="s">
        <v>381</v>
      </c>
      <c r="O122" s="109">
        <v>4200</v>
      </c>
      <c r="P122" s="110"/>
      <c r="Q122" s="110">
        <f t="shared" si="33"/>
        <v>4200</v>
      </c>
      <c r="R122" s="110">
        <f t="shared" si="48"/>
        <v>4200</v>
      </c>
      <c r="S122" s="110">
        <f t="shared" si="49"/>
        <v>4200</v>
      </c>
      <c r="T122" s="97" t="s">
        <v>382</v>
      </c>
      <c r="U122" s="98">
        <v>4000</v>
      </c>
      <c r="V122" s="99"/>
      <c r="W122" s="99">
        <f t="shared" si="37"/>
        <v>4000</v>
      </c>
      <c r="X122" s="99">
        <f t="shared" si="50"/>
        <v>4000</v>
      </c>
      <c r="Y122" s="99">
        <f t="shared" si="51"/>
        <v>4000</v>
      </c>
      <c r="Z122" s="100">
        <f t="shared" si="42"/>
        <v>4033.3333333333335</v>
      </c>
      <c r="AA122" s="100">
        <f t="shared" si="52"/>
        <v>4033.3333333333335</v>
      </c>
      <c r="AB122" s="78">
        <f t="shared" si="44"/>
        <v>152.75252316519467</v>
      </c>
      <c r="AC122" s="102">
        <f t="shared" si="24"/>
        <v>3.7872526404593716E-2</v>
      </c>
      <c r="AD122" s="5"/>
      <c r="AF122" s="7" t="s">
        <v>570</v>
      </c>
      <c r="AG122" s="7">
        <v>4</v>
      </c>
      <c r="AH122" s="7" t="s">
        <v>582</v>
      </c>
      <c r="BG122" s="7">
        <v>122</v>
      </c>
      <c r="DA122" s="7" t="e">
        <f>VLOOKUP(C122,listaBolsa!$D$2:$BA$248,1,0)</f>
        <v>#N/A</v>
      </c>
      <c r="DB122" s="7" t="e">
        <f>VLOOKUP(C122,listaBolsa!$D$2:$BA$248,2,0)</f>
        <v>#N/A</v>
      </c>
      <c r="DC122" s="7" t="e">
        <f>VLOOKUP(C122,listaBolsa!$D$2:$BA$248,10,0)</f>
        <v>#N/A</v>
      </c>
      <c r="DD122" s="7" t="e">
        <f>VLOOKUP(C122,listaBolsa!$D$2:$BA$248,14,0)</f>
        <v>#N/A</v>
      </c>
      <c r="DE122" s="7" t="e">
        <f>VLOOKUP(C122,listaBolsa!$D$2:$BA$248,23,0)</f>
        <v>#N/A</v>
      </c>
      <c r="DF122" s="7" t="e">
        <f>VLOOKUP(C122,listaBolsa!$D$2:$BA$248,29,0)</f>
        <v>#N/A</v>
      </c>
      <c r="DG122" s="7" t="e">
        <f>VLOOKUP(C122,listaBolsa!$D$2:$BA$248,36,0)</f>
        <v>#N/A</v>
      </c>
      <c r="DH122" s="7" t="e">
        <f>VLOOKUP(C122,listaBolsa!$D$2:$BA$248,40,0)</f>
        <v>#N/A</v>
      </c>
      <c r="DI122" s="7" t="e">
        <f>VLOOKUP(C122,listaBolsa!$D$2:$BA$248,48,0)</f>
        <v>#N/A</v>
      </c>
      <c r="DJ122" s="7" t="e">
        <f t="shared" si="53"/>
        <v>#N/A</v>
      </c>
      <c r="DK122" s="7" t="e">
        <f t="shared" si="53"/>
        <v>#N/A</v>
      </c>
      <c r="DL122" s="7" t="e">
        <f t="shared" si="26"/>
        <v>#N/A</v>
      </c>
      <c r="DM122" s="7" t="e">
        <f t="shared" si="26"/>
        <v>#N/A</v>
      </c>
      <c r="DN122" s="7" t="e">
        <f t="shared" si="27"/>
        <v>#N/A</v>
      </c>
      <c r="DO122" s="7" t="e">
        <f t="shared" si="27"/>
        <v>#N/A</v>
      </c>
      <c r="DP122" s="7" t="e">
        <f t="shared" si="28"/>
        <v>#N/A</v>
      </c>
      <c r="DQ122" s="7" t="e">
        <f t="shared" si="28"/>
        <v>#N/A</v>
      </c>
      <c r="DR122" s="7" t="e">
        <f t="shared" si="40"/>
        <v>#N/A</v>
      </c>
    </row>
    <row r="123" spans="1:122" s="7" customFormat="1" ht="84" customHeight="1">
      <c r="A123" s="75">
        <f t="shared" si="54"/>
        <v>109</v>
      </c>
      <c r="B123" s="538" t="s">
        <v>579</v>
      </c>
      <c r="C123" s="351" t="s">
        <v>583</v>
      </c>
      <c r="D123" s="351" t="s">
        <v>584</v>
      </c>
      <c r="E123" s="193" t="s">
        <v>568</v>
      </c>
      <c r="F123" s="75">
        <v>1</v>
      </c>
      <c r="G123" s="75" t="s">
        <v>192</v>
      </c>
      <c r="H123" s="106" t="s">
        <v>380</v>
      </c>
      <c r="I123" s="107">
        <v>4100</v>
      </c>
      <c r="J123" s="96"/>
      <c r="K123" s="96">
        <f t="shared" si="30"/>
        <v>4100</v>
      </c>
      <c r="L123" s="96">
        <f t="shared" si="46"/>
        <v>4100</v>
      </c>
      <c r="M123" s="96">
        <f t="shared" si="47"/>
        <v>4100</v>
      </c>
      <c r="N123" s="108" t="s">
        <v>381</v>
      </c>
      <c r="O123" s="109">
        <v>4000</v>
      </c>
      <c r="P123" s="110"/>
      <c r="Q123" s="110">
        <f t="shared" si="33"/>
        <v>4000</v>
      </c>
      <c r="R123" s="110">
        <f t="shared" si="48"/>
        <v>4000</v>
      </c>
      <c r="S123" s="110">
        <f t="shared" si="49"/>
        <v>4000</v>
      </c>
      <c r="T123" s="97" t="s">
        <v>382</v>
      </c>
      <c r="U123" s="98">
        <v>3500</v>
      </c>
      <c r="V123" s="99"/>
      <c r="W123" s="99">
        <f t="shared" si="37"/>
        <v>3500</v>
      </c>
      <c r="X123" s="99">
        <f t="shared" si="50"/>
        <v>3500</v>
      </c>
      <c r="Y123" s="99">
        <f t="shared" si="51"/>
        <v>3500</v>
      </c>
      <c r="Z123" s="100">
        <f t="shared" si="42"/>
        <v>3866.6666666666665</v>
      </c>
      <c r="AA123" s="100">
        <f t="shared" si="52"/>
        <v>3866.6666666666665</v>
      </c>
      <c r="AB123" s="78">
        <f t="shared" si="44"/>
        <v>321.45502536643181</v>
      </c>
      <c r="AC123" s="102">
        <f t="shared" si="24"/>
        <v>8.3134920353387542E-2</v>
      </c>
      <c r="AD123" s="5"/>
      <c r="AF123" s="7" t="s">
        <v>570</v>
      </c>
      <c r="AG123" s="7">
        <v>5</v>
      </c>
      <c r="AH123" s="7" t="s">
        <v>585</v>
      </c>
      <c r="BG123" s="7">
        <v>123</v>
      </c>
      <c r="DA123" s="7" t="e">
        <f>VLOOKUP(C123,listaBolsa!$D$2:$BA$248,1,0)</f>
        <v>#N/A</v>
      </c>
      <c r="DB123" s="7" t="e">
        <f>VLOOKUP(C123,listaBolsa!$D$2:$BA$248,2,0)</f>
        <v>#N/A</v>
      </c>
      <c r="DC123" s="7" t="e">
        <f>VLOOKUP(C123,listaBolsa!$D$2:$BA$248,10,0)</f>
        <v>#N/A</v>
      </c>
      <c r="DD123" s="7" t="e">
        <f>VLOOKUP(C123,listaBolsa!$D$2:$BA$248,14,0)</f>
        <v>#N/A</v>
      </c>
      <c r="DE123" s="7" t="e">
        <f>VLOOKUP(C123,listaBolsa!$D$2:$BA$248,23,0)</f>
        <v>#N/A</v>
      </c>
      <c r="DF123" s="7" t="e">
        <f>VLOOKUP(C123,listaBolsa!$D$2:$BA$248,29,0)</f>
        <v>#N/A</v>
      </c>
      <c r="DG123" s="7" t="e">
        <f>VLOOKUP(C123,listaBolsa!$D$2:$BA$248,36,0)</f>
        <v>#N/A</v>
      </c>
      <c r="DH123" s="7" t="e">
        <f>VLOOKUP(C123,listaBolsa!$D$2:$BA$248,40,0)</f>
        <v>#N/A</v>
      </c>
      <c r="DI123" s="7" t="e">
        <f>VLOOKUP(C123,listaBolsa!$D$2:$BA$248,48,0)</f>
        <v>#N/A</v>
      </c>
      <c r="DJ123" s="7" t="e">
        <f t="shared" si="53"/>
        <v>#N/A</v>
      </c>
      <c r="DK123" s="7" t="e">
        <f t="shared" si="53"/>
        <v>#N/A</v>
      </c>
      <c r="DL123" s="7" t="e">
        <f t="shared" si="26"/>
        <v>#N/A</v>
      </c>
      <c r="DM123" s="7" t="e">
        <f t="shared" si="26"/>
        <v>#N/A</v>
      </c>
      <c r="DN123" s="7" t="e">
        <f t="shared" si="27"/>
        <v>#N/A</v>
      </c>
      <c r="DO123" s="7" t="e">
        <f t="shared" si="27"/>
        <v>#N/A</v>
      </c>
      <c r="DP123" s="7" t="e">
        <f t="shared" si="28"/>
        <v>#N/A</v>
      </c>
      <c r="DQ123" s="7" t="e">
        <f t="shared" si="28"/>
        <v>#N/A</v>
      </c>
      <c r="DR123" s="7" t="e">
        <f t="shared" si="40"/>
        <v>#N/A</v>
      </c>
    </row>
    <row r="124" spans="1:122" s="7" customFormat="1" ht="84" customHeight="1">
      <c r="A124" s="75">
        <f t="shared" si="54"/>
        <v>110</v>
      </c>
      <c r="B124" s="538" t="s">
        <v>579</v>
      </c>
      <c r="C124" s="351" t="s">
        <v>586</v>
      </c>
      <c r="D124" s="351" t="s">
        <v>587</v>
      </c>
      <c r="E124" s="193" t="s">
        <v>568</v>
      </c>
      <c r="F124" s="75">
        <v>1</v>
      </c>
      <c r="G124" s="75" t="s">
        <v>192</v>
      </c>
      <c r="H124" s="106" t="s">
        <v>380</v>
      </c>
      <c r="I124" s="107">
        <v>3900</v>
      </c>
      <c r="J124" s="96"/>
      <c r="K124" s="96">
        <f t="shared" si="30"/>
        <v>3900</v>
      </c>
      <c r="L124" s="96">
        <f t="shared" si="46"/>
        <v>3900</v>
      </c>
      <c r="M124" s="96">
        <f t="shared" si="47"/>
        <v>3900</v>
      </c>
      <c r="N124" s="108" t="s">
        <v>381</v>
      </c>
      <c r="O124" s="109">
        <v>3800</v>
      </c>
      <c r="P124" s="110"/>
      <c r="Q124" s="110">
        <f t="shared" si="33"/>
        <v>3800</v>
      </c>
      <c r="R124" s="110">
        <f t="shared" si="48"/>
        <v>3800</v>
      </c>
      <c r="S124" s="110">
        <f t="shared" si="49"/>
        <v>3800</v>
      </c>
      <c r="T124" s="97" t="s">
        <v>382</v>
      </c>
      <c r="U124" s="98">
        <v>3500</v>
      </c>
      <c r="V124" s="99"/>
      <c r="W124" s="99">
        <f t="shared" si="37"/>
        <v>3500</v>
      </c>
      <c r="X124" s="99">
        <f t="shared" si="50"/>
        <v>3500</v>
      </c>
      <c r="Y124" s="99">
        <f t="shared" si="51"/>
        <v>3500</v>
      </c>
      <c r="Z124" s="100">
        <f t="shared" si="42"/>
        <v>3733.3333333333335</v>
      </c>
      <c r="AA124" s="100">
        <f t="shared" si="52"/>
        <v>3733.3333333333335</v>
      </c>
      <c r="AB124" s="78">
        <f t="shared" si="44"/>
        <v>208.16659994661327</v>
      </c>
      <c r="AC124" s="102">
        <f t="shared" si="24"/>
        <v>5.5758910699985696E-2</v>
      </c>
      <c r="AD124" s="5"/>
      <c r="AF124" s="7" t="s">
        <v>570</v>
      </c>
      <c r="AG124" s="7">
        <v>6</v>
      </c>
      <c r="AH124" s="7" t="s">
        <v>588</v>
      </c>
      <c r="BG124" s="7">
        <v>124</v>
      </c>
      <c r="DA124" s="7" t="e">
        <f>VLOOKUP(C124,listaBolsa!$D$2:$BA$248,1,0)</f>
        <v>#N/A</v>
      </c>
      <c r="DB124" s="7" t="e">
        <f>VLOOKUP(C124,listaBolsa!$D$2:$BA$248,2,0)</f>
        <v>#N/A</v>
      </c>
      <c r="DC124" s="7" t="e">
        <f>VLOOKUP(C124,listaBolsa!$D$2:$BA$248,10,0)</f>
        <v>#N/A</v>
      </c>
      <c r="DD124" s="7" t="e">
        <f>VLOOKUP(C124,listaBolsa!$D$2:$BA$248,14,0)</f>
        <v>#N/A</v>
      </c>
      <c r="DE124" s="7" t="e">
        <f>VLOOKUP(C124,listaBolsa!$D$2:$BA$248,23,0)</f>
        <v>#N/A</v>
      </c>
      <c r="DF124" s="7" t="e">
        <f>VLOOKUP(C124,listaBolsa!$D$2:$BA$248,29,0)</f>
        <v>#N/A</v>
      </c>
      <c r="DG124" s="7" t="e">
        <f>VLOOKUP(C124,listaBolsa!$D$2:$BA$248,36,0)</f>
        <v>#N/A</v>
      </c>
      <c r="DH124" s="7" t="e">
        <f>VLOOKUP(C124,listaBolsa!$D$2:$BA$248,40,0)</f>
        <v>#N/A</v>
      </c>
      <c r="DI124" s="7" t="e">
        <f>VLOOKUP(C124,listaBolsa!$D$2:$BA$248,48,0)</f>
        <v>#N/A</v>
      </c>
      <c r="DJ124" s="7" t="e">
        <f t="shared" si="53"/>
        <v>#N/A</v>
      </c>
      <c r="DK124" s="7" t="e">
        <f t="shared" si="53"/>
        <v>#N/A</v>
      </c>
      <c r="DL124" s="7" t="e">
        <f t="shared" si="26"/>
        <v>#N/A</v>
      </c>
      <c r="DM124" s="7" t="e">
        <f t="shared" si="26"/>
        <v>#N/A</v>
      </c>
      <c r="DN124" s="7" t="e">
        <f t="shared" si="27"/>
        <v>#N/A</v>
      </c>
      <c r="DO124" s="7" t="e">
        <f t="shared" si="27"/>
        <v>#N/A</v>
      </c>
      <c r="DP124" s="7" t="e">
        <f t="shared" si="28"/>
        <v>#N/A</v>
      </c>
      <c r="DQ124" s="7" t="e">
        <f t="shared" si="28"/>
        <v>#N/A</v>
      </c>
      <c r="DR124" s="7" t="e">
        <f t="shared" si="40"/>
        <v>#N/A</v>
      </c>
    </row>
    <row r="125" spans="1:122" s="7" customFormat="1" ht="84" customHeight="1">
      <c r="A125" s="75">
        <f t="shared" si="54"/>
        <v>111</v>
      </c>
      <c r="B125" s="538" t="s">
        <v>579</v>
      </c>
      <c r="C125" s="351" t="s">
        <v>589</v>
      </c>
      <c r="D125" s="351" t="s">
        <v>581</v>
      </c>
      <c r="E125" s="193" t="s">
        <v>568</v>
      </c>
      <c r="F125" s="75">
        <v>1</v>
      </c>
      <c r="G125" s="75" t="s">
        <v>192</v>
      </c>
      <c r="H125" s="106" t="s">
        <v>380</v>
      </c>
      <c r="I125" s="107">
        <v>16000</v>
      </c>
      <c r="J125" s="96"/>
      <c r="K125" s="96">
        <f t="shared" si="30"/>
        <v>16000</v>
      </c>
      <c r="L125" s="96">
        <f t="shared" si="46"/>
        <v>16000</v>
      </c>
      <c r="M125" s="96">
        <f t="shared" si="47"/>
        <v>16000</v>
      </c>
      <c r="N125" s="108" t="s">
        <v>381</v>
      </c>
      <c r="O125" s="109">
        <v>15000</v>
      </c>
      <c r="P125" s="110"/>
      <c r="Q125" s="110">
        <f t="shared" si="33"/>
        <v>15000</v>
      </c>
      <c r="R125" s="110">
        <f t="shared" si="48"/>
        <v>15000</v>
      </c>
      <c r="S125" s="110">
        <f t="shared" si="49"/>
        <v>15000</v>
      </c>
      <c r="T125" s="97" t="s">
        <v>263</v>
      </c>
      <c r="U125" s="98">
        <v>10504.20168067227</v>
      </c>
      <c r="V125" s="99">
        <f>U125*19%</f>
        <v>1995.7983193277312</v>
      </c>
      <c r="W125" s="99">
        <f t="shared" si="37"/>
        <v>12500</v>
      </c>
      <c r="X125" s="99">
        <f t="shared" si="50"/>
        <v>10504.20168067227</v>
      </c>
      <c r="Y125" s="99">
        <f t="shared" si="51"/>
        <v>12500</v>
      </c>
      <c r="Z125" s="100">
        <f t="shared" si="42"/>
        <v>14500</v>
      </c>
      <c r="AA125" s="100">
        <f t="shared" si="52"/>
        <v>14500</v>
      </c>
      <c r="AB125" s="78">
        <f t="shared" si="44"/>
        <v>1802.7756377319947</v>
      </c>
      <c r="AC125" s="102">
        <f t="shared" si="24"/>
        <v>0.12432935432634447</v>
      </c>
      <c r="AD125" s="5"/>
      <c r="AF125" s="7" t="s">
        <v>570</v>
      </c>
      <c r="AG125" s="7">
        <v>7</v>
      </c>
      <c r="AH125" s="7" t="s">
        <v>590</v>
      </c>
      <c r="BG125" s="7">
        <v>125</v>
      </c>
      <c r="DA125" s="7" t="e">
        <f>VLOOKUP(C125,listaBolsa!$D$2:$BA$248,1,0)</f>
        <v>#N/A</v>
      </c>
      <c r="DB125" s="7" t="e">
        <f>VLOOKUP(C125,listaBolsa!$D$2:$BA$248,2,0)</f>
        <v>#N/A</v>
      </c>
      <c r="DC125" s="7" t="e">
        <f>VLOOKUP(C125,listaBolsa!$D$2:$BA$248,10,0)</f>
        <v>#N/A</v>
      </c>
      <c r="DD125" s="7" t="e">
        <f>VLOOKUP(C125,listaBolsa!$D$2:$BA$248,14,0)</f>
        <v>#N/A</v>
      </c>
      <c r="DE125" s="7" t="e">
        <f>VLOOKUP(C125,listaBolsa!$D$2:$BA$248,23,0)</f>
        <v>#N/A</v>
      </c>
      <c r="DF125" s="7" t="e">
        <f>VLOOKUP(C125,listaBolsa!$D$2:$BA$248,29,0)</f>
        <v>#N/A</v>
      </c>
      <c r="DG125" s="7" t="e">
        <f>VLOOKUP(C125,listaBolsa!$D$2:$BA$248,36,0)</f>
        <v>#N/A</v>
      </c>
      <c r="DH125" s="7" t="e">
        <f>VLOOKUP(C125,listaBolsa!$D$2:$BA$248,40,0)</f>
        <v>#N/A</v>
      </c>
      <c r="DI125" s="7" t="e">
        <f>VLOOKUP(C125,listaBolsa!$D$2:$BA$248,48,0)</f>
        <v>#N/A</v>
      </c>
      <c r="DJ125" s="7" t="e">
        <f t="shared" si="53"/>
        <v>#N/A</v>
      </c>
      <c r="DK125" s="7" t="e">
        <f t="shared" si="53"/>
        <v>#N/A</v>
      </c>
      <c r="DL125" s="7" t="e">
        <f t="shared" si="26"/>
        <v>#N/A</v>
      </c>
      <c r="DM125" s="7" t="e">
        <f t="shared" si="26"/>
        <v>#N/A</v>
      </c>
      <c r="DN125" s="7" t="e">
        <f t="shared" si="27"/>
        <v>#N/A</v>
      </c>
      <c r="DO125" s="7" t="e">
        <f t="shared" si="27"/>
        <v>#N/A</v>
      </c>
      <c r="DP125" s="7" t="e">
        <f t="shared" si="28"/>
        <v>#N/A</v>
      </c>
      <c r="DQ125" s="7" t="e">
        <f t="shared" si="28"/>
        <v>#N/A</v>
      </c>
      <c r="DR125" s="7" t="e">
        <f t="shared" si="40"/>
        <v>#N/A</v>
      </c>
    </row>
    <row r="126" spans="1:122" s="7" customFormat="1" ht="84" customHeight="1">
      <c r="A126" s="75">
        <f t="shared" si="54"/>
        <v>112</v>
      </c>
      <c r="B126" s="538" t="s">
        <v>579</v>
      </c>
      <c r="C126" s="351" t="s">
        <v>591</v>
      </c>
      <c r="D126" s="351" t="s">
        <v>592</v>
      </c>
      <c r="E126" s="193" t="s">
        <v>568</v>
      </c>
      <c r="F126" s="75">
        <v>1</v>
      </c>
      <c r="G126" s="75" t="s">
        <v>192</v>
      </c>
      <c r="H126" s="106" t="s">
        <v>380</v>
      </c>
      <c r="I126" s="107">
        <v>3700</v>
      </c>
      <c r="J126" s="96"/>
      <c r="K126" s="96">
        <f t="shared" si="30"/>
        <v>3700</v>
      </c>
      <c r="L126" s="96">
        <f t="shared" si="46"/>
        <v>3700</v>
      </c>
      <c r="M126" s="96">
        <f t="shared" si="47"/>
        <v>3700</v>
      </c>
      <c r="N126" s="108" t="s">
        <v>381</v>
      </c>
      <c r="O126" s="109">
        <v>3800</v>
      </c>
      <c r="P126" s="110"/>
      <c r="Q126" s="110">
        <f t="shared" si="33"/>
        <v>3800</v>
      </c>
      <c r="R126" s="110">
        <f t="shared" si="48"/>
        <v>3800</v>
      </c>
      <c r="S126" s="110">
        <f t="shared" si="49"/>
        <v>3800</v>
      </c>
      <c r="T126" s="97" t="s">
        <v>382</v>
      </c>
      <c r="U126" s="98">
        <v>3500</v>
      </c>
      <c r="V126" s="99"/>
      <c r="W126" s="99">
        <f t="shared" si="37"/>
        <v>3500</v>
      </c>
      <c r="X126" s="99">
        <f t="shared" si="50"/>
        <v>3500</v>
      </c>
      <c r="Y126" s="99">
        <f t="shared" si="51"/>
        <v>3500</v>
      </c>
      <c r="Z126" s="100">
        <f t="shared" si="42"/>
        <v>3666.6666666666665</v>
      </c>
      <c r="AA126" s="100">
        <f t="shared" si="52"/>
        <v>3666.6666666666665</v>
      </c>
      <c r="AB126" s="78">
        <f t="shared" si="44"/>
        <v>152.75252316519467</v>
      </c>
      <c r="AC126" s="102">
        <f t="shared" si="24"/>
        <v>4.1659779045053094E-2</v>
      </c>
      <c r="AD126" s="5"/>
      <c r="AF126" s="7" t="s">
        <v>570</v>
      </c>
      <c r="AG126" s="7">
        <v>8</v>
      </c>
      <c r="AH126" s="7" t="s">
        <v>593</v>
      </c>
      <c r="BG126" s="7">
        <v>126</v>
      </c>
      <c r="DA126" s="7" t="e">
        <f>VLOOKUP(C126,listaBolsa!$D$2:$BA$248,1,0)</f>
        <v>#N/A</v>
      </c>
      <c r="DB126" s="7" t="e">
        <f>VLOOKUP(C126,listaBolsa!$D$2:$BA$248,2,0)</f>
        <v>#N/A</v>
      </c>
      <c r="DC126" s="7" t="e">
        <f>VLOOKUP(C126,listaBolsa!$D$2:$BA$248,10,0)</f>
        <v>#N/A</v>
      </c>
      <c r="DD126" s="7" t="e">
        <f>VLOOKUP(C126,listaBolsa!$D$2:$BA$248,14,0)</f>
        <v>#N/A</v>
      </c>
      <c r="DE126" s="7" t="e">
        <f>VLOOKUP(C126,listaBolsa!$D$2:$BA$248,23,0)</f>
        <v>#N/A</v>
      </c>
      <c r="DF126" s="7" t="e">
        <f>VLOOKUP(C126,listaBolsa!$D$2:$BA$248,29,0)</f>
        <v>#N/A</v>
      </c>
      <c r="DG126" s="7" t="e">
        <f>VLOOKUP(C126,listaBolsa!$D$2:$BA$248,36,0)</f>
        <v>#N/A</v>
      </c>
      <c r="DH126" s="7" t="e">
        <f>VLOOKUP(C126,listaBolsa!$D$2:$BA$248,40,0)</f>
        <v>#N/A</v>
      </c>
      <c r="DI126" s="7" t="e">
        <f>VLOOKUP(C126,listaBolsa!$D$2:$BA$248,48,0)</f>
        <v>#N/A</v>
      </c>
      <c r="DJ126" s="7" t="e">
        <f t="shared" ref="DJ126:DK157" si="55">DA126=C126</f>
        <v>#N/A</v>
      </c>
      <c r="DK126" s="7" t="e">
        <f t="shared" si="55"/>
        <v>#N/A</v>
      </c>
      <c r="DL126" s="7" t="e">
        <f t="shared" si="26"/>
        <v>#N/A</v>
      </c>
      <c r="DM126" s="7" t="e">
        <f t="shared" si="26"/>
        <v>#N/A</v>
      </c>
      <c r="DN126" s="7" t="e">
        <f t="shared" si="27"/>
        <v>#N/A</v>
      </c>
      <c r="DO126" s="7" t="e">
        <f t="shared" si="27"/>
        <v>#N/A</v>
      </c>
      <c r="DP126" s="7" t="e">
        <f t="shared" si="28"/>
        <v>#N/A</v>
      </c>
      <c r="DQ126" s="7" t="e">
        <f t="shared" si="28"/>
        <v>#N/A</v>
      </c>
      <c r="DR126" s="7" t="e">
        <f t="shared" si="40"/>
        <v>#N/A</v>
      </c>
    </row>
    <row r="127" spans="1:122" s="7" customFormat="1" ht="84" customHeight="1">
      <c r="A127" s="75">
        <f t="shared" si="54"/>
        <v>113</v>
      </c>
      <c r="B127" s="538" t="s">
        <v>579</v>
      </c>
      <c r="C127" s="351" t="s">
        <v>594</v>
      </c>
      <c r="D127" s="351" t="s">
        <v>595</v>
      </c>
      <c r="E127" s="193" t="s">
        <v>568</v>
      </c>
      <c r="F127" s="75">
        <v>1</v>
      </c>
      <c r="G127" s="75" t="s">
        <v>192</v>
      </c>
      <c r="H127" s="106" t="s">
        <v>380</v>
      </c>
      <c r="I127" s="107">
        <v>4100</v>
      </c>
      <c r="J127" s="96"/>
      <c r="K127" s="96">
        <f t="shared" si="30"/>
        <v>4100</v>
      </c>
      <c r="L127" s="96">
        <f t="shared" si="46"/>
        <v>4100</v>
      </c>
      <c r="M127" s="96">
        <f t="shared" si="47"/>
        <v>4100</v>
      </c>
      <c r="N127" s="108" t="s">
        <v>381</v>
      </c>
      <c r="O127" s="109">
        <v>4200</v>
      </c>
      <c r="P127" s="110"/>
      <c r="Q127" s="110">
        <f t="shared" si="33"/>
        <v>4200</v>
      </c>
      <c r="R127" s="110">
        <f t="shared" si="48"/>
        <v>4200</v>
      </c>
      <c r="S127" s="110">
        <f t="shared" si="49"/>
        <v>4200</v>
      </c>
      <c r="T127" s="97" t="s">
        <v>382</v>
      </c>
      <c r="U127" s="98">
        <v>4000</v>
      </c>
      <c r="V127" s="99"/>
      <c r="W127" s="99">
        <f t="shared" si="37"/>
        <v>4000</v>
      </c>
      <c r="X127" s="99">
        <f t="shared" si="50"/>
        <v>4000</v>
      </c>
      <c r="Y127" s="99">
        <f t="shared" si="51"/>
        <v>4000</v>
      </c>
      <c r="Z127" s="100">
        <f t="shared" si="42"/>
        <v>4100</v>
      </c>
      <c r="AA127" s="100">
        <f t="shared" si="52"/>
        <v>4100</v>
      </c>
      <c r="AB127" s="78">
        <f t="shared" si="44"/>
        <v>100</v>
      </c>
      <c r="AC127" s="102">
        <f t="shared" si="24"/>
        <v>2.4390243902439025E-2</v>
      </c>
      <c r="AD127" s="5"/>
      <c r="AF127" s="7" t="s">
        <v>570</v>
      </c>
      <c r="AG127" s="7">
        <v>9</v>
      </c>
      <c r="AH127" s="7" t="s">
        <v>596</v>
      </c>
      <c r="BG127" s="7">
        <v>127</v>
      </c>
      <c r="DA127" s="7" t="e">
        <f>VLOOKUP(C127,listaBolsa!$D$2:$BA$248,1,0)</f>
        <v>#N/A</v>
      </c>
      <c r="DB127" s="7" t="e">
        <f>VLOOKUP(C127,listaBolsa!$D$2:$BA$248,2,0)</f>
        <v>#N/A</v>
      </c>
      <c r="DC127" s="7" t="e">
        <f>VLOOKUP(C127,listaBolsa!$D$2:$BA$248,10,0)</f>
        <v>#N/A</v>
      </c>
      <c r="DD127" s="7" t="e">
        <f>VLOOKUP(C127,listaBolsa!$D$2:$BA$248,14,0)</f>
        <v>#N/A</v>
      </c>
      <c r="DE127" s="7" t="e">
        <f>VLOOKUP(C127,listaBolsa!$D$2:$BA$248,23,0)</f>
        <v>#N/A</v>
      </c>
      <c r="DF127" s="7" t="e">
        <f>VLOOKUP(C127,listaBolsa!$D$2:$BA$248,29,0)</f>
        <v>#N/A</v>
      </c>
      <c r="DG127" s="7" t="e">
        <f>VLOOKUP(C127,listaBolsa!$D$2:$BA$248,36,0)</f>
        <v>#N/A</v>
      </c>
      <c r="DH127" s="7" t="e">
        <f>VLOOKUP(C127,listaBolsa!$D$2:$BA$248,40,0)</f>
        <v>#N/A</v>
      </c>
      <c r="DI127" s="7" t="e">
        <f>VLOOKUP(C127,listaBolsa!$D$2:$BA$248,48,0)</f>
        <v>#N/A</v>
      </c>
      <c r="DJ127" s="7" t="e">
        <f t="shared" si="55"/>
        <v>#N/A</v>
      </c>
      <c r="DK127" s="7" t="e">
        <f t="shared" si="55"/>
        <v>#N/A</v>
      </c>
      <c r="DL127" s="7" t="e">
        <f t="shared" si="26"/>
        <v>#N/A</v>
      </c>
      <c r="DM127" s="7" t="e">
        <f t="shared" si="26"/>
        <v>#N/A</v>
      </c>
      <c r="DN127" s="7" t="e">
        <f t="shared" si="27"/>
        <v>#N/A</v>
      </c>
      <c r="DO127" s="7" t="e">
        <f t="shared" si="27"/>
        <v>#N/A</v>
      </c>
      <c r="DP127" s="7" t="e">
        <f t="shared" si="28"/>
        <v>#N/A</v>
      </c>
      <c r="DQ127" s="7" t="e">
        <f t="shared" si="28"/>
        <v>#N/A</v>
      </c>
      <c r="DR127" s="7" t="e">
        <f t="shared" si="40"/>
        <v>#N/A</v>
      </c>
    </row>
    <row r="128" spans="1:122" s="7" customFormat="1" ht="84" customHeight="1">
      <c r="A128" s="75">
        <f t="shared" si="54"/>
        <v>114</v>
      </c>
      <c r="B128" s="538" t="s">
        <v>579</v>
      </c>
      <c r="C128" s="351" t="s">
        <v>597</v>
      </c>
      <c r="D128" s="351" t="s">
        <v>598</v>
      </c>
      <c r="E128" s="193" t="s">
        <v>568</v>
      </c>
      <c r="F128" s="75">
        <v>1</v>
      </c>
      <c r="G128" s="75" t="s">
        <v>192</v>
      </c>
      <c r="H128" s="106" t="s">
        <v>380</v>
      </c>
      <c r="I128" s="107">
        <v>15500</v>
      </c>
      <c r="J128" s="96"/>
      <c r="K128" s="96">
        <f t="shared" si="30"/>
        <v>15500</v>
      </c>
      <c r="L128" s="96">
        <f t="shared" si="46"/>
        <v>15500</v>
      </c>
      <c r="M128" s="96">
        <f t="shared" si="47"/>
        <v>15500</v>
      </c>
      <c r="N128" s="108" t="s">
        <v>381</v>
      </c>
      <c r="O128" s="109">
        <v>14000</v>
      </c>
      <c r="P128" s="110"/>
      <c r="Q128" s="110">
        <f t="shared" si="33"/>
        <v>14000</v>
      </c>
      <c r="R128" s="110">
        <f t="shared" si="48"/>
        <v>14000</v>
      </c>
      <c r="S128" s="110">
        <f t="shared" si="49"/>
        <v>14000</v>
      </c>
      <c r="T128" s="97" t="s">
        <v>599</v>
      </c>
      <c r="U128" s="98">
        <v>16806.722689075632</v>
      </c>
      <c r="V128" s="99">
        <f>U128*19%</f>
        <v>3193.2773109243699</v>
      </c>
      <c r="W128" s="99">
        <f t="shared" si="37"/>
        <v>20000</v>
      </c>
      <c r="X128" s="99">
        <f t="shared" si="50"/>
        <v>16806.722689075632</v>
      </c>
      <c r="Y128" s="99">
        <f t="shared" si="51"/>
        <v>20000</v>
      </c>
      <c r="Z128" s="100">
        <f t="shared" si="42"/>
        <v>16500</v>
      </c>
      <c r="AA128" s="100">
        <f t="shared" si="52"/>
        <v>16500</v>
      </c>
      <c r="AB128" s="78">
        <f t="shared" si="44"/>
        <v>3122.4989991991993</v>
      </c>
      <c r="AC128" s="102">
        <f t="shared" si="24"/>
        <v>0.18924236358783025</v>
      </c>
      <c r="AD128" s="5"/>
      <c r="AF128" s="7" t="s">
        <v>570</v>
      </c>
      <c r="AG128" s="7">
        <v>10</v>
      </c>
      <c r="AH128" s="7" t="s">
        <v>600</v>
      </c>
      <c r="BG128" s="7">
        <v>128</v>
      </c>
      <c r="DA128" s="7" t="e">
        <f>VLOOKUP(C128,listaBolsa!$D$2:$BA$248,1,0)</f>
        <v>#N/A</v>
      </c>
      <c r="DB128" s="7" t="e">
        <f>VLOOKUP(C128,listaBolsa!$D$2:$BA$248,2,0)</f>
        <v>#N/A</v>
      </c>
      <c r="DC128" s="7" t="e">
        <f>VLOOKUP(C128,listaBolsa!$D$2:$BA$248,10,0)</f>
        <v>#N/A</v>
      </c>
      <c r="DD128" s="7" t="e">
        <f>VLOOKUP(C128,listaBolsa!$D$2:$BA$248,14,0)</f>
        <v>#N/A</v>
      </c>
      <c r="DE128" s="7" t="e">
        <f>VLOOKUP(C128,listaBolsa!$D$2:$BA$248,23,0)</f>
        <v>#N/A</v>
      </c>
      <c r="DF128" s="7" t="e">
        <f>VLOOKUP(C128,listaBolsa!$D$2:$BA$248,29,0)</f>
        <v>#N/A</v>
      </c>
      <c r="DG128" s="7" t="e">
        <f>VLOOKUP(C128,listaBolsa!$D$2:$BA$248,36,0)</f>
        <v>#N/A</v>
      </c>
      <c r="DH128" s="7" t="e">
        <f>VLOOKUP(C128,listaBolsa!$D$2:$BA$248,40,0)</f>
        <v>#N/A</v>
      </c>
      <c r="DI128" s="7" t="e">
        <f>VLOOKUP(C128,listaBolsa!$D$2:$BA$248,48,0)</f>
        <v>#N/A</v>
      </c>
      <c r="DJ128" s="7" t="e">
        <f t="shared" si="55"/>
        <v>#N/A</v>
      </c>
      <c r="DK128" s="7" t="e">
        <f t="shared" si="55"/>
        <v>#N/A</v>
      </c>
      <c r="DL128" s="7" t="e">
        <f t="shared" si="26"/>
        <v>#N/A</v>
      </c>
      <c r="DM128" s="7" t="e">
        <f t="shared" si="26"/>
        <v>#N/A</v>
      </c>
      <c r="DN128" s="7" t="e">
        <f t="shared" si="27"/>
        <v>#N/A</v>
      </c>
      <c r="DO128" s="7" t="e">
        <f t="shared" si="27"/>
        <v>#N/A</v>
      </c>
      <c r="DP128" s="7" t="e">
        <f t="shared" si="28"/>
        <v>#N/A</v>
      </c>
      <c r="DQ128" s="7" t="e">
        <f t="shared" si="28"/>
        <v>#N/A</v>
      </c>
      <c r="DR128" s="7" t="e">
        <f t="shared" si="40"/>
        <v>#N/A</v>
      </c>
    </row>
    <row r="129" spans="1:122" s="7" customFormat="1" ht="84" customHeight="1">
      <c r="A129" s="75">
        <f t="shared" si="54"/>
        <v>115</v>
      </c>
      <c r="B129" s="538" t="s">
        <v>579</v>
      </c>
      <c r="C129" s="351" t="s">
        <v>601</v>
      </c>
      <c r="D129" s="351" t="s">
        <v>602</v>
      </c>
      <c r="E129" s="193" t="s">
        <v>568</v>
      </c>
      <c r="F129" s="75">
        <v>1</v>
      </c>
      <c r="G129" s="75" t="s">
        <v>192</v>
      </c>
      <c r="H129" s="106" t="s">
        <v>603</v>
      </c>
      <c r="I129" s="107">
        <v>1500</v>
      </c>
      <c r="J129" s="96"/>
      <c r="K129" s="96">
        <f t="shared" si="30"/>
        <v>1500</v>
      </c>
      <c r="L129" s="96">
        <f t="shared" si="46"/>
        <v>1500</v>
      </c>
      <c r="M129" s="96">
        <f t="shared" si="47"/>
        <v>1500</v>
      </c>
      <c r="N129" s="108" t="s">
        <v>604</v>
      </c>
      <c r="O129" s="109">
        <v>1200</v>
      </c>
      <c r="P129" s="110">
        <f t="shared" si="45"/>
        <v>228</v>
      </c>
      <c r="Q129" s="110">
        <f t="shared" si="33"/>
        <v>1428</v>
      </c>
      <c r="R129" s="110">
        <f t="shared" si="48"/>
        <v>1200</v>
      </c>
      <c r="S129" s="110">
        <f t="shared" si="49"/>
        <v>1428</v>
      </c>
      <c r="T129" s="97" t="s">
        <v>605</v>
      </c>
      <c r="U129" s="98">
        <v>1800</v>
      </c>
      <c r="V129" s="99"/>
      <c r="W129" s="99">
        <f t="shared" si="37"/>
        <v>1800</v>
      </c>
      <c r="X129" s="99">
        <f t="shared" si="50"/>
        <v>1800</v>
      </c>
      <c r="Y129" s="99">
        <f t="shared" si="51"/>
        <v>1800</v>
      </c>
      <c r="Z129" s="100">
        <f t="shared" si="42"/>
        <v>1576</v>
      </c>
      <c r="AA129" s="100">
        <f t="shared" si="52"/>
        <v>1576</v>
      </c>
      <c r="AB129" s="78">
        <f t="shared" si="44"/>
        <v>197.30179928221639</v>
      </c>
      <c r="AC129" s="102">
        <f t="shared" si="24"/>
        <v>0.12519149700648249</v>
      </c>
      <c r="AD129" s="5"/>
      <c r="AF129" s="7" t="s">
        <v>570</v>
      </c>
      <c r="AG129" s="7">
        <v>11</v>
      </c>
      <c r="AH129" s="7" t="s">
        <v>606</v>
      </c>
      <c r="BG129" s="7">
        <v>129</v>
      </c>
      <c r="DA129" s="7" t="e">
        <f>VLOOKUP(C129,listaBolsa!$D$2:$BA$248,1,0)</f>
        <v>#N/A</v>
      </c>
      <c r="DB129" s="7" t="e">
        <f>VLOOKUP(C129,listaBolsa!$D$2:$BA$248,2,0)</f>
        <v>#N/A</v>
      </c>
      <c r="DC129" s="7" t="e">
        <f>VLOOKUP(C129,listaBolsa!$D$2:$BA$248,10,0)</f>
        <v>#N/A</v>
      </c>
      <c r="DD129" s="7" t="e">
        <f>VLOOKUP(C129,listaBolsa!$D$2:$BA$248,14,0)</f>
        <v>#N/A</v>
      </c>
      <c r="DE129" s="7" t="e">
        <f>VLOOKUP(C129,listaBolsa!$D$2:$BA$248,23,0)</f>
        <v>#N/A</v>
      </c>
      <c r="DF129" s="7" t="e">
        <f>VLOOKUP(C129,listaBolsa!$D$2:$BA$248,29,0)</f>
        <v>#N/A</v>
      </c>
      <c r="DG129" s="7" t="e">
        <f>VLOOKUP(C129,listaBolsa!$D$2:$BA$248,36,0)</f>
        <v>#N/A</v>
      </c>
      <c r="DH129" s="7" t="e">
        <f>VLOOKUP(C129,listaBolsa!$D$2:$BA$248,40,0)</f>
        <v>#N/A</v>
      </c>
      <c r="DI129" s="7" t="e">
        <f>VLOOKUP(C129,listaBolsa!$D$2:$BA$248,48,0)</f>
        <v>#N/A</v>
      </c>
      <c r="DJ129" s="7" t="e">
        <f t="shared" si="55"/>
        <v>#N/A</v>
      </c>
      <c r="DK129" s="7" t="e">
        <f t="shared" si="55"/>
        <v>#N/A</v>
      </c>
      <c r="DL129" s="7" t="e">
        <f t="shared" si="26"/>
        <v>#N/A</v>
      </c>
      <c r="DM129" s="7" t="e">
        <f t="shared" si="26"/>
        <v>#N/A</v>
      </c>
      <c r="DN129" s="7" t="e">
        <f t="shared" si="27"/>
        <v>#N/A</v>
      </c>
      <c r="DO129" s="7" t="e">
        <f t="shared" si="27"/>
        <v>#N/A</v>
      </c>
      <c r="DP129" s="7" t="e">
        <f t="shared" si="28"/>
        <v>#N/A</v>
      </c>
      <c r="DQ129" s="7" t="e">
        <f t="shared" si="28"/>
        <v>#N/A</v>
      </c>
      <c r="DR129" s="7" t="e">
        <f t="shared" si="40"/>
        <v>#N/A</v>
      </c>
    </row>
    <row r="130" spans="1:122" s="7" customFormat="1" ht="79.5" customHeight="1">
      <c r="A130" s="75">
        <f t="shared" si="54"/>
        <v>116</v>
      </c>
      <c r="B130" s="538" t="s">
        <v>579</v>
      </c>
      <c r="C130" s="351" t="s">
        <v>607</v>
      </c>
      <c r="D130" s="351" t="s">
        <v>602</v>
      </c>
      <c r="E130" s="193" t="s">
        <v>568</v>
      </c>
      <c r="F130" s="75">
        <v>1</v>
      </c>
      <c r="G130" s="75" t="s">
        <v>192</v>
      </c>
      <c r="H130" s="106" t="s">
        <v>380</v>
      </c>
      <c r="I130" s="107">
        <v>220</v>
      </c>
      <c r="J130" s="96"/>
      <c r="K130" s="96">
        <f t="shared" si="30"/>
        <v>220</v>
      </c>
      <c r="L130" s="96">
        <f t="shared" si="46"/>
        <v>220</v>
      </c>
      <c r="M130" s="96">
        <f t="shared" si="47"/>
        <v>220</v>
      </c>
      <c r="N130" s="108" t="s">
        <v>381</v>
      </c>
      <c r="O130" s="109">
        <v>200</v>
      </c>
      <c r="P130" s="110">
        <f t="shared" si="45"/>
        <v>38</v>
      </c>
      <c r="Q130" s="110">
        <f t="shared" si="33"/>
        <v>238</v>
      </c>
      <c r="R130" s="110">
        <f t="shared" si="48"/>
        <v>200</v>
      </c>
      <c r="S130" s="110">
        <f t="shared" si="49"/>
        <v>238</v>
      </c>
      <c r="T130" s="97" t="s">
        <v>382</v>
      </c>
      <c r="U130" s="98">
        <v>169</v>
      </c>
      <c r="V130" s="99"/>
      <c r="W130" s="99">
        <f t="shared" si="37"/>
        <v>169</v>
      </c>
      <c r="X130" s="99">
        <f t="shared" si="50"/>
        <v>169</v>
      </c>
      <c r="Y130" s="99">
        <f t="shared" si="51"/>
        <v>169</v>
      </c>
      <c r="Z130" s="100">
        <f t="shared" si="42"/>
        <v>209</v>
      </c>
      <c r="AA130" s="100">
        <f t="shared" si="52"/>
        <v>209</v>
      </c>
      <c r="AB130" s="78">
        <f t="shared" si="44"/>
        <v>35.791060336346561</v>
      </c>
      <c r="AC130" s="102">
        <f t="shared" ref="AC130:AC193" si="56">IF(B130="","",(AB130/AA130))</f>
        <v>0.17124909251840459</v>
      </c>
      <c r="AD130" s="5"/>
      <c r="AF130" s="7" t="s">
        <v>570</v>
      </c>
      <c r="AG130" s="7">
        <v>12</v>
      </c>
      <c r="AH130" s="7" t="s">
        <v>608</v>
      </c>
      <c r="BG130" s="7">
        <v>1</v>
      </c>
      <c r="DA130" s="7" t="e">
        <f>VLOOKUP(C130,listaBolsa!$D$2:$BA$248,1,0)</f>
        <v>#N/A</v>
      </c>
      <c r="DB130" s="7" t="e">
        <f>VLOOKUP(C130,listaBolsa!$D$2:$BA$248,2,0)</f>
        <v>#N/A</v>
      </c>
      <c r="DC130" s="7" t="e">
        <f>VLOOKUP(C130,listaBolsa!$D$2:$BA$248,10,0)</f>
        <v>#N/A</v>
      </c>
      <c r="DD130" s="7" t="e">
        <f>VLOOKUP(C130,listaBolsa!$D$2:$BA$248,14,0)</f>
        <v>#N/A</v>
      </c>
      <c r="DE130" s="7" t="e">
        <f>VLOOKUP(C130,listaBolsa!$D$2:$BA$248,23,0)</f>
        <v>#N/A</v>
      </c>
      <c r="DF130" s="7" t="e">
        <f>VLOOKUP(C130,listaBolsa!$D$2:$BA$248,29,0)</f>
        <v>#N/A</v>
      </c>
      <c r="DG130" s="7" t="e">
        <f>VLOOKUP(C130,listaBolsa!$D$2:$BA$248,36,0)</f>
        <v>#N/A</v>
      </c>
      <c r="DH130" s="7" t="e">
        <f>VLOOKUP(C130,listaBolsa!$D$2:$BA$248,40,0)</f>
        <v>#N/A</v>
      </c>
      <c r="DI130" s="7" t="e">
        <f>VLOOKUP(C130,listaBolsa!$D$2:$BA$248,48,0)</f>
        <v>#N/A</v>
      </c>
      <c r="DJ130" s="7" t="e">
        <f t="shared" si="55"/>
        <v>#N/A</v>
      </c>
      <c r="DK130" s="7" t="e">
        <f t="shared" si="55"/>
        <v>#N/A</v>
      </c>
      <c r="DL130" s="7" t="e">
        <f t="shared" ref="DL130:DM193" si="57">DC130=H130</f>
        <v>#N/A</v>
      </c>
      <c r="DM130" s="7" t="e">
        <f t="shared" si="57"/>
        <v>#N/A</v>
      </c>
      <c r="DN130" s="7" t="e">
        <f t="shared" ref="DN130:DO193" si="58">DE130=N130</f>
        <v>#N/A</v>
      </c>
      <c r="DO130" s="7" t="e">
        <f t="shared" si="58"/>
        <v>#N/A</v>
      </c>
      <c r="DP130" s="7" t="e">
        <f t="shared" ref="DP130:DQ193" si="59">DG130=T130</f>
        <v>#N/A</v>
      </c>
      <c r="DQ130" s="7" t="e">
        <f t="shared" si="59"/>
        <v>#N/A</v>
      </c>
      <c r="DR130" s="7" t="e">
        <f t="shared" si="40"/>
        <v>#N/A</v>
      </c>
    </row>
    <row r="131" spans="1:122" s="7" customFormat="1" ht="79.5" customHeight="1">
      <c r="A131" s="75">
        <f t="shared" si="54"/>
        <v>117</v>
      </c>
      <c r="B131" s="538" t="s">
        <v>579</v>
      </c>
      <c r="C131" s="351" t="s">
        <v>609</v>
      </c>
      <c r="D131" s="351" t="s">
        <v>602</v>
      </c>
      <c r="E131" s="193" t="s">
        <v>568</v>
      </c>
      <c r="F131" s="75">
        <v>1</v>
      </c>
      <c r="G131" s="75" t="s">
        <v>192</v>
      </c>
      <c r="H131" s="106" t="s">
        <v>380</v>
      </c>
      <c r="I131" s="107">
        <v>220</v>
      </c>
      <c r="J131" s="96"/>
      <c r="K131" s="96">
        <f t="shared" si="30"/>
        <v>220</v>
      </c>
      <c r="L131" s="96">
        <f t="shared" si="46"/>
        <v>220</v>
      </c>
      <c r="M131" s="96">
        <f t="shared" si="47"/>
        <v>220</v>
      </c>
      <c r="N131" s="108" t="s">
        <v>381</v>
      </c>
      <c r="O131" s="109">
        <v>200</v>
      </c>
      <c r="P131" s="110">
        <f t="shared" si="45"/>
        <v>38</v>
      </c>
      <c r="Q131" s="110">
        <f t="shared" si="33"/>
        <v>238</v>
      </c>
      <c r="R131" s="110">
        <f t="shared" si="48"/>
        <v>200</v>
      </c>
      <c r="S131" s="110">
        <f t="shared" si="49"/>
        <v>238</v>
      </c>
      <c r="T131" s="97" t="s">
        <v>610</v>
      </c>
      <c r="U131" s="98">
        <v>210.0840336134454</v>
      </c>
      <c r="V131" s="99"/>
      <c r="W131" s="99">
        <f t="shared" si="37"/>
        <v>210.0840336134454</v>
      </c>
      <c r="X131" s="99">
        <f t="shared" si="50"/>
        <v>210.0840336134454</v>
      </c>
      <c r="Y131" s="99">
        <f t="shared" si="51"/>
        <v>210.0840336134454</v>
      </c>
      <c r="Z131" s="100">
        <f t="shared" si="42"/>
        <v>222.69467787114846</v>
      </c>
      <c r="AA131" s="100">
        <f t="shared" si="52"/>
        <v>222.69467787114846</v>
      </c>
      <c r="AB131" s="78">
        <f t="shared" si="44"/>
        <v>14.15172291439295</v>
      </c>
      <c r="AC131" s="102">
        <f t="shared" si="56"/>
        <v>6.3547647611862379E-2</v>
      </c>
      <c r="AD131" s="5"/>
      <c r="AF131" s="7" t="s">
        <v>570</v>
      </c>
      <c r="AG131" s="7">
        <v>13</v>
      </c>
      <c r="AH131" s="7" t="s">
        <v>611</v>
      </c>
      <c r="BG131" s="7">
        <v>2</v>
      </c>
      <c r="DA131" s="7" t="e">
        <f>VLOOKUP(C131,listaBolsa!$D$2:$BA$248,1,0)</f>
        <v>#N/A</v>
      </c>
      <c r="DB131" s="7" t="e">
        <f>VLOOKUP(C131,listaBolsa!$D$2:$BA$248,2,0)</f>
        <v>#N/A</v>
      </c>
      <c r="DC131" s="7" t="e">
        <f>VLOOKUP(C131,listaBolsa!$D$2:$BA$248,10,0)</f>
        <v>#N/A</v>
      </c>
      <c r="DD131" s="7" t="e">
        <f>VLOOKUP(C131,listaBolsa!$D$2:$BA$248,14,0)</f>
        <v>#N/A</v>
      </c>
      <c r="DE131" s="7" t="e">
        <f>VLOOKUP(C131,listaBolsa!$D$2:$BA$248,23,0)</f>
        <v>#N/A</v>
      </c>
      <c r="DF131" s="7" t="e">
        <f>VLOOKUP(C131,listaBolsa!$D$2:$BA$248,29,0)</f>
        <v>#N/A</v>
      </c>
      <c r="DG131" s="7" t="e">
        <f>VLOOKUP(C131,listaBolsa!$D$2:$BA$248,36,0)</f>
        <v>#N/A</v>
      </c>
      <c r="DH131" s="7" t="e">
        <f>VLOOKUP(C131,listaBolsa!$D$2:$BA$248,40,0)</f>
        <v>#N/A</v>
      </c>
      <c r="DI131" s="7" t="e">
        <f>VLOOKUP(C131,listaBolsa!$D$2:$BA$248,48,0)</f>
        <v>#N/A</v>
      </c>
      <c r="DJ131" s="7" t="e">
        <f t="shared" si="55"/>
        <v>#N/A</v>
      </c>
      <c r="DK131" s="7" t="e">
        <f t="shared" si="55"/>
        <v>#N/A</v>
      </c>
      <c r="DL131" s="7" t="e">
        <f t="shared" si="57"/>
        <v>#N/A</v>
      </c>
      <c r="DM131" s="7" t="e">
        <f t="shared" si="57"/>
        <v>#N/A</v>
      </c>
      <c r="DN131" s="7" t="e">
        <f t="shared" si="58"/>
        <v>#N/A</v>
      </c>
      <c r="DO131" s="7" t="e">
        <f t="shared" si="58"/>
        <v>#N/A</v>
      </c>
      <c r="DP131" s="7" t="e">
        <f t="shared" si="59"/>
        <v>#N/A</v>
      </c>
      <c r="DQ131" s="7" t="e">
        <f t="shared" si="59"/>
        <v>#N/A</v>
      </c>
      <c r="DR131" s="7" t="e">
        <f t="shared" si="40"/>
        <v>#N/A</v>
      </c>
    </row>
    <row r="132" spans="1:122" s="7" customFormat="1" ht="79.5" customHeight="1">
      <c r="A132" s="75">
        <f t="shared" si="54"/>
        <v>118</v>
      </c>
      <c r="B132" s="538" t="s">
        <v>579</v>
      </c>
      <c r="C132" s="351" t="s">
        <v>612</v>
      </c>
      <c r="D132" s="351" t="s">
        <v>602</v>
      </c>
      <c r="E132" s="193" t="s">
        <v>568</v>
      </c>
      <c r="F132" s="75">
        <v>1</v>
      </c>
      <c r="G132" s="75" t="s">
        <v>192</v>
      </c>
      <c r="H132" s="106" t="s">
        <v>380</v>
      </c>
      <c r="I132" s="107">
        <v>360</v>
      </c>
      <c r="J132" s="96"/>
      <c r="K132" s="96">
        <f t="shared" si="30"/>
        <v>360</v>
      </c>
      <c r="L132" s="96">
        <f t="shared" si="46"/>
        <v>360</v>
      </c>
      <c r="M132" s="96">
        <f t="shared" si="47"/>
        <v>360</v>
      </c>
      <c r="N132" s="108" t="s">
        <v>381</v>
      </c>
      <c r="O132" s="109">
        <v>380</v>
      </c>
      <c r="P132" s="110"/>
      <c r="Q132" s="110">
        <f t="shared" si="33"/>
        <v>380</v>
      </c>
      <c r="R132" s="110">
        <f t="shared" si="48"/>
        <v>380</v>
      </c>
      <c r="S132" s="110">
        <f t="shared" si="49"/>
        <v>380</v>
      </c>
      <c r="T132" s="97" t="s">
        <v>382</v>
      </c>
      <c r="U132" s="98">
        <v>350</v>
      </c>
      <c r="V132" s="99"/>
      <c r="W132" s="99">
        <f t="shared" si="37"/>
        <v>350</v>
      </c>
      <c r="X132" s="99">
        <f t="shared" si="50"/>
        <v>350</v>
      </c>
      <c r="Y132" s="99">
        <f t="shared" si="51"/>
        <v>350</v>
      </c>
      <c r="Z132" s="100">
        <f t="shared" si="42"/>
        <v>363.33333333333331</v>
      </c>
      <c r="AA132" s="100">
        <f t="shared" si="52"/>
        <v>363.33333333333331</v>
      </c>
      <c r="AB132" s="78">
        <f t="shared" si="44"/>
        <v>15.275252316519467</v>
      </c>
      <c r="AC132" s="102">
        <f t="shared" si="56"/>
        <v>4.2041978852805875E-2</v>
      </c>
      <c r="AD132" s="5"/>
      <c r="AF132" s="7" t="s">
        <v>570</v>
      </c>
      <c r="AG132" s="7">
        <v>14</v>
      </c>
      <c r="AH132" s="7" t="s">
        <v>613</v>
      </c>
      <c r="BG132" s="7">
        <v>3</v>
      </c>
      <c r="DA132" s="7" t="e">
        <f>VLOOKUP(C132,listaBolsa!$D$2:$BA$248,1,0)</f>
        <v>#N/A</v>
      </c>
      <c r="DB132" s="7" t="e">
        <f>VLOOKUP(C132,listaBolsa!$D$2:$BA$248,2,0)</f>
        <v>#N/A</v>
      </c>
      <c r="DC132" s="7" t="e">
        <f>VLOOKUP(C132,listaBolsa!$D$2:$BA$248,10,0)</f>
        <v>#N/A</v>
      </c>
      <c r="DD132" s="7" t="e">
        <f>VLOOKUP(C132,listaBolsa!$D$2:$BA$248,14,0)</f>
        <v>#N/A</v>
      </c>
      <c r="DE132" s="7" t="e">
        <f>VLOOKUP(C132,listaBolsa!$D$2:$BA$248,23,0)</f>
        <v>#N/A</v>
      </c>
      <c r="DF132" s="7" t="e">
        <f>VLOOKUP(C132,listaBolsa!$D$2:$BA$248,29,0)</f>
        <v>#N/A</v>
      </c>
      <c r="DG132" s="7" t="e">
        <f>VLOOKUP(C132,listaBolsa!$D$2:$BA$248,36,0)</f>
        <v>#N/A</v>
      </c>
      <c r="DH132" s="7" t="e">
        <f>VLOOKUP(C132,listaBolsa!$D$2:$BA$248,40,0)</f>
        <v>#N/A</v>
      </c>
      <c r="DI132" s="7" t="e">
        <f>VLOOKUP(C132,listaBolsa!$D$2:$BA$248,48,0)</f>
        <v>#N/A</v>
      </c>
      <c r="DJ132" s="7" t="e">
        <f t="shared" si="55"/>
        <v>#N/A</v>
      </c>
      <c r="DK132" s="7" t="e">
        <f t="shared" si="55"/>
        <v>#N/A</v>
      </c>
      <c r="DL132" s="7" t="e">
        <f t="shared" si="57"/>
        <v>#N/A</v>
      </c>
      <c r="DM132" s="7" t="e">
        <f t="shared" si="57"/>
        <v>#N/A</v>
      </c>
      <c r="DN132" s="7" t="e">
        <f t="shared" si="58"/>
        <v>#N/A</v>
      </c>
      <c r="DO132" s="7" t="e">
        <f t="shared" si="58"/>
        <v>#N/A</v>
      </c>
      <c r="DP132" s="7" t="e">
        <f t="shared" si="59"/>
        <v>#N/A</v>
      </c>
      <c r="DQ132" s="7" t="e">
        <f t="shared" si="59"/>
        <v>#N/A</v>
      </c>
      <c r="DR132" s="7" t="e">
        <f t="shared" si="40"/>
        <v>#N/A</v>
      </c>
    </row>
    <row r="133" spans="1:122" s="7" customFormat="1" ht="79.5" customHeight="1">
      <c r="A133" s="75">
        <f t="shared" si="54"/>
        <v>119</v>
      </c>
      <c r="B133" s="538" t="s">
        <v>579</v>
      </c>
      <c r="C133" s="351" t="s">
        <v>614</v>
      </c>
      <c r="D133" s="351" t="s">
        <v>602</v>
      </c>
      <c r="E133" s="193" t="s">
        <v>568</v>
      </c>
      <c r="F133" s="75">
        <v>1</v>
      </c>
      <c r="G133" s="75" t="s">
        <v>192</v>
      </c>
      <c r="H133" s="106" t="s">
        <v>380</v>
      </c>
      <c r="I133" s="107">
        <v>420</v>
      </c>
      <c r="J133" s="96"/>
      <c r="K133" s="96">
        <f t="shared" si="30"/>
        <v>420</v>
      </c>
      <c r="L133" s="96">
        <f t="shared" si="46"/>
        <v>420</v>
      </c>
      <c r="M133" s="96">
        <f t="shared" si="47"/>
        <v>420</v>
      </c>
      <c r="N133" s="108" t="s">
        <v>381</v>
      </c>
      <c r="O133" s="109">
        <v>400</v>
      </c>
      <c r="P133" s="110"/>
      <c r="Q133" s="110">
        <f t="shared" si="33"/>
        <v>400</v>
      </c>
      <c r="R133" s="110">
        <f t="shared" si="48"/>
        <v>400</v>
      </c>
      <c r="S133" s="110">
        <f t="shared" si="49"/>
        <v>400</v>
      </c>
      <c r="T133" s="97" t="s">
        <v>382</v>
      </c>
      <c r="U133" s="98">
        <v>350</v>
      </c>
      <c r="V133" s="99"/>
      <c r="W133" s="99">
        <f t="shared" si="37"/>
        <v>350</v>
      </c>
      <c r="X133" s="99">
        <f t="shared" si="50"/>
        <v>350</v>
      </c>
      <c r="Y133" s="99">
        <f t="shared" si="51"/>
        <v>350</v>
      </c>
      <c r="Z133" s="100">
        <f t="shared" si="42"/>
        <v>390</v>
      </c>
      <c r="AA133" s="100">
        <f t="shared" si="52"/>
        <v>390</v>
      </c>
      <c r="AB133" s="78">
        <f t="shared" si="44"/>
        <v>36.055512754639892</v>
      </c>
      <c r="AC133" s="102">
        <f t="shared" si="56"/>
        <v>9.2450032704204849E-2</v>
      </c>
      <c r="AD133" s="5"/>
      <c r="AF133" s="7" t="s">
        <v>570</v>
      </c>
      <c r="AG133" s="7">
        <v>15</v>
      </c>
      <c r="AH133" s="7" t="s">
        <v>615</v>
      </c>
      <c r="BG133" s="7">
        <v>4</v>
      </c>
      <c r="DA133" s="7" t="e">
        <f>VLOOKUP(C133,listaBolsa!$D$2:$BA$248,1,0)</f>
        <v>#N/A</v>
      </c>
      <c r="DB133" s="7" t="e">
        <f>VLOOKUP(C133,listaBolsa!$D$2:$BA$248,2,0)</f>
        <v>#N/A</v>
      </c>
      <c r="DC133" s="7" t="e">
        <f>VLOOKUP(C133,listaBolsa!$D$2:$BA$248,10,0)</f>
        <v>#N/A</v>
      </c>
      <c r="DD133" s="7" t="e">
        <f>VLOOKUP(C133,listaBolsa!$D$2:$BA$248,14,0)</f>
        <v>#N/A</v>
      </c>
      <c r="DE133" s="7" t="e">
        <f>VLOOKUP(C133,listaBolsa!$D$2:$BA$248,23,0)</f>
        <v>#N/A</v>
      </c>
      <c r="DF133" s="7" t="e">
        <f>VLOOKUP(C133,listaBolsa!$D$2:$BA$248,29,0)</f>
        <v>#N/A</v>
      </c>
      <c r="DG133" s="7" t="e">
        <f>VLOOKUP(C133,listaBolsa!$D$2:$BA$248,36,0)</f>
        <v>#N/A</v>
      </c>
      <c r="DH133" s="7" t="e">
        <f>VLOOKUP(C133,listaBolsa!$D$2:$BA$248,40,0)</f>
        <v>#N/A</v>
      </c>
      <c r="DI133" s="7" t="e">
        <f>VLOOKUP(C133,listaBolsa!$D$2:$BA$248,48,0)</f>
        <v>#N/A</v>
      </c>
      <c r="DJ133" s="7" t="e">
        <f t="shared" si="55"/>
        <v>#N/A</v>
      </c>
      <c r="DK133" s="7" t="e">
        <f t="shared" si="55"/>
        <v>#N/A</v>
      </c>
      <c r="DL133" s="7" t="e">
        <f t="shared" si="57"/>
        <v>#N/A</v>
      </c>
      <c r="DM133" s="7" t="e">
        <f t="shared" si="57"/>
        <v>#N/A</v>
      </c>
      <c r="DN133" s="7" t="e">
        <f t="shared" si="58"/>
        <v>#N/A</v>
      </c>
      <c r="DO133" s="7" t="e">
        <f t="shared" si="58"/>
        <v>#N/A</v>
      </c>
      <c r="DP133" s="7" t="e">
        <f t="shared" si="59"/>
        <v>#N/A</v>
      </c>
      <c r="DQ133" s="7" t="e">
        <f t="shared" si="59"/>
        <v>#N/A</v>
      </c>
      <c r="DR133" s="7" t="e">
        <f t="shared" si="40"/>
        <v>#N/A</v>
      </c>
    </row>
    <row r="134" spans="1:122" s="7" customFormat="1" ht="79.5" customHeight="1">
      <c r="A134" s="75">
        <f t="shared" si="54"/>
        <v>120</v>
      </c>
      <c r="B134" s="538" t="s">
        <v>579</v>
      </c>
      <c r="C134" s="351" t="s">
        <v>616</v>
      </c>
      <c r="D134" s="351" t="s">
        <v>602</v>
      </c>
      <c r="E134" s="193" t="s">
        <v>568</v>
      </c>
      <c r="F134" s="75">
        <v>1</v>
      </c>
      <c r="G134" s="75" t="s">
        <v>192</v>
      </c>
      <c r="H134" s="106" t="s">
        <v>617</v>
      </c>
      <c r="I134" s="107">
        <v>5952.1008403361348</v>
      </c>
      <c r="J134" s="96"/>
      <c r="K134" s="96">
        <f t="shared" si="30"/>
        <v>5952.1008403361348</v>
      </c>
      <c r="L134" s="96">
        <f t="shared" si="46"/>
        <v>5952.1008403361348</v>
      </c>
      <c r="M134" s="96">
        <f t="shared" si="47"/>
        <v>5952.1008403361348</v>
      </c>
      <c r="N134" s="108" t="s">
        <v>618</v>
      </c>
      <c r="O134" s="109">
        <v>6512.6050420168067</v>
      </c>
      <c r="P134" s="110"/>
      <c r="Q134" s="110">
        <f t="shared" si="33"/>
        <v>6512.6050420168067</v>
      </c>
      <c r="R134" s="110">
        <f t="shared" si="48"/>
        <v>6512.6050420168067</v>
      </c>
      <c r="S134" s="110">
        <f t="shared" si="49"/>
        <v>6512.6050420168067</v>
      </c>
      <c r="T134" s="97" t="s">
        <v>619</v>
      </c>
      <c r="U134" s="98">
        <v>4453.7815126050418</v>
      </c>
      <c r="V134" s="99"/>
      <c r="W134" s="99">
        <f t="shared" si="37"/>
        <v>4453.7815126050418</v>
      </c>
      <c r="X134" s="99">
        <f t="shared" si="50"/>
        <v>4453.7815126050418</v>
      </c>
      <c r="Y134" s="99">
        <f t="shared" si="51"/>
        <v>4453.7815126050418</v>
      </c>
      <c r="Z134" s="100">
        <f t="shared" si="42"/>
        <v>5639.4957983193272</v>
      </c>
      <c r="AA134" s="100">
        <f t="shared" si="52"/>
        <v>5639.4957983193272</v>
      </c>
      <c r="AB134" s="78">
        <f t="shared" si="44"/>
        <v>1064.4153397690316</v>
      </c>
      <c r="AC134" s="102">
        <f t="shared" si="56"/>
        <v>0.18874299721727725</v>
      </c>
      <c r="AD134" s="5"/>
      <c r="AF134" s="7" t="s">
        <v>570</v>
      </c>
      <c r="AG134" s="7">
        <v>16</v>
      </c>
      <c r="AH134" s="7" t="s">
        <v>620</v>
      </c>
      <c r="BG134" s="7">
        <v>5</v>
      </c>
      <c r="DA134" s="7" t="e">
        <f>VLOOKUP(C134,listaBolsa!$D$2:$BA$248,1,0)</f>
        <v>#N/A</v>
      </c>
      <c r="DB134" s="7" t="e">
        <f>VLOOKUP(C134,listaBolsa!$D$2:$BA$248,2,0)</f>
        <v>#N/A</v>
      </c>
      <c r="DC134" s="7" t="e">
        <f>VLOOKUP(C134,listaBolsa!$D$2:$BA$248,10,0)</f>
        <v>#N/A</v>
      </c>
      <c r="DD134" s="7" t="e">
        <f>VLOOKUP(C134,listaBolsa!$D$2:$BA$248,14,0)</f>
        <v>#N/A</v>
      </c>
      <c r="DE134" s="7" t="e">
        <f>VLOOKUP(C134,listaBolsa!$D$2:$BA$248,23,0)</f>
        <v>#N/A</v>
      </c>
      <c r="DF134" s="7" t="e">
        <f>VLOOKUP(C134,listaBolsa!$D$2:$BA$248,29,0)</f>
        <v>#N/A</v>
      </c>
      <c r="DG134" s="7" t="e">
        <f>VLOOKUP(C134,listaBolsa!$D$2:$BA$248,36,0)</f>
        <v>#N/A</v>
      </c>
      <c r="DH134" s="7" t="e">
        <f>VLOOKUP(C134,listaBolsa!$D$2:$BA$248,40,0)</f>
        <v>#N/A</v>
      </c>
      <c r="DI134" s="7" t="e">
        <f>VLOOKUP(C134,listaBolsa!$D$2:$BA$248,48,0)</f>
        <v>#N/A</v>
      </c>
      <c r="DJ134" s="7" t="e">
        <f t="shared" si="55"/>
        <v>#N/A</v>
      </c>
      <c r="DK134" s="7" t="e">
        <f t="shared" si="55"/>
        <v>#N/A</v>
      </c>
      <c r="DL134" s="7" t="e">
        <f t="shared" si="57"/>
        <v>#N/A</v>
      </c>
      <c r="DM134" s="7" t="e">
        <f t="shared" si="57"/>
        <v>#N/A</v>
      </c>
      <c r="DN134" s="7" t="e">
        <f t="shared" si="58"/>
        <v>#N/A</v>
      </c>
      <c r="DO134" s="7" t="e">
        <f t="shared" si="58"/>
        <v>#N/A</v>
      </c>
      <c r="DP134" s="7" t="e">
        <f t="shared" si="59"/>
        <v>#N/A</v>
      </c>
      <c r="DQ134" s="7" t="e">
        <f t="shared" si="59"/>
        <v>#N/A</v>
      </c>
      <c r="DR134" s="7" t="e">
        <f t="shared" si="40"/>
        <v>#N/A</v>
      </c>
    </row>
    <row r="135" spans="1:122" s="7" customFormat="1" ht="79.5" customHeight="1">
      <c r="A135" s="75">
        <f t="shared" si="54"/>
        <v>121</v>
      </c>
      <c r="B135" s="538" t="s">
        <v>579</v>
      </c>
      <c r="C135" s="351" t="s">
        <v>621</v>
      </c>
      <c r="D135" s="351" t="s">
        <v>622</v>
      </c>
      <c r="E135" s="193" t="s">
        <v>568</v>
      </c>
      <c r="F135" s="75">
        <v>1</v>
      </c>
      <c r="G135" s="75" t="s">
        <v>192</v>
      </c>
      <c r="H135" s="106" t="s">
        <v>603</v>
      </c>
      <c r="I135" s="107">
        <v>1500</v>
      </c>
      <c r="J135" s="96"/>
      <c r="K135" s="96">
        <f t="shared" si="30"/>
        <v>1500</v>
      </c>
      <c r="L135" s="96">
        <f t="shared" si="46"/>
        <v>1500</v>
      </c>
      <c r="M135" s="96">
        <f t="shared" si="47"/>
        <v>1500</v>
      </c>
      <c r="N135" s="108" t="s">
        <v>604</v>
      </c>
      <c r="O135" s="109">
        <v>1200</v>
      </c>
      <c r="P135" s="110"/>
      <c r="Q135" s="110">
        <f t="shared" si="33"/>
        <v>1200</v>
      </c>
      <c r="R135" s="110">
        <f t="shared" si="48"/>
        <v>1200</v>
      </c>
      <c r="S135" s="110">
        <f t="shared" si="49"/>
        <v>1200</v>
      </c>
      <c r="T135" s="97" t="s">
        <v>605</v>
      </c>
      <c r="U135" s="98">
        <v>1500</v>
      </c>
      <c r="V135" s="99"/>
      <c r="W135" s="99">
        <f t="shared" si="37"/>
        <v>1500</v>
      </c>
      <c r="X135" s="99">
        <f t="shared" si="50"/>
        <v>1500</v>
      </c>
      <c r="Y135" s="99">
        <f t="shared" si="51"/>
        <v>1500</v>
      </c>
      <c r="Z135" s="100">
        <f t="shared" si="42"/>
        <v>1400</v>
      </c>
      <c r="AA135" s="100">
        <f t="shared" si="52"/>
        <v>1400</v>
      </c>
      <c r="AB135" s="78">
        <f t="shared" si="44"/>
        <v>173.20508075688772</v>
      </c>
      <c r="AC135" s="102">
        <f t="shared" si="56"/>
        <v>0.12371791482634838</v>
      </c>
      <c r="AD135" s="5"/>
      <c r="AF135" s="7" t="s">
        <v>570</v>
      </c>
      <c r="AG135" s="7">
        <v>17</v>
      </c>
      <c r="AH135" s="7" t="s">
        <v>623</v>
      </c>
      <c r="BG135" s="7">
        <v>6</v>
      </c>
      <c r="DA135" s="7" t="e">
        <f>VLOOKUP(C135,listaBolsa!$D$2:$BA$248,1,0)</f>
        <v>#N/A</v>
      </c>
      <c r="DB135" s="7" t="e">
        <f>VLOOKUP(C135,listaBolsa!$D$2:$BA$248,2,0)</f>
        <v>#N/A</v>
      </c>
      <c r="DC135" s="7" t="e">
        <f>VLOOKUP(C135,listaBolsa!$D$2:$BA$248,10,0)</f>
        <v>#N/A</v>
      </c>
      <c r="DD135" s="7" t="e">
        <f>VLOOKUP(C135,listaBolsa!$D$2:$BA$248,14,0)</f>
        <v>#N/A</v>
      </c>
      <c r="DE135" s="7" t="e">
        <f>VLOOKUP(C135,listaBolsa!$D$2:$BA$248,23,0)</f>
        <v>#N/A</v>
      </c>
      <c r="DF135" s="7" t="e">
        <f>VLOOKUP(C135,listaBolsa!$D$2:$BA$248,29,0)</f>
        <v>#N/A</v>
      </c>
      <c r="DG135" s="7" t="e">
        <f>VLOOKUP(C135,listaBolsa!$D$2:$BA$248,36,0)</f>
        <v>#N/A</v>
      </c>
      <c r="DH135" s="7" t="e">
        <f>VLOOKUP(C135,listaBolsa!$D$2:$BA$248,40,0)</f>
        <v>#N/A</v>
      </c>
      <c r="DI135" s="7" t="e">
        <f>VLOOKUP(C135,listaBolsa!$D$2:$BA$248,48,0)</f>
        <v>#N/A</v>
      </c>
      <c r="DJ135" s="7" t="e">
        <f t="shared" si="55"/>
        <v>#N/A</v>
      </c>
      <c r="DK135" s="7" t="e">
        <f t="shared" si="55"/>
        <v>#N/A</v>
      </c>
      <c r="DL135" s="7" t="e">
        <f t="shared" si="57"/>
        <v>#N/A</v>
      </c>
      <c r="DM135" s="7" t="e">
        <f t="shared" si="57"/>
        <v>#N/A</v>
      </c>
      <c r="DN135" s="7" t="e">
        <f t="shared" si="58"/>
        <v>#N/A</v>
      </c>
      <c r="DO135" s="7" t="e">
        <f t="shared" si="58"/>
        <v>#N/A</v>
      </c>
      <c r="DP135" s="7" t="e">
        <f t="shared" si="59"/>
        <v>#N/A</v>
      </c>
      <c r="DQ135" s="7" t="e">
        <f t="shared" si="59"/>
        <v>#N/A</v>
      </c>
      <c r="DR135" s="7" t="e">
        <f t="shared" si="40"/>
        <v>#N/A</v>
      </c>
    </row>
    <row r="136" spans="1:122" s="7" customFormat="1" ht="79.5" customHeight="1">
      <c r="A136" s="75">
        <f t="shared" si="54"/>
        <v>122</v>
      </c>
      <c r="B136" s="538" t="s">
        <v>579</v>
      </c>
      <c r="C136" s="351" t="s">
        <v>624</v>
      </c>
      <c r="D136" s="351" t="s">
        <v>622</v>
      </c>
      <c r="E136" s="193" t="s">
        <v>568</v>
      </c>
      <c r="F136" s="75">
        <v>1</v>
      </c>
      <c r="G136" s="75" t="s">
        <v>192</v>
      </c>
      <c r="H136" s="106" t="s">
        <v>380</v>
      </c>
      <c r="I136" s="107">
        <v>290</v>
      </c>
      <c r="J136" s="96"/>
      <c r="K136" s="96">
        <f t="shared" si="30"/>
        <v>290</v>
      </c>
      <c r="L136" s="96">
        <f t="shared" si="46"/>
        <v>290</v>
      </c>
      <c r="M136" s="96">
        <f t="shared" si="47"/>
        <v>290</v>
      </c>
      <c r="N136" s="108" t="s">
        <v>381</v>
      </c>
      <c r="O136" s="109">
        <v>275</v>
      </c>
      <c r="P136" s="110"/>
      <c r="Q136" s="110">
        <f t="shared" si="33"/>
        <v>275</v>
      </c>
      <c r="R136" s="110">
        <f t="shared" si="48"/>
        <v>275</v>
      </c>
      <c r="S136" s="110">
        <f t="shared" si="49"/>
        <v>275</v>
      </c>
      <c r="T136" s="97" t="s">
        <v>610</v>
      </c>
      <c r="U136" s="98">
        <v>252.1008403361345</v>
      </c>
      <c r="V136" s="99"/>
      <c r="W136" s="99">
        <f t="shared" si="37"/>
        <v>252.1008403361345</v>
      </c>
      <c r="X136" s="99">
        <f t="shared" si="50"/>
        <v>252.1008403361345</v>
      </c>
      <c r="Y136" s="99">
        <f t="shared" si="51"/>
        <v>252.1008403361345</v>
      </c>
      <c r="Z136" s="100">
        <f t="shared" si="42"/>
        <v>272.36694677871151</v>
      </c>
      <c r="AA136" s="100">
        <f t="shared" si="52"/>
        <v>272.36694677871151</v>
      </c>
      <c r="AB136" s="78">
        <f t="shared" si="44"/>
        <v>19.086285724477559</v>
      </c>
      <c r="AC136" s="102">
        <f t="shared" si="56"/>
        <v>7.007563124017574E-2</v>
      </c>
      <c r="AD136" s="5"/>
      <c r="AF136" s="7" t="s">
        <v>570</v>
      </c>
      <c r="AG136" s="7">
        <v>18</v>
      </c>
      <c r="AH136" s="7" t="s">
        <v>625</v>
      </c>
      <c r="BG136" s="7">
        <v>7</v>
      </c>
      <c r="DA136" s="7" t="e">
        <f>VLOOKUP(C136,listaBolsa!$D$2:$BA$248,1,0)</f>
        <v>#N/A</v>
      </c>
      <c r="DB136" s="7" t="e">
        <f>VLOOKUP(C136,listaBolsa!$D$2:$BA$248,2,0)</f>
        <v>#N/A</v>
      </c>
      <c r="DC136" s="7" t="e">
        <f>VLOOKUP(C136,listaBolsa!$D$2:$BA$248,10,0)</f>
        <v>#N/A</v>
      </c>
      <c r="DD136" s="7" t="e">
        <f>VLOOKUP(C136,listaBolsa!$D$2:$BA$248,14,0)</f>
        <v>#N/A</v>
      </c>
      <c r="DE136" s="7" t="e">
        <f>VLOOKUP(C136,listaBolsa!$D$2:$BA$248,23,0)</f>
        <v>#N/A</v>
      </c>
      <c r="DF136" s="7" t="e">
        <f>VLOOKUP(C136,listaBolsa!$D$2:$BA$248,29,0)</f>
        <v>#N/A</v>
      </c>
      <c r="DG136" s="7" t="e">
        <f>VLOOKUP(C136,listaBolsa!$D$2:$BA$248,36,0)</f>
        <v>#N/A</v>
      </c>
      <c r="DH136" s="7" t="e">
        <f>VLOOKUP(C136,listaBolsa!$D$2:$BA$248,40,0)</f>
        <v>#N/A</v>
      </c>
      <c r="DI136" s="7" t="e">
        <f>VLOOKUP(C136,listaBolsa!$D$2:$BA$248,48,0)</f>
        <v>#N/A</v>
      </c>
      <c r="DJ136" s="7" t="e">
        <f t="shared" si="55"/>
        <v>#N/A</v>
      </c>
      <c r="DK136" s="7" t="e">
        <f t="shared" si="55"/>
        <v>#N/A</v>
      </c>
      <c r="DL136" s="7" t="e">
        <f t="shared" si="57"/>
        <v>#N/A</v>
      </c>
      <c r="DM136" s="7" t="e">
        <f t="shared" si="57"/>
        <v>#N/A</v>
      </c>
      <c r="DN136" s="7" t="e">
        <f t="shared" si="58"/>
        <v>#N/A</v>
      </c>
      <c r="DO136" s="7" t="e">
        <f t="shared" si="58"/>
        <v>#N/A</v>
      </c>
      <c r="DP136" s="7" t="e">
        <f t="shared" si="59"/>
        <v>#N/A</v>
      </c>
      <c r="DQ136" s="7" t="e">
        <f t="shared" si="59"/>
        <v>#N/A</v>
      </c>
      <c r="DR136" s="7" t="e">
        <f t="shared" si="40"/>
        <v>#N/A</v>
      </c>
    </row>
    <row r="137" spans="1:122" s="7" customFormat="1" ht="79.5" customHeight="1">
      <c r="A137" s="75">
        <f t="shared" si="54"/>
        <v>123</v>
      </c>
      <c r="B137" s="538" t="s">
        <v>579</v>
      </c>
      <c r="C137" s="351" t="s">
        <v>626</v>
      </c>
      <c r="D137" s="351" t="s">
        <v>622</v>
      </c>
      <c r="E137" s="193" t="s">
        <v>568</v>
      </c>
      <c r="F137" s="75">
        <v>1</v>
      </c>
      <c r="G137" s="75" t="s">
        <v>192</v>
      </c>
      <c r="H137" s="106" t="s">
        <v>380</v>
      </c>
      <c r="I137" s="107">
        <v>280</v>
      </c>
      <c r="J137" s="96"/>
      <c r="K137" s="96">
        <f t="shared" si="30"/>
        <v>280</v>
      </c>
      <c r="L137" s="96">
        <f t="shared" si="46"/>
        <v>280</v>
      </c>
      <c r="M137" s="96">
        <f t="shared" si="47"/>
        <v>280</v>
      </c>
      <c r="N137" s="108" t="s">
        <v>382</v>
      </c>
      <c r="O137" s="109">
        <v>216</v>
      </c>
      <c r="P137" s="110"/>
      <c r="Q137" s="110">
        <f t="shared" si="33"/>
        <v>216</v>
      </c>
      <c r="R137" s="110">
        <f t="shared" si="48"/>
        <v>216</v>
      </c>
      <c r="S137" s="110">
        <f t="shared" si="49"/>
        <v>216</v>
      </c>
      <c r="T137" s="97" t="s">
        <v>381</v>
      </c>
      <c r="U137" s="98">
        <v>250</v>
      </c>
      <c r="V137" s="99"/>
      <c r="W137" s="99">
        <f t="shared" si="37"/>
        <v>250</v>
      </c>
      <c r="X137" s="99">
        <f t="shared" si="50"/>
        <v>250</v>
      </c>
      <c r="Y137" s="99">
        <f t="shared" si="51"/>
        <v>250</v>
      </c>
      <c r="Z137" s="100">
        <f t="shared" si="42"/>
        <v>248.66666666666666</v>
      </c>
      <c r="AA137" s="100">
        <f t="shared" si="52"/>
        <v>248.66666666666666</v>
      </c>
      <c r="AB137" s="78">
        <f t="shared" si="44"/>
        <v>32.020826556060797</v>
      </c>
      <c r="AC137" s="102">
        <f t="shared" si="56"/>
        <v>0.12877007998415871</v>
      </c>
      <c r="AD137" s="5"/>
      <c r="AF137" s="7" t="s">
        <v>570</v>
      </c>
      <c r="AG137" s="7">
        <v>19</v>
      </c>
      <c r="AH137" s="7" t="s">
        <v>627</v>
      </c>
      <c r="BG137" s="7">
        <v>8</v>
      </c>
      <c r="DA137" s="7" t="e">
        <f>VLOOKUP(C137,listaBolsa!$D$2:$BA$248,1,0)</f>
        <v>#N/A</v>
      </c>
      <c r="DB137" s="7" t="e">
        <f>VLOOKUP(C137,listaBolsa!$D$2:$BA$248,2,0)</f>
        <v>#N/A</v>
      </c>
      <c r="DC137" s="7" t="e">
        <f>VLOOKUP(C137,listaBolsa!$D$2:$BA$248,10,0)</f>
        <v>#N/A</v>
      </c>
      <c r="DD137" s="7" t="e">
        <f>VLOOKUP(C137,listaBolsa!$D$2:$BA$248,14,0)</f>
        <v>#N/A</v>
      </c>
      <c r="DE137" s="7" t="e">
        <f>VLOOKUP(C137,listaBolsa!$D$2:$BA$248,23,0)</f>
        <v>#N/A</v>
      </c>
      <c r="DF137" s="7" t="e">
        <f>VLOOKUP(C137,listaBolsa!$D$2:$BA$248,29,0)</f>
        <v>#N/A</v>
      </c>
      <c r="DG137" s="7" t="e">
        <f>VLOOKUP(C137,listaBolsa!$D$2:$BA$248,36,0)</f>
        <v>#N/A</v>
      </c>
      <c r="DH137" s="7" t="e">
        <f>VLOOKUP(C137,listaBolsa!$D$2:$BA$248,40,0)</f>
        <v>#N/A</v>
      </c>
      <c r="DI137" s="7" t="e">
        <f>VLOOKUP(C137,listaBolsa!$D$2:$BA$248,48,0)</f>
        <v>#N/A</v>
      </c>
      <c r="DJ137" s="7" t="e">
        <f t="shared" si="55"/>
        <v>#N/A</v>
      </c>
      <c r="DK137" s="7" t="e">
        <f t="shared" si="55"/>
        <v>#N/A</v>
      </c>
      <c r="DL137" s="7" t="e">
        <f t="shared" si="57"/>
        <v>#N/A</v>
      </c>
      <c r="DM137" s="7" t="e">
        <f t="shared" si="57"/>
        <v>#N/A</v>
      </c>
      <c r="DN137" s="7" t="e">
        <f t="shared" si="58"/>
        <v>#N/A</v>
      </c>
      <c r="DO137" s="7" t="e">
        <f t="shared" si="58"/>
        <v>#N/A</v>
      </c>
      <c r="DP137" s="7" t="e">
        <f t="shared" si="59"/>
        <v>#N/A</v>
      </c>
      <c r="DQ137" s="7" t="e">
        <f t="shared" si="59"/>
        <v>#N/A</v>
      </c>
      <c r="DR137" s="7" t="e">
        <f t="shared" si="40"/>
        <v>#N/A</v>
      </c>
    </row>
    <row r="138" spans="1:122" s="7" customFormat="1" ht="79.5" customHeight="1">
      <c r="A138" s="75">
        <f t="shared" si="54"/>
        <v>124</v>
      </c>
      <c r="B138" s="538" t="s">
        <v>579</v>
      </c>
      <c r="C138" s="351" t="s">
        <v>628</v>
      </c>
      <c r="D138" s="351" t="s">
        <v>622</v>
      </c>
      <c r="E138" s="193" t="s">
        <v>568</v>
      </c>
      <c r="F138" s="75">
        <v>1</v>
      </c>
      <c r="G138" s="75" t="s">
        <v>192</v>
      </c>
      <c r="H138" s="106" t="s">
        <v>380</v>
      </c>
      <c r="I138" s="107">
        <v>320</v>
      </c>
      <c r="J138" s="96"/>
      <c r="K138" s="96">
        <f t="shared" si="30"/>
        <v>320</v>
      </c>
      <c r="L138" s="96">
        <f t="shared" si="46"/>
        <v>320</v>
      </c>
      <c r="M138" s="96">
        <f t="shared" si="47"/>
        <v>320</v>
      </c>
      <c r="N138" s="108" t="s">
        <v>381</v>
      </c>
      <c r="O138" s="109">
        <v>300</v>
      </c>
      <c r="P138" s="110"/>
      <c r="Q138" s="110">
        <f t="shared" si="33"/>
        <v>300</v>
      </c>
      <c r="R138" s="110">
        <f t="shared" si="48"/>
        <v>300</v>
      </c>
      <c r="S138" s="110">
        <f t="shared" si="49"/>
        <v>300</v>
      </c>
      <c r="T138" s="97" t="s">
        <v>382</v>
      </c>
      <c r="U138" s="98">
        <v>246</v>
      </c>
      <c r="V138" s="99"/>
      <c r="W138" s="99">
        <f t="shared" si="37"/>
        <v>246</v>
      </c>
      <c r="X138" s="99">
        <f t="shared" si="50"/>
        <v>246</v>
      </c>
      <c r="Y138" s="99">
        <f t="shared" si="51"/>
        <v>246</v>
      </c>
      <c r="Z138" s="100">
        <f t="shared" si="42"/>
        <v>288.66666666666669</v>
      </c>
      <c r="AA138" s="100">
        <f t="shared" si="52"/>
        <v>288.66666666666669</v>
      </c>
      <c r="AB138" s="78">
        <f t="shared" si="44"/>
        <v>38.27967258654818</v>
      </c>
      <c r="AC138" s="102">
        <f t="shared" si="56"/>
        <v>0.1326085655423147</v>
      </c>
      <c r="AD138" s="5"/>
      <c r="AF138" s="7" t="s">
        <v>570</v>
      </c>
      <c r="AG138" s="7">
        <v>20</v>
      </c>
      <c r="AH138" s="7" t="s">
        <v>629</v>
      </c>
      <c r="BG138" s="7">
        <v>9</v>
      </c>
      <c r="DA138" s="7" t="e">
        <f>VLOOKUP(C138,listaBolsa!$D$2:$BA$248,1,0)</f>
        <v>#N/A</v>
      </c>
      <c r="DB138" s="7" t="e">
        <f>VLOOKUP(C138,listaBolsa!$D$2:$BA$248,2,0)</f>
        <v>#N/A</v>
      </c>
      <c r="DC138" s="7" t="e">
        <f>VLOOKUP(C138,listaBolsa!$D$2:$BA$248,10,0)</f>
        <v>#N/A</v>
      </c>
      <c r="DD138" s="7" t="e">
        <f>VLOOKUP(C138,listaBolsa!$D$2:$BA$248,14,0)</f>
        <v>#N/A</v>
      </c>
      <c r="DE138" s="7" t="e">
        <f>VLOOKUP(C138,listaBolsa!$D$2:$BA$248,23,0)</f>
        <v>#N/A</v>
      </c>
      <c r="DF138" s="7" t="e">
        <f>VLOOKUP(C138,listaBolsa!$D$2:$BA$248,29,0)</f>
        <v>#N/A</v>
      </c>
      <c r="DG138" s="7" t="e">
        <f>VLOOKUP(C138,listaBolsa!$D$2:$BA$248,36,0)</f>
        <v>#N/A</v>
      </c>
      <c r="DH138" s="7" t="e">
        <f>VLOOKUP(C138,listaBolsa!$D$2:$BA$248,40,0)</f>
        <v>#N/A</v>
      </c>
      <c r="DI138" s="7" t="e">
        <f>VLOOKUP(C138,listaBolsa!$D$2:$BA$248,48,0)</f>
        <v>#N/A</v>
      </c>
      <c r="DJ138" s="7" t="e">
        <f t="shared" si="55"/>
        <v>#N/A</v>
      </c>
      <c r="DK138" s="7" t="e">
        <f t="shared" si="55"/>
        <v>#N/A</v>
      </c>
      <c r="DL138" s="7" t="e">
        <f t="shared" si="57"/>
        <v>#N/A</v>
      </c>
      <c r="DM138" s="7" t="e">
        <f t="shared" si="57"/>
        <v>#N/A</v>
      </c>
      <c r="DN138" s="7" t="e">
        <f t="shared" si="58"/>
        <v>#N/A</v>
      </c>
      <c r="DO138" s="7" t="e">
        <f t="shared" si="58"/>
        <v>#N/A</v>
      </c>
      <c r="DP138" s="7" t="e">
        <f t="shared" si="59"/>
        <v>#N/A</v>
      </c>
      <c r="DQ138" s="7" t="e">
        <f t="shared" si="59"/>
        <v>#N/A</v>
      </c>
      <c r="DR138" s="7" t="e">
        <f t="shared" si="40"/>
        <v>#N/A</v>
      </c>
    </row>
    <row r="139" spans="1:122" s="7" customFormat="1" ht="79.5" customHeight="1">
      <c r="A139" s="75">
        <f t="shared" si="54"/>
        <v>125</v>
      </c>
      <c r="B139" s="538" t="s">
        <v>579</v>
      </c>
      <c r="C139" s="351" t="s">
        <v>630</v>
      </c>
      <c r="D139" s="351" t="s">
        <v>622</v>
      </c>
      <c r="E139" s="193" t="s">
        <v>568</v>
      </c>
      <c r="F139" s="75">
        <v>1</v>
      </c>
      <c r="G139" s="75" t="s">
        <v>192</v>
      </c>
      <c r="H139" s="106" t="s">
        <v>380</v>
      </c>
      <c r="I139" s="107">
        <v>320</v>
      </c>
      <c r="J139" s="96"/>
      <c r="K139" s="96">
        <f t="shared" si="30"/>
        <v>320</v>
      </c>
      <c r="L139" s="96">
        <f t="shared" si="46"/>
        <v>320</v>
      </c>
      <c r="M139" s="96">
        <f t="shared" si="47"/>
        <v>320</v>
      </c>
      <c r="N139" s="108" t="s">
        <v>381</v>
      </c>
      <c r="O139" s="109">
        <v>300</v>
      </c>
      <c r="P139" s="110"/>
      <c r="Q139" s="110">
        <f t="shared" si="33"/>
        <v>300</v>
      </c>
      <c r="R139" s="110">
        <f t="shared" si="48"/>
        <v>300</v>
      </c>
      <c r="S139" s="110">
        <f t="shared" si="49"/>
        <v>300</v>
      </c>
      <c r="T139" s="97" t="s">
        <v>382</v>
      </c>
      <c r="U139" s="98">
        <v>255</v>
      </c>
      <c r="V139" s="99"/>
      <c r="W139" s="99">
        <f t="shared" si="37"/>
        <v>255</v>
      </c>
      <c r="X139" s="99">
        <f t="shared" si="50"/>
        <v>255</v>
      </c>
      <c r="Y139" s="99">
        <f t="shared" si="51"/>
        <v>255</v>
      </c>
      <c r="Z139" s="100">
        <f t="shared" si="42"/>
        <v>291.66666666666669</v>
      </c>
      <c r="AA139" s="100">
        <f t="shared" si="52"/>
        <v>291.66666666666669</v>
      </c>
      <c r="AB139" s="78">
        <f t="shared" si="44"/>
        <v>33.291640592396966</v>
      </c>
      <c r="AC139" s="102">
        <f t="shared" si="56"/>
        <v>0.11414276774536102</v>
      </c>
      <c r="AD139" s="5"/>
      <c r="AF139" s="7" t="s">
        <v>570</v>
      </c>
      <c r="AG139" s="7">
        <v>21</v>
      </c>
      <c r="AH139" s="7" t="s">
        <v>631</v>
      </c>
      <c r="BG139" s="7">
        <v>10</v>
      </c>
      <c r="DA139" s="7" t="e">
        <f>VLOOKUP(C139,listaBolsa!$D$2:$BA$248,1,0)</f>
        <v>#N/A</v>
      </c>
      <c r="DB139" s="7" t="e">
        <f>VLOOKUP(C139,listaBolsa!$D$2:$BA$248,2,0)</f>
        <v>#N/A</v>
      </c>
      <c r="DC139" s="7" t="e">
        <f>VLOOKUP(C139,listaBolsa!$D$2:$BA$248,10,0)</f>
        <v>#N/A</v>
      </c>
      <c r="DD139" s="7" t="e">
        <f>VLOOKUP(C139,listaBolsa!$D$2:$BA$248,14,0)</f>
        <v>#N/A</v>
      </c>
      <c r="DE139" s="7" t="e">
        <f>VLOOKUP(C139,listaBolsa!$D$2:$BA$248,23,0)</f>
        <v>#N/A</v>
      </c>
      <c r="DF139" s="7" t="e">
        <f>VLOOKUP(C139,listaBolsa!$D$2:$BA$248,29,0)</f>
        <v>#N/A</v>
      </c>
      <c r="DG139" s="7" t="e">
        <f>VLOOKUP(C139,listaBolsa!$D$2:$BA$248,36,0)</f>
        <v>#N/A</v>
      </c>
      <c r="DH139" s="7" t="e">
        <f>VLOOKUP(C139,listaBolsa!$D$2:$BA$248,40,0)</f>
        <v>#N/A</v>
      </c>
      <c r="DI139" s="7" t="e">
        <f>VLOOKUP(C139,listaBolsa!$D$2:$BA$248,48,0)</f>
        <v>#N/A</v>
      </c>
      <c r="DJ139" s="7" t="e">
        <f t="shared" si="55"/>
        <v>#N/A</v>
      </c>
      <c r="DK139" s="7" t="e">
        <f t="shared" si="55"/>
        <v>#N/A</v>
      </c>
      <c r="DL139" s="7" t="e">
        <f t="shared" si="57"/>
        <v>#N/A</v>
      </c>
      <c r="DM139" s="7" t="e">
        <f t="shared" si="57"/>
        <v>#N/A</v>
      </c>
      <c r="DN139" s="7" t="e">
        <f t="shared" si="58"/>
        <v>#N/A</v>
      </c>
      <c r="DO139" s="7" t="e">
        <f t="shared" si="58"/>
        <v>#N/A</v>
      </c>
      <c r="DP139" s="7" t="e">
        <f t="shared" si="59"/>
        <v>#N/A</v>
      </c>
      <c r="DQ139" s="7" t="e">
        <f t="shared" si="59"/>
        <v>#N/A</v>
      </c>
      <c r="DR139" s="7" t="e">
        <f t="shared" si="40"/>
        <v>#N/A</v>
      </c>
    </row>
    <row r="140" spans="1:122" s="7" customFormat="1" ht="79.5" customHeight="1">
      <c r="A140" s="75">
        <f t="shared" si="54"/>
        <v>126</v>
      </c>
      <c r="B140" s="538" t="s">
        <v>579</v>
      </c>
      <c r="C140" s="351" t="s">
        <v>632</v>
      </c>
      <c r="D140" s="351" t="s">
        <v>622</v>
      </c>
      <c r="E140" s="193" t="s">
        <v>568</v>
      </c>
      <c r="F140" s="75">
        <v>1</v>
      </c>
      <c r="G140" s="75" t="s">
        <v>192</v>
      </c>
      <c r="H140" s="106" t="s">
        <v>603</v>
      </c>
      <c r="I140" s="107">
        <v>1500</v>
      </c>
      <c r="J140" s="96"/>
      <c r="K140" s="96">
        <f t="shared" si="30"/>
        <v>1500</v>
      </c>
      <c r="L140" s="96">
        <f t="shared" si="46"/>
        <v>1500</v>
      </c>
      <c r="M140" s="96">
        <f t="shared" si="47"/>
        <v>1500</v>
      </c>
      <c r="N140" s="108" t="s">
        <v>604</v>
      </c>
      <c r="O140" s="109">
        <v>1200</v>
      </c>
      <c r="P140" s="110"/>
      <c r="Q140" s="110">
        <f t="shared" si="33"/>
        <v>1200</v>
      </c>
      <c r="R140" s="110">
        <f t="shared" si="48"/>
        <v>1200</v>
      </c>
      <c r="S140" s="110">
        <f t="shared" si="49"/>
        <v>1200</v>
      </c>
      <c r="T140" s="97" t="s">
        <v>605</v>
      </c>
      <c r="U140" s="98">
        <v>1500</v>
      </c>
      <c r="V140" s="99"/>
      <c r="W140" s="99">
        <f t="shared" si="37"/>
        <v>1500</v>
      </c>
      <c r="X140" s="99">
        <f t="shared" si="50"/>
        <v>1500</v>
      </c>
      <c r="Y140" s="99">
        <f t="shared" si="51"/>
        <v>1500</v>
      </c>
      <c r="Z140" s="100">
        <f t="shared" si="42"/>
        <v>1400</v>
      </c>
      <c r="AA140" s="100">
        <f t="shared" si="52"/>
        <v>1400</v>
      </c>
      <c r="AB140" s="78">
        <f t="shared" si="44"/>
        <v>173.20508075688772</v>
      </c>
      <c r="AC140" s="102">
        <f t="shared" si="56"/>
        <v>0.12371791482634838</v>
      </c>
      <c r="AD140" s="5"/>
      <c r="AF140" s="7" t="s">
        <v>570</v>
      </c>
      <c r="AG140" s="7">
        <v>22</v>
      </c>
      <c r="AH140" s="7" t="s">
        <v>633</v>
      </c>
      <c r="BG140" s="7">
        <v>11</v>
      </c>
      <c r="DA140" s="7" t="e">
        <f>VLOOKUP(C140,listaBolsa!$D$2:$BA$248,1,0)</f>
        <v>#N/A</v>
      </c>
      <c r="DB140" s="7" t="e">
        <f>VLOOKUP(C140,listaBolsa!$D$2:$BA$248,2,0)</f>
        <v>#N/A</v>
      </c>
      <c r="DC140" s="7" t="e">
        <f>VLOOKUP(C140,listaBolsa!$D$2:$BA$248,10,0)</f>
        <v>#N/A</v>
      </c>
      <c r="DD140" s="7" t="e">
        <f>VLOOKUP(C140,listaBolsa!$D$2:$BA$248,14,0)</f>
        <v>#N/A</v>
      </c>
      <c r="DE140" s="7" t="e">
        <f>VLOOKUP(C140,listaBolsa!$D$2:$BA$248,23,0)</f>
        <v>#N/A</v>
      </c>
      <c r="DF140" s="7" t="e">
        <f>VLOOKUP(C140,listaBolsa!$D$2:$BA$248,29,0)</f>
        <v>#N/A</v>
      </c>
      <c r="DG140" s="7" t="e">
        <f>VLOOKUP(C140,listaBolsa!$D$2:$BA$248,36,0)</f>
        <v>#N/A</v>
      </c>
      <c r="DH140" s="7" t="e">
        <f>VLOOKUP(C140,listaBolsa!$D$2:$BA$248,40,0)</f>
        <v>#N/A</v>
      </c>
      <c r="DI140" s="7" t="e">
        <f>VLOOKUP(C140,listaBolsa!$D$2:$BA$248,48,0)</f>
        <v>#N/A</v>
      </c>
      <c r="DJ140" s="7" t="e">
        <f t="shared" si="55"/>
        <v>#N/A</v>
      </c>
      <c r="DK140" s="7" t="e">
        <f t="shared" si="55"/>
        <v>#N/A</v>
      </c>
      <c r="DL140" s="7" t="e">
        <f t="shared" si="57"/>
        <v>#N/A</v>
      </c>
      <c r="DM140" s="7" t="e">
        <f t="shared" si="57"/>
        <v>#N/A</v>
      </c>
      <c r="DN140" s="7" t="e">
        <f t="shared" si="58"/>
        <v>#N/A</v>
      </c>
      <c r="DO140" s="7" t="e">
        <f t="shared" si="58"/>
        <v>#N/A</v>
      </c>
      <c r="DP140" s="7" t="e">
        <f t="shared" si="59"/>
        <v>#N/A</v>
      </c>
      <c r="DQ140" s="7" t="e">
        <f t="shared" si="59"/>
        <v>#N/A</v>
      </c>
      <c r="DR140" s="7" t="e">
        <f t="shared" si="40"/>
        <v>#N/A</v>
      </c>
    </row>
    <row r="141" spans="1:122" s="7" customFormat="1" ht="79.5" customHeight="1">
      <c r="A141" s="75">
        <f t="shared" si="54"/>
        <v>127</v>
      </c>
      <c r="B141" s="538" t="s">
        <v>579</v>
      </c>
      <c r="C141" s="351" t="s">
        <v>634</v>
      </c>
      <c r="D141" s="351" t="s">
        <v>622</v>
      </c>
      <c r="E141" s="193" t="s">
        <v>568</v>
      </c>
      <c r="F141" s="75">
        <v>1</v>
      </c>
      <c r="G141" s="75" t="s">
        <v>192</v>
      </c>
      <c r="H141" s="106" t="s">
        <v>380</v>
      </c>
      <c r="I141" s="107">
        <v>240</v>
      </c>
      <c r="J141" s="96"/>
      <c r="K141" s="96">
        <f t="shared" si="30"/>
        <v>240</v>
      </c>
      <c r="L141" s="96">
        <f t="shared" si="46"/>
        <v>240</v>
      </c>
      <c r="M141" s="96">
        <f t="shared" si="47"/>
        <v>240</v>
      </c>
      <c r="N141" s="108" t="s">
        <v>381</v>
      </c>
      <c r="O141" s="109">
        <v>250</v>
      </c>
      <c r="P141" s="110"/>
      <c r="Q141" s="110">
        <f t="shared" si="33"/>
        <v>250</v>
      </c>
      <c r="R141" s="110">
        <f t="shared" si="48"/>
        <v>250</v>
      </c>
      <c r="S141" s="110">
        <f t="shared" si="49"/>
        <v>250</v>
      </c>
      <c r="T141" s="97" t="s">
        <v>382</v>
      </c>
      <c r="U141" s="98">
        <v>224</v>
      </c>
      <c r="V141" s="99"/>
      <c r="W141" s="99">
        <f t="shared" si="37"/>
        <v>224</v>
      </c>
      <c r="X141" s="99">
        <f t="shared" si="50"/>
        <v>224</v>
      </c>
      <c r="Y141" s="99">
        <f t="shared" si="51"/>
        <v>224</v>
      </c>
      <c r="Z141" s="100">
        <f t="shared" si="42"/>
        <v>238</v>
      </c>
      <c r="AA141" s="100">
        <f t="shared" si="52"/>
        <v>238</v>
      </c>
      <c r="AB141" s="78">
        <f t="shared" si="44"/>
        <v>13.114877048604001</v>
      </c>
      <c r="AC141" s="102">
        <f t="shared" si="56"/>
        <v>5.5104525414302524E-2</v>
      </c>
      <c r="AD141" s="5"/>
      <c r="AF141" s="7" t="s">
        <v>570</v>
      </c>
      <c r="AG141" s="7">
        <v>23</v>
      </c>
      <c r="AH141" s="7" t="s">
        <v>635</v>
      </c>
      <c r="BG141" s="7">
        <v>12</v>
      </c>
      <c r="DA141" s="7" t="e">
        <f>VLOOKUP(C141,listaBolsa!$D$2:$BA$248,1,0)</f>
        <v>#N/A</v>
      </c>
      <c r="DB141" s="7" t="e">
        <f>VLOOKUP(C141,listaBolsa!$D$2:$BA$248,2,0)</f>
        <v>#N/A</v>
      </c>
      <c r="DC141" s="7" t="e">
        <f>VLOOKUP(C141,listaBolsa!$D$2:$BA$248,10,0)</f>
        <v>#N/A</v>
      </c>
      <c r="DD141" s="7" t="e">
        <f>VLOOKUP(C141,listaBolsa!$D$2:$BA$248,14,0)</f>
        <v>#N/A</v>
      </c>
      <c r="DE141" s="7" t="e">
        <f>VLOOKUP(C141,listaBolsa!$D$2:$BA$248,23,0)</f>
        <v>#N/A</v>
      </c>
      <c r="DF141" s="7" t="e">
        <f>VLOOKUP(C141,listaBolsa!$D$2:$BA$248,29,0)</f>
        <v>#N/A</v>
      </c>
      <c r="DG141" s="7" t="e">
        <f>VLOOKUP(C141,listaBolsa!$D$2:$BA$248,36,0)</f>
        <v>#N/A</v>
      </c>
      <c r="DH141" s="7" t="e">
        <f>VLOOKUP(C141,listaBolsa!$D$2:$BA$248,40,0)</f>
        <v>#N/A</v>
      </c>
      <c r="DI141" s="7" t="e">
        <f>VLOOKUP(C141,listaBolsa!$D$2:$BA$248,48,0)</f>
        <v>#N/A</v>
      </c>
      <c r="DJ141" s="7" t="e">
        <f t="shared" si="55"/>
        <v>#N/A</v>
      </c>
      <c r="DK141" s="7" t="e">
        <f t="shared" si="55"/>
        <v>#N/A</v>
      </c>
      <c r="DL141" s="7" t="e">
        <f t="shared" si="57"/>
        <v>#N/A</v>
      </c>
      <c r="DM141" s="7" t="e">
        <f t="shared" si="57"/>
        <v>#N/A</v>
      </c>
      <c r="DN141" s="7" t="e">
        <f t="shared" si="58"/>
        <v>#N/A</v>
      </c>
      <c r="DO141" s="7" t="e">
        <f t="shared" si="58"/>
        <v>#N/A</v>
      </c>
      <c r="DP141" s="7" t="e">
        <f t="shared" si="59"/>
        <v>#N/A</v>
      </c>
      <c r="DQ141" s="7" t="e">
        <f t="shared" si="59"/>
        <v>#N/A</v>
      </c>
      <c r="DR141" s="7" t="e">
        <f t="shared" si="40"/>
        <v>#N/A</v>
      </c>
    </row>
    <row r="142" spans="1:122" s="7" customFormat="1" ht="79.5" customHeight="1">
      <c r="A142" s="75">
        <f t="shared" si="54"/>
        <v>128</v>
      </c>
      <c r="B142" s="538" t="s">
        <v>579</v>
      </c>
      <c r="C142" s="351" t="s">
        <v>636</v>
      </c>
      <c r="D142" s="351" t="s">
        <v>622</v>
      </c>
      <c r="E142" s="193" t="s">
        <v>568</v>
      </c>
      <c r="F142" s="75">
        <v>1</v>
      </c>
      <c r="G142" s="75" t="s">
        <v>192</v>
      </c>
      <c r="H142" s="106" t="s">
        <v>603</v>
      </c>
      <c r="I142" s="107">
        <v>1500</v>
      </c>
      <c r="J142" s="96"/>
      <c r="K142" s="96">
        <f t="shared" si="30"/>
        <v>1500</v>
      </c>
      <c r="L142" s="96">
        <f t="shared" si="46"/>
        <v>1500</v>
      </c>
      <c r="M142" s="96">
        <f t="shared" si="47"/>
        <v>1500</v>
      </c>
      <c r="N142" s="108" t="s">
        <v>637</v>
      </c>
      <c r="O142" s="109">
        <v>1200</v>
      </c>
      <c r="P142" s="110"/>
      <c r="Q142" s="110">
        <f t="shared" si="33"/>
        <v>1200</v>
      </c>
      <c r="R142" s="110">
        <f t="shared" si="48"/>
        <v>1200</v>
      </c>
      <c r="S142" s="110">
        <f t="shared" si="49"/>
        <v>1200</v>
      </c>
      <c r="T142" s="97" t="s">
        <v>605</v>
      </c>
      <c r="U142" s="98">
        <v>1500</v>
      </c>
      <c r="V142" s="99"/>
      <c r="W142" s="99">
        <f t="shared" si="37"/>
        <v>1500</v>
      </c>
      <c r="X142" s="99">
        <f t="shared" si="50"/>
        <v>1500</v>
      </c>
      <c r="Y142" s="99">
        <f t="shared" si="51"/>
        <v>1500</v>
      </c>
      <c r="Z142" s="100">
        <f t="shared" si="42"/>
        <v>1400</v>
      </c>
      <c r="AA142" s="100">
        <f t="shared" si="52"/>
        <v>1400</v>
      </c>
      <c r="AB142" s="78">
        <f t="shared" si="44"/>
        <v>173.20508075688772</v>
      </c>
      <c r="AC142" s="102">
        <f t="shared" si="56"/>
        <v>0.12371791482634838</v>
      </c>
      <c r="AD142" s="5"/>
      <c r="AF142" s="7" t="s">
        <v>570</v>
      </c>
      <c r="AG142" s="7">
        <v>24</v>
      </c>
      <c r="AH142" s="7" t="s">
        <v>638</v>
      </c>
      <c r="BG142" s="7">
        <v>13</v>
      </c>
      <c r="DA142" s="7" t="e">
        <f>VLOOKUP(C142,listaBolsa!$D$2:$BA$248,1,0)</f>
        <v>#N/A</v>
      </c>
      <c r="DB142" s="7" t="e">
        <f>VLOOKUP(C142,listaBolsa!$D$2:$BA$248,2,0)</f>
        <v>#N/A</v>
      </c>
      <c r="DC142" s="7" t="e">
        <f>VLOOKUP(C142,listaBolsa!$D$2:$BA$248,10,0)</f>
        <v>#N/A</v>
      </c>
      <c r="DD142" s="7" t="e">
        <f>VLOOKUP(C142,listaBolsa!$D$2:$BA$248,14,0)</f>
        <v>#N/A</v>
      </c>
      <c r="DE142" s="7" t="e">
        <f>VLOOKUP(C142,listaBolsa!$D$2:$BA$248,23,0)</f>
        <v>#N/A</v>
      </c>
      <c r="DF142" s="7" t="e">
        <f>VLOOKUP(C142,listaBolsa!$D$2:$BA$248,29,0)</f>
        <v>#N/A</v>
      </c>
      <c r="DG142" s="7" t="e">
        <f>VLOOKUP(C142,listaBolsa!$D$2:$BA$248,36,0)</f>
        <v>#N/A</v>
      </c>
      <c r="DH142" s="7" t="e">
        <f>VLOOKUP(C142,listaBolsa!$D$2:$BA$248,40,0)</f>
        <v>#N/A</v>
      </c>
      <c r="DI142" s="7" t="e">
        <f>VLOOKUP(C142,listaBolsa!$D$2:$BA$248,48,0)</f>
        <v>#N/A</v>
      </c>
      <c r="DJ142" s="7" t="e">
        <f t="shared" si="55"/>
        <v>#N/A</v>
      </c>
      <c r="DK142" s="7" t="e">
        <f t="shared" si="55"/>
        <v>#N/A</v>
      </c>
      <c r="DL142" s="7" t="e">
        <f t="shared" si="57"/>
        <v>#N/A</v>
      </c>
      <c r="DM142" s="7" t="e">
        <f t="shared" si="57"/>
        <v>#N/A</v>
      </c>
      <c r="DN142" s="7" t="e">
        <f t="shared" si="58"/>
        <v>#N/A</v>
      </c>
      <c r="DO142" s="7" t="e">
        <f t="shared" si="58"/>
        <v>#N/A</v>
      </c>
      <c r="DP142" s="7" t="e">
        <f t="shared" si="59"/>
        <v>#N/A</v>
      </c>
      <c r="DQ142" s="7" t="e">
        <f t="shared" si="59"/>
        <v>#N/A</v>
      </c>
      <c r="DR142" s="7" t="e">
        <f t="shared" si="40"/>
        <v>#N/A</v>
      </c>
    </row>
    <row r="143" spans="1:122" s="7" customFormat="1" ht="79.5" customHeight="1">
      <c r="A143" s="75">
        <f t="shared" si="54"/>
        <v>129</v>
      </c>
      <c r="B143" s="538" t="s">
        <v>579</v>
      </c>
      <c r="C143" s="351" t="s">
        <v>639</v>
      </c>
      <c r="D143" s="351" t="s">
        <v>622</v>
      </c>
      <c r="E143" s="193" t="s">
        <v>568</v>
      </c>
      <c r="F143" s="75">
        <v>1</v>
      </c>
      <c r="G143" s="75" t="s">
        <v>192</v>
      </c>
      <c r="H143" s="106" t="s">
        <v>380</v>
      </c>
      <c r="I143" s="107">
        <v>220</v>
      </c>
      <c r="J143" s="96"/>
      <c r="K143" s="96">
        <f t="shared" ref="K143:K206" si="60">I143+J143</f>
        <v>220</v>
      </c>
      <c r="L143" s="96">
        <f t="shared" si="46"/>
        <v>220</v>
      </c>
      <c r="M143" s="96">
        <f t="shared" si="47"/>
        <v>220</v>
      </c>
      <c r="N143" s="108" t="s">
        <v>381</v>
      </c>
      <c r="O143" s="109">
        <v>200</v>
      </c>
      <c r="P143" s="110"/>
      <c r="Q143" s="110">
        <f t="shared" ref="Q143:Q206" si="61">O143+P143</f>
        <v>200</v>
      </c>
      <c r="R143" s="110">
        <f t="shared" si="48"/>
        <v>200</v>
      </c>
      <c r="S143" s="110">
        <f t="shared" si="49"/>
        <v>200</v>
      </c>
      <c r="T143" s="97" t="s">
        <v>382</v>
      </c>
      <c r="U143" s="98">
        <v>154</v>
      </c>
      <c r="V143" s="99"/>
      <c r="W143" s="99">
        <f t="shared" ref="W143:W206" si="62">U143+V143</f>
        <v>154</v>
      </c>
      <c r="X143" s="99">
        <f t="shared" si="50"/>
        <v>154</v>
      </c>
      <c r="Y143" s="99">
        <f t="shared" si="51"/>
        <v>154</v>
      </c>
      <c r="Z143" s="100">
        <f t="shared" si="42"/>
        <v>191.33333333333334</v>
      </c>
      <c r="AA143" s="100">
        <f t="shared" si="52"/>
        <v>191.33333333333334</v>
      </c>
      <c r="AB143" s="78">
        <f t="shared" si="44"/>
        <v>33.842773723992181</v>
      </c>
      <c r="AC143" s="102">
        <f t="shared" si="56"/>
        <v>0.17687860831354799</v>
      </c>
      <c r="AD143" s="5"/>
      <c r="AF143" s="7" t="s">
        <v>570</v>
      </c>
      <c r="AG143" s="7">
        <v>25</v>
      </c>
      <c r="AH143" s="7" t="s">
        <v>640</v>
      </c>
      <c r="BG143" s="7">
        <v>14</v>
      </c>
      <c r="DA143" s="7" t="e">
        <f>VLOOKUP(C143,listaBolsa!$D$2:$BA$248,1,0)</f>
        <v>#N/A</v>
      </c>
      <c r="DB143" s="7" t="e">
        <f>VLOOKUP(C143,listaBolsa!$D$2:$BA$248,2,0)</f>
        <v>#N/A</v>
      </c>
      <c r="DC143" s="7" t="e">
        <f>VLOOKUP(C143,listaBolsa!$D$2:$BA$248,10,0)</f>
        <v>#N/A</v>
      </c>
      <c r="DD143" s="7" t="e">
        <f>VLOOKUP(C143,listaBolsa!$D$2:$BA$248,14,0)</f>
        <v>#N/A</v>
      </c>
      <c r="DE143" s="7" t="e">
        <f>VLOOKUP(C143,listaBolsa!$D$2:$BA$248,23,0)</f>
        <v>#N/A</v>
      </c>
      <c r="DF143" s="7" t="e">
        <f>VLOOKUP(C143,listaBolsa!$D$2:$BA$248,29,0)</f>
        <v>#N/A</v>
      </c>
      <c r="DG143" s="7" t="e">
        <f>VLOOKUP(C143,listaBolsa!$D$2:$BA$248,36,0)</f>
        <v>#N/A</v>
      </c>
      <c r="DH143" s="7" t="e">
        <f>VLOOKUP(C143,listaBolsa!$D$2:$BA$248,40,0)</f>
        <v>#N/A</v>
      </c>
      <c r="DI143" s="7" t="e">
        <f>VLOOKUP(C143,listaBolsa!$D$2:$BA$248,48,0)</f>
        <v>#N/A</v>
      </c>
      <c r="DJ143" s="7" t="e">
        <f t="shared" si="55"/>
        <v>#N/A</v>
      </c>
      <c r="DK143" s="7" t="e">
        <f t="shared" si="55"/>
        <v>#N/A</v>
      </c>
      <c r="DL143" s="7" t="e">
        <f t="shared" si="57"/>
        <v>#N/A</v>
      </c>
      <c r="DM143" s="7" t="e">
        <f t="shared" si="57"/>
        <v>#N/A</v>
      </c>
      <c r="DN143" s="7" t="e">
        <f t="shared" si="58"/>
        <v>#N/A</v>
      </c>
      <c r="DO143" s="7" t="e">
        <f t="shared" si="58"/>
        <v>#N/A</v>
      </c>
      <c r="DP143" s="7" t="e">
        <f t="shared" si="59"/>
        <v>#N/A</v>
      </c>
      <c r="DQ143" s="7" t="e">
        <f t="shared" si="59"/>
        <v>#N/A</v>
      </c>
      <c r="DR143" s="7" t="e">
        <f t="shared" ref="DR143:DR206" si="63">DI143=AC143</f>
        <v>#N/A</v>
      </c>
    </row>
    <row r="144" spans="1:122" s="7" customFormat="1" ht="79.5" customHeight="1">
      <c r="A144" s="75">
        <f t="shared" si="54"/>
        <v>130</v>
      </c>
      <c r="B144" s="538" t="s">
        <v>579</v>
      </c>
      <c r="C144" s="351" t="s">
        <v>641</v>
      </c>
      <c r="D144" s="351" t="s">
        <v>622</v>
      </c>
      <c r="E144" s="193" t="s">
        <v>568</v>
      </c>
      <c r="F144" s="75">
        <v>1</v>
      </c>
      <c r="G144" s="75" t="s">
        <v>192</v>
      </c>
      <c r="H144" s="106" t="s">
        <v>380</v>
      </c>
      <c r="I144" s="107">
        <v>220</v>
      </c>
      <c r="J144" s="96"/>
      <c r="K144" s="96">
        <f t="shared" si="60"/>
        <v>220</v>
      </c>
      <c r="L144" s="96">
        <f t="shared" si="46"/>
        <v>220</v>
      </c>
      <c r="M144" s="96">
        <f t="shared" si="47"/>
        <v>220</v>
      </c>
      <c r="N144" s="108" t="s">
        <v>381</v>
      </c>
      <c r="O144" s="109">
        <v>200</v>
      </c>
      <c r="P144" s="110"/>
      <c r="Q144" s="110">
        <f t="shared" si="61"/>
        <v>200</v>
      </c>
      <c r="R144" s="110">
        <f t="shared" si="48"/>
        <v>200</v>
      </c>
      <c r="S144" s="110">
        <f t="shared" si="49"/>
        <v>200</v>
      </c>
      <c r="T144" s="97" t="s">
        <v>642</v>
      </c>
      <c r="U144" s="98">
        <v>168.0672268907563</v>
      </c>
      <c r="V144" s="99"/>
      <c r="W144" s="99">
        <f t="shared" si="62"/>
        <v>168.0672268907563</v>
      </c>
      <c r="X144" s="99">
        <f t="shared" si="50"/>
        <v>168.0672268907563</v>
      </c>
      <c r="Y144" s="99">
        <f t="shared" si="51"/>
        <v>168.0672268907563</v>
      </c>
      <c r="Z144" s="100">
        <f t="shared" si="42"/>
        <v>196.02240896358543</v>
      </c>
      <c r="AA144" s="100">
        <f t="shared" si="52"/>
        <v>196.02240896358543</v>
      </c>
      <c r="AB144" s="78">
        <f t="shared" si="44"/>
        <v>26.193876260373688</v>
      </c>
      <c r="AC144" s="102">
        <f t="shared" si="56"/>
        <v>0.13362694805592179</v>
      </c>
      <c r="AD144" s="5"/>
      <c r="AF144" s="7" t="s">
        <v>570</v>
      </c>
      <c r="AG144" s="7">
        <v>26</v>
      </c>
      <c r="AH144" s="7" t="s">
        <v>643</v>
      </c>
      <c r="BG144" s="7">
        <v>15</v>
      </c>
      <c r="DA144" s="7" t="e">
        <f>VLOOKUP(C144,listaBolsa!$D$2:$BA$248,1,0)</f>
        <v>#N/A</v>
      </c>
      <c r="DB144" s="7" t="e">
        <f>VLOOKUP(C144,listaBolsa!$D$2:$BA$248,2,0)</f>
        <v>#N/A</v>
      </c>
      <c r="DC144" s="7" t="e">
        <f>VLOOKUP(C144,listaBolsa!$D$2:$BA$248,10,0)</f>
        <v>#N/A</v>
      </c>
      <c r="DD144" s="7" t="e">
        <f>VLOOKUP(C144,listaBolsa!$D$2:$BA$248,14,0)</f>
        <v>#N/A</v>
      </c>
      <c r="DE144" s="7" t="e">
        <f>VLOOKUP(C144,listaBolsa!$D$2:$BA$248,23,0)</f>
        <v>#N/A</v>
      </c>
      <c r="DF144" s="7" t="e">
        <f>VLOOKUP(C144,listaBolsa!$D$2:$BA$248,29,0)</f>
        <v>#N/A</v>
      </c>
      <c r="DG144" s="7" t="e">
        <f>VLOOKUP(C144,listaBolsa!$D$2:$BA$248,36,0)</f>
        <v>#N/A</v>
      </c>
      <c r="DH144" s="7" t="e">
        <f>VLOOKUP(C144,listaBolsa!$D$2:$BA$248,40,0)</f>
        <v>#N/A</v>
      </c>
      <c r="DI144" s="7" t="e">
        <f>VLOOKUP(C144,listaBolsa!$D$2:$BA$248,48,0)</f>
        <v>#N/A</v>
      </c>
      <c r="DJ144" s="7" t="e">
        <f t="shared" si="55"/>
        <v>#N/A</v>
      </c>
      <c r="DK144" s="7" t="e">
        <f t="shared" si="55"/>
        <v>#N/A</v>
      </c>
      <c r="DL144" s="7" t="e">
        <f t="shared" si="57"/>
        <v>#N/A</v>
      </c>
      <c r="DM144" s="7" t="e">
        <f t="shared" si="57"/>
        <v>#N/A</v>
      </c>
      <c r="DN144" s="7" t="e">
        <f t="shared" si="58"/>
        <v>#N/A</v>
      </c>
      <c r="DO144" s="7" t="e">
        <f t="shared" si="58"/>
        <v>#N/A</v>
      </c>
      <c r="DP144" s="7" t="e">
        <f t="shared" si="59"/>
        <v>#N/A</v>
      </c>
      <c r="DQ144" s="7" t="e">
        <f t="shared" si="59"/>
        <v>#N/A</v>
      </c>
      <c r="DR144" s="7" t="e">
        <f t="shared" si="63"/>
        <v>#N/A</v>
      </c>
    </row>
    <row r="145" spans="1:122" s="7" customFormat="1" ht="79.5" customHeight="1">
      <c r="A145" s="75">
        <f t="shared" si="54"/>
        <v>131</v>
      </c>
      <c r="B145" s="538" t="s">
        <v>579</v>
      </c>
      <c r="C145" s="351" t="s">
        <v>644</v>
      </c>
      <c r="D145" s="351" t="s">
        <v>622</v>
      </c>
      <c r="E145" s="193" t="s">
        <v>568</v>
      </c>
      <c r="F145" s="75">
        <v>1</v>
      </c>
      <c r="G145" s="75" t="s">
        <v>192</v>
      </c>
      <c r="H145" s="106" t="s">
        <v>380</v>
      </c>
      <c r="I145" s="107">
        <v>220</v>
      </c>
      <c r="J145" s="96"/>
      <c r="K145" s="96">
        <f t="shared" si="60"/>
        <v>220</v>
      </c>
      <c r="L145" s="96">
        <f t="shared" si="46"/>
        <v>220</v>
      </c>
      <c r="M145" s="96">
        <f t="shared" si="47"/>
        <v>220</v>
      </c>
      <c r="N145" s="108" t="s">
        <v>381</v>
      </c>
      <c r="O145" s="109">
        <v>200</v>
      </c>
      <c r="P145" s="110"/>
      <c r="Q145" s="110">
        <f t="shared" si="61"/>
        <v>200</v>
      </c>
      <c r="R145" s="110">
        <f t="shared" si="48"/>
        <v>200</v>
      </c>
      <c r="S145" s="110">
        <f t="shared" si="49"/>
        <v>200</v>
      </c>
      <c r="T145" s="97" t="s">
        <v>382</v>
      </c>
      <c r="U145" s="98">
        <v>147</v>
      </c>
      <c r="V145" s="99"/>
      <c r="W145" s="99">
        <f t="shared" si="62"/>
        <v>147</v>
      </c>
      <c r="X145" s="99">
        <f t="shared" si="50"/>
        <v>147</v>
      </c>
      <c r="Y145" s="99">
        <f t="shared" si="51"/>
        <v>147</v>
      </c>
      <c r="Z145" s="100">
        <f t="shared" si="42"/>
        <v>189</v>
      </c>
      <c r="AA145" s="100">
        <f t="shared" si="52"/>
        <v>189</v>
      </c>
      <c r="AB145" s="78">
        <f t="shared" si="44"/>
        <v>37.722672227720032</v>
      </c>
      <c r="AC145" s="102">
        <f t="shared" si="56"/>
        <v>0.19959085834772503</v>
      </c>
      <c r="AD145" s="5"/>
      <c r="AF145" s="7" t="s">
        <v>570</v>
      </c>
      <c r="AG145" s="7">
        <v>27</v>
      </c>
      <c r="AH145" s="7" t="s">
        <v>645</v>
      </c>
      <c r="BG145" s="7">
        <v>16</v>
      </c>
      <c r="DA145" s="7" t="e">
        <f>VLOOKUP(C145,listaBolsa!$D$2:$BA$248,1,0)</f>
        <v>#N/A</v>
      </c>
      <c r="DB145" s="7" t="e">
        <f>VLOOKUP(C145,listaBolsa!$D$2:$BA$248,2,0)</f>
        <v>#N/A</v>
      </c>
      <c r="DC145" s="7" t="e">
        <f>VLOOKUP(C145,listaBolsa!$D$2:$BA$248,10,0)</f>
        <v>#N/A</v>
      </c>
      <c r="DD145" s="7" t="e">
        <f>VLOOKUP(C145,listaBolsa!$D$2:$BA$248,14,0)</f>
        <v>#N/A</v>
      </c>
      <c r="DE145" s="7" t="e">
        <f>VLOOKUP(C145,listaBolsa!$D$2:$BA$248,23,0)</f>
        <v>#N/A</v>
      </c>
      <c r="DF145" s="7" t="e">
        <f>VLOOKUP(C145,listaBolsa!$D$2:$BA$248,29,0)</f>
        <v>#N/A</v>
      </c>
      <c r="DG145" s="7" t="e">
        <f>VLOOKUP(C145,listaBolsa!$D$2:$BA$248,36,0)</f>
        <v>#N/A</v>
      </c>
      <c r="DH145" s="7" t="e">
        <f>VLOOKUP(C145,listaBolsa!$D$2:$BA$248,40,0)</f>
        <v>#N/A</v>
      </c>
      <c r="DI145" s="7" t="e">
        <f>VLOOKUP(C145,listaBolsa!$D$2:$BA$248,48,0)</f>
        <v>#N/A</v>
      </c>
      <c r="DJ145" s="7" t="e">
        <f t="shared" si="55"/>
        <v>#N/A</v>
      </c>
      <c r="DK145" s="7" t="e">
        <f t="shared" si="55"/>
        <v>#N/A</v>
      </c>
      <c r="DL145" s="7" t="e">
        <f t="shared" si="57"/>
        <v>#N/A</v>
      </c>
      <c r="DM145" s="7" t="e">
        <f t="shared" si="57"/>
        <v>#N/A</v>
      </c>
      <c r="DN145" s="7" t="e">
        <f t="shared" si="58"/>
        <v>#N/A</v>
      </c>
      <c r="DO145" s="7" t="e">
        <f t="shared" si="58"/>
        <v>#N/A</v>
      </c>
      <c r="DP145" s="7" t="e">
        <f t="shared" si="59"/>
        <v>#N/A</v>
      </c>
      <c r="DQ145" s="7" t="e">
        <f t="shared" si="59"/>
        <v>#N/A</v>
      </c>
      <c r="DR145" s="7" t="e">
        <f t="shared" si="63"/>
        <v>#N/A</v>
      </c>
    </row>
    <row r="146" spans="1:122" s="7" customFormat="1" ht="79.5" customHeight="1">
      <c r="A146" s="75">
        <f t="shared" si="54"/>
        <v>132</v>
      </c>
      <c r="B146" s="538" t="s">
        <v>579</v>
      </c>
      <c r="C146" s="351" t="s">
        <v>646</v>
      </c>
      <c r="D146" s="351" t="s">
        <v>622</v>
      </c>
      <c r="E146" s="193" t="s">
        <v>568</v>
      </c>
      <c r="F146" s="75">
        <v>1</v>
      </c>
      <c r="G146" s="75" t="s">
        <v>192</v>
      </c>
      <c r="H146" s="106" t="s">
        <v>380</v>
      </c>
      <c r="I146" s="107">
        <v>220</v>
      </c>
      <c r="J146" s="96"/>
      <c r="K146" s="96">
        <f t="shared" si="60"/>
        <v>220</v>
      </c>
      <c r="L146" s="96">
        <f t="shared" si="46"/>
        <v>220</v>
      </c>
      <c r="M146" s="96">
        <f t="shared" si="47"/>
        <v>220</v>
      </c>
      <c r="N146" s="108" t="s">
        <v>381</v>
      </c>
      <c r="O146" s="109">
        <v>200</v>
      </c>
      <c r="P146" s="110"/>
      <c r="Q146" s="110">
        <f t="shared" si="61"/>
        <v>200</v>
      </c>
      <c r="R146" s="110">
        <f t="shared" si="48"/>
        <v>200</v>
      </c>
      <c r="S146" s="110">
        <f t="shared" si="49"/>
        <v>200</v>
      </c>
      <c r="T146" s="97" t="s">
        <v>382</v>
      </c>
      <c r="U146" s="98">
        <v>147</v>
      </c>
      <c r="V146" s="99"/>
      <c r="W146" s="99">
        <f t="shared" si="62"/>
        <v>147</v>
      </c>
      <c r="X146" s="99">
        <f t="shared" si="50"/>
        <v>147</v>
      </c>
      <c r="Y146" s="99">
        <f t="shared" si="51"/>
        <v>147</v>
      </c>
      <c r="Z146" s="100">
        <f t="shared" si="42"/>
        <v>189</v>
      </c>
      <c r="AA146" s="100">
        <f t="shared" si="52"/>
        <v>189</v>
      </c>
      <c r="AB146" s="78">
        <f t="shared" si="44"/>
        <v>37.722672227720032</v>
      </c>
      <c r="AC146" s="102">
        <f t="shared" si="56"/>
        <v>0.19959085834772503</v>
      </c>
      <c r="AD146" s="5"/>
      <c r="AF146" s="7" t="s">
        <v>570</v>
      </c>
      <c r="AG146" s="7">
        <v>28</v>
      </c>
      <c r="AH146" s="7" t="s">
        <v>647</v>
      </c>
      <c r="BG146" s="7">
        <v>17</v>
      </c>
      <c r="DA146" s="7" t="e">
        <f>VLOOKUP(C146,listaBolsa!$D$2:$BA$248,1,0)</f>
        <v>#N/A</v>
      </c>
      <c r="DB146" s="7" t="e">
        <f>VLOOKUP(C146,listaBolsa!$D$2:$BA$248,2,0)</f>
        <v>#N/A</v>
      </c>
      <c r="DC146" s="7" t="e">
        <f>VLOOKUP(C146,listaBolsa!$D$2:$BA$248,10,0)</f>
        <v>#N/A</v>
      </c>
      <c r="DD146" s="7" t="e">
        <f>VLOOKUP(C146,listaBolsa!$D$2:$BA$248,14,0)</f>
        <v>#N/A</v>
      </c>
      <c r="DE146" s="7" t="e">
        <f>VLOOKUP(C146,listaBolsa!$D$2:$BA$248,23,0)</f>
        <v>#N/A</v>
      </c>
      <c r="DF146" s="7" t="e">
        <f>VLOOKUP(C146,listaBolsa!$D$2:$BA$248,29,0)</f>
        <v>#N/A</v>
      </c>
      <c r="DG146" s="7" t="e">
        <f>VLOOKUP(C146,listaBolsa!$D$2:$BA$248,36,0)</f>
        <v>#N/A</v>
      </c>
      <c r="DH146" s="7" t="e">
        <f>VLOOKUP(C146,listaBolsa!$D$2:$BA$248,40,0)</f>
        <v>#N/A</v>
      </c>
      <c r="DI146" s="7" t="e">
        <f>VLOOKUP(C146,listaBolsa!$D$2:$BA$248,48,0)</f>
        <v>#N/A</v>
      </c>
      <c r="DJ146" s="7" t="e">
        <f t="shared" si="55"/>
        <v>#N/A</v>
      </c>
      <c r="DK146" s="7" t="e">
        <f t="shared" si="55"/>
        <v>#N/A</v>
      </c>
      <c r="DL146" s="7" t="e">
        <f t="shared" si="57"/>
        <v>#N/A</v>
      </c>
      <c r="DM146" s="7" t="e">
        <f t="shared" si="57"/>
        <v>#N/A</v>
      </c>
      <c r="DN146" s="7" t="e">
        <f t="shared" si="58"/>
        <v>#N/A</v>
      </c>
      <c r="DO146" s="7" t="e">
        <f t="shared" si="58"/>
        <v>#N/A</v>
      </c>
      <c r="DP146" s="7" t="e">
        <f t="shared" si="59"/>
        <v>#N/A</v>
      </c>
      <c r="DQ146" s="7" t="e">
        <f t="shared" si="59"/>
        <v>#N/A</v>
      </c>
      <c r="DR146" s="7" t="e">
        <f t="shared" si="63"/>
        <v>#N/A</v>
      </c>
    </row>
    <row r="147" spans="1:122" s="7" customFormat="1" ht="79.5" customHeight="1">
      <c r="A147" s="75">
        <f t="shared" si="54"/>
        <v>133</v>
      </c>
      <c r="B147" s="538" t="s">
        <v>579</v>
      </c>
      <c r="C147" s="351" t="s">
        <v>648</v>
      </c>
      <c r="D147" s="351" t="s">
        <v>622</v>
      </c>
      <c r="E147" s="193" t="s">
        <v>568</v>
      </c>
      <c r="F147" s="75">
        <v>1</v>
      </c>
      <c r="G147" s="75" t="s">
        <v>192</v>
      </c>
      <c r="H147" s="106" t="s">
        <v>380</v>
      </c>
      <c r="I147" s="107">
        <v>880</v>
      </c>
      <c r="J147" s="96">
        <f t="shared" ref="J147:J210" si="64">I147*19%</f>
        <v>167.2</v>
      </c>
      <c r="K147" s="96">
        <f t="shared" si="60"/>
        <v>1047.2</v>
      </c>
      <c r="L147" s="96">
        <f t="shared" si="46"/>
        <v>880</v>
      </c>
      <c r="M147" s="96">
        <f t="shared" si="47"/>
        <v>1047.2</v>
      </c>
      <c r="N147" s="108" t="s">
        <v>381</v>
      </c>
      <c r="O147" s="109">
        <v>700</v>
      </c>
      <c r="P147" s="110">
        <f t="shared" ref="P147:P202" si="65">O147*19%</f>
        <v>133</v>
      </c>
      <c r="Q147" s="110">
        <f t="shared" si="61"/>
        <v>833</v>
      </c>
      <c r="R147" s="110">
        <f t="shared" si="48"/>
        <v>700</v>
      </c>
      <c r="S147" s="110">
        <f t="shared" si="49"/>
        <v>833</v>
      </c>
      <c r="T147" s="97" t="s">
        <v>382</v>
      </c>
      <c r="U147" s="98">
        <v>616</v>
      </c>
      <c r="V147" s="99">
        <f t="shared" ref="V147:V210" si="66">U147*19%</f>
        <v>117.04</v>
      </c>
      <c r="W147" s="99">
        <f t="shared" si="62"/>
        <v>733.04</v>
      </c>
      <c r="X147" s="99">
        <f t="shared" si="50"/>
        <v>616</v>
      </c>
      <c r="Y147" s="99">
        <f t="shared" si="51"/>
        <v>733.04</v>
      </c>
      <c r="Z147" s="100">
        <f t="shared" si="42"/>
        <v>871.07999999999993</v>
      </c>
      <c r="AA147" s="100">
        <f t="shared" si="52"/>
        <v>871.07999999999993</v>
      </c>
      <c r="AB147" s="78">
        <f t="shared" si="44"/>
        <v>160.50448965683245</v>
      </c>
      <c r="AC147" s="102">
        <f t="shared" si="56"/>
        <v>0.18425918360751303</v>
      </c>
      <c r="AD147" s="5"/>
      <c r="AF147" s="7" t="s">
        <v>570</v>
      </c>
      <c r="AG147" s="7">
        <v>29</v>
      </c>
      <c r="AH147" s="7" t="s">
        <v>649</v>
      </c>
      <c r="BG147" s="7">
        <v>18</v>
      </c>
      <c r="DA147" s="7" t="e">
        <f>VLOOKUP(C147,listaBolsa!$D$2:$BA$248,1,0)</f>
        <v>#N/A</v>
      </c>
      <c r="DB147" s="7" t="e">
        <f>VLOOKUP(C147,listaBolsa!$D$2:$BA$248,2,0)</f>
        <v>#N/A</v>
      </c>
      <c r="DC147" s="7" t="e">
        <f>VLOOKUP(C147,listaBolsa!$D$2:$BA$248,10,0)</f>
        <v>#N/A</v>
      </c>
      <c r="DD147" s="7" t="e">
        <f>VLOOKUP(C147,listaBolsa!$D$2:$BA$248,14,0)</f>
        <v>#N/A</v>
      </c>
      <c r="DE147" s="7" t="e">
        <f>VLOOKUP(C147,listaBolsa!$D$2:$BA$248,23,0)</f>
        <v>#N/A</v>
      </c>
      <c r="DF147" s="7" t="e">
        <f>VLOOKUP(C147,listaBolsa!$D$2:$BA$248,29,0)</f>
        <v>#N/A</v>
      </c>
      <c r="DG147" s="7" t="e">
        <f>VLOOKUP(C147,listaBolsa!$D$2:$BA$248,36,0)</f>
        <v>#N/A</v>
      </c>
      <c r="DH147" s="7" t="e">
        <f>VLOOKUP(C147,listaBolsa!$D$2:$BA$248,40,0)</f>
        <v>#N/A</v>
      </c>
      <c r="DI147" s="7" t="e">
        <f>VLOOKUP(C147,listaBolsa!$D$2:$BA$248,48,0)</f>
        <v>#N/A</v>
      </c>
      <c r="DJ147" s="7" t="e">
        <f t="shared" si="55"/>
        <v>#N/A</v>
      </c>
      <c r="DK147" s="7" t="e">
        <f t="shared" si="55"/>
        <v>#N/A</v>
      </c>
      <c r="DL147" s="7" t="e">
        <f t="shared" si="57"/>
        <v>#N/A</v>
      </c>
      <c r="DM147" s="7" t="e">
        <f t="shared" si="57"/>
        <v>#N/A</v>
      </c>
      <c r="DN147" s="7" t="e">
        <f t="shared" si="58"/>
        <v>#N/A</v>
      </c>
      <c r="DO147" s="7" t="e">
        <f t="shared" si="58"/>
        <v>#N/A</v>
      </c>
      <c r="DP147" s="7" t="e">
        <f t="shared" si="59"/>
        <v>#N/A</v>
      </c>
      <c r="DQ147" s="7" t="e">
        <f t="shared" si="59"/>
        <v>#N/A</v>
      </c>
      <c r="DR147" s="7" t="e">
        <f t="shared" si="63"/>
        <v>#N/A</v>
      </c>
    </row>
    <row r="148" spans="1:122" s="7" customFormat="1" ht="79.5" customHeight="1">
      <c r="A148" s="75">
        <f t="shared" si="54"/>
        <v>134</v>
      </c>
      <c r="B148" s="538" t="s">
        <v>579</v>
      </c>
      <c r="C148" s="351" t="s">
        <v>650</v>
      </c>
      <c r="D148" s="351" t="s">
        <v>622</v>
      </c>
      <c r="E148" s="193" t="s">
        <v>568</v>
      </c>
      <c r="F148" s="75">
        <v>1</v>
      </c>
      <c r="G148" s="75" t="s">
        <v>192</v>
      </c>
      <c r="H148" s="106" t="s">
        <v>380</v>
      </c>
      <c r="I148" s="107">
        <v>800</v>
      </c>
      <c r="J148" s="96"/>
      <c r="K148" s="96">
        <f t="shared" si="60"/>
        <v>800</v>
      </c>
      <c r="L148" s="96">
        <f t="shared" si="46"/>
        <v>800</v>
      </c>
      <c r="M148" s="96">
        <f t="shared" si="47"/>
        <v>800</v>
      </c>
      <c r="N148" s="108" t="s">
        <v>381</v>
      </c>
      <c r="O148" s="109">
        <v>700</v>
      </c>
      <c r="P148" s="110"/>
      <c r="Q148" s="110">
        <f t="shared" si="61"/>
        <v>700</v>
      </c>
      <c r="R148" s="110">
        <f t="shared" si="48"/>
        <v>700</v>
      </c>
      <c r="S148" s="110">
        <f t="shared" si="49"/>
        <v>700</v>
      </c>
      <c r="T148" s="97" t="s">
        <v>382</v>
      </c>
      <c r="U148" s="98">
        <v>616</v>
      </c>
      <c r="V148" s="99"/>
      <c r="W148" s="99">
        <f t="shared" si="62"/>
        <v>616</v>
      </c>
      <c r="X148" s="99">
        <f t="shared" si="50"/>
        <v>616</v>
      </c>
      <c r="Y148" s="99">
        <f t="shared" si="51"/>
        <v>616</v>
      </c>
      <c r="Z148" s="100">
        <f t="shared" ref="Z148:Z211" si="67">IF(A148="","",AVERAGE(K148,Q148,W148))</f>
        <v>705.33333333333337</v>
      </c>
      <c r="AA148" s="100">
        <f t="shared" si="52"/>
        <v>705.33333333333337</v>
      </c>
      <c r="AB148" s="78">
        <f t="shared" ref="AB148:AB211" si="68">IF(B148="","",STDEV(M148,S148,Y148))</f>
        <v>92.115869063551543</v>
      </c>
      <c r="AC148" s="102">
        <f t="shared" si="56"/>
        <v>0.13059905821864584</v>
      </c>
      <c r="AD148" s="5"/>
      <c r="AF148" s="7" t="s">
        <v>570</v>
      </c>
      <c r="AG148" s="7">
        <v>30</v>
      </c>
      <c r="AH148" s="7" t="s">
        <v>651</v>
      </c>
      <c r="BG148" s="7">
        <v>19</v>
      </c>
      <c r="DA148" s="7" t="e">
        <f>VLOOKUP(C148,listaBolsa!$D$2:$BA$248,1,0)</f>
        <v>#N/A</v>
      </c>
      <c r="DB148" s="7" t="e">
        <f>VLOOKUP(C148,listaBolsa!$D$2:$BA$248,2,0)</f>
        <v>#N/A</v>
      </c>
      <c r="DC148" s="7" t="e">
        <f>VLOOKUP(C148,listaBolsa!$D$2:$BA$248,10,0)</f>
        <v>#N/A</v>
      </c>
      <c r="DD148" s="7" t="e">
        <f>VLOOKUP(C148,listaBolsa!$D$2:$BA$248,14,0)</f>
        <v>#N/A</v>
      </c>
      <c r="DE148" s="7" t="e">
        <f>VLOOKUP(C148,listaBolsa!$D$2:$BA$248,23,0)</f>
        <v>#N/A</v>
      </c>
      <c r="DF148" s="7" t="e">
        <f>VLOOKUP(C148,listaBolsa!$D$2:$BA$248,29,0)</f>
        <v>#N/A</v>
      </c>
      <c r="DG148" s="7" t="e">
        <f>VLOOKUP(C148,listaBolsa!$D$2:$BA$248,36,0)</f>
        <v>#N/A</v>
      </c>
      <c r="DH148" s="7" t="e">
        <f>VLOOKUP(C148,listaBolsa!$D$2:$BA$248,40,0)</f>
        <v>#N/A</v>
      </c>
      <c r="DI148" s="7" t="e">
        <f>VLOOKUP(C148,listaBolsa!$D$2:$BA$248,48,0)</f>
        <v>#N/A</v>
      </c>
      <c r="DJ148" s="7" t="e">
        <f t="shared" si="55"/>
        <v>#N/A</v>
      </c>
      <c r="DK148" s="7" t="e">
        <f t="shared" si="55"/>
        <v>#N/A</v>
      </c>
      <c r="DL148" s="7" t="e">
        <f t="shared" si="57"/>
        <v>#N/A</v>
      </c>
      <c r="DM148" s="7" t="e">
        <f t="shared" si="57"/>
        <v>#N/A</v>
      </c>
      <c r="DN148" s="7" t="e">
        <f t="shared" si="58"/>
        <v>#N/A</v>
      </c>
      <c r="DO148" s="7" t="e">
        <f t="shared" si="58"/>
        <v>#N/A</v>
      </c>
      <c r="DP148" s="7" t="e">
        <f t="shared" si="59"/>
        <v>#N/A</v>
      </c>
      <c r="DQ148" s="7" t="e">
        <f t="shared" si="59"/>
        <v>#N/A</v>
      </c>
      <c r="DR148" s="7" t="e">
        <f t="shared" si="63"/>
        <v>#N/A</v>
      </c>
    </row>
    <row r="149" spans="1:122" s="7" customFormat="1" ht="79.5" customHeight="1">
      <c r="A149" s="75">
        <f t="shared" si="54"/>
        <v>135</v>
      </c>
      <c r="B149" s="538" t="s">
        <v>579</v>
      </c>
      <c r="C149" s="351" t="s">
        <v>652</v>
      </c>
      <c r="D149" s="351" t="s">
        <v>622</v>
      </c>
      <c r="E149" s="193" t="s">
        <v>568</v>
      </c>
      <c r="F149" s="75">
        <v>1</v>
      </c>
      <c r="G149" s="75" t="s">
        <v>192</v>
      </c>
      <c r="H149" s="106" t="s">
        <v>380</v>
      </c>
      <c r="I149" s="107">
        <v>280</v>
      </c>
      <c r="J149" s="96"/>
      <c r="K149" s="96">
        <f t="shared" si="60"/>
        <v>280</v>
      </c>
      <c r="L149" s="96">
        <f t="shared" si="46"/>
        <v>280</v>
      </c>
      <c r="M149" s="96">
        <f t="shared" si="47"/>
        <v>280</v>
      </c>
      <c r="N149" s="108" t="s">
        <v>381</v>
      </c>
      <c r="O149" s="109">
        <v>250</v>
      </c>
      <c r="P149" s="110"/>
      <c r="Q149" s="110">
        <f t="shared" si="61"/>
        <v>250</v>
      </c>
      <c r="R149" s="110">
        <f t="shared" si="48"/>
        <v>250</v>
      </c>
      <c r="S149" s="110">
        <f t="shared" si="49"/>
        <v>250</v>
      </c>
      <c r="T149" s="97" t="s">
        <v>382</v>
      </c>
      <c r="U149" s="98">
        <v>216</v>
      </c>
      <c r="V149" s="99"/>
      <c r="W149" s="99">
        <f t="shared" si="62"/>
        <v>216</v>
      </c>
      <c r="X149" s="99">
        <f t="shared" si="50"/>
        <v>216</v>
      </c>
      <c r="Y149" s="99">
        <f t="shared" si="51"/>
        <v>216</v>
      </c>
      <c r="Z149" s="100">
        <f t="shared" si="67"/>
        <v>248.66666666666666</v>
      </c>
      <c r="AA149" s="100">
        <f t="shared" si="52"/>
        <v>248.66666666666666</v>
      </c>
      <c r="AB149" s="78">
        <f t="shared" si="68"/>
        <v>32.020826556060797</v>
      </c>
      <c r="AC149" s="102">
        <f t="shared" si="56"/>
        <v>0.12877007998415871</v>
      </c>
      <c r="AD149" s="5"/>
      <c r="AF149" s="7" t="s">
        <v>570</v>
      </c>
      <c r="AG149" s="7">
        <v>31</v>
      </c>
      <c r="AH149" s="7" t="s">
        <v>653</v>
      </c>
      <c r="BG149" s="7">
        <v>20</v>
      </c>
      <c r="DA149" s="7" t="e">
        <f>VLOOKUP(C149,listaBolsa!$D$2:$BA$248,1,0)</f>
        <v>#N/A</v>
      </c>
      <c r="DB149" s="7" t="e">
        <f>VLOOKUP(C149,listaBolsa!$D$2:$BA$248,2,0)</f>
        <v>#N/A</v>
      </c>
      <c r="DC149" s="7" t="e">
        <f>VLOOKUP(C149,listaBolsa!$D$2:$BA$248,10,0)</f>
        <v>#N/A</v>
      </c>
      <c r="DD149" s="7" t="e">
        <f>VLOOKUP(C149,listaBolsa!$D$2:$BA$248,14,0)</f>
        <v>#N/A</v>
      </c>
      <c r="DE149" s="7" t="e">
        <f>VLOOKUP(C149,listaBolsa!$D$2:$BA$248,23,0)</f>
        <v>#N/A</v>
      </c>
      <c r="DF149" s="7" t="e">
        <f>VLOOKUP(C149,listaBolsa!$D$2:$BA$248,29,0)</f>
        <v>#N/A</v>
      </c>
      <c r="DG149" s="7" t="e">
        <f>VLOOKUP(C149,listaBolsa!$D$2:$BA$248,36,0)</f>
        <v>#N/A</v>
      </c>
      <c r="DH149" s="7" t="e">
        <f>VLOOKUP(C149,listaBolsa!$D$2:$BA$248,40,0)</f>
        <v>#N/A</v>
      </c>
      <c r="DI149" s="7" t="e">
        <f>VLOOKUP(C149,listaBolsa!$D$2:$BA$248,48,0)</f>
        <v>#N/A</v>
      </c>
      <c r="DJ149" s="7" t="e">
        <f t="shared" si="55"/>
        <v>#N/A</v>
      </c>
      <c r="DK149" s="7" t="e">
        <f t="shared" si="55"/>
        <v>#N/A</v>
      </c>
      <c r="DL149" s="7" t="e">
        <f t="shared" si="57"/>
        <v>#N/A</v>
      </c>
      <c r="DM149" s="7" t="e">
        <f t="shared" si="57"/>
        <v>#N/A</v>
      </c>
      <c r="DN149" s="7" t="e">
        <f t="shared" si="58"/>
        <v>#N/A</v>
      </c>
      <c r="DO149" s="7" t="e">
        <f t="shared" si="58"/>
        <v>#N/A</v>
      </c>
      <c r="DP149" s="7" t="e">
        <f t="shared" si="59"/>
        <v>#N/A</v>
      </c>
      <c r="DQ149" s="7" t="e">
        <f t="shared" si="59"/>
        <v>#N/A</v>
      </c>
      <c r="DR149" s="7" t="e">
        <f t="shared" si="63"/>
        <v>#N/A</v>
      </c>
    </row>
    <row r="150" spans="1:122" s="7" customFormat="1" ht="79.5" customHeight="1">
      <c r="A150" s="75">
        <f t="shared" si="54"/>
        <v>136</v>
      </c>
      <c r="B150" s="538" t="s">
        <v>579</v>
      </c>
      <c r="C150" s="351" t="s">
        <v>654</v>
      </c>
      <c r="D150" s="351" t="s">
        <v>622</v>
      </c>
      <c r="E150" s="193" t="s">
        <v>568</v>
      </c>
      <c r="F150" s="75">
        <v>1</v>
      </c>
      <c r="G150" s="75" t="s">
        <v>192</v>
      </c>
      <c r="H150" s="106" t="s">
        <v>603</v>
      </c>
      <c r="I150" s="107">
        <v>1500</v>
      </c>
      <c r="J150" s="96"/>
      <c r="K150" s="96">
        <f t="shared" si="60"/>
        <v>1500</v>
      </c>
      <c r="L150" s="96">
        <f t="shared" si="46"/>
        <v>1500</v>
      </c>
      <c r="M150" s="96">
        <f t="shared" si="47"/>
        <v>1500</v>
      </c>
      <c r="N150" s="108" t="s">
        <v>604</v>
      </c>
      <c r="O150" s="109">
        <v>1200</v>
      </c>
      <c r="P150" s="110"/>
      <c r="Q150" s="110">
        <f t="shared" si="61"/>
        <v>1200</v>
      </c>
      <c r="R150" s="110">
        <f t="shared" si="48"/>
        <v>1200</v>
      </c>
      <c r="S150" s="110">
        <f t="shared" si="49"/>
        <v>1200</v>
      </c>
      <c r="T150" s="97" t="s">
        <v>605</v>
      </c>
      <c r="U150" s="98">
        <v>1800</v>
      </c>
      <c r="V150" s="99"/>
      <c r="W150" s="99">
        <f t="shared" si="62"/>
        <v>1800</v>
      </c>
      <c r="X150" s="99">
        <f t="shared" si="50"/>
        <v>1800</v>
      </c>
      <c r="Y150" s="99">
        <f t="shared" si="51"/>
        <v>1800</v>
      </c>
      <c r="Z150" s="100">
        <f t="shared" si="67"/>
        <v>1500</v>
      </c>
      <c r="AA150" s="100">
        <f t="shared" si="52"/>
        <v>1500</v>
      </c>
      <c r="AB150" s="78">
        <f t="shared" si="68"/>
        <v>300</v>
      </c>
      <c r="AC150" s="102">
        <f t="shared" si="56"/>
        <v>0.2</v>
      </c>
      <c r="AD150" s="5"/>
      <c r="AF150" s="7" t="s">
        <v>570</v>
      </c>
      <c r="AG150" s="7">
        <v>32</v>
      </c>
      <c r="AH150" s="7" t="s">
        <v>655</v>
      </c>
      <c r="BG150" s="7">
        <v>21</v>
      </c>
      <c r="DA150" s="7" t="e">
        <f>VLOOKUP(C150,listaBolsa!$D$2:$BA$248,1,0)</f>
        <v>#N/A</v>
      </c>
      <c r="DB150" s="7" t="e">
        <f>VLOOKUP(C150,listaBolsa!$D$2:$BA$248,2,0)</f>
        <v>#N/A</v>
      </c>
      <c r="DC150" s="7" t="e">
        <f>VLOOKUP(C150,listaBolsa!$D$2:$BA$248,10,0)</f>
        <v>#N/A</v>
      </c>
      <c r="DD150" s="7" t="e">
        <f>VLOOKUP(C150,listaBolsa!$D$2:$BA$248,14,0)</f>
        <v>#N/A</v>
      </c>
      <c r="DE150" s="7" t="e">
        <f>VLOOKUP(C150,listaBolsa!$D$2:$BA$248,23,0)</f>
        <v>#N/A</v>
      </c>
      <c r="DF150" s="7" t="e">
        <f>VLOOKUP(C150,listaBolsa!$D$2:$BA$248,29,0)</f>
        <v>#N/A</v>
      </c>
      <c r="DG150" s="7" t="e">
        <f>VLOOKUP(C150,listaBolsa!$D$2:$BA$248,36,0)</f>
        <v>#N/A</v>
      </c>
      <c r="DH150" s="7" t="e">
        <f>VLOOKUP(C150,listaBolsa!$D$2:$BA$248,40,0)</f>
        <v>#N/A</v>
      </c>
      <c r="DI150" s="7" t="e">
        <f>VLOOKUP(C150,listaBolsa!$D$2:$BA$248,48,0)</f>
        <v>#N/A</v>
      </c>
      <c r="DJ150" s="7" t="e">
        <f t="shared" si="55"/>
        <v>#N/A</v>
      </c>
      <c r="DK150" s="7" t="e">
        <f t="shared" si="55"/>
        <v>#N/A</v>
      </c>
      <c r="DL150" s="7" t="e">
        <f t="shared" si="57"/>
        <v>#N/A</v>
      </c>
      <c r="DM150" s="7" t="e">
        <f t="shared" si="57"/>
        <v>#N/A</v>
      </c>
      <c r="DN150" s="7" t="e">
        <f t="shared" si="58"/>
        <v>#N/A</v>
      </c>
      <c r="DO150" s="7" t="e">
        <f t="shared" si="58"/>
        <v>#N/A</v>
      </c>
      <c r="DP150" s="7" t="e">
        <f t="shared" si="59"/>
        <v>#N/A</v>
      </c>
      <c r="DQ150" s="7" t="e">
        <f t="shared" si="59"/>
        <v>#N/A</v>
      </c>
      <c r="DR150" s="7" t="e">
        <f t="shared" si="63"/>
        <v>#N/A</v>
      </c>
    </row>
    <row r="151" spans="1:122" s="7" customFormat="1" ht="79.5" customHeight="1">
      <c r="A151" s="75">
        <f t="shared" si="54"/>
        <v>137</v>
      </c>
      <c r="B151" s="538" t="s">
        <v>579</v>
      </c>
      <c r="C151" s="351" t="s">
        <v>656</v>
      </c>
      <c r="D151" s="351" t="s">
        <v>622</v>
      </c>
      <c r="E151" s="193" t="s">
        <v>568</v>
      </c>
      <c r="F151" s="75">
        <v>1</v>
      </c>
      <c r="G151" s="75" t="s">
        <v>192</v>
      </c>
      <c r="H151" s="106" t="s">
        <v>380</v>
      </c>
      <c r="I151" s="107">
        <v>2600</v>
      </c>
      <c r="J151" s="96"/>
      <c r="K151" s="96">
        <f t="shared" si="60"/>
        <v>2600</v>
      </c>
      <c r="L151" s="96">
        <f t="shared" si="46"/>
        <v>2600</v>
      </c>
      <c r="M151" s="96">
        <f t="shared" si="47"/>
        <v>2600</v>
      </c>
      <c r="N151" s="108" t="s">
        <v>381</v>
      </c>
      <c r="O151" s="109">
        <v>2500</v>
      </c>
      <c r="P151" s="110"/>
      <c r="Q151" s="110">
        <f t="shared" si="61"/>
        <v>2500</v>
      </c>
      <c r="R151" s="110">
        <f t="shared" si="48"/>
        <v>2500</v>
      </c>
      <c r="S151" s="110">
        <f t="shared" si="49"/>
        <v>2500</v>
      </c>
      <c r="T151" s="97" t="s">
        <v>382</v>
      </c>
      <c r="U151" s="98">
        <v>2387</v>
      </c>
      <c r="V151" s="99"/>
      <c r="W151" s="99">
        <f t="shared" si="62"/>
        <v>2387</v>
      </c>
      <c r="X151" s="99">
        <f t="shared" si="50"/>
        <v>2387</v>
      </c>
      <c r="Y151" s="99">
        <f t="shared" si="51"/>
        <v>2387</v>
      </c>
      <c r="Z151" s="100">
        <f t="shared" si="67"/>
        <v>2495.6666666666665</v>
      </c>
      <c r="AA151" s="100">
        <f t="shared" si="52"/>
        <v>2495.6666666666665</v>
      </c>
      <c r="AB151" s="78">
        <f t="shared" si="68"/>
        <v>106.56609842409232</v>
      </c>
      <c r="AC151" s="102">
        <f t="shared" si="56"/>
        <v>4.2700453489017895E-2</v>
      </c>
      <c r="AD151" s="5"/>
      <c r="AF151" s="7" t="s">
        <v>570</v>
      </c>
      <c r="AG151" s="7">
        <v>33</v>
      </c>
      <c r="AH151" s="7" t="s">
        <v>657</v>
      </c>
      <c r="BG151" s="7">
        <v>22</v>
      </c>
      <c r="DA151" s="7" t="e">
        <f>VLOOKUP(C151,listaBolsa!$D$2:$BA$248,1,0)</f>
        <v>#N/A</v>
      </c>
      <c r="DB151" s="7" t="e">
        <f>VLOOKUP(C151,listaBolsa!$D$2:$BA$248,2,0)</f>
        <v>#N/A</v>
      </c>
      <c r="DC151" s="7" t="e">
        <f>VLOOKUP(C151,listaBolsa!$D$2:$BA$248,10,0)</f>
        <v>#N/A</v>
      </c>
      <c r="DD151" s="7" t="e">
        <f>VLOOKUP(C151,listaBolsa!$D$2:$BA$248,14,0)</f>
        <v>#N/A</v>
      </c>
      <c r="DE151" s="7" t="e">
        <f>VLOOKUP(C151,listaBolsa!$D$2:$BA$248,23,0)</f>
        <v>#N/A</v>
      </c>
      <c r="DF151" s="7" t="e">
        <f>VLOOKUP(C151,listaBolsa!$D$2:$BA$248,29,0)</f>
        <v>#N/A</v>
      </c>
      <c r="DG151" s="7" t="e">
        <f>VLOOKUP(C151,listaBolsa!$D$2:$BA$248,36,0)</f>
        <v>#N/A</v>
      </c>
      <c r="DH151" s="7" t="e">
        <f>VLOOKUP(C151,listaBolsa!$D$2:$BA$248,40,0)</f>
        <v>#N/A</v>
      </c>
      <c r="DI151" s="7" t="e">
        <f>VLOOKUP(C151,listaBolsa!$D$2:$BA$248,48,0)</f>
        <v>#N/A</v>
      </c>
      <c r="DJ151" s="7" t="e">
        <f t="shared" si="55"/>
        <v>#N/A</v>
      </c>
      <c r="DK151" s="7" t="e">
        <f t="shared" si="55"/>
        <v>#N/A</v>
      </c>
      <c r="DL151" s="7" t="e">
        <f t="shared" si="57"/>
        <v>#N/A</v>
      </c>
      <c r="DM151" s="7" t="e">
        <f t="shared" si="57"/>
        <v>#N/A</v>
      </c>
      <c r="DN151" s="7" t="e">
        <f t="shared" si="58"/>
        <v>#N/A</v>
      </c>
      <c r="DO151" s="7" t="e">
        <f t="shared" si="58"/>
        <v>#N/A</v>
      </c>
      <c r="DP151" s="7" t="e">
        <f t="shared" si="59"/>
        <v>#N/A</v>
      </c>
      <c r="DQ151" s="7" t="e">
        <f t="shared" si="59"/>
        <v>#N/A</v>
      </c>
      <c r="DR151" s="7" t="e">
        <f t="shared" si="63"/>
        <v>#N/A</v>
      </c>
    </row>
    <row r="152" spans="1:122" s="7" customFormat="1" ht="79.5" customHeight="1">
      <c r="A152" s="75">
        <f t="shared" si="54"/>
        <v>138</v>
      </c>
      <c r="B152" s="538" t="s">
        <v>579</v>
      </c>
      <c r="C152" s="351" t="s">
        <v>658</v>
      </c>
      <c r="D152" s="351" t="s">
        <v>622</v>
      </c>
      <c r="E152" s="193" t="s">
        <v>568</v>
      </c>
      <c r="F152" s="75">
        <v>1</v>
      </c>
      <c r="G152" s="75" t="s">
        <v>192</v>
      </c>
      <c r="H152" s="106" t="s">
        <v>380</v>
      </c>
      <c r="I152" s="107">
        <v>220</v>
      </c>
      <c r="J152" s="96"/>
      <c r="K152" s="96">
        <f t="shared" si="60"/>
        <v>220</v>
      </c>
      <c r="L152" s="96">
        <f t="shared" si="46"/>
        <v>220</v>
      </c>
      <c r="M152" s="96">
        <f t="shared" si="47"/>
        <v>220</v>
      </c>
      <c r="N152" s="108" t="s">
        <v>381</v>
      </c>
      <c r="O152" s="109">
        <v>200</v>
      </c>
      <c r="P152" s="110"/>
      <c r="Q152" s="110">
        <f t="shared" si="61"/>
        <v>200</v>
      </c>
      <c r="R152" s="110">
        <f t="shared" si="48"/>
        <v>200</v>
      </c>
      <c r="S152" s="110">
        <f t="shared" si="49"/>
        <v>200</v>
      </c>
      <c r="T152" s="97" t="s">
        <v>382</v>
      </c>
      <c r="U152" s="98">
        <v>147</v>
      </c>
      <c r="V152" s="99"/>
      <c r="W152" s="99">
        <f t="shared" si="62"/>
        <v>147</v>
      </c>
      <c r="X152" s="99">
        <f t="shared" si="50"/>
        <v>147</v>
      </c>
      <c r="Y152" s="99">
        <f t="shared" si="51"/>
        <v>147</v>
      </c>
      <c r="Z152" s="100">
        <f t="shared" si="67"/>
        <v>189</v>
      </c>
      <c r="AA152" s="100">
        <f t="shared" si="52"/>
        <v>189</v>
      </c>
      <c r="AB152" s="78">
        <f t="shared" si="68"/>
        <v>37.722672227720032</v>
      </c>
      <c r="AC152" s="102">
        <f t="shared" si="56"/>
        <v>0.19959085834772503</v>
      </c>
      <c r="AD152" s="5"/>
      <c r="AF152" s="7" t="s">
        <v>570</v>
      </c>
      <c r="AG152" s="7">
        <v>34</v>
      </c>
      <c r="AH152" s="7" t="s">
        <v>659</v>
      </c>
      <c r="BG152" s="7">
        <v>23</v>
      </c>
      <c r="DA152" s="7" t="e">
        <f>VLOOKUP(C152,listaBolsa!$D$2:$BA$248,1,0)</f>
        <v>#N/A</v>
      </c>
      <c r="DB152" s="7" t="e">
        <f>VLOOKUP(C152,listaBolsa!$D$2:$BA$248,2,0)</f>
        <v>#N/A</v>
      </c>
      <c r="DC152" s="7" t="e">
        <f>VLOOKUP(C152,listaBolsa!$D$2:$BA$248,10,0)</f>
        <v>#N/A</v>
      </c>
      <c r="DD152" s="7" t="e">
        <f>VLOOKUP(C152,listaBolsa!$D$2:$BA$248,14,0)</f>
        <v>#N/A</v>
      </c>
      <c r="DE152" s="7" t="e">
        <f>VLOOKUP(C152,listaBolsa!$D$2:$BA$248,23,0)</f>
        <v>#N/A</v>
      </c>
      <c r="DF152" s="7" t="e">
        <f>VLOOKUP(C152,listaBolsa!$D$2:$BA$248,29,0)</f>
        <v>#N/A</v>
      </c>
      <c r="DG152" s="7" t="e">
        <f>VLOOKUP(C152,listaBolsa!$D$2:$BA$248,36,0)</f>
        <v>#N/A</v>
      </c>
      <c r="DH152" s="7" t="e">
        <f>VLOOKUP(C152,listaBolsa!$D$2:$BA$248,40,0)</f>
        <v>#N/A</v>
      </c>
      <c r="DI152" s="7" t="e">
        <f>VLOOKUP(C152,listaBolsa!$D$2:$BA$248,48,0)</f>
        <v>#N/A</v>
      </c>
      <c r="DJ152" s="7" t="e">
        <f t="shared" si="55"/>
        <v>#N/A</v>
      </c>
      <c r="DK152" s="7" t="e">
        <f t="shared" si="55"/>
        <v>#N/A</v>
      </c>
      <c r="DL152" s="7" t="e">
        <f t="shared" si="57"/>
        <v>#N/A</v>
      </c>
      <c r="DM152" s="7" t="e">
        <f t="shared" si="57"/>
        <v>#N/A</v>
      </c>
      <c r="DN152" s="7" t="e">
        <f t="shared" si="58"/>
        <v>#N/A</v>
      </c>
      <c r="DO152" s="7" t="e">
        <f t="shared" si="58"/>
        <v>#N/A</v>
      </c>
      <c r="DP152" s="7" t="e">
        <f t="shared" si="59"/>
        <v>#N/A</v>
      </c>
      <c r="DQ152" s="7" t="e">
        <f t="shared" si="59"/>
        <v>#N/A</v>
      </c>
      <c r="DR152" s="7" t="e">
        <f t="shared" si="63"/>
        <v>#N/A</v>
      </c>
    </row>
    <row r="153" spans="1:122" s="7" customFormat="1" ht="79.5" customHeight="1">
      <c r="A153" s="75">
        <f t="shared" si="54"/>
        <v>139</v>
      </c>
      <c r="B153" s="538" t="s">
        <v>579</v>
      </c>
      <c r="C153" s="351" t="s">
        <v>660</v>
      </c>
      <c r="D153" s="351" t="s">
        <v>622</v>
      </c>
      <c r="E153" s="193" t="s">
        <v>568</v>
      </c>
      <c r="F153" s="75">
        <v>1</v>
      </c>
      <c r="G153" s="75" t="s">
        <v>192</v>
      </c>
      <c r="H153" s="106" t="s">
        <v>380</v>
      </c>
      <c r="I153" s="107">
        <v>260</v>
      </c>
      <c r="J153" s="96"/>
      <c r="K153" s="96">
        <f t="shared" si="60"/>
        <v>260</v>
      </c>
      <c r="L153" s="96">
        <f t="shared" si="46"/>
        <v>260</v>
      </c>
      <c r="M153" s="96">
        <f t="shared" si="47"/>
        <v>260</v>
      </c>
      <c r="N153" s="108" t="s">
        <v>381</v>
      </c>
      <c r="O153" s="109">
        <v>250</v>
      </c>
      <c r="P153" s="110"/>
      <c r="Q153" s="110">
        <f t="shared" si="61"/>
        <v>250</v>
      </c>
      <c r="R153" s="110">
        <f t="shared" si="48"/>
        <v>250</v>
      </c>
      <c r="S153" s="110">
        <f t="shared" si="49"/>
        <v>250</v>
      </c>
      <c r="T153" s="97" t="s">
        <v>382</v>
      </c>
      <c r="U153" s="98">
        <v>350</v>
      </c>
      <c r="V153" s="99"/>
      <c r="W153" s="99">
        <f t="shared" si="62"/>
        <v>350</v>
      </c>
      <c r="X153" s="99">
        <f t="shared" si="50"/>
        <v>350</v>
      </c>
      <c r="Y153" s="99">
        <f t="shared" si="51"/>
        <v>350</v>
      </c>
      <c r="Z153" s="100">
        <f t="shared" si="67"/>
        <v>286.66666666666669</v>
      </c>
      <c r="AA153" s="100">
        <f t="shared" si="52"/>
        <v>286.66666666666669</v>
      </c>
      <c r="AB153" s="78">
        <f t="shared" si="68"/>
        <v>55.075705472860975</v>
      </c>
      <c r="AC153" s="102">
        <f t="shared" si="56"/>
        <v>0.19212455397509642</v>
      </c>
      <c r="AD153" s="5"/>
      <c r="AF153" s="7" t="s">
        <v>570</v>
      </c>
      <c r="AG153" s="7">
        <v>35</v>
      </c>
      <c r="AH153" s="7" t="s">
        <v>661</v>
      </c>
      <c r="BG153" s="7">
        <v>24</v>
      </c>
      <c r="DA153" s="7" t="e">
        <f>VLOOKUP(C153,listaBolsa!$D$2:$BA$248,1,0)</f>
        <v>#N/A</v>
      </c>
      <c r="DB153" s="7" t="e">
        <f>VLOOKUP(C153,listaBolsa!$D$2:$BA$248,2,0)</f>
        <v>#N/A</v>
      </c>
      <c r="DC153" s="7" t="e">
        <f>VLOOKUP(C153,listaBolsa!$D$2:$BA$248,10,0)</f>
        <v>#N/A</v>
      </c>
      <c r="DD153" s="7" t="e">
        <f>VLOOKUP(C153,listaBolsa!$D$2:$BA$248,14,0)</f>
        <v>#N/A</v>
      </c>
      <c r="DE153" s="7" t="e">
        <f>VLOOKUP(C153,listaBolsa!$D$2:$BA$248,23,0)</f>
        <v>#N/A</v>
      </c>
      <c r="DF153" s="7" t="e">
        <f>VLOOKUP(C153,listaBolsa!$D$2:$BA$248,29,0)</f>
        <v>#N/A</v>
      </c>
      <c r="DG153" s="7" t="e">
        <f>VLOOKUP(C153,listaBolsa!$D$2:$BA$248,36,0)</f>
        <v>#N/A</v>
      </c>
      <c r="DH153" s="7" t="e">
        <f>VLOOKUP(C153,listaBolsa!$D$2:$BA$248,40,0)</f>
        <v>#N/A</v>
      </c>
      <c r="DI153" s="7" t="e">
        <f>VLOOKUP(C153,listaBolsa!$D$2:$BA$248,48,0)</f>
        <v>#N/A</v>
      </c>
      <c r="DJ153" s="7" t="e">
        <f t="shared" si="55"/>
        <v>#N/A</v>
      </c>
      <c r="DK153" s="7" t="e">
        <f t="shared" si="55"/>
        <v>#N/A</v>
      </c>
      <c r="DL153" s="7" t="e">
        <f t="shared" si="57"/>
        <v>#N/A</v>
      </c>
      <c r="DM153" s="7" t="e">
        <f t="shared" si="57"/>
        <v>#N/A</v>
      </c>
      <c r="DN153" s="7" t="e">
        <f t="shared" si="58"/>
        <v>#N/A</v>
      </c>
      <c r="DO153" s="7" t="e">
        <f t="shared" si="58"/>
        <v>#N/A</v>
      </c>
      <c r="DP153" s="7" t="e">
        <f t="shared" si="59"/>
        <v>#N/A</v>
      </c>
      <c r="DQ153" s="7" t="e">
        <f t="shared" si="59"/>
        <v>#N/A</v>
      </c>
      <c r="DR153" s="7" t="e">
        <f t="shared" si="63"/>
        <v>#N/A</v>
      </c>
    </row>
    <row r="154" spans="1:122" s="7" customFormat="1" ht="79.5" customHeight="1">
      <c r="A154" s="75">
        <f t="shared" si="54"/>
        <v>140</v>
      </c>
      <c r="B154" s="538" t="s">
        <v>579</v>
      </c>
      <c r="C154" s="351" t="s">
        <v>662</v>
      </c>
      <c r="D154" s="351" t="s">
        <v>622</v>
      </c>
      <c r="E154" s="193" t="s">
        <v>568</v>
      </c>
      <c r="F154" s="75">
        <v>1</v>
      </c>
      <c r="G154" s="75" t="s">
        <v>192</v>
      </c>
      <c r="H154" s="106" t="s">
        <v>380</v>
      </c>
      <c r="I154" s="107">
        <v>280</v>
      </c>
      <c r="J154" s="96"/>
      <c r="K154" s="96">
        <f t="shared" si="60"/>
        <v>280</v>
      </c>
      <c r="L154" s="96">
        <f t="shared" si="46"/>
        <v>280</v>
      </c>
      <c r="M154" s="96">
        <f t="shared" si="47"/>
        <v>280</v>
      </c>
      <c r="N154" s="108" t="s">
        <v>381</v>
      </c>
      <c r="O154" s="109">
        <v>250</v>
      </c>
      <c r="P154" s="110"/>
      <c r="Q154" s="110">
        <f t="shared" si="61"/>
        <v>250</v>
      </c>
      <c r="R154" s="110">
        <f t="shared" si="48"/>
        <v>250</v>
      </c>
      <c r="S154" s="110">
        <f t="shared" si="49"/>
        <v>250</v>
      </c>
      <c r="T154" s="97" t="s">
        <v>382</v>
      </c>
      <c r="U154" s="98">
        <v>193</v>
      </c>
      <c r="V154" s="99"/>
      <c r="W154" s="99">
        <f t="shared" si="62"/>
        <v>193</v>
      </c>
      <c r="X154" s="99">
        <f t="shared" si="50"/>
        <v>193</v>
      </c>
      <c r="Y154" s="99">
        <f t="shared" si="51"/>
        <v>193</v>
      </c>
      <c r="Z154" s="100">
        <f t="shared" si="67"/>
        <v>241</v>
      </c>
      <c r="AA154" s="100">
        <f t="shared" si="52"/>
        <v>241</v>
      </c>
      <c r="AB154" s="78">
        <f t="shared" si="68"/>
        <v>44.192759587968709</v>
      </c>
      <c r="AC154" s="102">
        <f t="shared" si="56"/>
        <v>0.18337244642310668</v>
      </c>
      <c r="AD154" s="5"/>
      <c r="AF154" s="7" t="s">
        <v>570</v>
      </c>
      <c r="AG154" s="7">
        <v>36</v>
      </c>
      <c r="AH154" s="7" t="s">
        <v>663</v>
      </c>
      <c r="BG154" s="7">
        <v>25</v>
      </c>
      <c r="DA154" s="7" t="e">
        <f>VLOOKUP(C154,listaBolsa!$D$2:$BA$248,1,0)</f>
        <v>#N/A</v>
      </c>
      <c r="DB154" s="7" t="e">
        <f>VLOOKUP(C154,listaBolsa!$D$2:$BA$248,2,0)</f>
        <v>#N/A</v>
      </c>
      <c r="DC154" s="7" t="e">
        <f>VLOOKUP(C154,listaBolsa!$D$2:$BA$248,10,0)</f>
        <v>#N/A</v>
      </c>
      <c r="DD154" s="7" t="e">
        <f>VLOOKUP(C154,listaBolsa!$D$2:$BA$248,14,0)</f>
        <v>#N/A</v>
      </c>
      <c r="DE154" s="7" t="e">
        <f>VLOOKUP(C154,listaBolsa!$D$2:$BA$248,23,0)</f>
        <v>#N/A</v>
      </c>
      <c r="DF154" s="7" t="e">
        <f>VLOOKUP(C154,listaBolsa!$D$2:$BA$248,29,0)</f>
        <v>#N/A</v>
      </c>
      <c r="DG154" s="7" t="e">
        <f>VLOOKUP(C154,listaBolsa!$D$2:$BA$248,36,0)</f>
        <v>#N/A</v>
      </c>
      <c r="DH154" s="7" t="e">
        <f>VLOOKUP(C154,listaBolsa!$D$2:$BA$248,40,0)</f>
        <v>#N/A</v>
      </c>
      <c r="DI154" s="7" t="e">
        <f>VLOOKUP(C154,listaBolsa!$D$2:$BA$248,48,0)</f>
        <v>#N/A</v>
      </c>
      <c r="DJ154" s="7" t="e">
        <f t="shared" si="55"/>
        <v>#N/A</v>
      </c>
      <c r="DK154" s="7" t="e">
        <f t="shared" si="55"/>
        <v>#N/A</v>
      </c>
      <c r="DL154" s="7" t="e">
        <f t="shared" si="57"/>
        <v>#N/A</v>
      </c>
      <c r="DM154" s="7" t="e">
        <f t="shared" si="57"/>
        <v>#N/A</v>
      </c>
      <c r="DN154" s="7" t="e">
        <f t="shared" si="58"/>
        <v>#N/A</v>
      </c>
      <c r="DO154" s="7" t="e">
        <f t="shared" si="58"/>
        <v>#N/A</v>
      </c>
      <c r="DP154" s="7" t="e">
        <f t="shared" si="59"/>
        <v>#N/A</v>
      </c>
      <c r="DQ154" s="7" t="e">
        <f t="shared" si="59"/>
        <v>#N/A</v>
      </c>
      <c r="DR154" s="7" t="e">
        <f t="shared" si="63"/>
        <v>#N/A</v>
      </c>
    </row>
    <row r="155" spans="1:122" s="7" customFormat="1" ht="79.5" customHeight="1">
      <c r="A155" s="75">
        <f t="shared" si="54"/>
        <v>141</v>
      </c>
      <c r="B155" s="538" t="s">
        <v>579</v>
      </c>
      <c r="C155" s="351" t="s">
        <v>664</v>
      </c>
      <c r="D155" s="351" t="s">
        <v>622</v>
      </c>
      <c r="E155" s="193" t="s">
        <v>568</v>
      </c>
      <c r="F155" s="75">
        <v>1</v>
      </c>
      <c r="G155" s="75" t="s">
        <v>192</v>
      </c>
      <c r="H155" s="106" t="s">
        <v>665</v>
      </c>
      <c r="I155" s="107">
        <v>6722.6890756302528</v>
      </c>
      <c r="J155" s="96"/>
      <c r="K155" s="96">
        <f t="shared" si="60"/>
        <v>6722.6890756302528</v>
      </c>
      <c r="L155" s="96">
        <f t="shared" ref="L155:L218" si="69">IF(B155="","",(I155*F155))</f>
        <v>6722.6890756302528</v>
      </c>
      <c r="M155" s="96">
        <f t="shared" ref="M155:M218" si="70">IF(B155="","",(K155*F155))</f>
        <v>6722.6890756302528</v>
      </c>
      <c r="N155" s="108" t="s">
        <v>666</v>
      </c>
      <c r="O155" s="109">
        <v>6722.6890756302528</v>
      </c>
      <c r="P155" s="110"/>
      <c r="Q155" s="110">
        <f t="shared" si="61"/>
        <v>6722.6890756302528</v>
      </c>
      <c r="R155" s="110">
        <f t="shared" ref="R155:R218" si="71">IF(B155="","",(O155*F155))</f>
        <v>6722.6890756302528</v>
      </c>
      <c r="S155" s="110">
        <f t="shared" ref="S155:S218" si="72">IF(B155="","",(Q155*F155))</f>
        <v>6722.6890756302528</v>
      </c>
      <c r="T155" s="97" t="s">
        <v>667</v>
      </c>
      <c r="U155" s="98">
        <v>8000</v>
      </c>
      <c r="V155" s="99"/>
      <c r="W155" s="99">
        <f t="shared" si="62"/>
        <v>8000</v>
      </c>
      <c r="X155" s="99">
        <f t="shared" ref="X155:X218" si="73">IF(B155="","",(U155*F155))</f>
        <v>8000</v>
      </c>
      <c r="Y155" s="99">
        <f t="shared" ref="Y155:Y218" si="74">IF(B155="","",(W155*F155))</f>
        <v>8000</v>
      </c>
      <c r="Z155" s="100">
        <f t="shared" si="67"/>
        <v>7148.4593837535022</v>
      </c>
      <c r="AA155" s="100">
        <f t="shared" ref="AA155:AA218" si="75">IF(B155="","",Z155*F155)</f>
        <v>7148.4593837535022</v>
      </c>
      <c r="AB155" s="78">
        <f t="shared" si="68"/>
        <v>737.45580602372331</v>
      </c>
      <c r="AC155" s="102">
        <f t="shared" si="56"/>
        <v>0.10316290076429044</v>
      </c>
      <c r="AD155" s="5"/>
      <c r="AF155" s="7" t="s">
        <v>570</v>
      </c>
      <c r="AG155" s="7">
        <v>37</v>
      </c>
      <c r="AH155" s="7" t="s">
        <v>668</v>
      </c>
      <c r="BG155" s="7">
        <v>26</v>
      </c>
      <c r="DA155" s="7" t="e">
        <f>VLOOKUP(C155,listaBolsa!$D$2:$BA$248,1,0)</f>
        <v>#N/A</v>
      </c>
      <c r="DB155" s="7" t="e">
        <f>VLOOKUP(C155,listaBolsa!$D$2:$BA$248,2,0)</f>
        <v>#N/A</v>
      </c>
      <c r="DC155" s="7" t="e">
        <f>VLOOKUP(C155,listaBolsa!$D$2:$BA$248,10,0)</f>
        <v>#N/A</v>
      </c>
      <c r="DD155" s="7" t="e">
        <f>VLOOKUP(C155,listaBolsa!$D$2:$BA$248,14,0)</f>
        <v>#N/A</v>
      </c>
      <c r="DE155" s="7" t="e">
        <f>VLOOKUP(C155,listaBolsa!$D$2:$BA$248,23,0)</f>
        <v>#N/A</v>
      </c>
      <c r="DF155" s="7" t="e">
        <f>VLOOKUP(C155,listaBolsa!$D$2:$BA$248,29,0)</f>
        <v>#N/A</v>
      </c>
      <c r="DG155" s="7" t="e">
        <f>VLOOKUP(C155,listaBolsa!$D$2:$BA$248,36,0)</f>
        <v>#N/A</v>
      </c>
      <c r="DH155" s="7" t="e">
        <f>VLOOKUP(C155,listaBolsa!$D$2:$BA$248,40,0)</f>
        <v>#N/A</v>
      </c>
      <c r="DI155" s="7" t="e">
        <f>VLOOKUP(C155,listaBolsa!$D$2:$BA$248,48,0)</f>
        <v>#N/A</v>
      </c>
      <c r="DJ155" s="7" t="e">
        <f t="shared" si="55"/>
        <v>#N/A</v>
      </c>
      <c r="DK155" s="7" t="e">
        <f t="shared" si="55"/>
        <v>#N/A</v>
      </c>
      <c r="DL155" s="7" t="e">
        <f t="shared" si="57"/>
        <v>#N/A</v>
      </c>
      <c r="DM155" s="7" t="e">
        <f t="shared" si="57"/>
        <v>#N/A</v>
      </c>
      <c r="DN155" s="7" t="e">
        <f t="shared" si="58"/>
        <v>#N/A</v>
      </c>
      <c r="DO155" s="7" t="e">
        <f t="shared" si="58"/>
        <v>#N/A</v>
      </c>
      <c r="DP155" s="7" t="e">
        <f t="shared" si="59"/>
        <v>#N/A</v>
      </c>
      <c r="DQ155" s="7" t="e">
        <f t="shared" si="59"/>
        <v>#N/A</v>
      </c>
      <c r="DR155" s="7" t="e">
        <f t="shared" si="63"/>
        <v>#N/A</v>
      </c>
    </row>
    <row r="156" spans="1:122" s="7" customFormat="1" ht="79.5" customHeight="1">
      <c r="A156" s="75">
        <f t="shared" si="54"/>
        <v>142</v>
      </c>
      <c r="B156" s="538" t="s">
        <v>579</v>
      </c>
      <c r="C156" s="351" t="s">
        <v>669</v>
      </c>
      <c r="D156" s="351" t="s">
        <v>622</v>
      </c>
      <c r="E156" s="193" t="s">
        <v>568</v>
      </c>
      <c r="F156" s="75">
        <v>1</v>
      </c>
      <c r="G156" s="75" t="s">
        <v>192</v>
      </c>
      <c r="H156" s="106" t="s">
        <v>603</v>
      </c>
      <c r="I156" s="107">
        <v>1500</v>
      </c>
      <c r="J156" s="96"/>
      <c r="K156" s="96">
        <f t="shared" si="60"/>
        <v>1500</v>
      </c>
      <c r="L156" s="96">
        <f t="shared" si="69"/>
        <v>1500</v>
      </c>
      <c r="M156" s="96">
        <f t="shared" si="70"/>
        <v>1500</v>
      </c>
      <c r="N156" s="108" t="s">
        <v>604</v>
      </c>
      <c r="O156" s="109">
        <v>1200</v>
      </c>
      <c r="P156" s="110"/>
      <c r="Q156" s="110">
        <f t="shared" si="61"/>
        <v>1200</v>
      </c>
      <c r="R156" s="110">
        <f t="shared" si="71"/>
        <v>1200</v>
      </c>
      <c r="S156" s="110">
        <f t="shared" si="72"/>
        <v>1200</v>
      </c>
      <c r="T156" s="97" t="s">
        <v>605</v>
      </c>
      <c r="U156" s="98">
        <v>1500</v>
      </c>
      <c r="V156" s="99"/>
      <c r="W156" s="99">
        <f t="shared" si="62"/>
        <v>1500</v>
      </c>
      <c r="X156" s="99">
        <f t="shared" si="73"/>
        <v>1500</v>
      </c>
      <c r="Y156" s="99">
        <f t="shared" si="74"/>
        <v>1500</v>
      </c>
      <c r="Z156" s="100">
        <f t="shared" si="67"/>
        <v>1400</v>
      </c>
      <c r="AA156" s="100">
        <f t="shared" si="75"/>
        <v>1400</v>
      </c>
      <c r="AB156" s="78">
        <f t="shared" si="68"/>
        <v>173.20508075688772</v>
      </c>
      <c r="AC156" s="102">
        <f t="shared" si="56"/>
        <v>0.12371791482634838</v>
      </c>
      <c r="AD156" s="5"/>
      <c r="AF156" s="7" t="s">
        <v>570</v>
      </c>
      <c r="AG156" s="7">
        <v>38</v>
      </c>
      <c r="AH156" s="7" t="s">
        <v>670</v>
      </c>
      <c r="BG156" s="7">
        <v>27</v>
      </c>
      <c r="DA156" s="7" t="e">
        <f>VLOOKUP(C156,listaBolsa!$D$2:$BA$248,1,0)</f>
        <v>#N/A</v>
      </c>
      <c r="DB156" s="7" t="e">
        <f>VLOOKUP(C156,listaBolsa!$D$2:$BA$248,2,0)</f>
        <v>#N/A</v>
      </c>
      <c r="DC156" s="7" t="e">
        <f>VLOOKUP(C156,listaBolsa!$D$2:$BA$248,10,0)</f>
        <v>#N/A</v>
      </c>
      <c r="DD156" s="7" t="e">
        <f>VLOOKUP(C156,listaBolsa!$D$2:$BA$248,14,0)</f>
        <v>#N/A</v>
      </c>
      <c r="DE156" s="7" t="e">
        <f>VLOOKUP(C156,listaBolsa!$D$2:$BA$248,23,0)</f>
        <v>#N/A</v>
      </c>
      <c r="DF156" s="7" t="e">
        <f>VLOOKUP(C156,listaBolsa!$D$2:$BA$248,29,0)</f>
        <v>#N/A</v>
      </c>
      <c r="DG156" s="7" t="e">
        <f>VLOOKUP(C156,listaBolsa!$D$2:$BA$248,36,0)</f>
        <v>#N/A</v>
      </c>
      <c r="DH156" s="7" t="e">
        <f>VLOOKUP(C156,listaBolsa!$D$2:$BA$248,40,0)</f>
        <v>#N/A</v>
      </c>
      <c r="DI156" s="7" t="e">
        <f>VLOOKUP(C156,listaBolsa!$D$2:$BA$248,48,0)</f>
        <v>#N/A</v>
      </c>
      <c r="DJ156" s="7" t="e">
        <f t="shared" si="55"/>
        <v>#N/A</v>
      </c>
      <c r="DK156" s="7" t="e">
        <f t="shared" si="55"/>
        <v>#N/A</v>
      </c>
      <c r="DL156" s="7" t="e">
        <f t="shared" si="57"/>
        <v>#N/A</v>
      </c>
      <c r="DM156" s="7" t="e">
        <f t="shared" si="57"/>
        <v>#N/A</v>
      </c>
      <c r="DN156" s="7" t="e">
        <f t="shared" si="58"/>
        <v>#N/A</v>
      </c>
      <c r="DO156" s="7" t="e">
        <f t="shared" si="58"/>
        <v>#N/A</v>
      </c>
      <c r="DP156" s="7" t="e">
        <f t="shared" si="59"/>
        <v>#N/A</v>
      </c>
      <c r="DQ156" s="7" t="e">
        <f t="shared" si="59"/>
        <v>#N/A</v>
      </c>
      <c r="DR156" s="7" t="e">
        <f t="shared" si="63"/>
        <v>#N/A</v>
      </c>
    </row>
    <row r="157" spans="1:122" s="7" customFormat="1" ht="79.5" customHeight="1">
      <c r="A157" s="75">
        <f t="shared" si="54"/>
        <v>143</v>
      </c>
      <c r="B157" s="538" t="s">
        <v>579</v>
      </c>
      <c r="C157" s="351" t="s">
        <v>671</v>
      </c>
      <c r="D157" s="351" t="s">
        <v>622</v>
      </c>
      <c r="E157" s="193" t="s">
        <v>568</v>
      </c>
      <c r="F157" s="75">
        <v>1</v>
      </c>
      <c r="G157" s="75" t="s">
        <v>192</v>
      </c>
      <c r="H157" s="106" t="s">
        <v>603</v>
      </c>
      <c r="I157" s="107">
        <v>1500</v>
      </c>
      <c r="J157" s="96"/>
      <c r="K157" s="96">
        <f t="shared" si="60"/>
        <v>1500</v>
      </c>
      <c r="L157" s="96">
        <f t="shared" si="69"/>
        <v>1500</v>
      </c>
      <c r="M157" s="96">
        <f t="shared" si="70"/>
        <v>1500</v>
      </c>
      <c r="N157" s="108" t="s">
        <v>604</v>
      </c>
      <c r="O157" s="109">
        <v>1200</v>
      </c>
      <c r="P157" s="110"/>
      <c r="Q157" s="110">
        <f t="shared" si="61"/>
        <v>1200</v>
      </c>
      <c r="R157" s="110">
        <f t="shared" si="71"/>
        <v>1200</v>
      </c>
      <c r="S157" s="110">
        <f t="shared" si="72"/>
        <v>1200</v>
      </c>
      <c r="T157" s="97" t="s">
        <v>605</v>
      </c>
      <c r="U157" s="98">
        <v>1500</v>
      </c>
      <c r="V157" s="99"/>
      <c r="W157" s="99">
        <f t="shared" si="62"/>
        <v>1500</v>
      </c>
      <c r="X157" s="99">
        <f t="shared" si="73"/>
        <v>1500</v>
      </c>
      <c r="Y157" s="99">
        <f t="shared" si="74"/>
        <v>1500</v>
      </c>
      <c r="Z157" s="100">
        <f t="shared" si="67"/>
        <v>1400</v>
      </c>
      <c r="AA157" s="100">
        <f t="shared" si="75"/>
        <v>1400</v>
      </c>
      <c r="AB157" s="78">
        <f t="shared" si="68"/>
        <v>173.20508075688772</v>
      </c>
      <c r="AC157" s="102">
        <f t="shared" si="56"/>
        <v>0.12371791482634838</v>
      </c>
      <c r="AD157" s="5"/>
      <c r="AF157" s="7" t="s">
        <v>570</v>
      </c>
      <c r="AG157" s="7">
        <v>39</v>
      </c>
      <c r="AH157" s="7" t="s">
        <v>672</v>
      </c>
      <c r="BG157" s="7">
        <v>28</v>
      </c>
      <c r="DA157" s="7" t="e">
        <f>VLOOKUP(C157,listaBolsa!$D$2:$BA$248,1,0)</f>
        <v>#N/A</v>
      </c>
      <c r="DB157" s="7" t="e">
        <f>VLOOKUP(C157,listaBolsa!$D$2:$BA$248,2,0)</f>
        <v>#N/A</v>
      </c>
      <c r="DC157" s="7" t="e">
        <f>VLOOKUP(C157,listaBolsa!$D$2:$BA$248,10,0)</f>
        <v>#N/A</v>
      </c>
      <c r="DD157" s="7" t="e">
        <f>VLOOKUP(C157,listaBolsa!$D$2:$BA$248,14,0)</f>
        <v>#N/A</v>
      </c>
      <c r="DE157" s="7" t="e">
        <f>VLOOKUP(C157,listaBolsa!$D$2:$BA$248,23,0)</f>
        <v>#N/A</v>
      </c>
      <c r="DF157" s="7" t="e">
        <f>VLOOKUP(C157,listaBolsa!$D$2:$BA$248,29,0)</f>
        <v>#N/A</v>
      </c>
      <c r="DG157" s="7" t="e">
        <f>VLOOKUP(C157,listaBolsa!$D$2:$BA$248,36,0)</f>
        <v>#N/A</v>
      </c>
      <c r="DH157" s="7" t="e">
        <f>VLOOKUP(C157,listaBolsa!$D$2:$BA$248,40,0)</f>
        <v>#N/A</v>
      </c>
      <c r="DI157" s="7" t="e">
        <f>VLOOKUP(C157,listaBolsa!$D$2:$BA$248,48,0)</f>
        <v>#N/A</v>
      </c>
      <c r="DJ157" s="7" t="e">
        <f t="shared" si="55"/>
        <v>#N/A</v>
      </c>
      <c r="DK157" s="7" t="e">
        <f t="shared" si="55"/>
        <v>#N/A</v>
      </c>
      <c r="DL157" s="7" t="e">
        <f t="shared" si="57"/>
        <v>#N/A</v>
      </c>
      <c r="DM157" s="7" t="e">
        <f t="shared" si="57"/>
        <v>#N/A</v>
      </c>
      <c r="DN157" s="7" t="e">
        <f t="shared" si="58"/>
        <v>#N/A</v>
      </c>
      <c r="DO157" s="7" t="e">
        <f t="shared" si="58"/>
        <v>#N/A</v>
      </c>
      <c r="DP157" s="7" t="e">
        <f t="shared" si="59"/>
        <v>#N/A</v>
      </c>
      <c r="DQ157" s="7" t="e">
        <f t="shared" si="59"/>
        <v>#N/A</v>
      </c>
      <c r="DR157" s="7" t="e">
        <f t="shared" si="63"/>
        <v>#N/A</v>
      </c>
    </row>
    <row r="158" spans="1:122" s="7" customFormat="1" ht="79.5" customHeight="1">
      <c r="A158" s="75">
        <f t="shared" si="54"/>
        <v>144</v>
      </c>
      <c r="B158" s="538" t="s">
        <v>579</v>
      </c>
      <c r="C158" s="351" t="s">
        <v>673</v>
      </c>
      <c r="D158" s="351" t="s">
        <v>622</v>
      </c>
      <c r="E158" s="193" t="s">
        <v>568</v>
      </c>
      <c r="F158" s="75">
        <v>1</v>
      </c>
      <c r="G158" s="75" t="s">
        <v>192</v>
      </c>
      <c r="H158" s="106" t="s">
        <v>380</v>
      </c>
      <c r="I158" s="107">
        <v>460</v>
      </c>
      <c r="J158" s="96"/>
      <c r="K158" s="96">
        <f t="shared" si="60"/>
        <v>460</v>
      </c>
      <c r="L158" s="96">
        <f t="shared" si="69"/>
        <v>460</v>
      </c>
      <c r="M158" s="96">
        <f t="shared" si="70"/>
        <v>460</v>
      </c>
      <c r="N158" s="108" t="s">
        <v>381</v>
      </c>
      <c r="O158" s="109">
        <v>400</v>
      </c>
      <c r="P158" s="110"/>
      <c r="Q158" s="110">
        <f t="shared" si="61"/>
        <v>400</v>
      </c>
      <c r="R158" s="110">
        <f t="shared" si="71"/>
        <v>400</v>
      </c>
      <c r="S158" s="110">
        <f t="shared" si="72"/>
        <v>400</v>
      </c>
      <c r="T158" s="97" t="s">
        <v>382</v>
      </c>
      <c r="U158" s="98">
        <v>350</v>
      </c>
      <c r="V158" s="99"/>
      <c r="W158" s="99">
        <f t="shared" si="62"/>
        <v>350</v>
      </c>
      <c r="X158" s="99">
        <f t="shared" si="73"/>
        <v>350</v>
      </c>
      <c r="Y158" s="99">
        <f t="shared" si="74"/>
        <v>350</v>
      </c>
      <c r="Z158" s="100">
        <f t="shared" si="67"/>
        <v>403.33333333333331</v>
      </c>
      <c r="AA158" s="100">
        <f t="shared" si="75"/>
        <v>403.33333333333331</v>
      </c>
      <c r="AB158" s="78">
        <f t="shared" si="68"/>
        <v>55.07570547286111</v>
      </c>
      <c r="AC158" s="102">
        <f t="shared" si="56"/>
        <v>0.13655133588312673</v>
      </c>
      <c r="AD158" s="5"/>
      <c r="AF158" s="7" t="s">
        <v>570</v>
      </c>
      <c r="AG158" s="7">
        <v>40</v>
      </c>
      <c r="AH158" s="7" t="s">
        <v>674</v>
      </c>
      <c r="BG158" s="7">
        <v>29</v>
      </c>
      <c r="DA158" s="7" t="e">
        <f>VLOOKUP(C158,listaBolsa!$D$2:$BA$248,1,0)</f>
        <v>#N/A</v>
      </c>
      <c r="DB158" s="7" t="e">
        <f>VLOOKUP(C158,listaBolsa!$D$2:$BA$248,2,0)</f>
        <v>#N/A</v>
      </c>
      <c r="DC158" s="7" t="e">
        <f>VLOOKUP(C158,listaBolsa!$D$2:$BA$248,10,0)</f>
        <v>#N/A</v>
      </c>
      <c r="DD158" s="7" t="e">
        <f>VLOOKUP(C158,listaBolsa!$D$2:$BA$248,14,0)</f>
        <v>#N/A</v>
      </c>
      <c r="DE158" s="7" t="e">
        <f>VLOOKUP(C158,listaBolsa!$D$2:$BA$248,23,0)</f>
        <v>#N/A</v>
      </c>
      <c r="DF158" s="7" t="e">
        <f>VLOOKUP(C158,listaBolsa!$D$2:$BA$248,29,0)</f>
        <v>#N/A</v>
      </c>
      <c r="DG158" s="7" t="e">
        <f>VLOOKUP(C158,listaBolsa!$D$2:$BA$248,36,0)</f>
        <v>#N/A</v>
      </c>
      <c r="DH158" s="7" t="e">
        <f>VLOOKUP(C158,listaBolsa!$D$2:$BA$248,40,0)</f>
        <v>#N/A</v>
      </c>
      <c r="DI158" s="7" t="e">
        <f>VLOOKUP(C158,listaBolsa!$D$2:$BA$248,48,0)</f>
        <v>#N/A</v>
      </c>
      <c r="DJ158" s="7" t="e">
        <f t="shared" ref="DJ158:DK189" si="76">DA158=C158</f>
        <v>#N/A</v>
      </c>
      <c r="DK158" s="7" t="e">
        <f t="shared" si="76"/>
        <v>#N/A</v>
      </c>
      <c r="DL158" s="7" t="e">
        <f t="shared" si="57"/>
        <v>#N/A</v>
      </c>
      <c r="DM158" s="7" t="e">
        <f t="shared" si="57"/>
        <v>#N/A</v>
      </c>
      <c r="DN158" s="7" t="e">
        <f t="shared" si="58"/>
        <v>#N/A</v>
      </c>
      <c r="DO158" s="7" t="e">
        <f t="shared" si="58"/>
        <v>#N/A</v>
      </c>
      <c r="DP158" s="7" t="e">
        <f t="shared" si="59"/>
        <v>#N/A</v>
      </c>
      <c r="DQ158" s="7" t="e">
        <f t="shared" si="59"/>
        <v>#N/A</v>
      </c>
      <c r="DR158" s="7" t="e">
        <f t="shared" si="63"/>
        <v>#N/A</v>
      </c>
    </row>
    <row r="159" spans="1:122" s="7" customFormat="1" ht="79.5" customHeight="1">
      <c r="A159" s="75">
        <f t="shared" si="54"/>
        <v>145</v>
      </c>
      <c r="B159" s="538" t="s">
        <v>579</v>
      </c>
      <c r="C159" s="351" t="s">
        <v>675</v>
      </c>
      <c r="D159" s="351" t="s">
        <v>622</v>
      </c>
      <c r="E159" s="193" t="s">
        <v>568</v>
      </c>
      <c r="F159" s="75">
        <v>1</v>
      </c>
      <c r="G159" s="75" t="s">
        <v>192</v>
      </c>
      <c r="H159" s="106" t="s">
        <v>603</v>
      </c>
      <c r="I159" s="107">
        <v>1500</v>
      </c>
      <c r="J159" s="96"/>
      <c r="K159" s="96">
        <f t="shared" si="60"/>
        <v>1500</v>
      </c>
      <c r="L159" s="96">
        <f t="shared" si="69"/>
        <v>1500</v>
      </c>
      <c r="M159" s="96">
        <f t="shared" si="70"/>
        <v>1500</v>
      </c>
      <c r="N159" s="108" t="s">
        <v>604</v>
      </c>
      <c r="O159" s="109">
        <v>1200</v>
      </c>
      <c r="P159" s="110"/>
      <c r="Q159" s="110">
        <f t="shared" si="61"/>
        <v>1200</v>
      </c>
      <c r="R159" s="110">
        <f t="shared" si="71"/>
        <v>1200</v>
      </c>
      <c r="S159" s="110">
        <f t="shared" si="72"/>
        <v>1200</v>
      </c>
      <c r="T159" s="97" t="s">
        <v>676</v>
      </c>
      <c r="U159" s="98">
        <v>1400</v>
      </c>
      <c r="V159" s="99"/>
      <c r="W159" s="99">
        <f t="shared" si="62"/>
        <v>1400</v>
      </c>
      <c r="X159" s="99">
        <f t="shared" si="73"/>
        <v>1400</v>
      </c>
      <c r="Y159" s="99">
        <f t="shared" si="74"/>
        <v>1400</v>
      </c>
      <c r="Z159" s="100">
        <f t="shared" si="67"/>
        <v>1366.6666666666667</v>
      </c>
      <c r="AA159" s="100">
        <f t="shared" si="75"/>
        <v>1366.6666666666667</v>
      </c>
      <c r="AB159" s="78">
        <f t="shared" si="68"/>
        <v>152.75252316519467</v>
      </c>
      <c r="AC159" s="102">
        <f t="shared" si="56"/>
        <v>0.11177013890136195</v>
      </c>
      <c r="AD159" s="5"/>
      <c r="AF159" s="7" t="s">
        <v>570</v>
      </c>
      <c r="AG159" s="7">
        <v>41</v>
      </c>
      <c r="AH159" s="7" t="s">
        <v>677</v>
      </c>
      <c r="BG159" s="7">
        <v>30</v>
      </c>
      <c r="DA159" s="7" t="e">
        <f>VLOOKUP(C159,listaBolsa!$D$2:$BA$248,1,0)</f>
        <v>#N/A</v>
      </c>
      <c r="DB159" s="7" t="e">
        <f>VLOOKUP(C159,listaBolsa!$D$2:$BA$248,2,0)</f>
        <v>#N/A</v>
      </c>
      <c r="DC159" s="7" t="e">
        <f>VLOOKUP(C159,listaBolsa!$D$2:$BA$248,10,0)</f>
        <v>#N/A</v>
      </c>
      <c r="DD159" s="7" t="e">
        <f>VLOOKUP(C159,listaBolsa!$D$2:$BA$248,14,0)</f>
        <v>#N/A</v>
      </c>
      <c r="DE159" s="7" t="e">
        <f>VLOOKUP(C159,listaBolsa!$D$2:$BA$248,23,0)</f>
        <v>#N/A</v>
      </c>
      <c r="DF159" s="7" t="e">
        <f>VLOOKUP(C159,listaBolsa!$D$2:$BA$248,29,0)</f>
        <v>#N/A</v>
      </c>
      <c r="DG159" s="7" t="e">
        <f>VLOOKUP(C159,listaBolsa!$D$2:$BA$248,36,0)</f>
        <v>#N/A</v>
      </c>
      <c r="DH159" s="7" t="e">
        <f>VLOOKUP(C159,listaBolsa!$D$2:$BA$248,40,0)</f>
        <v>#N/A</v>
      </c>
      <c r="DI159" s="7" t="e">
        <f>VLOOKUP(C159,listaBolsa!$D$2:$BA$248,48,0)</f>
        <v>#N/A</v>
      </c>
      <c r="DJ159" s="7" t="e">
        <f t="shared" si="76"/>
        <v>#N/A</v>
      </c>
      <c r="DK159" s="7" t="e">
        <f t="shared" si="76"/>
        <v>#N/A</v>
      </c>
      <c r="DL159" s="7" t="e">
        <f t="shared" si="57"/>
        <v>#N/A</v>
      </c>
      <c r="DM159" s="7" t="e">
        <f t="shared" si="57"/>
        <v>#N/A</v>
      </c>
      <c r="DN159" s="7" t="e">
        <f t="shared" si="58"/>
        <v>#N/A</v>
      </c>
      <c r="DO159" s="7" t="e">
        <f t="shared" si="58"/>
        <v>#N/A</v>
      </c>
      <c r="DP159" s="7" t="e">
        <f t="shared" si="59"/>
        <v>#N/A</v>
      </c>
      <c r="DQ159" s="7" t="e">
        <f t="shared" si="59"/>
        <v>#N/A</v>
      </c>
      <c r="DR159" s="7" t="e">
        <f t="shared" si="63"/>
        <v>#N/A</v>
      </c>
    </row>
    <row r="160" spans="1:122" s="7" customFormat="1" ht="79.5" customHeight="1">
      <c r="A160" s="75">
        <f t="shared" si="54"/>
        <v>146</v>
      </c>
      <c r="B160" s="538" t="s">
        <v>579</v>
      </c>
      <c r="C160" s="351" t="s">
        <v>678</v>
      </c>
      <c r="D160" s="351" t="s">
        <v>622</v>
      </c>
      <c r="E160" s="193" t="s">
        <v>568</v>
      </c>
      <c r="F160" s="75">
        <v>1</v>
      </c>
      <c r="G160" s="75" t="s">
        <v>192</v>
      </c>
      <c r="H160" s="106" t="s">
        <v>603</v>
      </c>
      <c r="I160" s="107">
        <v>1500</v>
      </c>
      <c r="J160" s="96"/>
      <c r="K160" s="96">
        <f t="shared" si="60"/>
        <v>1500</v>
      </c>
      <c r="L160" s="96">
        <f t="shared" si="69"/>
        <v>1500</v>
      </c>
      <c r="M160" s="96">
        <f t="shared" si="70"/>
        <v>1500</v>
      </c>
      <c r="N160" s="108" t="s">
        <v>604</v>
      </c>
      <c r="O160" s="109">
        <v>1200</v>
      </c>
      <c r="P160" s="110"/>
      <c r="Q160" s="110">
        <f t="shared" si="61"/>
        <v>1200</v>
      </c>
      <c r="R160" s="110">
        <f t="shared" si="71"/>
        <v>1200</v>
      </c>
      <c r="S160" s="110">
        <f t="shared" si="72"/>
        <v>1200</v>
      </c>
      <c r="T160" s="97" t="s">
        <v>605</v>
      </c>
      <c r="U160" s="98">
        <v>1500</v>
      </c>
      <c r="V160" s="99"/>
      <c r="W160" s="99">
        <f t="shared" si="62"/>
        <v>1500</v>
      </c>
      <c r="X160" s="99">
        <f t="shared" si="73"/>
        <v>1500</v>
      </c>
      <c r="Y160" s="99">
        <f t="shared" si="74"/>
        <v>1500</v>
      </c>
      <c r="Z160" s="100">
        <f t="shared" si="67"/>
        <v>1400</v>
      </c>
      <c r="AA160" s="100">
        <f t="shared" si="75"/>
        <v>1400</v>
      </c>
      <c r="AB160" s="78">
        <f t="shared" si="68"/>
        <v>173.20508075688772</v>
      </c>
      <c r="AC160" s="102">
        <f t="shared" si="56"/>
        <v>0.12371791482634838</v>
      </c>
      <c r="AD160" s="5"/>
      <c r="AF160" s="7" t="s">
        <v>570</v>
      </c>
      <c r="AG160" s="7">
        <v>42</v>
      </c>
      <c r="AH160" s="7" t="s">
        <v>679</v>
      </c>
      <c r="BG160" s="7">
        <v>31</v>
      </c>
      <c r="DA160" s="7" t="e">
        <f>VLOOKUP(C160,listaBolsa!$D$2:$BA$248,1,0)</f>
        <v>#N/A</v>
      </c>
      <c r="DB160" s="7" t="e">
        <f>VLOOKUP(C160,listaBolsa!$D$2:$BA$248,2,0)</f>
        <v>#N/A</v>
      </c>
      <c r="DC160" s="7" t="e">
        <f>VLOOKUP(C160,listaBolsa!$D$2:$BA$248,10,0)</f>
        <v>#N/A</v>
      </c>
      <c r="DD160" s="7" t="e">
        <f>VLOOKUP(C160,listaBolsa!$D$2:$BA$248,14,0)</f>
        <v>#N/A</v>
      </c>
      <c r="DE160" s="7" t="e">
        <f>VLOOKUP(C160,listaBolsa!$D$2:$BA$248,23,0)</f>
        <v>#N/A</v>
      </c>
      <c r="DF160" s="7" t="e">
        <f>VLOOKUP(C160,listaBolsa!$D$2:$BA$248,29,0)</f>
        <v>#N/A</v>
      </c>
      <c r="DG160" s="7" t="e">
        <f>VLOOKUP(C160,listaBolsa!$D$2:$BA$248,36,0)</f>
        <v>#N/A</v>
      </c>
      <c r="DH160" s="7" t="e">
        <f>VLOOKUP(C160,listaBolsa!$D$2:$BA$248,40,0)</f>
        <v>#N/A</v>
      </c>
      <c r="DI160" s="7" t="e">
        <f>VLOOKUP(C160,listaBolsa!$D$2:$BA$248,48,0)</f>
        <v>#N/A</v>
      </c>
      <c r="DJ160" s="7" t="e">
        <f t="shared" si="76"/>
        <v>#N/A</v>
      </c>
      <c r="DK160" s="7" t="e">
        <f t="shared" si="76"/>
        <v>#N/A</v>
      </c>
      <c r="DL160" s="7" t="e">
        <f t="shared" si="57"/>
        <v>#N/A</v>
      </c>
      <c r="DM160" s="7" t="e">
        <f t="shared" si="57"/>
        <v>#N/A</v>
      </c>
      <c r="DN160" s="7" t="e">
        <f t="shared" si="58"/>
        <v>#N/A</v>
      </c>
      <c r="DO160" s="7" t="e">
        <f t="shared" si="58"/>
        <v>#N/A</v>
      </c>
      <c r="DP160" s="7" t="e">
        <f t="shared" si="59"/>
        <v>#N/A</v>
      </c>
      <c r="DQ160" s="7" t="e">
        <f t="shared" si="59"/>
        <v>#N/A</v>
      </c>
      <c r="DR160" s="7" t="e">
        <f t="shared" si="63"/>
        <v>#N/A</v>
      </c>
    </row>
    <row r="161" spans="1:122" s="7" customFormat="1" ht="79.5" customHeight="1">
      <c r="A161" s="75">
        <f t="shared" si="54"/>
        <v>147</v>
      </c>
      <c r="B161" s="538" t="s">
        <v>579</v>
      </c>
      <c r="C161" s="351" t="s">
        <v>680</v>
      </c>
      <c r="D161" s="351" t="s">
        <v>622</v>
      </c>
      <c r="E161" s="193" t="s">
        <v>568</v>
      </c>
      <c r="F161" s="75">
        <v>1</v>
      </c>
      <c r="G161" s="75" t="s">
        <v>192</v>
      </c>
      <c r="H161" s="106" t="s">
        <v>380</v>
      </c>
      <c r="I161" s="107">
        <v>4000</v>
      </c>
      <c r="J161" s="96"/>
      <c r="K161" s="96">
        <f t="shared" si="60"/>
        <v>4000</v>
      </c>
      <c r="L161" s="96">
        <f t="shared" si="69"/>
        <v>4000</v>
      </c>
      <c r="M161" s="96">
        <f t="shared" si="70"/>
        <v>4000</v>
      </c>
      <c r="N161" s="108" t="s">
        <v>381</v>
      </c>
      <c r="O161" s="109">
        <v>3800</v>
      </c>
      <c r="P161" s="110"/>
      <c r="Q161" s="110">
        <f t="shared" si="61"/>
        <v>3800</v>
      </c>
      <c r="R161" s="110">
        <f t="shared" si="71"/>
        <v>3800</v>
      </c>
      <c r="S161" s="110">
        <f t="shared" si="72"/>
        <v>3800</v>
      </c>
      <c r="T161" s="97" t="s">
        <v>382</v>
      </c>
      <c r="U161" s="98">
        <v>3500</v>
      </c>
      <c r="V161" s="99"/>
      <c r="W161" s="99">
        <f t="shared" si="62"/>
        <v>3500</v>
      </c>
      <c r="X161" s="99">
        <f t="shared" si="73"/>
        <v>3500</v>
      </c>
      <c r="Y161" s="99">
        <f t="shared" si="74"/>
        <v>3500</v>
      </c>
      <c r="Z161" s="100">
        <f t="shared" si="67"/>
        <v>3766.6666666666665</v>
      </c>
      <c r="AA161" s="100">
        <f t="shared" si="75"/>
        <v>3766.6666666666665</v>
      </c>
      <c r="AB161" s="78">
        <f t="shared" si="68"/>
        <v>251.66114784235833</v>
      </c>
      <c r="AC161" s="102">
        <f t="shared" si="56"/>
        <v>6.6812694117440272E-2</v>
      </c>
      <c r="AD161" s="5"/>
      <c r="AF161" s="7" t="s">
        <v>570</v>
      </c>
      <c r="AG161" s="7">
        <v>43</v>
      </c>
      <c r="AH161" s="7" t="s">
        <v>681</v>
      </c>
      <c r="BG161" s="7">
        <v>32</v>
      </c>
      <c r="DA161" s="7" t="e">
        <f>VLOOKUP(C161,listaBolsa!$D$2:$BA$248,1,0)</f>
        <v>#N/A</v>
      </c>
      <c r="DB161" s="7" t="e">
        <f>VLOOKUP(C161,listaBolsa!$D$2:$BA$248,2,0)</f>
        <v>#N/A</v>
      </c>
      <c r="DC161" s="7" t="e">
        <f>VLOOKUP(C161,listaBolsa!$D$2:$BA$248,10,0)</f>
        <v>#N/A</v>
      </c>
      <c r="DD161" s="7" t="e">
        <f>VLOOKUP(C161,listaBolsa!$D$2:$BA$248,14,0)</f>
        <v>#N/A</v>
      </c>
      <c r="DE161" s="7" t="e">
        <f>VLOOKUP(C161,listaBolsa!$D$2:$BA$248,23,0)</f>
        <v>#N/A</v>
      </c>
      <c r="DF161" s="7" t="e">
        <f>VLOOKUP(C161,listaBolsa!$D$2:$BA$248,29,0)</f>
        <v>#N/A</v>
      </c>
      <c r="DG161" s="7" t="e">
        <f>VLOOKUP(C161,listaBolsa!$D$2:$BA$248,36,0)</f>
        <v>#N/A</v>
      </c>
      <c r="DH161" s="7" t="e">
        <f>VLOOKUP(C161,listaBolsa!$D$2:$BA$248,40,0)</f>
        <v>#N/A</v>
      </c>
      <c r="DI161" s="7" t="e">
        <f>VLOOKUP(C161,listaBolsa!$D$2:$BA$248,48,0)</f>
        <v>#N/A</v>
      </c>
      <c r="DJ161" s="7" t="e">
        <f t="shared" si="76"/>
        <v>#N/A</v>
      </c>
      <c r="DK161" s="7" t="e">
        <f t="shared" si="76"/>
        <v>#N/A</v>
      </c>
      <c r="DL161" s="7" t="e">
        <f t="shared" si="57"/>
        <v>#N/A</v>
      </c>
      <c r="DM161" s="7" t="e">
        <f t="shared" si="57"/>
        <v>#N/A</v>
      </c>
      <c r="DN161" s="7" t="e">
        <f t="shared" si="58"/>
        <v>#N/A</v>
      </c>
      <c r="DO161" s="7" t="e">
        <f t="shared" si="58"/>
        <v>#N/A</v>
      </c>
      <c r="DP161" s="7" t="e">
        <f t="shared" si="59"/>
        <v>#N/A</v>
      </c>
      <c r="DQ161" s="7" t="e">
        <f t="shared" si="59"/>
        <v>#N/A</v>
      </c>
      <c r="DR161" s="7" t="e">
        <f t="shared" si="63"/>
        <v>#N/A</v>
      </c>
    </row>
    <row r="162" spans="1:122" s="7" customFormat="1" ht="79.5" customHeight="1">
      <c r="A162" s="75">
        <f t="shared" si="54"/>
        <v>148</v>
      </c>
      <c r="B162" s="538" t="s">
        <v>579</v>
      </c>
      <c r="C162" s="351" t="s">
        <v>682</v>
      </c>
      <c r="D162" s="351" t="s">
        <v>683</v>
      </c>
      <c r="E162" s="193" t="s">
        <v>568</v>
      </c>
      <c r="F162" s="75">
        <v>1</v>
      </c>
      <c r="G162" s="75" t="s">
        <v>192</v>
      </c>
      <c r="H162" s="106" t="s">
        <v>380</v>
      </c>
      <c r="I162" s="107">
        <v>26000</v>
      </c>
      <c r="J162" s="96"/>
      <c r="K162" s="96">
        <f t="shared" si="60"/>
        <v>26000</v>
      </c>
      <c r="L162" s="96">
        <f t="shared" si="69"/>
        <v>26000</v>
      </c>
      <c r="M162" s="96">
        <f t="shared" si="70"/>
        <v>26000</v>
      </c>
      <c r="N162" s="108" t="s">
        <v>381</v>
      </c>
      <c r="O162" s="109">
        <v>25000</v>
      </c>
      <c r="P162" s="110"/>
      <c r="Q162" s="110">
        <f t="shared" si="61"/>
        <v>25000</v>
      </c>
      <c r="R162" s="110">
        <f t="shared" si="71"/>
        <v>25000</v>
      </c>
      <c r="S162" s="110">
        <f t="shared" si="72"/>
        <v>25000</v>
      </c>
      <c r="T162" s="97" t="s">
        <v>382</v>
      </c>
      <c r="U162" s="98">
        <v>22400</v>
      </c>
      <c r="V162" s="99"/>
      <c r="W162" s="99">
        <f t="shared" si="62"/>
        <v>22400</v>
      </c>
      <c r="X162" s="99">
        <f t="shared" si="73"/>
        <v>22400</v>
      </c>
      <c r="Y162" s="99">
        <f t="shared" si="74"/>
        <v>22400</v>
      </c>
      <c r="Z162" s="100">
        <f t="shared" si="67"/>
        <v>24466.666666666668</v>
      </c>
      <c r="AA162" s="100">
        <f t="shared" si="75"/>
        <v>24466.666666666668</v>
      </c>
      <c r="AB162" s="78">
        <f t="shared" si="68"/>
        <v>1858.3146486355138</v>
      </c>
      <c r="AC162" s="102">
        <f t="shared" si="56"/>
        <v>7.5952914794367041E-2</v>
      </c>
      <c r="AD162" s="5"/>
      <c r="AF162" s="7" t="s">
        <v>570</v>
      </c>
      <c r="AG162" s="7">
        <v>44</v>
      </c>
      <c r="AH162" s="7" t="s">
        <v>684</v>
      </c>
      <c r="BG162" s="7">
        <v>33</v>
      </c>
      <c r="DA162" s="7" t="e">
        <f>VLOOKUP(C162,listaBolsa!$D$2:$BA$248,1,0)</f>
        <v>#N/A</v>
      </c>
      <c r="DB162" s="7" t="e">
        <f>VLOOKUP(C162,listaBolsa!$D$2:$BA$248,2,0)</f>
        <v>#N/A</v>
      </c>
      <c r="DC162" s="7" t="e">
        <f>VLOOKUP(C162,listaBolsa!$D$2:$BA$248,10,0)</f>
        <v>#N/A</v>
      </c>
      <c r="DD162" s="7" t="e">
        <f>VLOOKUP(C162,listaBolsa!$D$2:$BA$248,14,0)</f>
        <v>#N/A</v>
      </c>
      <c r="DE162" s="7" t="e">
        <f>VLOOKUP(C162,listaBolsa!$D$2:$BA$248,23,0)</f>
        <v>#N/A</v>
      </c>
      <c r="DF162" s="7" t="e">
        <f>VLOOKUP(C162,listaBolsa!$D$2:$BA$248,29,0)</f>
        <v>#N/A</v>
      </c>
      <c r="DG162" s="7" t="e">
        <f>VLOOKUP(C162,listaBolsa!$D$2:$BA$248,36,0)</f>
        <v>#N/A</v>
      </c>
      <c r="DH162" s="7" t="e">
        <f>VLOOKUP(C162,listaBolsa!$D$2:$BA$248,40,0)</f>
        <v>#N/A</v>
      </c>
      <c r="DI162" s="7" t="e">
        <f>VLOOKUP(C162,listaBolsa!$D$2:$BA$248,48,0)</f>
        <v>#N/A</v>
      </c>
      <c r="DJ162" s="7" t="e">
        <f t="shared" si="76"/>
        <v>#N/A</v>
      </c>
      <c r="DK162" s="7" t="e">
        <f t="shared" si="76"/>
        <v>#N/A</v>
      </c>
      <c r="DL162" s="7" t="e">
        <f t="shared" si="57"/>
        <v>#N/A</v>
      </c>
      <c r="DM162" s="7" t="e">
        <f t="shared" si="57"/>
        <v>#N/A</v>
      </c>
      <c r="DN162" s="7" t="e">
        <f t="shared" si="58"/>
        <v>#N/A</v>
      </c>
      <c r="DO162" s="7" t="e">
        <f t="shared" si="58"/>
        <v>#N/A</v>
      </c>
      <c r="DP162" s="7" t="e">
        <f t="shared" si="59"/>
        <v>#N/A</v>
      </c>
      <c r="DQ162" s="7" t="e">
        <f t="shared" si="59"/>
        <v>#N/A</v>
      </c>
      <c r="DR162" s="7" t="e">
        <f t="shared" si="63"/>
        <v>#N/A</v>
      </c>
    </row>
    <row r="163" spans="1:122" s="7" customFormat="1" ht="30.6" customHeight="1">
      <c r="A163" s="75">
        <f t="shared" si="54"/>
        <v>149</v>
      </c>
      <c r="B163" s="538" t="s">
        <v>579</v>
      </c>
      <c r="C163" s="351" t="s">
        <v>685</v>
      </c>
      <c r="D163" s="351" t="s">
        <v>686</v>
      </c>
      <c r="E163" s="193" t="s">
        <v>568</v>
      </c>
      <c r="F163" s="75">
        <v>1</v>
      </c>
      <c r="G163" s="75" t="s">
        <v>192</v>
      </c>
      <c r="H163" s="106" t="s">
        <v>380</v>
      </c>
      <c r="I163" s="107">
        <v>20000</v>
      </c>
      <c r="J163" s="96"/>
      <c r="K163" s="96">
        <f t="shared" si="60"/>
        <v>20000</v>
      </c>
      <c r="L163" s="96">
        <f t="shared" si="69"/>
        <v>20000</v>
      </c>
      <c r="M163" s="96">
        <f t="shared" si="70"/>
        <v>20000</v>
      </c>
      <c r="N163" s="108" t="s">
        <v>381</v>
      </c>
      <c r="O163" s="109">
        <v>18000</v>
      </c>
      <c r="P163" s="110"/>
      <c r="Q163" s="110">
        <f t="shared" si="61"/>
        <v>18000</v>
      </c>
      <c r="R163" s="110">
        <f t="shared" si="71"/>
        <v>18000</v>
      </c>
      <c r="S163" s="110">
        <f t="shared" si="72"/>
        <v>18000</v>
      </c>
      <c r="T163" s="97" t="s">
        <v>382</v>
      </c>
      <c r="U163" s="98">
        <v>14000</v>
      </c>
      <c r="V163" s="99"/>
      <c r="W163" s="99">
        <f t="shared" si="62"/>
        <v>14000</v>
      </c>
      <c r="X163" s="99">
        <f t="shared" si="73"/>
        <v>14000</v>
      </c>
      <c r="Y163" s="99">
        <f t="shared" si="74"/>
        <v>14000</v>
      </c>
      <c r="Z163" s="100">
        <f t="shared" si="67"/>
        <v>17333.333333333332</v>
      </c>
      <c r="AA163" s="100">
        <f t="shared" si="75"/>
        <v>17333.333333333332</v>
      </c>
      <c r="AB163" s="78">
        <f t="shared" si="68"/>
        <v>3055.05046330389</v>
      </c>
      <c r="AC163" s="102">
        <f t="shared" si="56"/>
        <v>0.1762529113444552</v>
      </c>
      <c r="AD163" s="5"/>
      <c r="AF163" s="7" t="s">
        <v>570</v>
      </c>
      <c r="AG163" s="7">
        <v>45</v>
      </c>
      <c r="AH163" s="7" t="s">
        <v>687</v>
      </c>
      <c r="BG163" s="7">
        <v>34</v>
      </c>
      <c r="DA163" s="7" t="e">
        <f>VLOOKUP(C163,listaBolsa!$D$2:$BA$248,1,0)</f>
        <v>#N/A</v>
      </c>
      <c r="DB163" s="7" t="e">
        <f>VLOOKUP(C163,listaBolsa!$D$2:$BA$248,2,0)</f>
        <v>#N/A</v>
      </c>
      <c r="DC163" s="7" t="e">
        <f>VLOOKUP(C163,listaBolsa!$D$2:$BA$248,10,0)</f>
        <v>#N/A</v>
      </c>
      <c r="DD163" s="7" t="e">
        <f>VLOOKUP(C163,listaBolsa!$D$2:$BA$248,14,0)</f>
        <v>#N/A</v>
      </c>
      <c r="DE163" s="7" t="e">
        <f>VLOOKUP(C163,listaBolsa!$D$2:$BA$248,23,0)</f>
        <v>#N/A</v>
      </c>
      <c r="DF163" s="7" t="e">
        <f>VLOOKUP(C163,listaBolsa!$D$2:$BA$248,29,0)</f>
        <v>#N/A</v>
      </c>
      <c r="DG163" s="7" t="e">
        <f>VLOOKUP(C163,listaBolsa!$D$2:$BA$248,36,0)</f>
        <v>#N/A</v>
      </c>
      <c r="DH163" s="7" t="e">
        <f>VLOOKUP(C163,listaBolsa!$D$2:$BA$248,40,0)</f>
        <v>#N/A</v>
      </c>
      <c r="DI163" s="7" t="e">
        <f>VLOOKUP(C163,listaBolsa!$D$2:$BA$248,48,0)</f>
        <v>#N/A</v>
      </c>
      <c r="DJ163" s="7" t="e">
        <f t="shared" si="76"/>
        <v>#N/A</v>
      </c>
      <c r="DK163" s="7" t="e">
        <f t="shared" si="76"/>
        <v>#N/A</v>
      </c>
      <c r="DL163" s="7" t="e">
        <f t="shared" si="57"/>
        <v>#N/A</v>
      </c>
      <c r="DM163" s="7" t="e">
        <f t="shared" si="57"/>
        <v>#N/A</v>
      </c>
      <c r="DN163" s="7" t="e">
        <f t="shared" si="58"/>
        <v>#N/A</v>
      </c>
      <c r="DO163" s="7" t="e">
        <f t="shared" si="58"/>
        <v>#N/A</v>
      </c>
      <c r="DP163" s="7" t="e">
        <f t="shared" si="59"/>
        <v>#N/A</v>
      </c>
      <c r="DQ163" s="7" t="e">
        <f t="shared" si="59"/>
        <v>#N/A</v>
      </c>
      <c r="DR163" s="7" t="e">
        <f t="shared" si="63"/>
        <v>#N/A</v>
      </c>
    </row>
    <row r="164" spans="1:122" s="7" customFormat="1" ht="126.6" customHeight="1">
      <c r="A164" s="75">
        <f t="shared" si="54"/>
        <v>150</v>
      </c>
      <c r="B164" s="538" t="s">
        <v>579</v>
      </c>
      <c r="C164" s="351" t="s">
        <v>688</v>
      </c>
      <c r="D164" s="351" t="s">
        <v>689</v>
      </c>
      <c r="E164" s="193" t="s">
        <v>568</v>
      </c>
      <c r="F164" s="75">
        <v>1</v>
      </c>
      <c r="G164" s="75" t="s">
        <v>192</v>
      </c>
      <c r="H164" s="106" t="s">
        <v>380</v>
      </c>
      <c r="I164" s="107">
        <v>250000</v>
      </c>
      <c r="J164" s="96">
        <f t="shared" si="64"/>
        <v>47500</v>
      </c>
      <c r="K164" s="96">
        <f t="shared" si="60"/>
        <v>297500</v>
      </c>
      <c r="L164" s="96">
        <f t="shared" si="69"/>
        <v>250000</v>
      </c>
      <c r="M164" s="96">
        <f t="shared" si="70"/>
        <v>297500</v>
      </c>
      <c r="N164" s="108" t="s">
        <v>381</v>
      </c>
      <c r="O164" s="109">
        <v>240000</v>
      </c>
      <c r="P164" s="110">
        <f t="shared" si="65"/>
        <v>45600</v>
      </c>
      <c r="Q164" s="110">
        <f t="shared" si="61"/>
        <v>285600</v>
      </c>
      <c r="R164" s="110">
        <f t="shared" si="71"/>
        <v>240000</v>
      </c>
      <c r="S164" s="110">
        <f t="shared" si="72"/>
        <v>285600</v>
      </c>
      <c r="T164" s="97" t="s">
        <v>382</v>
      </c>
      <c r="U164" s="98">
        <v>224000</v>
      </c>
      <c r="V164" s="99">
        <f t="shared" si="66"/>
        <v>42560</v>
      </c>
      <c r="W164" s="99">
        <f t="shared" si="62"/>
        <v>266560</v>
      </c>
      <c r="X164" s="99">
        <f t="shared" si="73"/>
        <v>224000</v>
      </c>
      <c r="Y164" s="99">
        <f t="shared" si="74"/>
        <v>266560</v>
      </c>
      <c r="Z164" s="100">
        <f t="shared" si="67"/>
        <v>283220</v>
      </c>
      <c r="AA164" s="100">
        <f t="shared" si="75"/>
        <v>283220</v>
      </c>
      <c r="AB164" s="78">
        <f t="shared" si="68"/>
        <v>15606.703687838761</v>
      </c>
      <c r="AC164" s="102">
        <f t="shared" si="56"/>
        <v>5.5104525414302524E-2</v>
      </c>
      <c r="AD164" s="5"/>
      <c r="AF164" s="7" t="s">
        <v>570</v>
      </c>
      <c r="AG164" s="7">
        <v>46</v>
      </c>
      <c r="AH164" s="7" t="s">
        <v>690</v>
      </c>
      <c r="BG164" s="7">
        <v>35</v>
      </c>
      <c r="DA164" s="7" t="e">
        <f>VLOOKUP(C164,listaBolsa!$D$2:$BA$248,1,0)</f>
        <v>#N/A</v>
      </c>
      <c r="DB164" s="7" t="e">
        <f>VLOOKUP(C164,listaBolsa!$D$2:$BA$248,2,0)</f>
        <v>#N/A</v>
      </c>
      <c r="DC164" s="7" t="e">
        <f>VLOOKUP(C164,listaBolsa!$D$2:$BA$248,10,0)</f>
        <v>#N/A</v>
      </c>
      <c r="DD164" s="7" t="e">
        <f>VLOOKUP(C164,listaBolsa!$D$2:$BA$248,14,0)</f>
        <v>#N/A</v>
      </c>
      <c r="DE164" s="7" t="e">
        <f>VLOOKUP(C164,listaBolsa!$D$2:$BA$248,23,0)</f>
        <v>#N/A</v>
      </c>
      <c r="DF164" s="7" t="e">
        <f>VLOOKUP(C164,listaBolsa!$D$2:$BA$248,29,0)</f>
        <v>#N/A</v>
      </c>
      <c r="DG164" s="7" t="e">
        <f>VLOOKUP(C164,listaBolsa!$D$2:$BA$248,36,0)</f>
        <v>#N/A</v>
      </c>
      <c r="DH164" s="7" t="e">
        <f>VLOOKUP(C164,listaBolsa!$D$2:$BA$248,40,0)</f>
        <v>#N/A</v>
      </c>
      <c r="DI164" s="7" t="e">
        <f>VLOOKUP(C164,listaBolsa!$D$2:$BA$248,48,0)</f>
        <v>#N/A</v>
      </c>
      <c r="DJ164" s="7" t="e">
        <f t="shared" si="76"/>
        <v>#N/A</v>
      </c>
      <c r="DK164" s="7" t="e">
        <f t="shared" si="76"/>
        <v>#N/A</v>
      </c>
      <c r="DL164" s="7" t="e">
        <f t="shared" si="57"/>
        <v>#N/A</v>
      </c>
      <c r="DM164" s="7" t="e">
        <f t="shared" si="57"/>
        <v>#N/A</v>
      </c>
      <c r="DN164" s="7" t="e">
        <f t="shared" si="58"/>
        <v>#N/A</v>
      </c>
      <c r="DO164" s="7" t="e">
        <f t="shared" si="58"/>
        <v>#N/A</v>
      </c>
      <c r="DP164" s="7" t="e">
        <f t="shared" si="59"/>
        <v>#N/A</v>
      </c>
      <c r="DQ164" s="7" t="e">
        <f t="shared" si="59"/>
        <v>#N/A</v>
      </c>
      <c r="DR164" s="7" t="e">
        <f t="shared" si="63"/>
        <v>#N/A</v>
      </c>
    </row>
    <row r="165" spans="1:122" s="7" customFormat="1" ht="30.6" customHeight="1">
      <c r="A165" s="75">
        <f t="shared" si="54"/>
        <v>151</v>
      </c>
      <c r="B165" s="538" t="s">
        <v>579</v>
      </c>
      <c r="C165" s="351" t="s">
        <v>691</v>
      </c>
      <c r="D165" s="351" t="s">
        <v>692</v>
      </c>
      <c r="E165" s="193" t="s">
        <v>568</v>
      </c>
      <c r="F165" s="75">
        <v>1</v>
      </c>
      <c r="G165" s="75" t="s">
        <v>192</v>
      </c>
      <c r="H165" s="106" t="s">
        <v>693</v>
      </c>
      <c r="I165" s="107">
        <v>11596.638655462189</v>
      </c>
      <c r="J165" s="96">
        <f t="shared" si="64"/>
        <v>2203.361344537816</v>
      </c>
      <c r="K165" s="96">
        <f t="shared" si="60"/>
        <v>13800.000000000005</v>
      </c>
      <c r="L165" s="96">
        <f t="shared" si="69"/>
        <v>11596.638655462189</v>
      </c>
      <c r="M165" s="96">
        <f t="shared" si="70"/>
        <v>13800.000000000005</v>
      </c>
      <c r="N165" s="108" t="s">
        <v>694</v>
      </c>
      <c r="O165" s="109">
        <v>13949.57983193277</v>
      </c>
      <c r="P165" s="110">
        <f t="shared" si="65"/>
        <v>2650.4201680672263</v>
      </c>
      <c r="Q165" s="110">
        <f t="shared" si="61"/>
        <v>16599.999999999996</v>
      </c>
      <c r="R165" s="110">
        <f t="shared" si="71"/>
        <v>13949.57983193277</v>
      </c>
      <c r="S165" s="110">
        <f t="shared" si="72"/>
        <v>16599.999999999996</v>
      </c>
      <c r="T165" s="97" t="s">
        <v>695</v>
      </c>
      <c r="U165" s="98">
        <v>10420.16806722689</v>
      </c>
      <c r="V165" s="99">
        <f t="shared" si="66"/>
        <v>1979.8319327731092</v>
      </c>
      <c r="W165" s="99">
        <f t="shared" si="62"/>
        <v>12400</v>
      </c>
      <c r="X165" s="99">
        <f t="shared" si="73"/>
        <v>10420.16806722689</v>
      </c>
      <c r="Y165" s="99">
        <f t="shared" si="74"/>
        <v>12400</v>
      </c>
      <c r="Z165" s="100">
        <f t="shared" si="67"/>
        <v>14266.666666666666</v>
      </c>
      <c r="AA165" s="100">
        <f t="shared" si="75"/>
        <v>14266.666666666666</v>
      </c>
      <c r="AB165" s="78">
        <f t="shared" si="68"/>
        <v>2138.5353243127206</v>
      </c>
      <c r="AC165" s="102">
        <f t="shared" si="56"/>
        <v>0.1498973358163122</v>
      </c>
      <c r="AD165" s="5"/>
      <c r="AF165" s="7" t="s">
        <v>570</v>
      </c>
      <c r="AG165" s="7">
        <v>47</v>
      </c>
      <c r="AH165" s="7" t="s">
        <v>696</v>
      </c>
      <c r="BG165" s="7">
        <v>36</v>
      </c>
      <c r="DA165" s="7" t="e">
        <f>VLOOKUP(C165,listaBolsa!$D$2:$BA$248,1,0)</f>
        <v>#N/A</v>
      </c>
      <c r="DB165" s="7" t="e">
        <f>VLOOKUP(C165,listaBolsa!$D$2:$BA$248,2,0)</f>
        <v>#N/A</v>
      </c>
      <c r="DC165" s="7" t="e">
        <f>VLOOKUP(C165,listaBolsa!$D$2:$BA$248,10,0)</f>
        <v>#N/A</v>
      </c>
      <c r="DD165" s="7" t="e">
        <f>VLOOKUP(C165,listaBolsa!$D$2:$BA$248,14,0)</f>
        <v>#N/A</v>
      </c>
      <c r="DE165" s="7" t="e">
        <f>VLOOKUP(C165,listaBolsa!$D$2:$BA$248,23,0)</f>
        <v>#N/A</v>
      </c>
      <c r="DF165" s="7" t="e">
        <f>VLOOKUP(C165,listaBolsa!$D$2:$BA$248,29,0)</f>
        <v>#N/A</v>
      </c>
      <c r="DG165" s="7" t="e">
        <f>VLOOKUP(C165,listaBolsa!$D$2:$BA$248,36,0)</f>
        <v>#N/A</v>
      </c>
      <c r="DH165" s="7" t="e">
        <f>VLOOKUP(C165,listaBolsa!$D$2:$BA$248,40,0)</f>
        <v>#N/A</v>
      </c>
      <c r="DI165" s="7" t="e">
        <f>VLOOKUP(C165,listaBolsa!$D$2:$BA$248,48,0)</f>
        <v>#N/A</v>
      </c>
      <c r="DJ165" s="7" t="e">
        <f t="shared" si="76"/>
        <v>#N/A</v>
      </c>
      <c r="DK165" s="7" t="e">
        <f t="shared" si="76"/>
        <v>#N/A</v>
      </c>
      <c r="DL165" s="7" t="e">
        <f t="shared" si="57"/>
        <v>#N/A</v>
      </c>
      <c r="DM165" s="7" t="e">
        <f t="shared" si="57"/>
        <v>#N/A</v>
      </c>
      <c r="DN165" s="7" t="e">
        <f t="shared" si="58"/>
        <v>#N/A</v>
      </c>
      <c r="DO165" s="7" t="e">
        <f t="shared" si="58"/>
        <v>#N/A</v>
      </c>
      <c r="DP165" s="7" t="e">
        <f t="shared" si="59"/>
        <v>#N/A</v>
      </c>
      <c r="DQ165" s="7" t="e">
        <f t="shared" si="59"/>
        <v>#N/A</v>
      </c>
      <c r="DR165" s="7" t="e">
        <f t="shared" si="63"/>
        <v>#N/A</v>
      </c>
    </row>
    <row r="166" spans="1:122" s="7" customFormat="1" ht="30.6" customHeight="1">
      <c r="A166" s="75">
        <f t="shared" si="54"/>
        <v>152</v>
      </c>
      <c r="B166" s="538" t="s">
        <v>579</v>
      </c>
      <c r="C166" s="351" t="s">
        <v>697</v>
      </c>
      <c r="D166" s="351" t="s">
        <v>698</v>
      </c>
      <c r="E166" s="193" t="s">
        <v>568</v>
      </c>
      <c r="F166" s="75">
        <v>1</v>
      </c>
      <c r="G166" s="75" t="s">
        <v>192</v>
      </c>
      <c r="H166" s="106" t="s">
        <v>699</v>
      </c>
      <c r="I166" s="107">
        <v>15041.17647058824</v>
      </c>
      <c r="J166" s="96">
        <f t="shared" si="64"/>
        <v>2857.8235294117658</v>
      </c>
      <c r="K166" s="96">
        <f t="shared" si="60"/>
        <v>17899.000000000007</v>
      </c>
      <c r="L166" s="96">
        <f t="shared" si="69"/>
        <v>15041.17647058824</v>
      </c>
      <c r="M166" s="96">
        <f t="shared" si="70"/>
        <v>17899.000000000007</v>
      </c>
      <c r="N166" s="108" t="s">
        <v>285</v>
      </c>
      <c r="O166" s="109">
        <v>15450.42016806723</v>
      </c>
      <c r="P166" s="110">
        <f t="shared" si="65"/>
        <v>2935.5798319327737</v>
      </c>
      <c r="Q166" s="110">
        <f t="shared" si="61"/>
        <v>18386.000000000004</v>
      </c>
      <c r="R166" s="110">
        <f t="shared" si="71"/>
        <v>15450.42016806723</v>
      </c>
      <c r="S166" s="110">
        <f t="shared" si="72"/>
        <v>18386.000000000004</v>
      </c>
      <c r="T166" s="97" t="s">
        <v>700</v>
      </c>
      <c r="U166" s="98">
        <v>15729.411764705879</v>
      </c>
      <c r="V166" s="99">
        <f t="shared" si="66"/>
        <v>2988.5882352941171</v>
      </c>
      <c r="W166" s="99">
        <f t="shared" si="62"/>
        <v>18717.999999999996</v>
      </c>
      <c r="X166" s="99">
        <f t="shared" si="73"/>
        <v>15729.411764705879</v>
      </c>
      <c r="Y166" s="99">
        <f t="shared" si="74"/>
        <v>18717.999999999996</v>
      </c>
      <c r="Z166" s="100">
        <f t="shared" si="67"/>
        <v>18334.333333333339</v>
      </c>
      <c r="AA166" s="100">
        <f t="shared" si="75"/>
        <v>18334.333333333339</v>
      </c>
      <c r="AB166" s="78">
        <f t="shared" si="68"/>
        <v>411.93729296256845</v>
      </c>
      <c r="AC166" s="102">
        <f t="shared" si="56"/>
        <v>2.2468081357156972E-2</v>
      </c>
      <c r="AD166" s="5"/>
      <c r="AF166" s="7" t="s">
        <v>570</v>
      </c>
      <c r="AG166" s="7">
        <v>48</v>
      </c>
      <c r="AH166" s="7" t="s">
        <v>701</v>
      </c>
      <c r="BG166" s="7">
        <v>37</v>
      </c>
      <c r="DA166" s="7" t="e">
        <f>VLOOKUP(C166,listaBolsa!$D$2:$BA$248,1,0)</f>
        <v>#N/A</v>
      </c>
      <c r="DB166" s="7" t="e">
        <f>VLOOKUP(C166,listaBolsa!$D$2:$BA$248,2,0)</f>
        <v>#N/A</v>
      </c>
      <c r="DC166" s="7" t="e">
        <f>VLOOKUP(C166,listaBolsa!$D$2:$BA$248,10,0)</f>
        <v>#N/A</v>
      </c>
      <c r="DD166" s="7" t="e">
        <f>VLOOKUP(C166,listaBolsa!$D$2:$BA$248,14,0)</f>
        <v>#N/A</v>
      </c>
      <c r="DE166" s="7" t="e">
        <f>VLOOKUP(C166,listaBolsa!$D$2:$BA$248,23,0)</f>
        <v>#N/A</v>
      </c>
      <c r="DF166" s="7" t="e">
        <f>VLOOKUP(C166,listaBolsa!$D$2:$BA$248,29,0)</f>
        <v>#N/A</v>
      </c>
      <c r="DG166" s="7" t="e">
        <f>VLOOKUP(C166,listaBolsa!$D$2:$BA$248,36,0)</f>
        <v>#N/A</v>
      </c>
      <c r="DH166" s="7" t="e">
        <f>VLOOKUP(C166,listaBolsa!$D$2:$BA$248,40,0)</f>
        <v>#N/A</v>
      </c>
      <c r="DI166" s="7" t="e">
        <f>VLOOKUP(C166,listaBolsa!$D$2:$BA$248,48,0)</f>
        <v>#N/A</v>
      </c>
      <c r="DJ166" s="7" t="e">
        <f t="shared" si="76"/>
        <v>#N/A</v>
      </c>
      <c r="DK166" s="7" t="e">
        <f t="shared" si="76"/>
        <v>#N/A</v>
      </c>
      <c r="DL166" s="7" t="e">
        <f t="shared" si="57"/>
        <v>#N/A</v>
      </c>
      <c r="DM166" s="7" t="e">
        <f t="shared" si="57"/>
        <v>#N/A</v>
      </c>
      <c r="DN166" s="7" t="e">
        <f t="shared" si="58"/>
        <v>#N/A</v>
      </c>
      <c r="DO166" s="7" t="e">
        <f t="shared" si="58"/>
        <v>#N/A</v>
      </c>
      <c r="DP166" s="7" t="e">
        <f t="shared" si="59"/>
        <v>#N/A</v>
      </c>
      <c r="DQ166" s="7" t="e">
        <f t="shared" si="59"/>
        <v>#N/A</v>
      </c>
      <c r="DR166" s="7" t="e">
        <f t="shared" si="63"/>
        <v>#N/A</v>
      </c>
    </row>
    <row r="167" spans="1:122" s="7" customFormat="1" ht="30.6" customHeight="1">
      <c r="A167" s="75">
        <f t="shared" si="54"/>
        <v>153</v>
      </c>
      <c r="B167" s="538" t="s">
        <v>579</v>
      </c>
      <c r="C167" s="351" t="s">
        <v>702</v>
      </c>
      <c r="D167" s="351" t="s">
        <v>703</v>
      </c>
      <c r="E167" s="193" t="s">
        <v>568</v>
      </c>
      <c r="F167" s="75">
        <v>1</v>
      </c>
      <c r="G167" s="75" t="s">
        <v>192</v>
      </c>
      <c r="H167" s="106" t="s">
        <v>704</v>
      </c>
      <c r="I167" s="107">
        <v>103823.5294117647</v>
      </c>
      <c r="J167" s="96">
        <f t="shared" si="64"/>
        <v>19726.470588235294</v>
      </c>
      <c r="K167" s="96">
        <f t="shared" si="60"/>
        <v>123550</v>
      </c>
      <c r="L167" s="96">
        <f t="shared" si="69"/>
        <v>103823.5294117647</v>
      </c>
      <c r="M167" s="96">
        <f t="shared" si="70"/>
        <v>123550</v>
      </c>
      <c r="N167" s="108" t="s">
        <v>705</v>
      </c>
      <c r="O167" s="109">
        <v>98823.529411764714</v>
      </c>
      <c r="P167" s="110">
        <f t="shared" si="65"/>
        <v>18776.470588235297</v>
      </c>
      <c r="Q167" s="110">
        <f t="shared" si="61"/>
        <v>117600.00000000001</v>
      </c>
      <c r="R167" s="110">
        <f t="shared" si="71"/>
        <v>98823.529411764714</v>
      </c>
      <c r="S167" s="110">
        <f t="shared" si="72"/>
        <v>117600.00000000001</v>
      </c>
      <c r="T167" s="97" t="s">
        <v>706</v>
      </c>
      <c r="U167" s="98">
        <v>96415.966386554632</v>
      </c>
      <c r="V167" s="99">
        <f t="shared" si="66"/>
        <v>18319.033613445379</v>
      </c>
      <c r="W167" s="99">
        <f t="shared" si="62"/>
        <v>114735.00000000001</v>
      </c>
      <c r="X167" s="99">
        <f t="shared" si="73"/>
        <v>96415.966386554632</v>
      </c>
      <c r="Y167" s="99">
        <f t="shared" si="74"/>
        <v>114735.00000000001</v>
      </c>
      <c r="Z167" s="100">
        <f t="shared" si="67"/>
        <v>118628.33333333333</v>
      </c>
      <c r="AA167" s="100">
        <f t="shared" si="75"/>
        <v>118628.33333333333</v>
      </c>
      <c r="AB167" s="78">
        <f t="shared" si="68"/>
        <v>4496.5718423409253</v>
      </c>
      <c r="AC167" s="102">
        <f t="shared" si="56"/>
        <v>3.7904703842597399E-2</v>
      </c>
      <c r="AD167" s="5"/>
      <c r="AF167" s="7" t="s">
        <v>570</v>
      </c>
      <c r="AG167" s="7">
        <v>49</v>
      </c>
      <c r="AH167" s="7" t="s">
        <v>707</v>
      </c>
      <c r="BG167" s="7">
        <v>38</v>
      </c>
      <c r="DA167" s="7" t="e">
        <f>VLOOKUP(C167,listaBolsa!$D$2:$BA$248,1,0)</f>
        <v>#N/A</v>
      </c>
      <c r="DB167" s="7" t="e">
        <f>VLOOKUP(C167,listaBolsa!$D$2:$BA$248,2,0)</f>
        <v>#N/A</v>
      </c>
      <c r="DC167" s="7" t="e">
        <f>VLOOKUP(C167,listaBolsa!$D$2:$BA$248,10,0)</f>
        <v>#N/A</v>
      </c>
      <c r="DD167" s="7" t="e">
        <f>VLOOKUP(C167,listaBolsa!$D$2:$BA$248,14,0)</f>
        <v>#N/A</v>
      </c>
      <c r="DE167" s="7" t="e">
        <f>VLOOKUP(C167,listaBolsa!$D$2:$BA$248,23,0)</f>
        <v>#N/A</v>
      </c>
      <c r="DF167" s="7" t="e">
        <f>VLOOKUP(C167,listaBolsa!$D$2:$BA$248,29,0)</f>
        <v>#N/A</v>
      </c>
      <c r="DG167" s="7" t="e">
        <f>VLOOKUP(C167,listaBolsa!$D$2:$BA$248,36,0)</f>
        <v>#N/A</v>
      </c>
      <c r="DH167" s="7" t="e">
        <f>VLOOKUP(C167,listaBolsa!$D$2:$BA$248,40,0)</f>
        <v>#N/A</v>
      </c>
      <c r="DI167" s="7" t="e">
        <f>VLOOKUP(C167,listaBolsa!$D$2:$BA$248,48,0)</f>
        <v>#N/A</v>
      </c>
      <c r="DJ167" s="7" t="e">
        <f t="shared" si="76"/>
        <v>#N/A</v>
      </c>
      <c r="DK167" s="7" t="e">
        <f t="shared" si="76"/>
        <v>#N/A</v>
      </c>
      <c r="DL167" s="7" t="e">
        <f t="shared" si="57"/>
        <v>#N/A</v>
      </c>
      <c r="DM167" s="7" t="e">
        <f t="shared" si="57"/>
        <v>#N/A</v>
      </c>
      <c r="DN167" s="7" t="e">
        <f t="shared" si="58"/>
        <v>#N/A</v>
      </c>
      <c r="DO167" s="7" t="e">
        <f t="shared" si="58"/>
        <v>#N/A</v>
      </c>
      <c r="DP167" s="7" t="e">
        <f t="shared" si="59"/>
        <v>#N/A</v>
      </c>
      <c r="DQ167" s="7" t="e">
        <f t="shared" si="59"/>
        <v>#N/A</v>
      </c>
      <c r="DR167" s="7" t="e">
        <f t="shared" si="63"/>
        <v>#N/A</v>
      </c>
    </row>
    <row r="168" spans="1:122" s="7" customFormat="1" ht="30.6" customHeight="1">
      <c r="A168" s="75">
        <f t="shared" si="54"/>
        <v>154</v>
      </c>
      <c r="B168" s="538" t="s">
        <v>579</v>
      </c>
      <c r="C168" s="351" t="s">
        <v>708</v>
      </c>
      <c r="D168" s="351" t="s">
        <v>709</v>
      </c>
      <c r="E168" s="193" t="s">
        <v>568</v>
      </c>
      <c r="F168" s="75">
        <v>1</v>
      </c>
      <c r="G168" s="75" t="s">
        <v>192</v>
      </c>
      <c r="H168" s="106" t="s">
        <v>380</v>
      </c>
      <c r="I168" s="107">
        <v>81500</v>
      </c>
      <c r="J168" s="96">
        <f t="shared" si="64"/>
        <v>15485</v>
      </c>
      <c r="K168" s="96">
        <f t="shared" si="60"/>
        <v>96985</v>
      </c>
      <c r="L168" s="96">
        <f t="shared" si="69"/>
        <v>81500</v>
      </c>
      <c r="M168" s="96">
        <f t="shared" si="70"/>
        <v>96985</v>
      </c>
      <c r="N168" s="108" t="s">
        <v>381</v>
      </c>
      <c r="O168" s="109">
        <v>84000</v>
      </c>
      <c r="P168" s="110">
        <f t="shared" si="65"/>
        <v>15960</v>
      </c>
      <c r="Q168" s="110">
        <f t="shared" si="61"/>
        <v>99960</v>
      </c>
      <c r="R168" s="110">
        <f t="shared" si="71"/>
        <v>84000</v>
      </c>
      <c r="S168" s="110">
        <f t="shared" si="72"/>
        <v>99960</v>
      </c>
      <c r="T168" s="97" t="s">
        <v>382</v>
      </c>
      <c r="U168" s="98">
        <v>96460</v>
      </c>
      <c r="V168" s="99">
        <f t="shared" si="66"/>
        <v>18327.400000000001</v>
      </c>
      <c r="W168" s="99">
        <f t="shared" si="62"/>
        <v>114787.4</v>
      </c>
      <c r="X168" s="99">
        <f t="shared" si="73"/>
        <v>96460</v>
      </c>
      <c r="Y168" s="99">
        <f t="shared" si="74"/>
        <v>114787.4</v>
      </c>
      <c r="Z168" s="100">
        <f t="shared" si="67"/>
        <v>103910.8</v>
      </c>
      <c r="AA168" s="100">
        <f t="shared" si="75"/>
        <v>103910.8</v>
      </c>
      <c r="AB168" s="78">
        <f t="shared" si="68"/>
        <v>9536.1405673364479</v>
      </c>
      <c r="AC168" s="102">
        <f t="shared" si="56"/>
        <v>9.1772371758628055E-2</v>
      </c>
      <c r="AD168" s="5"/>
      <c r="AF168" s="7" t="s">
        <v>570</v>
      </c>
      <c r="AG168" s="7">
        <v>50</v>
      </c>
      <c r="AH168" s="7" t="s">
        <v>710</v>
      </c>
      <c r="BG168" s="7">
        <v>39</v>
      </c>
      <c r="DA168" s="7" t="e">
        <f>VLOOKUP(C168,listaBolsa!$D$2:$BA$248,1,0)</f>
        <v>#N/A</v>
      </c>
      <c r="DB168" s="7" t="e">
        <f>VLOOKUP(C168,listaBolsa!$D$2:$BA$248,2,0)</f>
        <v>#N/A</v>
      </c>
      <c r="DC168" s="7" t="e">
        <f>VLOOKUP(C168,listaBolsa!$D$2:$BA$248,10,0)</f>
        <v>#N/A</v>
      </c>
      <c r="DD168" s="7" t="e">
        <f>VLOOKUP(C168,listaBolsa!$D$2:$BA$248,14,0)</f>
        <v>#N/A</v>
      </c>
      <c r="DE168" s="7" t="e">
        <f>VLOOKUP(C168,listaBolsa!$D$2:$BA$248,23,0)</f>
        <v>#N/A</v>
      </c>
      <c r="DF168" s="7" t="e">
        <f>VLOOKUP(C168,listaBolsa!$D$2:$BA$248,29,0)</f>
        <v>#N/A</v>
      </c>
      <c r="DG168" s="7" t="e">
        <f>VLOOKUP(C168,listaBolsa!$D$2:$BA$248,36,0)</f>
        <v>#N/A</v>
      </c>
      <c r="DH168" s="7" t="e">
        <f>VLOOKUP(C168,listaBolsa!$D$2:$BA$248,40,0)</f>
        <v>#N/A</v>
      </c>
      <c r="DI168" s="7" t="e">
        <f>VLOOKUP(C168,listaBolsa!$D$2:$BA$248,48,0)</f>
        <v>#N/A</v>
      </c>
      <c r="DJ168" s="7" t="e">
        <f t="shared" si="76"/>
        <v>#N/A</v>
      </c>
      <c r="DK168" s="7" t="e">
        <f t="shared" si="76"/>
        <v>#N/A</v>
      </c>
      <c r="DL168" s="7" t="e">
        <f t="shared" si="57"/>
        <v>#N/A</v>
      </c>
      <c r="DM168" s="7" t="e">
        <f t="shared" si="57"/>
        <v>#N/A</v>
      </c>
      <c r="DN168" s="7" t="e">
        <f t="shared" si="58"/>
        <v>#N/A</v>
      </c>
      <c r="DO168" s="7" t="e">
        <f t="shared" si="58"/>
        <v>#N/A</v>
      </c>
      <c r="DP168" s="7" t="e">
        <f t="shared" si="59"/>
        <v>#N/A</v>
      </c>
      <c r="DQ168" s="7" t="e">
        <f t="shared" si="59"/>
        <v>#N/A</v>
      </c>
      <c r="DR168" s="7" t="e">
        <f t="shared" si="63"/>
        <v>#N/A</v>
      </c>
    </row>
    <row r="169" spans="1:122" s="7" customFormat="1" ht="30.6" customHeight="1">
      <c r="A169" s="75">
        <f t="shared" si="54"/>
        <v>155</v>
      </c>
      <c r="B169" s="538" t="s">
        <v>579</v>
      </c>
      <c r="C169" s="351" t="s">
        <v>711</v>
      </c>
      <c r="D169" s="351" t="s">
        <v>712</v>
      </c>
      <c r="E169" s="193" t="s">
        <v>568</v>
      </c>
      <c r="F169" s="75">
        <v>1</v>
      </c>
      <c r="G169" s="75" t="s">
        <v>192</v>
      </c>
      <c r="H169" s="106" t="s">
        <v>380</v>
      </c>
      <c r="I169" s="107">
        <v>140000</v>
      </c>
      <c r="J169" s="96">
        <f t="shared" si="64"/>
        <v>26600</v>
      </c>
      <c r="K169" s="96">
        <f t="shared" si="60"/>
        <v>166600</v>
      </c>
      <c r="L169" s="96">
        <f t="shared" si="69"/>
        <v>140000</v>
      </c>
      <c r="M169" s="96">
        <f t="shared" si="70"/>
        <v>166600</v>
      </c>
      <c r="N169" s="108" t="s">
        <v>382</v>
      </c>
      <c r="O169" s="109">
        <v>139860</v>
      </c>
      <c r="P169" s="110">
        <f t="shared" si="65"/>
        <v>26573.4</v>
      </c>
      <c r="Q169" s="110">
        <f t="shared" si="61"/>
        <v>166433.4</v>
      </c>
      <c r="R169" s="110">
        <f t="shared" si="71"/>
        <v>139860</v>
      </c>
      <c r="S169" s="110">
        <f t="shared" si="72"/>
        <v>166433.4</v>
      </c>
      <c r="T169" s="97" t="s">
        <v>381</v>
      </c>
      <c r="U169" s="98">
        <v>142000</v>
      </c>
      <c r="V169" s="99">
        <f t="shared" si="66"/>
        <v>26980</v>
      </c>
      <c r="W169" s="99">
        <f t="shared" si="62"/>
        <v>168980</v>
      </c>
      <c r="X169" s="99">
        <f t="shared" si="73"/>
        <v>142000</v>
      </c>
      <c r="Y169" s="99">
        <f t="shared" si="74"/>
        <v>168980</v>
      </c>
      <c r="Z169" s="100">
        <f t="shared" si="67"/>
        <v>167337.80000000002</v>
      </c>
      <c r="AA169" s="100">
        <f t="shared" si="75"/>
        <v>167337.80000000002</v>
      </c>
      <c r="AB169" s="78">
        <f t="shared" si="68"/>
        <v>1424.6243434674298</v>
      </c>
      <c r="AC169" s="102">
        <f t="shared" si="56"/>
        <v>8.5134640437930318E-3</v>
      </c>
      <c r="AD169" s="5"/>
      <c r="AF169" s="7" t="s">
        <v>570</v>
      </c>
      <c r="AG169" s="7">
        <v>51</v>
      </c>
      <c r="AH169" s="7" t="s">
        <v>713</v>
      </c>
      <c r="BG169" s="7">
        <v>40</v>
      </c>
      <c r="DA169" s="7" t="e">
        <f>VLOOKUP(C169,listaBolsa!$D$2:$BA$248,1,0)</f>
        <v>#N/A</v>
      </c>
      <c r="DB169" s="7" t="e">
        <f>VLOOKUP(C169,listaBolsa!$D$2:$BA$248,2,0)</f>
        <v>#N/A</v>
      </c>
      <c r="DC169" s="7" t="e">
        <f>VLOOKUP(C169,listaBolsa!$D$2:$BA$248,10,0)</f>
        <v>#N/A</v>
      </c>
      <c r="DD169" s="7" t="e">
        <f>VLOOKUP(C169,listaBolsa!$D$2:$BA$248,14,0)</f>
        <v>#N/A</v>
      </c>
      <c r="DE169" s="7" t="e">
        <f>VLOOKUP(C169,listaBolsa!$D$2:$BA$248,23,0)</f>
        <v>#N/A</v>
      </c>
      <c r="DF169" s="7" t="e">
        <f>VLOOKUP(C169,listaBolsa!$D$2:$BA$248,29,0)</f>
        <v>#N/A</v>
      </c>
      <c r="DG169" s="7" t="e">
        <f>VLOOKUP(C169,listaBolsa!$D$2:$BA$248,36,0)</f>
        <v>#N/A</v>
      </c>
      <c r="DH169" s="7" t="e">
        <f>VLOOKUP(C169,listaBolsa!$D$2:$BA$248,40,0)</f>
        <v>#N/A</v>
      </c>
      <c r="DI169" s="7" t="e">
        <f>VLOOKUP(C169,listaBolsa!$D$2:$BA$248,48,0)</f>
        <v>#N/A</v>
      </c>
      <c r="DJ169" s="7" t="e">
        <f t="shared" si="76"/>
        <v>#N/A</v>
      </c>
      <c r="DK169" s="7" t="e">
        <f t="shared" si="76"/>
        <v>#N/A</v>
      </c>
      <c r="DL169" s="7" t="e">
        <f t="shared" si="57"/>
        <v>#N/A</v>
      </c>
      <c r="DM169" s="7" t="e">
        <f t="shared" si="57"/>
        <v>#N/A</v>
      </c>
      <c r="DN169" s="7" t="e">
        <f t="shared" si="58"/>
        <v>#N/A</v>
      </c>
      <c r="DO169" s="7" t="e">
        <f t="shared" si="58"/>
        <v>#N/A</v>
      </c>
      <c r="DP169" s="7" t="e">
        <f t="shared" si="59"/>
        <v>#N/A</v>
      </c>
      <c r="DQ169" s="7" t="e">
        <f t="shared" si="59"/>
        <v>#N/A</v>
      </c>
      <c r="DR169" s="7" t="e">
        <f t="shared" si="63"/>
        <v>#N/A</v>
      </c>
    </row>
    <row r="170" spans="1:122" s="7" customFormat="1" ht="30.6" customHeight="1">
      <c r="A170" s="75">
        <f t="shared" si="54"/>
        <v>156</v>
      </c>
      <c r="B170" s="538" t="s">
        <v>579</v>
      </c>
      <c r="C170" s="351" t="s">
        <v>714</v>
      </c>
      <c r="D170" s="351" t="s">
        <v>715</v>
      </c>
      <c r="E170" s="193" t="s">
        <v>568</v>
      </c>
      <c r="F170" s="75">
        <v>1</v>
      </c>
      <c r="G170" s="75" t="s">
        <v>192</v>
      </c>
      <c r="H170" s="106" t="s">
        <v>380</v>
      </c>
      <c r="I170" s="107">
        <v>56000</v>
      </c>
      <c r="J170" s="96">
        <f t="shared" si="64"/>
        <v>10640</v>
      </c>
      <c r="K170" s="96">
        <f t="shared" si="60"/>
        <v>66640</v>
      </c>
      <c r="L170" s="96">
        <f t="shared" si="69"/>
        <v>56000</v>
      </c>
      <c r="M170" s="96">
        <f t="shared" si="70"/>
        <v>66640</v>
      </c>
      <c r="N170" s="108" t="s">
        <v>381</v>
      </c>
      <c r="O170" s="109">
        <v>60000</v>
      </c>
      <c r="P170" s="110">
        <f t="shared" si="65"/>
        <v>11400</v>
      </c>
      <c r="Q170" s="110">
        <f t="shared" si="61"/>
        <v>71400</v>
      </c>
      <c r="R170" s="110">
        <f t="shared" si="71"/>
        <v>60000</v>
      </c>
      <c r="S170" s="110">
        <f t="shared" si="72"/>
        <v>71400</v>
      </c>
      <c r="T170" s="97" t="s">
        <v>382</v>
      </c>
      <c r="U170" s="98">
        <v>58660</v>
      </c>
      <c r="V170" s="99">
        <f t="shared" si="66"/>
        <v>11145.4</v>
      </c>
      <c r="W170" s="99">
        <f t="shared" si="62"/>
        <v>69805.399999999994</v>
      </c>
      <c r="X170" s="99">
        <f t="shared" si="73"/>
        <v>58660</v>
      </c>
      <c r="Y170" s="99">
        <f t="shared" si="74"/>
        <v>69805.399999999994</v>
      </c>
      <c r="Z170" s="100">
        <f t="shared" si="67"/>
        <v>69281.8</v>
      </c>
      <c r="AA170" s="100">
        <f t="shared" si="75"/>
        <v>69281.8</v>
      </c>
      <c r="AB170" s="78">
        <f t="shared" si="68"/>
        <v>2422.8119448277444</v>
      </c>
      <c r="AC170" s="102">
        <f t="shared" si="56"/>
        <v>3.4970395469340353E-2</v>
      </c>
      <c r="AD170" s="5"/>
      <c r="AF170" s="7" t="s">
        <v>570</v>
      </c>
      <c r="AG170" s="7">
        <v>52</v>
      </c>
      <c r="AH170" s="7" t="s">
        <v>716</v>
      </c>
      <c r="BG170" s="7">
        <v>41</v>
      </c>
      <c r="DA170" s="7" t="e">
        <f>VLOOKUP(C170,listaBolsa!$D$2:$BA$248,1,0)</f>
        <v>#N/A</v>
      </c>
      <c r="DB170" s="7" t="e">
        <f>VLOOKUP(C170,listaBolsa!$D$2:$BA$248,2,0)</f>
        <v>#N/A</v>
      </c>
      <c r="DC170" s="7" t="e">
        <f>VLOOKUP(C170,listaBolsa!$D$2:$BA$248,10,0)</f>
        <v>#N/A</v>
      </c>
      <c r="DD170" s="7" t="e">
        <f>VLOOKUP(C170,listaBolsa!$D$2:$BA$248,14,0)</f>
        <v>#N/A</v>
      </c>
      <c r="DE170" s="7" t="e">
        <f>VLOOKUP(C170,listaBolsa!$D$2:$BA$248,23,0)</f>
        <v>#N/A</v>
      </c>
      <c r="DF170" s="7" t="e">
        <f>VLOOKUP(C170,listaBolsa!$D$2:$BA$248,29,0)</f>
        <v>#N/A</v>
      </c>
      <c r="DG170" s="7" t="e">
        <f>VLOOKUP(C170,listaBolsa!$D$2:$BA$248,36,0)</f>
        <v>#N/A</v>
      </c>
      <c r="DH170" s="7" t="e">
        <f>VLOOKUP(C170,listaBolsa!$D$2:$BA$248,40,0)</f>
        <v>#N/A</v>
      </c>
      <c r="DI170" s="7" t="e">
        <f>VLOOKUP(C170,listaBolsa!$D$2:$BA$248,48,0)</f>
        <v>#N/A</v>
      </c>
      <c r="DJ170" s="7" t="e">
        <f t="shared" si="76"/>
        <v>#N/A</v>
      </c>
      <c r="DK170" s="7" t="e">
        <f t="shared" si="76"/>
        <v>#N/A</v>
      </c>
      <c r="DL170" s="7" t="e">
        <f t="shared" si="57"/>
        <v>#N/A</v>
      </c>
      <c r="DM170" s="7" t="e">
        <f t="shared" si="57"/>
        <v>#N/A</v>
      </c>
      <c r="DN170" s="7" t="e">
        <f t="shared" si="58"/>
        <v>#N/A</v>
      </c>
      <c r="DO170" s="7" t="e">
        <f t="shared" si="58"/>
        <v>#N/A</v>
      </c>
      <c r="DP170" s="7" t="e">
        <f t="shared" si="59"/>
        <v>#N/A</v>
      </c>
      <c r="DQ170" s="7" t="e">
        <f t="shared" si="59"/>
        <v>#N/A</v>
      </c>
      <c r="DR170" s="7" t="e">
        <f t="shared" si="63"/>
        <v>#N/A</v>
      </c>
    </row>
    <row r="171" spans="1:122" s="7" customFormat="1" ht="30.6" customHeight="1">
      <c r="A171" s="75">
        <f t="shared" si="54"/>
        <v>157</v>
      </c>
      <c r="B171" s="538" t="s">
        <v>579</v>
      </c>
      <c r="C171" s="336" t="s">
        <v>717</v>
      </c>
      <c r="D171" s="351" t="s">
        <v>718</v>
      </c>
      <c r="E171" s="193" t="s">
        <v>568</v>
      </c>
      <c r="F171" s="75">
        <v>1</v>
      </c>
      <c r="G171" s="75" t="s">
        <v>192</v>
      </c>
      <c r="H171" s="106" t="s">
        <v>382</v>
      </c>
      <c r="I171" s="107">
        <v>7140</v>
      </c>
      <c r="J171" s="96">
        <f t="shared" si="64"/>
        <v>1356.6</v>
      </c>
      <c r="K171" s="96">
        <f t="shared" si="60"/>
        <v>8496.6</v>
      </c>
      <c r="L171" s="96">
        <f t="shared" si="69"/>
        <v>7140</v>
      </c>
      <c r="M171" s="96">
        <f t="shared" si="70"/>
        <v>8496.6</v>
      </c>
      <c r="N171" s="108" t="s">
        <v>381</v>
      </c>
      <c r="O171" s="109">
        <v>8500</v>
      </c>
      <c r="P171" s="110">
        <f t="shared" si="65"/>
        <v>1615</v>
      </c>
      <c r="Q171" s="110">
        <f t="shared" si="61"/>
        <v>10115</v>
      </c>
      <c r="R171" s="110">
        <f t="shared" si="71"/>
        <v>8500</v>
      </c>
      <c r="S171" s="110">
        <f t="shared" si="72"/>
        <v>10115</v>
      </c>
      <c r="T171" s="97" t="s">
        <v>380</v>
      </c>
      <c r="U171" s="98">
        <v>8300</v>
      </c>
      <c r="V171" s="99">
        <f t="shared" si="66"/>
        <v>1577</v>
      </c>
      <c r="W171" s="99">
        <f t="shared" si="62"/>
        <v>9877</v>
      </c>
      <c r="X171" s="99">
        <f t="shared" si="73"/>
        <v>8300</v>
      </c>
      <c r="Y171" s="99">
        <f t="shared" si="74"/>
        <v>9877</v>
      </c>
      <c r="Z171" s="100">
        <f t="shared" si="67"/>
        <v>9496.1999999999989</v>
      </c>
      <c r="AA171" s="100">
        <f t="shared" si="75"/>
        <v>9496.1999999999989</v>
      </c>
      <c r="AB171" s="78">
        <f t="shared" si="68"/>
        <v>873.81984413264479</v>
      </c>
      <c r="AC171" s="102">
        <f t="shared" si="56"/>
        <v>9.2017843361833676E-2</v>
      </c>
      <c r="AD171" s="5"/>
      <c r="AF171" s="7" t="s">
        <v>570</v>
      </c>
      <c r="AG171" s="7">
        <v>53</v>
      </c>
      <c r="AH171" s="7" t="s">
        <v>719</v>
      </c>
      <c r="BG171" s="7">
        <v>42</v>
      </c>
      <c r="DA171" s="7" t="e">
        <f>VLOOKUP(C171,listaBolsa!$D$2:$BA$248,1,0)</f>
        <v>#N/A</v>
      </c>
      <c r="DB171" s="7" t="e">
        <f>VLOOKUP(C171,listaBolsa!$D$2:$BA$248,2,0)</f>
        <v>#N/A</v>
      </c>
      <c r="DC171" s="7" t="e">
        <f>VLOOKUP(C171,listaBolsa!$D$2:$BA$248,10,0)</f>
        <v>#N/A</v>
      </c>
      <c r="DD171" s="7" t="e">
        <f>VLOOKUP(C171,listaBolsa!$D$2:$BA$248,14,0)</f>
        <v>#N/A</v>
      </c>
      <c r="DE171" s="7" t="e">
        <f>VLOOKUP(C171,listaBolsa!$D$2:$BA$248,23,0)</f>
        <v>#N/A</v>
      </c>
      <c r="DF171" s="7" t="e">
        <f>VLOOKUP(C171,listaBolsa!$D$2:$BA$248,29,0)</f>
        <v>#N/A</v>
      </c>
      <c r="DG171" s="7" t="e">
        <f>VLOOKUP(C171,listaBolsa!$D$2:$BA$248,36,0)</f>
        <v>#N/A</v>
      </c>
      <c r="DH171" s="7" t="e">
        <f>VLOOKUP(C171,listaBolsa!$D$2:$BA$248,40,0)</f>
        <v>#N/A</v>
      </c>
      <c r="DI171" s="7" t="e">
        <f>VLOOKUP(C171,listaBolsa!$D$2:$BA$248,48,0)</f>
        <v>#N/A</v>
      </c>
      <c r="DJ171" s="7" t="e">
        <f t="shared" si="76"/>
        <v>#N/A</v>
      </c>
      <c r="DK171" s="7" t="e">
        <f t="shared" si="76"/>
        <v>#N/A</v>
      </c>
      <c r="DL171" s="7" t="e">
        <f t="shared" si="57"/>
        <v>#N/A</v>
      </c>
      <c r="DM171" s="7" t="e">
        <f t="shared" si="57"/>
        <v>#N/A</v>
      </c>
      <c r="DN171" s="7" t="e">
        <f t="shared" si="58"/>
        <v>#N/A</v>
      </c>
      <c r="DO171" s="7" t="e">
        <f t="shared" si="58"/>
        <v>#N/A</v>
      </c>
      <c r="DP171" s="7" t="e">
        <f t="shared" si="59"/>
        <v>#N/A</v>
      </c>
      <c r="DQ171" s="7" t="e">
        <f t="shared" si="59"/>
        <v>#N/A</v>
      </c>
      <c r="DR171" s="7" t="e">
        <f t="shared" si="63"/>
        <v>#N/A</v>
      </c>
    </row>
    <row r="172" spans="1:122" s="7" customFormat="1" ht="30.6" customHeight="1">
      <c r="A172" s="75">
        <f t="shared" si="54"/>
        <v>158</v>
      </c>
      <c r="B172" s="538" t="s">
        <v>579</v>
      </c>
      <c r="C172" s="351" t="s">
        <v>720</v>
      </c>
      <c r="D172" s="351" t="s">
        <v>721</v>
      </c>
      <c r="E172" s="193" t="s">
        <v>568</v>
      </c>
      <c r="F172" s="75">
        <v>1</v>
      </c>
      <c r="G172" s="75" t="s">
        <v>192</v>
      </c>
      <c r="H172" s="106" t="s">
        <v>380</v>
      </c>
      <c r="I172" s="107">
        <v>50000</v>
      </c>
      <c r="J172" s="96">
        <f t="shared" si="64"/>
        <v>9500</v>
      </c>
      <c r="K172" s="96">
        <f t="shared" si="60"/>
        <v>59500</v>
      </c>
      <c r="L172" s="96">
        <f t="shared" si="69"/>
        <v>50000</v>
      </c>
      <c r="M172" s="96">
        <f t="shared" si="70"/>
        <v>59500</v>
      </c>
      <c r="N172" s="108" t="s">
        <v>381</v>
      </c>
      <c r="O172" s="109">
        <v>49000</v>
      </c>
      <c r="P172" s="110">
        <f t="shared" si="65"/>
        <v>9310</v>
      </c>
      <c r="Q172" s="110">
        <f t="shared" si="61"/>
        <v>58310</v>
      </c>
      <c r="R172" s="110">
        <f t="shared" si="71"/>
        <v>49000</v>
      </c>
      <c r="S172" s="110">
        <f t="shared" si="72"/>
        <v>58310</v>
      </c>
      <c r="T172" s="97" t="s">
        <v>382</v>
      </c>
      <c r="U172" s="98">
        <v>47600</v>
      </c>
      <c r="V172" s="99">
        <f t="shared" si="66"/>
        <v>9044</v>
      </c>
      <c r="W172" s="99">
        <f t="shared" si="62"/>
        <v>56644</v>
      </c>
      <c r="X172" s="99">
        <f t="shared" si="73"/>
        <v>47600</v>
      </c>
      <c r="Y172" s="99">
        <f t="shared" si="74"/>
        <v>56644</v>
      </c>
      <c r="Z172" s="100">
        <f t="shared" si="67"/>
        <v>58151.333333333336</v>
      </c>
      <c r="AA172" s="100">
        <f t="shared" si="75"/>
        <v>58151.333333333336</v>
      </c>
      <c r="AB172" s="78">
        <f t="shared" si="68"/>
        <v>1434.5958780553265</v>
      </c>
      <c r="AC172" s="102">
        <f t="shared" si="56"/>
        <v>2.4670042728547233E-2</v>
      </c>
      <c r="AD172" s="5"/>
      <c r="AF172" s="7" t="s">
        <v>570</v>
      </c>
      <c r="AG172" s="7">
        <v>54</v>
      </c>
      <c r="AH172" s="7" t="s">
        <v>722</v>
      </c>
      <c r="BG172" s="7">
        <v>43</v>
      </c>
      <c r="DA172" s="7" t="e">
        <f>VLOOKUP(C172,listaBolsa!$D$2:$BA$248,1,0)</f>
        <v>#N/A</v>
      </c>
      <c r="DB172" s="7" t="e">
        <f>VLOOKUP(C172,listaBolsa!$D$2:$BA$248,2,0)</f>
        <v>#N/A</v>
      </c>
      <c r="DC172" s="7" t="e">
        <f>VLOOKUP(C172,listaBolsa!$D$2:$BA$248,10,0)</f>
        <v>#N/A</v>
      </c>
      <c r="DD172" s="7" t="e">
        <f>VLOOKUP(C172,listaBolsa!$D$2:$BA$248,14,0)</f>
        <v>#N/A</v>
      </c>
      <c r="DE172" s="7" t="e">
        <f>VLOOKUP(C172,listaBolsa!$D$2:$BA$248,23,0)</f>
        <v>#N/A</v>
      </c>
      <c r="DF172" s="7" t="e">
        <f>VLOOKUP(C172,listaBolsa!$D$2:$BA$248,29,0)</f>
        <v>#N/A</v>
      </c>
      <c r="DG172" s="7" t="e">
        <f>VLOOKUP(C172,listaBolsa!$D$2:$BA$248,36,0)</f>
        <v>#N/A</v>
      </c>
      <c r="DH172" s="7" t="e">
        <f>VLOOKUP(C172,listaBolsa!$D$2:$BA$248,40,0)</f>
        <v>#N/A</v>
      </c>
      <c r="DI172" s="7" t="e">
        <f>VLOOKUP(C172,listaBolsa!$D$2:$BA$248,48,0)</f>
        <v>#N/A</v>
      </c>
      <c r="DJ172" s="7" t="e">
        <f t="shared" si="76"/>
        <v>#N/A</v>
      </c>
      <c r="DK172" s="7" t="e">
        <f t="shared" si="76"/>
        <v>#N/A</v>
      </c>
      <c r="DL172" s="7" t="e">
        <f t="shared" si="57"/>
        <v>#N/A</v>
      </c>
      <c r="DM172" s="7" t="e">
        <f t="shared" si="57"/>
        <v>#N/A</v>
      </c>
      <c r="DN172" s="7" t="e">
        <f t="shared" si="58"/>
        <v>#N/A</v>
      </c>
      <c r="DO172" s="7" t="e">
        <f t="shared" si="58"/>
        <v>#N/A</v>
      </c>
      <c r="DP172" s="7" t="e">
        <f t="shared" si="59"/>
        <v>#N/A</v>
      </c>
      <c r="DQ172" s="7" t="e">
        <f t="shared" si="59"/>
        <v>#N/A</v>
      </c>
      <c r="DR172" s="7" t="e">
        <f t="shared" si="63"/>
        <v>#N/A</v>
      </c>
    </row>
    <row r="173" spans="1:122" s="7" customFormat="1" ht="30.6" customHeight="1">
      <c r="A173" s="75">
        <f t="shared" si="54"/>
        <v>159</v>
      </c>
      <c r="B173" s="538" t="s">
        <v>579</v>
      </c>
      <c r="C173" s="351" t="s">
        <v>723</v>
      </c>
      <c r="D173" s="351" t="s">
        <v>724</v>
      </c>
      <c r="E173" s="193" t="s">
        <v>568</v>
      </c>
      <c r="F173" s="75">
        <v>1</v>
      </c>
      <c r="G173" s="75" t="s">
        <v>192</v>
      </c>
      <c r="H173" s="106" t="s">
        <v>380</v>
      </c>
      <c r="I173" s="107">
        <v>26000</v>
      </c>
      <c r="J173" s="96"/>
      <c r="K173" s="96">
        <f t="shared" si="60"/>
        <v>26000</v>
      </c>
      <c r="L173" s="96">
        <f t="shared" si="69"/>
        <v>26000</v>
      </c>
      <c r="M173" s="96">
        <f t="shared" si="70"/>
        <v>26000</v>
      </c>
      <c r="N173" s="108" t="s">
        <v>381</v>
      </c>
      <c r="O173" s="109">
        <v>28000</v>
      </c>
      <c r="P173" s="110"/>
      <c r="Q173" s="110">
        <f t="shared" si="61"/>
        <v>28000</v>
      </c>
      <c r="R173" s="110">
        <f t="shared" si="71"/>
        <v>28000</v>
      </c>
      <c r="S173" s="110">
        <f t="shared" si="72"/>
        <v>28000</v>
      </c>
      <c r="T173" s="97" t="s">
        <v>382</v>
      </c>
      <c r="U173" s="98">
        <v>25000</v>
      </c>
      <c r="V173" s="99"/>
      <c r="W173" s="99">
        <f t="shared" si="62"/>
        <v>25000</v>
      </c>
      <c r="X173" s="99">
        <f t="shared" si="73"/>
        <v>25000</v>
      </c>
      <c r="Y173" s="99">
        <f t="shared" si="74"/>
        <v>25000</v>
      </c>
      <c r="Z173" s="100">
        <f t="shared" si="67"/>
        <v>26333.333333333332</v>
      </c>
      <c r="AA173" s="100">
        <f t="shared" si="75"/>
        <v>26333.333333333332</v>
      </c>
      <c r="AB173" s="78">
        <f t="shared" si="68"/>
        <v>1527.5252316519466</v>
      </c>
      <c r="AC173" s="102">
        <f t="shared" si="56"/>
        <v>5.8007287277922023E-2</v>
      </c>
      <c r="AD173" s="5"/>
      <c r="AF173" s="7" t="s">
        <v>570</v>
      </c>
      <c r="AG173" s="7">
        <v>55</v>
      </c>
      <c r="AH173" s="7" t="s">
        <v>725</v>
      </c>
      <c r="BG173" s="7">
        <v>44</v>
      </c>
      <c r="DA173" s="7" t="e">
        <f>VLOOKUP(C173,listaBolsa!$D$2:$BA$248,1,0)</f>
        <v>#N/A</v>
      </c>
      <c r="DB173" s="7" t="e">
        <f>VLOOKUP(C173,listaBolsa!$D$2:$BA$248,2,0)</f>
        <v>#N/A</v>
      </c>
      <c r="DC173" s="7" t="e">
        <f>VLOOKUP(C173,listaBolsa!$D$2:$BA$248,10,0)</f>
        <v>#N/A</v>
      </c>
      <c r="DD173" s="7" t="e">
        <f>VLOOKUP(C173,listaBolsa!$D$2:$BA$248,14,0)</f>
        <v>#N/A</v>
      </c>
      <c r="DE173" s="7" t="e">
        <f>VLOOKUP(C173,listaBolsa!$D$2:$BA$248,23,0)</f>
        <v>#N/A</v>
      </c>
      <c r="DF173" s="7" t="e">
        <f>VLOOKUP(C173,listaBolsa!$D$2:$BA$248,29,0)</f>
        <v>#N/A</v>
      </c>
      <c r="DG173" s="7" t="e">
        <f>VLOOKUP(C173,listaBolsa!$D$2:$BA$248,36,0)</f>
        <v>#N/A</v>
      </c>
      <c r="DH173" s="7" t="e">
        <f>VLOOKUP(C173,listaBolsa!$D$2:$BA$248,40,0)</f>
        <v>#N/A</v>
      </c>
      <c r="DI173" s="7" t="e">
        <f>VLOOKUP(C173,listaBolsa!$D$2:$BA$248,48,0)</f>
        <v>#N/A</v>
      </c>
      <c r="DJ173" s="7" t="e">
        <f t="shared" si="76"/>
        <v>#N/A</v>
      </c>
      <c r="DK173" s="7" t="e">
        <f t="shared" si="76"/>
        <v>#N/A</v>
      </c>
      <c r="DL173" s="7" t="e">
        <f t="shared" si="57"/>
        <v>#N/A</v>
      </c>
      <c r="DM173" s="7" t="e">
        <f t="shared" si="57"/>
        <v>#N/A</v>
      </c>
      <c r="DN173" s="7" t="e">
        <f t="shared" si="58"/>
        <v>#N/A</v>
      </c>
      <c r="DO173" s="7" t="e">
        <f t="shared" si="58"/>
        <v>#N/A</v>
      </c>
      <c r="DP173" s="7" t="e">
        <f t="shared" si="59"/>
        <v>#N/A</v>
      </c>
      <c r="DQ173" s="7" t="e">
        <f t="shared" si="59"/>
        <v>#N/A</v>
      </c>
      <c r="DR173" s="7" t="e">
        <f t="shared" si="63"/>
        <v>#N/A</v>
      </c>
    </row>
    <row r="174" spans="1:122" s="7" customFormat="1" ht="30.6" customHeight="1">
      <c r="A174" s="75">
        <f t="shared" si="54"/>
        <v>160</v>
      </c>
      <c r="B174" s="538" t="s">
        <v>579</v>
      </c>
      <c r="C174" s="75" t="s">
        <v>726</v>
      </c>
      <c r="D174" s="75" t="s">
        <v>727</v>
      </c>
      <c r="E174" s="193" t="s">
        <v>568</v>
      </c>
      <c r="F174" s="75">
        <v>1</v>
      </c>
      <c r="G174" s="75" t="s">
        <v>192</v>
      </c>
      <c r="H174" s="106" t="s">
        <v>380</v>
      </c>
      <c r="I174" s="107">
        <v>2200</v>
      </c>
      <c r="J174" s="96"/>
      <c r="K174" s="96">
        <f t="shared" si="60"/>
        <v>2200</v>
      </c>
      <c r="L174" s="96">
        <f t="shared" si="69"/>
        <v>2200</v>
      </c>
      <c r="M174" s="96">
        <f t="shared" si="70"/>
        <v>2200</v>
      </c>
      <c r="N174" s="108" t="s">
        <v>381</v>
      </c>
      <c r="O174" s="109">
        <v>2000</v>
      </c>
      <c r="P174" s="110"/>
      <c r="Q174" s="110">
        <f t="shared" si="61"/>
        <v>2000</v>
      </c>
      <c r="R174" s="110">
        <f t="shared" si="71"/>
        <v>2000</v>
      </c>
      <c r="S174" s="110">
        <f t="shared" si="72"/>
        <v>2000</v>
      </c>
      <c r="T174" s="97" t="s">
        <v>728</v>
      </c>
      <c r="U174" s="98">
        <v>2016.806722689076</v>
      </c>
      <c r="V174" s="99">
        <f t="shared" si="66"/>
        <v>383.19327731092443</v>
      </c>
      <c r="W174" s="99">
        <f t="shared" si="62"/>
        <v>2400.0000000000005</v>
      </c>
      <c r="X174" s="99">
        <f t="shared" si="73"/>
        <v>2016.806722689076</v>
      </c>
      <c r="Y174" s="99">
        <f t="shared" si="74"/>
        <v>2400.0000000000005</v>
      </c>
      <c r="Z174" s="100">
        <f t="shared" si="67"/>
        <v>2200</v>
      </c>
      <c r="AA174" s="100">
        <f t="shared" si="75"/>
        <v>2200</v>
      </c>
      <c r="AB174" s="78">
        <f t="shared" si="68"/>
        <v>200.00000000000023</v>
      </c>
      <c r="AC174" s="102">
        <f t="shared" si="56"/>
        <v>9.0909090909091009E-2</v>
      </c>
      <c r="AD174" s="5"/>
      <c r="AF174" s="7" t="s">
        <v>570</v>
      </c>
      <c r="AG174" s="7">
        <v>56</v>
      </c>
      <c r="AH174" s="7" t="s">
        <v>729</v>
      </c>
      <c r="BG174" s="7">
        <v>45</v>
      </c>
      <c r="DA174" s="7" t="e">
        <f>VLOOKUP(C174,listaBolsa!$D$2:$BA$248,1,0)</f>
        <v>#N/A</v>
      </c>
      <c r="DB174" s="7" t="e">
        <f>VLOOKUP(C174,listaBolsa!$D$2:$BA$248,2,0)</f>
        <v>#N/A</v>
      </c>
      <c r="DC174" s="7" t="e">
        <f>VLOOKUP(C174,listaBolsa!$D$2:$BA$248,10,0)</f>
        <v>#N/A</v>
      </c>
      <c r="DD174" s="7" t="e">
        <f>VLOOKUP(C174,listaBolsa!$D$2:$BA$248,14,0)</f>
        <v>#N/A</v>
      </c>
      <c r="DE174" s="7" t="e">
        <f>VLOOKUP(C174,listaBolsa!$D$2:$BA$248,23,0)</f>
        <v>#N/A</v>
      </c>
      <c r="DF174" s="7" t="e">
        <f>VLOOKUP(C174,listaBolsa!$D$2:$BA$248,29,0)</f>
        <v>#N/A</v>
      </c>
      <c r="DG174" s="7" t="e">
        <f>VLOOKUP(C174,listaBolsa!$D$2:$BA$248,36,0)</f>
        <v>#N/A</v>
      </c>
      <c r="DH174" s="7" t="e">
        <f>VLOOKUP(C174,listaBolsa!$D$2:$BA$248,40,0)</f>
        <v>#N/A</v>
      </c>
      <c r="DI174" s="7" t="e">
        <f>VLOOKUP(C174,listaBolsa!$D$2:$BA$248,48,0)</f>
        <v>#N/A</v>
      </c>
      <c r="DJ174" s="7" t="e">
        <f t="shared" si="76"/>
        <v>#N/A</v>
      </c>
      <c r="DK174" s="7" t="e">
        <f t="shared" si="76"/>
        <v>#N/A</v>
      </c>
      <c r="DL174" s="7" t="e">
        <f t="shared" si="57"/>
        <v>#N/A</v>
      </c>
      <c r="DM174" s="7" t="e">
        <f t="shared" si="57"/>
        <v>#N/A</v>
      </c>
      <c r="DN174" s="7" t="e">
        <f t="shared" si="58"/>
        <v>#N/A</v>
      </c>
      <c r="DO174" s="7" t="e">
        <f t="shared" si="58"/>
        <v>#N/A</v>
      </c>
      <c r="DP174" s="7" t="e">
        <f t="shared" si="59"/>
        <v>#N/A</v>
      </c>
      <c r="DQ174" s="7" t="e">
        <f t="shared" si="59"/>
        <v>#N/A</v>
      </c>
      <c r="DR174" s="7" t="e">
        <f t="shared" si="63"/>
        <v>#N/A</v>
      </c>
    </row>
    <row r="175" spans="1:122" s="7" customFormat="1" ht="30.6" customHeight="1">
      <c r="A175" s="75">
        <f t="shared" si="54"/>
        <v>161</v>
      </c>
      <c r="B175" s="538" t="s">
        <v>579</v>
      </c>
      <c r="C175" s="351" t="s">
        <v>730</v>
      </c>
      <c r="D175" s="351" t="s">
        <v>731</v>
      </c>
      <c r="E175" s="193" t="s">
        <v>568</v>
      </c>
      <c r="F175" s="75">
        <v>1</v>
      </c>
      <c r="G175" s="75" t="s">
        <v>192</v>
      </c>
      <c r="H175" s="106" t="s">
        <v>380</v>
      </c>
      <c r="I175" s="107">
        <v>75000</v>
      </c>
      <c r="J175" s="96">
        <f t="shared" si="64"/>
        <v>14250</v>
      </c>
      <c r="K175" s="96">
        <f t="shared" si="60"/>
        <v>89250</v>
      </c>
      <c r="L175" s="96">
        <f t="shared" si="69"/>
        <v>75000</v>
      </c>
      <c r="M175" s="96">
        <f t="shared" si="70"/>
        <v>89250</v>
      </c>
      <c r="N175" s="108" t="s">
        <v>381</v>
      </c>
      <c r="O175" s="109">
        <v>73000</v>
      </c>
      <c r="P175" s="110">
        <f t="shared" si="65"/>
        <v>13870</v>
      </c>
      <c r="Q175" s="110">
        <f t="shared" si="61"/>
        <v>86870</v>
      </c>
      <c r="R175" s="110">
        <f t="shared" si="71"/>
        <v>73000</v>
      </c>
      <c r="S175" s="110">
        <f t="shared" si="72"/>
        <v>86870</v>
      </c>
      <c r="T175" s="97" t="s">
        <v>382</v>
      </c>
      <c r="U175" s="98">
        <v>70000</v>
      </c>
      <c r="V175" s="99">
        <f t="shared" si="66"/>
        <v>13300</v>
      </c>
      <c r="W175" s="99">
        <f t="shared" si="62"/>
        <v>83300</v>
      </c>
      <c r="X175" s="99">
        <f t="shared" si="73"/>
        <v>70000</v>
      </c>
      <c r="Y175" s="99">
        <f t="shared" si="74"/>
        <v>83300</v>
      </c>
      <c r="Z175" s="100">
        <f t="shared" si="67"/>
        <v>86473.333333333328</v>
      </c>
      <c r="AA175" s="100">
        <f t="shared" si="75"/>
        <v>86473.333333333328</v>
      </c>
      <c r="AB175" s="78">
        <f t="shared" si="68"/>
        <v>2994.767659324064</v>
      </c>
      <c r="AC175" s="102">
        <f t="shared" si="56"/>
        <v>3.4632268051700686E-2</v>
      </c>
      <c r="AD175" s="5"/>
      <c r="AF175" s="7" t="s">
        <v>570</v>
      </c>
      <c r="AG175" s="7">
        <v>57</v>
      </c>
      <c r="AH175" s="7" t="s">
        <v>732</v>
      </c>
      <c r="BG175" s="7">
        <v>46</v>
      </c>
      <c r="DA175" s="7" t="e">
        <f>VLOOKUP(C175,listaBolsa!$D$2:$BA$248,1,0)</f>
        <v>#N/A</v>
      </c>
      <c r="DB175" s="7" t="e">
        <f>VLOOKUP(C175,listaBolsa!$D$2:$BA$248,2,0)</f>
        <v>#N/A</v>
      </c>
      <c r="DC175" s="7" t="e">
        <f>VLOOKUP(C175,listaBolsa!$D$2:$BA$248,10,0)</f>
        <v>#N/A</v>
      </c>
      <c r="DD175" s="7" t="e">
        <f>VLOOKUP(C175,listaBolsa!$D$2:$BA$248,14,0)</f>
        <v>#N/A</v>
      </c>
      <c r="DE175" s="7" t="e">
        <f>VLOOKUP(C175,listaBolsa!$D$2:$BA$248,23,0)</f>
        <v>#N/A</v>
      </c>
      <c r="DF175" s="7" t="e">
        <f>VLOOKUP(C175,listaBolsa!$D$2:$BA$248,29,0)</f>
        <v>#N/A</v>
      </c>
      <c r="DG175" s="7" t="e">
        <f>VLOOKUP(C175,listaBolsa!$D$2:$BA$248,36,0)</f>
        <v>#N/A</v>
      </c>
      <c r="DH175" s="7" t="e">
        <f>VLOOKUP(C175,listaBolsa!$D$2:$BA$248,40,0)</f>
        <v>#N/A</v>
      </c>
      <c r="DI175" s="7" t="e">
        <f>VLOOKUP(C175,listaBolsa!$D$2:$BA$248,48,0)</f>
        <v>#N/A</v>
      </c>
      <c r="DJ175" s="7" t="e">
        <f t="shared" si="76"/>
        <v>#N/A</v>
      </c>
      <c r="DK175" s="7" t="e">
        <f t="shared" si="76"/>
        <v>#N/A</v>
      </c>
      <c r="DL175" s="7" t="e">
        <f t="shared" si="57"/>
        <v>#N/A</v>
      </c>
      <c r="DM175" s="7" t="e">
        <f t="shared" si="57"/>
        <v>#N/A</v>
      </c>
      <c r="DN175" s="7" t="e">
        <f t="shared" si="58"/>
        <v>#N/A</v>
      </c>
      <c r="DO175" s="7" t="e">
        <f t="shared" si="58"/>
        <v>#N/A</v>
      </c>
      <c r="DP175" s="7" t="e">
        <f t="shared" si="59"/>
        <v>#N/A</v>
      </c>
      <c r="DQ175" s="7" t="e">
        <f t="shared" si="59"/>
        <v>#N/A</v>
      </c>
      <c r="DR175" s="7" t="e">
        <f t="shared" si="63"/>
        <v>#N/A</v>
      </c>
    </row>
    <row r="176" spans="1:122" s="7" customFormat="1" ht="30.6" customHeight="1">
      <c r="A176" s="75">
        <f t="shared" si="54"/>
        <v>162</v>
      </c>
      <c r="B176" s="538" t="s">
        <v>579</v>
      </c>
      <c r="C176" s="351" t="s">
        <v>733</v>
      </c>
      <c r="D176" s="351" t="s">
        <v>734</v>
      </c>
      <c r="E176" s="193" t="s">
        <v>568</v>
      </c>
      <c r="F176" s="75">
        <v>1</v>
      </c>
      <c r="G176" s="75" t="s">
        <v>192</v>
      </c>
      <c r="H176" s="106" t="s">
        <v>380</v>
      </c>
      <c r="I176" s="107">
        <v>22000</v>
      </c>
      <c r="J176" s="96"/>
      <c r="K176" s="96">
        <f t="shared" si="60"/>
        <v>22000</v>
      </c>
      <c r="L176" s="96">
        <f t="shared" si="69"/>
        <v>22000</v>
      </c>
      <c r="M176" s="96">
        <f t="shared" si="70"/>
        <v>22000</v>
      </c>
      <c r="N176" s="108" t="s">
        <v>381</v>
      </c>
      <c r="O176" s="109">
        <v>24000</v>
      </c>
      <c r="P176" s="110"/>
      <c r="Q176" s="110">
        <f t="shared" si="61"/>
        <v>24000</v>
      </c>
      <c r="R176" s="110">
        <f t="shared" si="71"/>
        <v>24000</v>
      </c>
      <c r="S176" s="110">
        <f t="shared" si="72"/>
        <v>24000</v>
      </c>
      <c r="T176" s="97" t="s">
        <v>382</v>
      </c>
      <c r="U176" s="98">
        <v>20000</v>
      </c>
      <c r="V176" s="99"/>
      <c r="W176" s="99">
        <f t="shared" si="62"/>
        <v>20000</v>
      </c>
      <c r="X176" s="99">
        <f t="shared" si="73"/>
        <v>20000</v>
      </c>
      <c r="Y176" s="99">
        <f t="shared" si="74"/>
        <v>20000</v>
      </c>
      <c r="Z176" s="100">
        <f t="shared" si="67"/>
        <v>22000</v>
      </c>
      <c r="AA176" s="100">
        <f t="shared" si="75"/>
        <v>22000</v>
      </c>
      <c r="AB176" s="78">
        <f t="shared" si="68"/>
        <v>2000</v>
      </c>
      <c r="AC176" s="102">
        <f t="shared" si="56"/>
        <v>9.0909090909090912E-2</v>
      </c>
      <c r="AD176" s="5"/>
      <c r="AF176" s="7" t="s">
        <v>570</v>
      </c>
      <c r="AG176" s="7">
        <v>58</v>
      </c>
      <c r="AH176" s="7" t="s">
        <v>735</v>
      </c>
      <c r="BG176" s="7">
        <v>47</v>
      </c>
      <c r="DA176" s="7" t="e">
        <f>VLOOKUP(C176,listaBolsa!$D$2:$BA$248,1,0)</f>
        <v>#N/A</v>
      </c>
      <c r="DB176" s="7" t="e">
        <f>VLOOKUP(C176,listaBolsa!$D$2:$BA$248,2,0)</f>
        <v>#N/A</v>
      </c>
      <c r="DC176" s="7" t="e">
        <f>VLOOKUP(C176,listaBolsa!$D$2:$BA$248,10,0)</f>
        <v>#N/A</v>
      </c>
      <c r="DD176" s="7" t="e">
        <f>VLOOKUP(C176,listaBolsa!$D$2:$BA$248,14,0)</f>
        <v>#N/A</v>
      </c>
      <c r="DE176" s="7" t="e">
        <f>VLOOKUP(C176,listaBolsa!$D$2:$BA$248,23,0)</f>
        <v>#N/A</v>
      </c>
      <c r="DF176" s="7" t="e">
        <f>VLOOKUP(C176,listaBolsa!$D$2:$BA$248,29,0)</f>
        <v>#N/A</v>
      </c>
      <c r="DG176" s="7" t="e">
        <f>VLOOKUP(C176,listaBolsa!$D$2:$BA$248,36,0)</f>
        <v>#N/A</v>
      </c>
      <c r="DH176" s="7" t="e">
        <f>VLOOKUP(C176,listaBolsa!$D$2:$BA$248,40,0)</f>
        <v>#N/A</v>
      </c>
      <c r="DI176" s="7" t="e">
        <f>VLOOKUP(C176,listaBolsa!$D$2:$BA$248,48,0)</f>
        <v>#N/A</v>
      </c>
      <c r="DJ176" s="7" t="e">
        <f t="shared" si="76"/>
        <v>#N/A</v>
      </c>
      <c r="DK176" s="7" t="e">
        <f t="shared" si="76"/>
        <v>#N/A</v>
      </c>
      <c r="DL176" s="7" t="e">
        <f t="shared" si="57"/>
        <v>#N/A</v>
      </c>
      <c r="DM176" s="7" t="e">
        <f t="shared" si="57"/>
        <v>#N/A</v>
      </c>
      <c r="DN176" s="7" t="e">
        <f t="shared" si="58"/>
        <v>#N/A</v>
      </c>
      <c r="DO176" s="7" t="e">
        <f t="shared" si="58"/>
        <v>#N/A</v>
      </c>
      <c r="DP176" s="7" t="e">
        <f t="shared" si="59"/>
        <v>#N/A</v>
      </c>
      <c r="DQ176" s="7" t="e">
        <f t="shared" si="59"/>
        <v>#N/A</v>
      </c>
      <c r="DR176" s="7" t="e">
        <f t="shared" si="63"/>
        <v>#N/A</v>
      </c>
    </row>
    <row r="177" spans="1:122" s="7" customFormat="1" ht="30.6" customHeight="1">
      <c r="A177" s="75">
        <f t="shared" si="54"/>
        <v>163</v>
      </c>
      <c r="B177" s="538" t="s">
        <v>579</v>
      </c>
      <c r="C177" s="351" t="s">
        <v>736</v>
      </c>
      <c r="D177" s="351" t="s">
        <v>737</v>
      </c>
      <c r="E177" s="193" t="s">
        <v>568</v>
      </c>
      <c r="F177" s="75">
        <v>1</v>
      </c>
      <c r="G177" s="75" t="s">
        <v>192</v>
      </c>
      <c r="H177" s="106" t="s">
        <v>380</v>
      </c>
      <c r="I177" s="107">
        <v>17500</v>
      </c>
      <c r="J177" s="96"/>
      <c r="K177" s="96">
        <f t="shared" si="60"/>
        <v>17500</v>
      </c>
      <c r="L177" s="96">
        <f t="shared" si="69"/>
        <v>17500</v>
      </c>
      <c r="M177" s="96">
        <f t="shared" si="70"/>
        <v>17500</v>
      </c>
      <c r="N177" s="108" t="s">
        <v>381</v>
      </c>
      <c r="O177" s="109">
        <v>18000</v>
      </c>
      <c r="P177" s="110"/>
      <c r="Q177" s="110">
        <f t="shared" si="61"/>
        <v>18000</v>
      </c>
      <c r="R177" s="110">
        <f t="shared" si="71"/>
        <v>18000</v>
      </c>
      <c r="S177" s="110">
        <f t="shared" si="72"/>
        <v>18000</v>
      </c>
      <c r="T177" s="97" t="s">
        <v>382</v>
      </c>
      <c r="U177" s="98">
        <v>15000</v>
      </c>
      <c r="V177" s="99"/>
      <c r="W177" s="99">
        <f t="shared" si="62"/>
        <v>15000</v>
      </c>
      <c r="X177" s="99">
        <f t="shared" si="73"/>
        <v>15000</v>
      </c>
      <c r="Y177" s="99">
        <f t="shared" si="74"/>
        <v>15000</v>
      </c>
      <c r="Z177" s="100">
        <f t="shared" si="67"/>
        <v>16833.333333333332</v>
      </c>
      <c r="AA177" s="100">
        <f t="shared" si="75"/>
        <v>16833.333333333332</v>
      </c>
      <c r="AB177" s="78">
        <f t="shared" si="68"/>
        <v>1607.2751268321592</v>
      </c>
      <c r="AC177" s="102">
        <f t="shared" si="56"/>
        <v>9.5481690702900551E-2</v>
      </c>
      <c r="AD177" s="5"/>
      <c r="AF177" s="7" t="s">
        <v>570</v>
      </c>
      <c r="AG177" s="7">
        <v>59</v>
      </c>
      <c r="AH177" s="7" t="s">
        <v>738</v>
      </c>
      <c r="BG177" s="7">
        <v>48</v>
      </c>
      <c r="DA177" s="7" t="e">
        <f>VLOOKUP(C177,listaBolsa!$D$2:$BA$248,1,0)</f>
        <v>#N/A</v>
      </c>
      <c r="DB177" s="7" t="e">
        <f>VLOOKUP(C177,listaBolsa!$D$2:$BA$248,2,0)</f>
        <v>#N/A</v>
      </c>
      <c r="DC177" s="7" t="e">
        <f>VLOOKUP(C177,listaBolsa!$D$2:$BA$248,10,0)</f>
        <v>#N/A</v>
      </c>
      <c r="DD177" s="7" t="e">
        <f>VLOOKUP(C177,listaBolsa!$D$2:$BA$248,14,0)</f>
        <v>#N/A</v>
      </c>
      <c r="DE177" s="7" t="e">
        <f>VLOOKUP(C177,listaBolsa!$D$2:$BA$248,23,0)</f>
        <v>#N/A</v>
      </c>
      <c r="DF177" s="7" t="e">
        <f>VLOOKUP(C177,listaBolsa!$D$2:$BA$248,29,0)</f>
        <v>#N/A</v>
      </c>
      <c r="DG177" s="7" t="e">
        <f>VLOOKUP(C177,listaBolsa!$D$2:$BA$248,36,0)</f>
        <v>#N/A</v>
      </c>
      <c r="DH177" s="7" t="e">
        <f>VLOOKUP(C177,listaBolsa!$D$2:$BA$248,40,0)</f>
        <v>#N/A</v>
      </c>
      <c r="DI177" s="7" t="e">
        <f>VLOOKUP(C177,listaBolsa!$D$2:$BA$248,48,0)</f>
        <v>#N/A</v>
      </c>
      <c r="DJ177" s="7" t="e">
        <f t="shared" si="76"/>
        <v>#N/A</v>
      </c>
      <c r="DK177" s="7" t="e">
        <f t="shared" si="76"/>
        <v>#N/A</v>
      </c>
      <c r="DL177" s="7" t="e">
        <f t="shared" si="57"/>
        <v>#N/A</v>
      </c>
      <c r="DM177" s="7" t="e">
        <f t="shared" si="57"/>
        <v>#N/A</v>
      </c>
      <c r="DN177" s="7" t="e">
        <f t="shared" si="58"/>
        <v>#N/A</v>
      </c>
      <c r="DO177" s="7" t="e">
        <f t="shared" si="58"/>
        <v>#N/A</v>
      </c>
      <c r="DP177" s="7" t="e">
        <f t="shared" si="59"/>
        <v>#N/A</v>
      </c>
      <c r="DQ177" s="7" t="e">
        <f t="shared" si="59"/>
        <v>#N/A</v>
      </c>
      <c r="DR177" s="7" t="e">
        <f t="shared" si="63"/>
        <v>#N/A</v>
      </c>
    </row>
    <row r="178" spans="1:122" s="7" customFormat="1" ht="42" customHeight="1">
      <c r="A178" s="75">
        <f t="shared" si="54"/>
        <v>164</v>
      </c>
      <c r="B178" s="538" t="s">
        <v>579</v>
      </c>
      <c r="C178" s="351" t="s">
        <v>739</v>
      </c>
      <c r="D178" s="351" t="s">
        <v>740</v>
      </c>
      <c r="E178" s="193" t="s">
        <v>568</v>
      </c>
      <c r="F178" s="75">
        <v>1</v>
      </c>
      <c r="G178" s="75" t="s">
        <v>192</v>
      </c>
      <c r="H178" s="106" t="s">
        <v>380</v>
      </c>
      <c r="I178" s="107">
        <v>12000</v>
      </c>
      <c r="J178" s="96"/>
      <c r="K178" s="96">
        <f t="shared" si="60"/>
        <v>12000</v>
      </c>
      <c r="L178" s="96">
        <f t="shared" si="69"/>
        <v>12000</v>
      </c>
      <c r="M178" s="96">
        <f t="shared" si="70"/>
        <v>12000</v>
      </c>
      <c r="N178" s="108" t="s">
        <v>381</v>
      </c>
      <c r="O178" s="109">
        <v>10000</v>
      </c>
      <c r="P178" s="110"/>
      <c r="Q178" s="110">
        <f t="shared" si="61"/>
        <v>10000</v>
      </c>
      <c r="R178" s="110">
        <f t="shared" si="71"/>
        <v>10000</v>
      </c>
      <c r="S178" s="110">
        <f t="shared" si="72"/>
        <v>10000</v>
      </c>
      <c r="T178" s="97" t="s">
        <v>382</v>
      </c>
      <c r="U178" s="98">
        <v>8000</v>
      </c>
      <c r="V178" s="99"/>
      <c r="W178" s="99">
        <f t="shared" si="62"/>
        <v>8000</v>
      </c>
      <c r="X178" s="99">
        <f t="shared" si="73"/>
        <v>8000</v>
      </c>
      <c r="Y178" s="99">
        <f t="shared" si="74"/>
        <v>8000</v>
      </c>
      <c r="Z178" s="100">
        <f t="shared" si="67"/>
        <v>10000</v>
      </c>
      <c r="AA178" s="100">
        <f t="shared" si="75"/>
        <v>10000</v>
      </c>
      <c r="AB178" s="78">
        <f t="shared" si="68"/>
        <v>2000</v>
      </c>
      <c r="AC178" s="102">
        <f t="shared" si="56"/>
        <v>0.2</v>
      </c>
      <c r="AD178" s="5"/>
      <c r="AF178" s="7" t="s">
        <v>570</v>
      </c>
      <c r="AG178" s="7">
        <v>60</v>
      </c>
      <c r="AH178" s="7" t="s">
        <v>741</v>
      </c>
      <c r="BG178" s="7">
        <v>49</v>
      </c>
      <c r="DA178" s="7" t="e">
        <f>VLOOKUP(C178,listaBolsa!$D$2:$BA$248,1,0)</f>
        <v>#N/A</v>
      </c>
      <c r="DB178" s="7" t="e">
        <f>VLOOKUP(C178,listaBolsa!$D$2:$BA$248,2,0)</f>
        <v>#N/A</v>
      </c>
      <c r="DC178" s="7" t="e">
        <f>VLOOKUP(C178,listaBolsa!$D$2:$BA$248,10,0)</f>
        <v>#N/A</v>
      </c>
      <c r="DD178" s="7" t="e">
        <f>VLOOKUP(C178,listaBolsa!$D$2:$BA$248,14,0)</f>
        <v>#N/A</v>
      </c>
      <c r="DE178" s="7" t="e">
        <f>VLOOKUP(C178,listaBolsa!$D$2:$BA$248,23,0)</f>
        <v>#N/A</v>
      </c>
      <c r="DF178" s="7" t="e">
        <f>VLOOKUP(C178,listaBolsa!$D$2:$BA$248,29,0)</f>
        <v>#N/A</v>
      </c>
      <c r="DG178" s="7" t="e">
        <f>VLOOKUP(C178,listaBolsa!$D$2:$BA$248,36,0)</f>
        <v>#N/A</v>
      </c>
      <c r="DH178" s="7" t="e">
        <f>VLOOKUP(C178,listaBolsa!$D$2:$BA$248,40,0)</f>
        <v>#N/A</v>
      </c>
      <c r="DI178" s="7" t="e">
        <f>VLOOKUP(C178,listaBolsa!$D$2:$BA$248,48,0)</f>
        <v>#N/A</v>
      </c>
      <c r="DJ178" s="7" t="e">
        <f t="shared" si="76"/>
        <v>#N/A</v>
      </c>
      <c r="DK178" s="7" t="e">
        <f t="shared" si="76"/>
        <v>#N/A</v>
      </c>
      <c r="DL178" s="7" t="e">
        <f t="shared" si="57"/>
        <v>#N/A</v>
      </c>
      <c r="DM178" s="7" t="e">
        <f t="shared" si="57"/>
        <v>#N/A</v>
      </c>
      <c r="DN178" s="7" t="e">
        <f t="shared" si="58"/>
        <v>#N/A</v>
      </c>
      <c r="DO178" s="7" t="e">
        <f t="shared" si="58"/>
        <v>#N/A</v>
      </c>
      <c r="DP178" s="7" t="e">
        <f t="shared" si="59"/>
        <v>#N/A</v>
      </c>
      <c r="DQ178" s="7" t="e">
        <f t="shared" si="59"/>
        <v>#N/A</v>
      </c>
      <c r="DR178" s="7" t="e">
        <f t="shared" si="63"/>
        <v>#N/A</v>
      </c>
    </row>
    <row r="179" spans="1:122" s="7" customFormat="1" ht="42" customHeight="1">
      <c r="A179" s="75">
        <f t="shared" si="54"/>
        <v>165</v>
      </c>
      <c r="B179" s="538" t="s">
        <v>579</v>
      </c>
      <c r="C179" s="351" t="s">
        <v>742</v>
      </c>
      <c r="D179" s="351" t="s">
        <v>743</v>
      </c>
      <c r="E179" s="193" t="s">
        <v>568</v>
      </c>
      <c r="F179" s="75">
        <v>1</v>
      </c>
      <c r="G179" s="75" t="s">
        <v>192</v>
      </c>
      <c r="H179" s="106" t="s">
        <v>380</v>
      </c>
      <c r="I179" s="107">
        <v>54000</v>
      </c>
      <c r="J179" s="96">
        <f t="shared" si="64"/>
        <v>10260</v>
      </c>
      <c r="K179" s="96">
        <f t="shared" si="60"/>
        <v>64260</v>
      </c>
      <c r="L179" s="96">
        <f t="shared" si="69"/>
        <v>54000</v>
      </c>
      <c r="M179" s="96">
        <f t="shared" si="70"/>
        <v>64260</v>
      </c>
      <c r="N179" s="108" t="s">
        <v>381</v>
      </c>
      <c r="O179" s="109">
        <v>58000</v>
      </c>
      <c r="P179" s="110">
        <f t="shared" si="65"/>
        <v>11020</v>
      </c>
      <c r="Q179" s="110">
        <f t="shared" si="61"/>
        <v>69020</v>
      </c>
      <c r="R179" s="110">
        <f t="shared" si="71"/>
        <v>58000</v>
      </c>
      <c r="S179" s="110">
        <f t="shared" si="72"/>
        <v>69020</v>
      </c>
      <c r="T179" s="97" t="s">
        <v>382</v>
      </c>
      <c r="U179" s="98">
        <v>56000</v>
      </c>
      <c r="V179" s="99">
        <f t="shared" si="66"/>
        <v>10640</v>
      </c>
      <c r="W179" s="99">
        <f t="shared" si="62"/>
        <v>66640</v>
      </c>
      <c r="X179" s="99">
        <f t="shared" si="73"/>
        <v>56000</v>
      </c>
      <c r="Y179" s="99">
        <f t="shared" si="74"/>
        <v>66640</v>
      </c>
      <c r="Z179" s="100">
        <f t="shared" si="67"/>
        <v>66640</v>
      </c>
      <c r="AA179" s="100">
        <f t="shared" si="75"/>
        <v>66640</v>
      </c>
      <c r="AB179" s="78">
        <f t="shared" si="68"/>
        <v>2380</v>
      </c>
      <c r="AC179" s="102">
        <f t="shared" si="56"/>
        <v>3.5714285714285712E-2</v>
      </c>
      <c r="AD179" s="5"/>
      <c r="AF179" s="7" t="s">
        <v>570</v>
      </c>
      <c r="AG179" s="7">
        <v>61</v>
      </c>
      <c r="AH179" s="7" t="s">
        <v>744</v>
      </c>
      <c r="BG179" s="7">
        <v>50</v>
      </c>
      <c r="DA179" s="7" t="e">
        <f>VLOOKUP(C179,listaBolsa!$D$2:$BA$248,1,0)</f>
        <v>#N/A</v>
      </c>
      <c r="DB179" s="7" t="e">
        <f>VLOOKUP(C179,listaBolsa!$D$2:$BA$248,2,0)</f>
        <v>#N/A</v>
      </c>
      <c r="DC179" s="7" t="e">
        <f>VLOOKUP(C179,listaBolsa!$D$2:$BA$248,10,0)</f>
        <v>#N/A</v>
      </c>
      <c r="DD179" s="7" t="e">
        <f>VLOOKUP(C179,listaBolsa!$D$2:$BA$248,14,0)</f>
        <v>#N/A</v>
      </c>
      <c r="DE179" s="7" t="e">
        <f>VLOOKUP(C179,listaBolsa!$D$2:$BA$248,23,0)</f>
        <v>#N/A</v>
      </c>
      <c r="DF179" s="7" t="e">
        <f>VLOOKUP(C179,listaBolsa!$D$2:$BA$248,29,0)</f>
        <v>#N/A</v>
      </c>
      <c r="DG179" s="7" t="e">
        <f>VLOOKUP(C179,listaBolsa!$D$2:$BA$248,36,0)</f>
        <v>#N/A</v>
      </c>
      <c r="DH179" s="7" t="e">
        <f>VLOOKUP(C179,listaBolsa!$D$2:$BA$248,40,0)</f>
        <v>#N/A</v>
      </c>
      <c r="DI179" s="7" t="e">
        <f>VLOOKUP(C179,listaBolsa!$D$2:$BA$248,48,0)</f>
        <v>#N/A</v>
      </c>
      <c r="DJ179" s="7" t="e">
        <f t="shared" si="76"/>
        <v>#N/A</v>
      </c>
      <c r="DK179" s="7" t="e">
        <f t="shared" si="76"/>
        <v>#N/A</v>
      </c>
      <c r="DL179" s="7" t="e">
        <f t="shared" si="57"/>
        <v>#N/A</v>
      </c>
      <c r="DM179" s="7" t="e">
        <f t="shared" si="57"/>
        <v>#N/A</v>
      </c>
      <c r="DN179" s="7" t="e">
        <f t="shared" si="58"/>
        <v>#N/A</v>
      </c>
      <c r="DO179" s="7" t="e">
        <f t="shared" si="58"/>
        <v>#N/A</v>
      </c>
      <c r="DP179" s="7" t="e">
        <f t="shared" si="59"/>
        <v>#N/A</v>
      </c>
      <c r="DQ179" s="7" t="e">
        <f t="shared" si="59"/>
        <v>#N/A</v>
      </c>
      <c r="DR179" s="7" t="e">
        <f t="shared" si="63"/>
        <v>#N/A</v>
      </c>
    </row>
    <row r="180" spans="1:122" s="7" customFormat="1" ht="42" customHeight="1">
      <c r="A180" s="75">
        <f t="shared" si="54"/>
        <v>166</v>
      </c>
      <c r="B180" s="538" t="s">
        <v>579</v>
      </c>
      <c r="C180" s="351" t="s">
        <v>745</v>
      </c>
      <c r="D180" s="351" t="s">
        <v>746</v>
      </c>
      <c r="E180" s="193" t="s">
        <v>568</v>
      </c>
      <c r="F180" s="75">
        <v>1</v>
      </c>
      <c r="G180" s="75" t="s">
        <v>192</v>
      </c>
      <c r="H180" s="106" t="s">
        <v>380</v>
      </c>
      <c r="I180" s="107">
        <v>69000</v>
      </c>
      <c r="J180" s="96">
        <f t="shared" si="64"/>
        <v>13110</v>
      </c>
      <c r="K180" s="96">
        <f t="shared" si="60"/>
        <v>82110</v>
      </c>
      <c r="L180" s="96">
        <f t="shared" si="69"/>
        <v>69000</v>
      </c>
      <c r="M180" s="96">
        <f t="shared" si="70"/>
        <v>82110</v>
      </c>
      <c r="N180" s="108" t="s">
        <v>382</v>
      </c>
      <c r="O180" s="109">
        <v>70000</v>
      </c>
      <c r="P180" s="110">
        <f t="shared" si="65"/>
        <v>13300</v>
      </c>
      <c r="Q180" s="110">
        <f t="shared" si="61"/>
        <v>83300</v>
      </c>
      <c r="R180" s="110">
        <f t="shared" si="71"/>
        <v>70000</v>
      </c>
      <c r="S180" s="110">
        <f t="shared" si="72"/>
        <v>83300</v>
      </c>
      <c r="T180" s="97" t="s">
        <v>381</v>
      </c>
      <c r="U180" s="98">
        <v>72000</v>
      </c>
      <c r="V180" s="99">
        <f t="shared" si="66"/>
        <v>13680</v>
      </c>
      <c r="W180" s="99">
        <f t="shared" si="62"/>
        <v>85680</v>
      </c>
      <c r="X180" s="99">
        <f t="shared" si="73"/>
        <v>72000</v>
      </c>
      <c r="Y180" s="99">
        <f t="shared" si="74"/>
        <v>85680</v>
      </c>
      <c r="Z180" s="100">
        <f t="shared" si="67"/>
        <v>83696.666666666672</v>
      </c>
      <c r="AA180" s="100">
        <f t="shared" si="75"/>
        <v>83696.666666666672</v>
      </c>
      <c r="AB180" s="78">
        <f t="shared" si="68"/>
        <v>1817.7550256658164</v>
      </c>
      <c r="AC180" s="102">
        <f t="shared" si="56"/>
        <v>2.1718368222539523E-2</v>
      </c>
      <c r="AD180" s="5"/>
      <c r="AF180" s="7" t="s">
        <v>570</v>
      </c>
      <c r="AG180" s="7">
        <v>62</v>
      </c>
      <c r="AH180" s="7" t="s">
        <v>747</v>
      </c>
      <c r="BG180" s="7">
        <v>51</v>
      </c>
      <c r="DA180" s="7" t="e">
        <f>VLOOKUP(C180,listaBolsa!$D$2:$BA$248,1,0)</f>
        <v>#N/A</v>
      </c>
      <c r="DB180" s="7" t="e">
        <f>VLOOKUP(C180,listaBolsa!$D$2:$BA$248,2,0)</f>
        <v>#N/A</v>
      </c>
      <c r="DC180" s="7" t="e">
        <f>VLOOKUP(C180,listaBolsa!$D$2:$BA$248,10,0)</f>
        <v>#N/A</v>
      </c>
      <c r="DD180" s="7" t="e">
        <f>VLOOKUP(C180,listaBolsa!$D$2:$BA$248,14,0)</f>
        <v>#N/A</v>
      </c>
      <c r="DE180" s="7" t="e">
        <f>VLOOKUP(C180,listaBolsa!$D$2:$BA$248,23,0)</f>
        <v>#N/A</v>
      </c>
      <c r="DF180" s="7" t="e">
        <f>VLOOKUP(C180,listaBolsa!$D$2:$BA$248,29,0)</f>
        <v>#N/A</v>
      </c>
      <c r="DG180" s="7" t="e">
        <f>VLOOKUP(C180,listaBolsa!$D$2:$BA$248,36,0)</f>
        <v>#N/A</v>
      </c>
      <c r="DH180" s="7" t="e">
        <f>VLOOKUP(C180,listaBolsa!$D$2:$BA$248,40,0)</f>
        <v>#N/A</v>
      </c>
      <c r="DI180" s="7" t="e">
        <f>VLOOKUP(C180,listaBolsa!$D$2:$BA$248,48,0)</f>
        <v>#N/A</v>
      </c>
      <c r="DJ180" s="7" t="e">
        <f t="shared" si="76"/>
        <v>#N/A</v>
      </c>
      <c r="DK180" s="7" t="e">
        <f t="shared" si="76"/>
        <v>#N/A</v>
      </c>
      <c r="DL180" s="7" t="e">
        <f t="shared" si="57"/>
        <v>#N/A</v>
      </c>
      <c r="DM180" s="7" t="e">
        <f t="shared" si="57"/>
        <v>#N/A</v>
      </c>
      <c r="DN180" s="7" t="e">
        <f t="shared" si="58"/>
        <v>#N/A</v>
      </c>
      <c r="DO180" s="7" t="e">
        <f t="shared" si="58"/>
        <v>#N/A</v>
      </c>
      <c r="DP180" s="7" t="e">
        <f t="shared" si="59"/>
        <v>#N/A</v>
      </c>
      <c r="DQ180" s="7" t="e">
        <f t="shared" si="59"/>
        <v>#N/A</v>
      </c>
      <c r="DR180" s="7" t="e">
        <f t="shared" si="63"/>
        <v>#N/A</v>
      </c>
    </row>
    <row r="181" spans="1:122" s="7" customFormat="1" ht="42" customHeight="1">
      <c r="A181" s="75">
        <f t="shared" si="54"/>
        <v>167</v>
      </c>
      <c r="B181" s="538" t="s">
        <v>579</v>
      </c>
      <c r="C181" s="351" t="s">
        <v>748</v>
      </c>
      <c r="D181" s="351" t="s">
        <v>749</v>
      </c>
      <c r="E181" s="193" t="s">
        <v>568</v>
      </c>
      <c r="F181" s="75">
        <v>1</v>
      </c>
      <c r="G181" s="75" t="s">
        <v>192</v>
      </c>
      <c r="H181" s="106" t="s">
        <v>380</v>
      </c>
      <c r="I181" s="107">
        <v>137000</v>
      </c>
      <c r="J181" s="96">
        <f t="shared" si="64"/>
        <v>26030</v>
      </c>
      <c r="K181" s="96">
        <f t="shared" si="60"/>
        <v>163030</v>
      </c>
      <c r="L181" s="96">
        <f t="shared" si="69"/>
        <v>137000</v>
      </c>
      <c r="M181" s="96">
        <f t="shared" si="70"/>
        <v>163030</v>
      </c>
      <c r="N181" s="108" t="s">
        <v>381</v>
      </c>
      <c r="O181" s="109">
        <v>140000</v>
      </c>
      <c r="P181" s="110">
        <f t="shared" si="65"/>
        <v>26600</v>
      </c>
      <c r="Q181" s="110">
        <f t="shared" si="61"/>
        <v>166600</v>
      </c>
      <c r="R181" s="110">
        <f t="shared" si="71"/>
        <v>140000</v>
      </c>
      <c r="S181" s="110">
        <f t="shared" si="72"/>
        <v>166600</v>
      </c>
      <c r="T181" s="97" t="s">
        <v>382</v>
      </c>
      <c r="U181" s="98">
        <v>138600</v>
      </c>
      <c r="V181" s="99">
        <f t="shared" si="66"/>
        <v>26334</v>
      </c>
      <c r="W181" s="99">
        <f t="shared" si="62"/>
        <v>164934</v>
      </c>
      <c r="X181" s="99">
        <f t="shared" si="73"/>
        <v>138600</v>
      </c>
      <c r="Y181" s="99">
        <f t="shared" si="74"/>
        <v>164934</v>
      </c>
      <c r="Z181" s="100">
        <f t="shared" si="67"/>
        <v>164854.66666666666</v>
      </c>
      <c r="AA181" s="100">
        <f t="shared" si="75"/>
        <v>164854.66666666666</v>
      </c>
      <c r="AB181" s="78">
        <f t="shared" si="68"/>
        <v>1786.3217328727021</v>
      </c>
      <c r="AC181" s="102">
        <f t="shared" si="56"/>
        <v>1.0835736524733111E-2</v>
      </c>
      <c r="AD181" s="5"/>
      <c r="AF181" s="7" t="s">
        <v>570</v>
      </c>
      <c r="AG181" s="7">
        <v>63</v>
      </c>
      <c r="AH181" s="7" t="s">
        <v>750</v>
      </c>
      <c r="BG181" s="7">
        <v>52</v>
      </c>
      <c r="DA181" s="7" t="e">
        <f>VLOOKUP(C181,listaBolsa!$D$2:$BA$248,1,0)</f>
        <v>#N/A</v>
      </c>
      <c r="DB181" s="7" t="e">
        <f>VLOOKUP(C181,listaBolsa!$D$2:$BA$248,2,0)</f>
        <v>#N/A</v>
      </c>
      <c r="DC181" s="7" t="e">
        <f>VLOOKUP(C181,listaBolsa!$D$2:$BA$248,10,0)</f>
        <v>#N/A</v>
      </c>
      <c r="DD181" s="7" t="e">
        <f>VLOOKUP(C181,listaBolsa!$D$2:$BA$248,14,0)</f>
        <v>#N/A</v>
      </c>
      <c r="DE181" s="7" t="e">
        <f>VLOOKUP(C181,listaBolsa!$D$2:$BA$248,23,0)</f>
        <v>#N/A</v>
      </c>
      <c r="DF181" s="7" t="e">
        <f>VLOOKUP(C181,listaBolsa!$D$2:$BA$248,29,0)</f>
        <v>#N/A</v>
      </c>
      <c r="DG181" s="7" t="e">
        <f>VLOOKUP(C181,listaBolsa!$D$2:$BA$248,36,0)</f>
        <v>#N/A</v>
      </c>
      <c r="DH181" s="7" t="e">
        <f>VLOOKUP(C181,listaBolsa!$D$2:$BA$248,40,0)</f>
        <v>#N/A</v>
      </c>
      <c r="DI181" s="7" t="e">
        <f>VLOOKUP(C181,listaBolsa!$D$2:$BA$248,48,0)</f>
        <v>#N/A</v>
      </c>
      <c r="DJ181" s="7" t="e">
        <f t="shared" si="76"/>
        <v>#N/A</v>
      </c>
      <c r="DK181" s="7" t="e">
        <f t="shared" si="76"/>
        <v>#N/A</v>
      </c>
      <c r="DL181" s="7" t="e">
        <f t="shared" si="57"/>
        <v>#N/A</v>
      </c>
      <c r="DM181" s="7" t="e">
        <f t="shared" si="57"/>
        <v>#N/A</v>
      </c>
      <c r="DN181" s="7" t="e">
        <f t="shared" si="58"/>
        <v>#N/A</v>
      </c>
      <c r="DO181" s="7" t="e">
        <f t="shared" si="58"/>
        <v>#N/A</v>
      </c>
      <c r="DP181" s="7" t="e">
        <f t="shared" si="59"/>
        <v>#N/A</v>
      </c>
      <c r="DQ181" s="7" t="e">
        <f t="shared" si="59"/>
        <v>#N/A</v>
      </c>
      <c r="DR181" s="7" t="e">
        <f t="shared" si="63"/>
        <v>#N/A</v>
      </c>
    </row>
    <row r="182" spans="1:122" s="7" customFormat="1" ht="42" customHeight="1">
      <c r="A182" s="75">
        <f t="shared" si="54"/>
        <v>168</v>
      </c>
      <c r="B182" s="538" t="s">
        <v>579</v>
      </c>
      <c r="C182" s="351" t="s">
        <v>751</v>
      </c>
      <c r="D182" s="351" t="s">
        <v>752</v>
      </c>
      <c r="E182" s="193" t="s">
        <v>568</v>
      </c>
      <c r="F182" s="75">
        <v>1</v>
      </c>
      <c r="G182" s="75" t="s">
        <v>192</v>
      </c>
      <c r="H182" s="106" t="s">
        <v>380</v>
      </c>
      <c r="I182" s="107">
        <v>173000</v>
      </c>
      <c r="J182" s="96">
        <f t="shared" si="64"/>
        <v>32870</v>
      </c>
      <c r="K182" s="96">
        <f t="shared" si="60"/>
        <v>205870</v>
      </c>
      <c r="L182" s="96">
        <f t="shared" si="69"/>
        <v>173000</v>
      </c>
      <c r="M182" s="96">
        <f t="shared" si="70"/>
        <v>205870</v>
      </c>
      <c r="N182" s="108" t="s">
        <v>381</v>
      </c>
      <c r="O182" s="109">
        <v>175000</v>
      </c>
      <c r="P182" s="110">
        <f t="shared" si="65"/>
        <v>33250</v>
      </c>
      <c r="Q182" s="110">
        <f t="shared" si="61"/>
        <v>208250</v>
      </c>
      <c r="R182" s="110">
        <f t="shared" si="71"/>
        <v>175000</v>
      </c>
      <c r="S182" s="110">
        <f t="shared" si="72"/>
        <v>208250</v>
      </c>
      <c r="T182" s="97" t="s">
        <v>382</v>
      </c>
      <c r="U182" s="98">
        <v>180600</v>
      </c>
      <c r="V182" s="99">
        <f t="shared" si="66"/>
        <v>34314</v>
      </c>
      <c r="W182" s="99">
        <f t="shared" si="62"/>
        <v>214914</v>
      </c>
      <c r="X182" s="99">
        <f t="shared" si="73"/>
        <v>180600</v>
      </c>
      <c r="Y182" s="99">
        <f t="shared" si="74"/>
        <v>214914</v>
      </c>
      <c r="Z182" s="100">
        <f t="shared" si="67"/>
        <v>209678</v>
      </c>
      <c r="AA182" s="100">
        <f t="shared" si="75"/>
        <v>209678</v>
      </c>
      <c r="AB182" s="78">
        <f t="shared" si="68"/>
        <v>4688.0563136549463</v>
      </c>
      <c r="AC182" s="102">
        <f t="shared" si="56"/>
        <v>2.2358360503509887E-2</v>
      </c>
      <c r="AD182" s="5"/>
      <c r="AF182" s="7" t="s">
        <v>570</v>
      </c>
      <c r="AG182" s="7">
        <v>64</v>
      </c>
      <c r="AH182" s="7" t="s">
        <v>753</v>
      </c>
      <c r="BG182" s="7">
        <v>53</v>
      </c>
      <c r="DA182" s="7" t="e">
        <f>VLOOKUP(C182,listaBolsa!$D$2:$BA$248,1,0)</f>
        <v>#N/A</v>
      </c>
      <c r="DB182" s="7" t="e">
        <f>VLOOKUP(C182,listaBolsa!$D$2:$BA$248,2,0)</f>
        <v>#N/A</v>
      </c>
      <c r="DC182" s="7" t="e">
        <f>VLOOKUP(C182,listaBolsa!$D$2:$BA$248,10,0)</f>
        <v>#N/A</v>
      </c>
      <c r="DD182" s="7" t="e">
        <f>VLOOKUP(C182,listaBolsa!$D$2:$BA$248,14,0)</f>
        <v>#N/A</v>
      </c>
      <c r="DE182" s="7" t="e">
        <f>VLOOKUP(C182,listaBolsa!$D$2:$BA$248,23,0)</f>
        <v>#N/A</v>
      </c>
      <c r="DF182" s="7" t="e">
        <f>VLOOKUP(C182,listaBolsa!$D$2:$BA$248,29,0)</f>
        <v>#N/A</v>
      </c>
      <c r="DG182" s="7" t="e">
        <f>VLOOKUP(C182,listaBolsa!$D$2:$BA$248,36,0)</f>
        <v>#N/A</v>
      </c>
      <c r="DH182" s="7" t="e">
        <f>VLOOKUP(C182,listaBolsa!$D$2:$BA$248,40,0)</f>
        <v>#N/A</v>
      </c>
      <c r="DI182" s="7" t="e">
        <f>VLOOKUP(C182,listaBolsa!$D$2:$BA$248,48,0)</f>
        <v>#N/A</v>
      </c>
      <c r="DJ182" s="7" t="e">
        <f t="shared" si="76"/>
        <v>#N/A</v>
      </c>
      <c r="DK182" s="7" t="e">
        <f t="shared" si="76"/>
        <v>#N/A</v>
      </c>
      <c r="DL182" s="7" t="e">
        <f t="shared" si="57"/>
        <v>#N/A</v>
      </c>
      <c r="DM182" s="7" t="e">
        <f t="shared" si="57"/>
        <v>#N/A</v>
      </c>
      <c r="DN182" s="7" t="e">
        <f t="shared" si="58"/>
        <v>#N/A</v>
      </c>
      <c r="DO182" s="7" t="e">
        <f t="shared" si="58"/>
        <v>#N/A</v>
      </c>
      <c r="DP182" s="7" t="e">
        <f t="shared" si="59"/>
        <v>#N/A</v>
      </c>
      <c r="DQ182" s="7" t="e">
        <f t="shared" si="59"/>
        <v>#N/A</v>
      </c>
      <c r="DR182" s="7" t="e">
        <f t="shared" si="63"/>
        <v>#N/A</v>
      </c>
    </row>
    <row r="183" spans="1:122" s="7" customFormat="1" ht="42" customHeight="1">
      <c r="A183" s="75">
        <f t="shared" si="54"/>
        <v>169</v>
      </c>
      <c r="B183" s="538" t="s">
        <v>579</v>
      </c>
      <c r="C183" s="351" t="s">
        <v>754</v>
      </c>
      <c r="D183" s="351" t="s">
        <v>755</v>
      </c>
      <c r="E183" s="193" t="s">
        <v>568</v>
      </c>
      <c r="F183" s="75">
        <v>1</v>
      </c>
      <c r="G183" s="75" t="s">
        <v>192</v>
      </c>
      <c r="H183" s="106" t="s">
        <v>380</v>
      </c>
      <c r="I183" s="107">
        <v>162000</v>
      </c>
      <c r="J183" s="96">
        <f t="shared" si="64"/>
        <v>30780</v>
      </c>
      <c r="K183" s="96">
        <f t="shared" si="60"/>
        <v>192780</v>
      </c>
      <c r="L183" s="96">
        <f t="shared" si="69"/>
        <v>162000</v>
      </c>
      <c r="M183" s="96">
        <f t="shared" si="70"/>
        <v>192780</v>
      </c>
      <c r="N183" s="108" t="s">
        <v>381</v>
      </c>
      <c r="O183" s="109">
        <v>160000</v>
      </c>
      <c r="P183" s="110">
        <f t="shared" si="65"/>
        <v>30400</v>
      </c>
      <c r="Q183" s="110">
        <f t="shared" si="61"/>
        <v>190400</v>
      </c>
      <c r="R183" s="110">
        <f t="shared" si="71"/>
        <v>160000</v>
      </c>
      <c r="S183" s="110">
        <f t="shared" si="72"/>
        <v>190400</v>
      </c>
      <c r="T183" s="97" t="s">
        <v>382</v>
      </c>
      <c r="U183" s="98">
        <v>154000</v>
      </c>
      <c r="V183" s="99">
        <f t="shared" si="66"/>
        <v>29260</v>
      </c>
      <c r="W183" s="99">
        <f t="shared" si="62"/>
        <v>183260</v>
      </c>
      <c r="X183" s="99">
        <f t="shared" si="73"/>
        <v>154000</v>
      </c>
      <c r="Y183" s="99">
        <f t="shared" si="74"/>
        <v>183260</v>
      </c>
      <c r="Z183" s="100">
        <f t="shared" si="67"/>
        <v>188813.33333333334</v>
      </c>
      <c r="AA183" s="100">
        <f t="shared" si="75"/>
        <v>188813.33333333334</v>
      </c>
      <c r="AB183" s="78">
        <f t="shared" si="68"/>
        <v>4954.3650787293964</v>
      </c>
      <c r="AC183" s="102">
        <f t="shared" si="56"/>
        <v>2.6239487388228566E-2</v>
      </c>
      <c r="AD183" s="5"/>
      <c r="AF183" s="7" t="s">
        <v>570</v>
      </c>
      <c r="AG183" s="7">
        <v>65</v>
      </c>
      <c r="AH183" s="7" t="s">
        <v>756</v>
      </c>
      <c r="BG183" s="7">
        <v>54</v>
      </c>
      <c r="DA183" s="7" t="e">
        <f>VLOOKUP(C183,listaBolsa!$D$2:$BA$248,1,0)</f>
        <v>#N/A</v>
      </c>
      <c r="DB183" s="7" t="e">
        <f>VLOOKUP(C183,listaBolsa!$D$2:$BA$248,2,0)</f>
        <v>#N/A</v>
      </c>
      <c r="DC183" s="7" t="e">
        <f>VLOOKUP(C183,listaBolsa!$D$2:$BA$248,10,0)</f>
        <v>#N/A</v>
      </c>
      <c r="DD183" s="7" t="e">
        <f>VLOOKUP(C183,listaBolsa!$D$2:$BA$248,14,0)</f>
        <v>#N/A</v>
      </c>
      <c r="DE183" s="7" t="e">
        <f>VLOOKUP(C183,listaBolsa!$D$2:$BA$248,23,0)</f>
        <v>#N/A</v>
      </c>
      <c r="DF183" s="7" t="e">
        <f>VLOOKUP(C183,listaBolsa!$D$2:$BA$248,29,0)</f>
        <v>#N/A</v>
      </c>
      <c r="DG183" s="7" t="e">
        <f>VLOOKUP(C183,listaBolsa!$D$2:$BA$248,36,0)</f>
        <v>#N/A</v>
      </c>
      <c r="DH183" s="7" t="e">
        <f>VLOOKUP(C183,listaBolsa!$D$2:$BA$248,40,0)</f>
        <v>#N/A</v>
      </c>
      <c r="DI183" s="7" t="e">
        <f>VLOOKUP(C183,listaBolsa!$D$2:$BA$248,48,0)</f>
        <v>#N/A</v>
      </c>
      <c r="DJ183" s="7" t="e">
        <f t="shared" si="76"/>
        <v>#N/A</v>
      </c>
      <c r="DK183" s="7" t="e">
        <f t="shared" si="76"/>
        <v>#N/A</v>
      </c>
      <c r="DL183" s="7" t="e">
        <f t="shared" si="57"/>
        <v>#N/A</v>
      </c>
      <c r="DM183" s="7" t="e">
        <f t="shared" si="57"/>
        <v>#N/A</v>
      </c>
      <c r="DN183" s="7" t="e">
        <f t="shared" si="58"/>
        <v>#N/A</v>
      </c>
      <c r="DO183" s="7" t="e">
        <f t="shared" si="58"/>
        <v>#N/A</v>
      </c>
      <c r="DP183" s="7" t="e">
        <f t="shared" si="59"/>
        <v>#N/A</v>
      </c>
      <c r="DQ183" s="7" t="e">
        <f t="shared" si="59"/>
        <v>#N/A</v>
      </c>
      <c r="DR183" s="7" t="e">
        <f t="shared" si="63"/>
        <v>#N/A</v>
      </c>
    </row>
    <row r="184" spans="1:122" s="7" customFormat="1" ht="42" customHeight="1">
      <c r="A184" s="75">
        <f t="shared" ref="A184:A247" si="77">A183+1</f>
        <v>170</v>
      </c>
      <c r="B184" s="538" t="s">
        <v>579</v>
      </c>
      <c r="C184" s="351" t="s">
        <v>757</v>
      </c>
      <c r="D184" s="351" t="s">
        <v>758</v>
      </c>
      <c r="E184" s="193" t="s">
        <v>568</v>
      </c>
      <c r="F184" s="75">
        <v>1</v>
      </c>
      <c r="G184" s="75" t="s">
        <v>192</v>
      </c>
      <c r="H184" s="106" t="s">
        <v>230</v>
      </c>
      <c r="I184" s="107">
        <v>10840.336134453781</v>
      </c>
      <c r="J184" s="96">
        <f t="shared" si="64"/>
        <v>2059.6638655462184</v>
      </c>
      <c r="K184" s="96">
        <f t="shared" si="60"/>
        <v>12900</v>
      </c>
      <c r="L184" s="96">
        <f t="shared" si="69"/>
        <v>10840.336134453781</v>
      </c>
      <c r="M184" s="96">
        <f t="shared" si="70"/>
        <v>12900</v>
      </c>
      <c r="N184" s="108" t="s">
        <v>759</v>
      </c>
      <c r="O184" s="109">
        <v>10084.033613445379</v>
      </c>
      <c r="P184" s="110">
        <f t="shared" si="65"/>
        <v>1915.966386554622</v>
      </c>
      <c r="Q184" s="110">
        <f t="shared" si="61"/>
        <v>12000.000000000002</v>
      </c>
      <c r="R184" s="110">
        <f t="shared" si="71"/>
        <v>10084.033613445379</v>
      </c>
      <c r="S184" s="110">
        <f t="shared" si="72"/>
        <v>12000.000000000002</v>
      </c>
      <c r="T184" s="97" t="s">
        <v>224</v>
      </c>
      <c r="U184" s="98">
        <v>10000</v>
      </c>
      <c r="V184" s="99">
        <f t="shared" si="66"/>
        <v>1900</v>
      </c>
      <c r="W184" s="99">
        <f t="shared" si="62"/>
        <v>11900</v>
      </c>
      <c r="X184" s="99">
        <f t="shared" si="73"/>
        <v>10000</v>
      </c>
      <c r="Y184" s="99">
        <f t="shared" si="74"/>
        <v>11900</v>
      </c>
      <c r="Z184" s="100">
        <f t="shared" si="67"/>
        <v>12266.666666666666</v>
      </c>
      <c r="AA184" s="100">
        <f t="shared" si="75"/>
        <v>12266.666666666666</v>
      </c>
      <c r="AB184" s="78">
        <f t="shared" si="68"/>
        <v>550.75705472860977</v>
      </c>
      <c r="AC184" s="102">
        <f t="shared" si="56"/>
        <v>4.4898672939832324E-2</v>
      </c>
      <c r="AD184" s="5"/>
      <c r="AF184" s="7" t="s">
        <v>570</v>
      </c>
      <c r="AG184" s="7">
        <v>66</v>
      </c>
      <c r="AH184" s="7" t="s">
        <v>760</v>
      </c>
      <c r="BG184" s="7">
        <v>55</v>
      </c>
      <c r="DA184" s="7" t="e">
        <f>VLOOKUP(C184,listaBolsa!$D$2:$BA$248,1,0)</f>
        <v>#N/A</v>
      </c>
      <c r="DB184" s="7" t="e">
        <f>VLOOKUP(C184,listaBolsa!$D$2:$BA$248,2,0)</f>
        <v>#N/A</v>
      </c>
      <c r="DC184" s="7" t="e">
        <f>VLOOKUP(C184,listaBolsa!$D$2:$BA$248,10,0)</f>
        <v>#N/A</v>
      </c>
      <c r="DD184" s="7" t="e">
        <f>VLOOKUP(C184,listaBolsa!$D$2:$BA$248,14,0)</f>
        <v>#N/A</v>
      </c>
      <c r="DE184" s="7" t="e">
        <f>VLOOKUP(C184,listaBolsa!$D$2:$BA$248,23,0)</f>
        <v>#N/A</v>
      </c>
      <c r="DF184" s="7" t="e">
        <f>VLOOKUP(C184,listaBolsa!$D$2:$BA$248,29,0)</f>
        <v>#N/A</v>
      </c>
      <c r="DG184" s="7" t="e">
        <f>VLOOKUP(C184,listaBolsa!$D$2:$BA$248,36,0)</f>
        <v>#N/A</v>
      </c>
      <c r="DH184" s="7" t="e">
        <f>VLOOKUP(C184,listaBolsa!$D$2:$BA$248,40,0)</f>
        <v>#N/A</v>
      </c>
      <c r="DI184" s="7" t="e">
        <f>VLOOKUP(C184,listaBolsa!$D$2:$BA$248,48,0)</f>
        <v>#N/A</v>
      </c>
      <c r="DJ184" s="7" t="e">
        <f t="shared" si="76"/>
        <v>#N/A</v>
      </c>
      <c r="DK184" s="7" t="e">
        <f t="shared" si="76"/>
        <v>#N/A</v>
      </c>
      <c r="DL184" s="7" t="e">
        <f t="shared" si="57"/>
        <v>#N/A</v>
      </c>
      <c r="DM184" s="7" t="e">
        <f t="shared" si="57"/>
        <v>#N/A</v>
      </c>
      <c r="DN184" s="7" t="e">
        <f t="shared" si="58"/>
        <v>#N/A</v>
      </c>
      <c r="DO184" s="7" t="e">
        <f t="shared" si="58"/>
        <v>#N/A</v>
      </c>
      <c r="DP184" s="7" t="e">
        <f t="shared" si="59"/>
        <v>#N/A</v>
      </c>
      <c r="DQ184" s="7" t="e">
        <f t="shared" si="59"/>
        <v>#N/A</v>
      </c>
      <c r="DR184" s="7" t="e">
        <f t="shared" si="63"/>
        <v>#N/A</v>
      </c>
    </row>
    <row r="185" spans="1:122" s="7" customFormat="1" ht="42" customHeight="1">
      <c r="A185" s="75">
        <f t="shared" si="77"/>
        <v>171</v>
      </c>
      <c r="B185" s="538" t="s">
        <v>579</v>
      </c>
      <c r="C185" s="351" t="s">
        <v>761</v>
      </c>
      <c r="D185" s="351" t="s">
        <v>762</v>
      </c>
      <c r="E185" s="193" t="s">
        <v>568</v>
      </c>
      <c r="F185" s="75">
        <v>1</v>
      </c>
      <c r="G185" s="75" t="s">
        <v>192</v>
      </c>
      <c r="H185" s="106" t="s">
        <v>695</v>
      </c>
      <c r="I185" s="107">
        <v>124285.7142857143</v>
      </c>
      <c r="J185" s="96">
        <f t="shared" si="64"/>
        <v>23614.285714285717</v>
      </c>
      <c r="K185" s="96">
        <f t="shared" si="60"/>
        <v>147900.00000000003</v>
      </c>
      <c r="L185" s="96">
        <f t="shared" si="69"/>
        <v>124285.7142857143</v>
      </c>
      <c r="M185" s="96">
        <f t="shared" si="70"/>
        <v>147900.00000000003</v>
      </c>
      <c r="N185" s="108" t="s">
        <v>763</v>
      </c>
      <c r="O185" s="109">
        <v>142857.1428571429</v>
      </c>
      <c r="P185" s="110">
        <f t="shared" si="65"/>
        <v>27142.857142857152</v>
      </c>
      <c r="Q185" s="110">
        <f t="shared" si="61"/>
        <v>170000.00000000006</v>
      </c>
      <c r="R185" s="110">
        <f t="shared" si="71"/>
        <v>142857.1428571429</v>
      </c>
      <c r="S185" s="110">
        <f t="shared" si="72"/>
        <v>170000.00000000006</v>
      </c>
      <c r="T185" s="97" t="s">
        <v>764</v>
      </c>
      <c r="U185" s="98">
        <v>131596.63865546219</v>
      </c>
      <c r="V185" s="99">
        <f t="shared" si="66"/>
        <v>25003.361344537814</v>
      </c>
      <c r="W185" s="99">
        <f t="shared" si="62"/>
        <v>156600</v>
      </c>
      <c r="X185" s="99">
        <f t="shared" si="73"/>
        <v>131596.63865546219</v>
      </c>
      <c r="Y185" s="99">
        <f t="shared" si="74"/>
        <v>156600</v>
      </c>
      <c r="Z185" s="100">
        <f t="shared" si="67"/>
        <v>158166.66666666672</v>
      </c>
      <c r="AA185" s="100">
        <f t="shared" si="75"/>
        <v>158166.66666666672</v>
      </c>
      <c r="AB185" s="78">
        <f t="shared" si="68"/>
        <v>11132.984026456417</v>
      </c>
      <c r="AC185" s="102">
        <f t="shared" si="56"/>
        <v>7.0387675615109044E-2</v>
      </c>
      <c r="AD185" s="5"/>
      <c r="AF185" s="7" t="s">
        <v>570</v>
      </c>
      <c r="AG185" s="7">
        <v>67</v>
      </c>
      <c r="AH185" s="7" t="s">
        <v>765</v>
      </c>
      <c r="BG185" s="7">
        <v>56</v>
      </c>
      <c r="DA185" s="7" t="e">
        <f>VLOOKUP(C185,listaBolsa!$D$2:$BA$248,1,0)</f>
        <v>#N/A</v>
      </c>
      <c r="DB185" s="7" t="e">
        <f>VLOOKUP(C185,listaBolsa!$D$2:$BA$248,2,0)</f>
        <v>#N/A</v>
      </c>
      <c r="DC185" s="7" t="e">
        <f>VLOOKUP(C185,listaBolsa!$D$2:$BA$248,10,0)</f>
        <v>#N/A</v>
      </c>
      <c r="DD185" s="7" t="e">
        <f>VLOOKUP(C185,listaBolsa!$D$2:$BA$248,14,0)</f>
        <v>#N/A</v>
      </c>
      <c r="DE185" s="7" t="e">
        <f>VLOOKUP(C185,listaBolsa!$D$2:$BA$248,23,0)</f>
        <v>#N/A</v>
      </c>
      <c r="DF185" s="7" t="e">
        <f>VLOOKUP(C185,listaBolsa!$D$2:$BA$248,29,0)</f>
        <v>#N/A</v>
      </c>
      <c r="DG185" s="7" t="e">
        <f>VLOOKUP(C185,listaBolsa!$D$2:$BA$248,36,0)</f>
        <v>#N/A</v>
      </c>
      <c r="DH185" s="7" t="e">
        <f>VLOOKUP(C185,listaBolsa!$D$2:$BA$248,40,0)</f>
        <v>#N/A</v>
      </c>
      <c r="DI185" s="7" t="e">
        <f>VLOOKUP(C185,listaBolsa!$D$2:$BA$248,48,0)</f>
        <v>#N/A</v>
      </c>
      <c r="DJ185" s="7" t="e">
        <f t="shared" si="76"/>
        <v>#N/A</v>
      </c>
      <c r="DK185" s="7" t="e">
        <f t="shared" si="76"/>
        <v>#N/A</v>
      </c>
      <c r="DL185" s="7" t="e">
        <f t="shared" si="57"/>
        <v>#N/A</v>
      </c>
      <c r="DM185" s="7" t="e">
        <f t="shared" si="57"/>
        <v>#N/A</v>
      </c>
      <c r="DN185" s="7" t="e">
        <f t="shared" si="58"/>
        <v>#N/A</v>
      </c>
      <c r="DO185" s="7" t="e">
        <f t="shared" si="58"/>
        <v>#N/A</v>
      </c>
      <c r="DP185" s="7" t="e">
        <f t="shared" si="59"/>
        <v>#N/A</v>
      </c>
      <c r="DQ185" s="7" t="e">
        <f t="shared" si="59"/>
        <v>#N/A</v>
      </c>
      <c r="DR185" s="7" t="e">
        <f t="shared" si="63"/>
        <v>#N/A</v>
      </c>
    </row>
    <row r="186" spans="1:122" s="7" customFormat="1" ht="42" customHeight="1">
      <c r="A186" s="75">
        <f t="shared" si="77"/>
        <v>172</v>
      </c>
      <c r="B186" s="538" t="s">
        <v>579</v>
      </c>
      <c r="C186" s="351" t="s">
        <v>766</v>
      </c>
      <c r="D186" s="351" t="s">
        <v>767</v>
      </c>
      <c r="E186" s="193" t="s">
        <v>568</v>
      </c>
      <c r="F186" s="75">
        <v>1</v>
      </c>
      <c r="G186" s="75" t="s">
        <v>192</v>
      </c>
      <c r="H186" s="106" t="s">
        <v>284</v>
      </c>
      <c r="I186" s="107">
        <v>54537.815126050416</v>
      </c>
      <c r="J186" s="96">
        <f t="shared" si="64"/>
        <v>10362.18487394958</v>
      </c>
      <c r="K186" s="96">
        <f t="shared" si="60"/>
        <v>64900</v>
      </c>
      <c r="L186" s="96">
        <f t="shared" si="69"/>
        <v>54537.815126050416</v>
      </c>
      <c r="M186" s="96">
        <f t="shared" si="70"/>
        <v>64900</v>
      </c>
      <c r="N186" s="108" t="s">
        <v>768</v>
      </c>
      <c r="O186" s="109">
        <v>54537.815126050416</v>
      </c>
      <c r="P186" s="110">
        <f t="shared" si="65"/>
        <v>10362.18487394958</v>
      </c>
      <c r="Q186" s="110">
        <f t="shared" si="61"/>
        <v>64900</v>
      </c>
      <c r="R186" s="110">
        <f t="shared" si="71"/>
        <v>54537.815126050416</v>
      </c>
      <c r="S186" s="110">
        <f t="shared" si="72"/>
        <v>64900</v>
      </c>
      <c r="T186" s="97" t="s">
        <v>769</v>
      </c>
      <c r="U186" s="98">
        <v>52538.655462184877</v>
      </c>
      <c r="V186" s="99">
        <f t="shared" si="66"/>
        <v>9982.3445378151264</v>
      </c>
      <c r="W186" s="99">
        <f t="shared" si="62"/>
        <v>62521</v>
      </c>
      <c r="X186" s="99">
        <f t="shared" si="73"/>
        <v>52538.655462184877</v>
      </c>
      <c r="Y186" s="99">
        <f t="shared" si="74"/>
        <v>62521</v>
      </c>
      <c r="Z186" s="100">
        <f t="shared" si="67"/>
        <v>64107</v>
      </c>
      <c r="AA186" s="100">
        <f t="shared" si="75"/>
        <v>64107</v>
      </c>
      <c r="AB186" s="78">
        <f t="shared" si="68"/>
        <v>1373.5162904021197</v>
      </c>
      <c r="AC186" s="102">
        <f t="shared" si="56"/>
        <v>2.1425371494565644E-2</v>
      </c>
      <c r="AD186" s="5"/>
      <c r="AF186" s="7" t="s">
        <v>570</v>
      </c>
      <c r="AG186" s="7">
        <v>68</v>
      </c>
      <c r="AH186" s="7" t="s">
        <v>770</v>
      </c>
      <c r="BG186" s="7">
        <v>57</v>
      </c>
      <c r="DA186" s="7" t="e">
        <f>VLOOKUP(C186,listaBolsa!$D$2:$BA$248,1,0)</f>
        <v>#N/A</v>
      </c>
      <c r="DB186" s="7" t="e">
        <f>VLOOKUP(C186,listaBolsa!$D$2:$BA$248,2,0)</f>
        <v>#N/A</v>
      </c>
      <c r="DC186" s="7" t="e">
        <f>VLOOKUP(C186,listaBolsa!$D$2:$BA$248,10,0)</f>
        <v>#N/A</v>
      </c>
      <c r="DD186" s="7" t="e">
        <f>VLOOKUP(C186,listaBolsa!$D$2:$BA$248,14,0)</f>
        <v>#N/A</v>
      </c>
      <c r="DE186" s="7" t="e">
        <f>VLOOKUP(C186,listaBolsa!$D$2:$BA$248,23,0)</f>
        <v>#N/A</v>
      </c>
      <c r="DF186" s="7" t="e">
        <f>VLOOKUP(C186,listaBolsa!$D$2:$BA$248,29,0)</f>
        <v>#N/A</v>
      </c>
      <c r="DG186" s="7" t="e">
        <f>VLOOKUP(C186,listaBolsa!$D$2:$BA$248,36,0)</f>
        <v>#N/A</v>
      </c>
      <c r="DH186" s="7" t="e">
        <f>VLOOKUP(C186,listaBolsa!$D$2:$BA$248,40,0)</f>
        <v>#N/A</v>
      </c>
      <c r="DI186" s="7" t="e">
        <f>VLOOKUP(C186,listaBolsa!$D$2:$BA$248,48,0)</f>
        <v>#N/A</v>
      </c>
      <c r="DJ186" s="7" t="e">
        <f t="shared" si="76"/>
        <v>#N/A</v>
      </c>
      <c r="DK186" s="7" t="e">
        <f t="shared" si="76"/>
        <v>#N/A</v>
      </c>
      <c r="DL186" s="7" t="e">
        <f t="shared" si="57"/>
        <v>#N/A</v>
      </c>
      <c r="DM186" s="7" t="e">
        <f t="shared" si="57"/>
        <v>#N/A</v>
      </c>
      <c r="DN186" s="7" t="e">
        <f t="shared" si="58"/>
        <v>#N/A</v>
      </c>
      <c r="DO186" s="7" t="e">
        <f t="shared" si="58"/>
        <v>#N/A</v>
      </c>
      <c r="DP186" s="7" t="e">
        <f t="shared" si="59"/>
        <v>#N/A</v>
      </c>
      <c r="DQ186" s="7" t="e">
        <f t="shared" si="59"/>
        <v>#N/A</v>
      </c>
      <c r="DR186" s="7" t="e">
        <f t="shared" si="63"/>
        <v>#N/A</v>
      </c>
    </row>
    <row r="187" spans="1:122" s="7" customFormat="1" ht="42" customHeight="1">
      <c r="A187" s="75">
        <f t="shared" si="77"/>
        <v>173</v>
      </c>
      <c r="B187" s="538" t="s">
        <v>579</v>
      </c>
      <c r="C187" s="351" t="s">
        <v>378</v>
      </c>
      <c r="D187" s="351" t="s">
        <v>379</v>
      </c>
      <c r="E187" s="193" t="s">
        <v>568</v>
      </c>
      <c r="F187" s="75">
        <v>1</v>
      </c>
      <c r="G187" s="75" t="s">
        <v>192</v>
      </c>
      <c r="H187" s="106" t="s">
        <v>380</v>
      </c>
      <c r="I187" s="107">
        <v>18000</v>
      </c>
      <c r="J187" s="96">
        <f t="shared" si="64"/>
        <v>3420</v>
      </c>
      <c r="K187" s="96">
        <f t="shared" si="60"/>
        <v>21420</v>
      </c>
      <c r="L187" s="96">
        <f t="shared" si="69"/>
        <v>18000</v>
      </c>
      <c r="M187" s="96">
        <f t="shared" si="70"/>
        <v>21420</v>
      </c>
      <c r="N187" s="108" t="s">
        <v>381</v>
      </c>
      <c r="O187" s="109">
        <v>17000</v>
      </c>
      <c r="P187" s="110">
        <f t="shared" si="65"/>
        <v>3230</v>
      </c>
      <c r="Q187" s="110">
        <f t="shared" si="61"/>
        <v>20230</v>
      </c>
      <c r="R187" s="110">
        <f t="shared" si="71"/>
        <v>17000</v>
      </c>
      <c r="S187" s="110">
        <f t="shared" si="72"/>
        <v>20230</v>
      </c>
      <c r="T187" s="97" t="s">
        <v>382</v>
      </c>
      <c r="U187" s="98">
        <v>15260</v>
      </c>
      <c r="V187" s="99">
        <f t="shared" si="66"/>
        <v>2899.4</v>
      </c>
      <c r="W187" s="99">
        <f t="shared" si="62"/>
        <v>18159.400000000001</v>
      </c>
      <c r="X187" s="99">
        <f t="shared" si="73"/>
        <v>15260</v>
      </c>
      <c r="Y187" s="99">
        <f t="shared" si="74"/>
        <v>18159.400000000001</v>
      </c>
      <c r="Z187" s="100">
        <f t="shared" si="67"/>
        <v>19936.466666666667</v>
      </c>
      <c r="AA187" s="100">
        <f t="shared" si="75"/>
        <v>19936.466666666667</v>
      </c>
      <c r="AB187" s="78">
        <f t="shared" si="68"/>
        <v>1649.9998343434252</v>
      </c>
      <c r="AC187" s="102">
        <f t="shared" si="56"/>
        <v>8.2762901868774399E-2</v>
      </c>
      <c r="AD187" s="5"/>
      <c r="AF187" s="7" t="s">
        <v>570</v>
      </c>
      <c r="AG187" s="7">
        <v>69</v>
      </c>
      <c r="AH187" s="7" t="s">
        <v>771</v>
      </c>
      <c r="BG187" s="7">
        <v>58</v>
      </c>
      <c r="DA187" s="7" t="e">
        <f>VLOOKUP(C187,listaBolsa!$D$2:$BA$248,1,0)</f>
        <v>#N/A</v>
      </c>
      <c r="DB187" s="7" t="e">
        <f>VLOOKUP(C187,listaBolsa!$D$2:$BA$248,2,0)</f>
        <v>#N/A</v>
      </c>
      <c r="DC187" s="7" t="e">
        <f>VLOOKUP(C187,listaBolsa!$D$2:$BA$248,10,0)</f>
        <v>#N/A</v>
      </c>
      <c r="DD187" s="7" t="e">
        <f>VLOOKUP(C187,listaBolsa!$D$2:$BA$248,14,0)</f>
        <v>#N/A</v>
      </c>
      <c r="DE187" s="7" t="e">
        <f>VLOOKUP(C187,listaBolsa!$D$2:$BA$248,23,0)</f>
        <v>#N/A</v>
      </c>
      <c r="DF187" s="7" t="e">
        <f>VLOOKUP(C187,listaBolsa!$D$2:$BA$248,29,0)</f>
        <v>#N/A</v>
      </c>
      <c r="DG187" s="7" t="e">
        <f>VLOOKUP(C187,listaBolsa!$D$2:$BA$248,36,0)</f>
        <v>#N/A</v>
      </c>
      <c r="DH187" s="7" t="e">
        <f>VLOOKUP(C187,listaBolsa!$D$2:$BA$248,40,0)</f>
        <v>#N/A</v>
      </c>
      <c r="DI187" s="7" t="e">
        <f>VLOOKUP(C187,listaBolsa!$D$2:$BA$248,48,0)</f>
        <v>#N/A</v>
      </c>
      <c r="DJ187" s="7" t="e">
        <f t="shared" si="76"/>
        <v>#N/A</v>
      </c>
      <c r="DK187" s="7" t="e">
        <f t="shared" si="76"/>
        <v>#N/A</v>
      </c>
      <c r="DL187" s="7" t="e">
        <f t="shared" si="57"/>
        <v>#N/A</v>
      </c>
      <c r="DM187" s="7" t="e">
        <f t="shared" si="57"/>
        <v>#N/A</v>
      </c>
      <c r="DN187" s="7" t="e">
        <f t="shared" si="58"/>
        <v>#N/A</v>
      </c>
      <c r="DO187" s="7" t="e">
        <f t="shared" si="58"/>
        <v>#N/A</v>
      </c>
      <c r="DP187" s="7" t="e">
        <f t="shared" si="59"/>
        <v>#N/A</v>
      </c>
      <c r="DQ187" s="7" t="e">
        <f t="shared" si="59"/>
        <v>#N/A</v>
      </c>
      <c r="DR187" s="7" t="e">
        <f t="shared" si="63"/>
        <v>#N/A</v>
      </c>
    </row>
    <row r="188" spans="1:122" s="7" customFormat="1" ht="42" customHeight="1">
      <c r="A188" s="75">
        <f t="shared" si="77"/>
        <v>174</v>
      </c>
      <c r="B188" s="538" t="s">
        <v>579</v>
      </c>
      <c r="C188" s="351" t="s">
        <v>772</v>
      </c>
      <c r="D188" s="351" t="s">
        <v>773</v>
      </c>
      <c r="E188" s="193" t="s">
        <v>568</v>
      </c>
      <c r="F188" s="75">
        <v>1</v>
      </c>
      <c r="G188" s="75" t="s">
        <v>192</v>
      </c>
      <c r="H188" s="106" t="s">
        <v>380</v>
      </c>
      <c r="I188" s="107">
        <v>340000</v>
      </c>
      <c r="J188" s="96">
        <f t="shared" si="64"/>
        <v>64600</v>
      </c>
      <c r="K188" s="96">
        <f t="shared" si="60"/>
        <v>404600</v>
      </c>
      <c r="L188" s="96">
        <f t="shared" si="69"/>
        <v>340000</v>
      </c>
      <c r="M188" s="96">
        <f t="shared" si="70"/>
        <v>404600</v>
      </c>
      <c r="N188" s="108" t="s">
        <v>381</v>
      </c>
      <c r="O188" s="109">
        <v>350000</v>
      </c>
      <c r="P188" s="110">
        <f t="shared" si="65"/>
        <v>66500</v>
      </c>
      <c r="Q188" s="110">
        <f t="shared" si="61"/>
        <v>416500</v>
      </c>
      <c r="R188" s="110">
        <f t="shared" si="71"/>
        <v>350000</v>
      </c>
      <c r="S188" s="110">
        <f t="shared" si="72"/>
        <v>416500</v>
      </c>
      <c r="T188" s="97" t="s">
        <v>382</v>
      </c>
      <c r="U188" s="98">
        <v>364000</v>
      </c>
      <c r="V188" s="99">
        <f t="shared" si="66"/>
        <v>69160</v>
      </c>
      <c r="W188" s="99">
        <f t="shared" si="62"/>
        <v>433160</v>
      </c>
      <c r="X188" s="99">
        <f t="shared" si="73"/>
        <v>364000</v>
      </c>
      <c r="Y188" s="99">
        <f t="shared" si="74"/>
        <v>433160</v>
      </c>
      <c r="Z188" s="100">
        <f t="shared" si="67"/>
        <v>418086.66666666669</v>
      </c>
      <c r="AA188" s="100">
        <f t="shared" si="75"/>
        <v>418086.66666666669</v>
      </c>
      <c r="AB188" s="78">
        <f t="shared" si="68"/>
        <v>14345.958780553265</v>
      </c>
      <c r="AC188" s="102">
        <f t="shared" si="56"/>
        <v>3.4313361138567595E-2</v>
      </c>
      <c r="AD188" s="5"/>
      <c r="AF188" s="7" t="s">
        <v>570</v>
      </c>
      <c r="AG188" s="7">
        <v>70</v>
      </c>
      <c r="AH188" s="7" t="s">
        <v>774</v>
      </c>
      <c r="BG188" s="7">
        <v>59</v>
      </c>
      <c r="DA188" s="7" t="e">
        <f>VLOOKUP(C188,listaBolsa!$D$2:$BA$248,1,0)</f>
        <v>#N/A</v>
      </c>
      <c r="DB188" s="7" t="e">
        <f>VLOOKUP(C188,listaBolsa!$D$2:$BA$248,2,0)</f>
        <v>#N/A</v>
      </c>
      <c r="DC188" s="7" t="e">
        <f>VLOOKUP(C188,listaBolsa!$D$2:$BA$248,10,0)</f>
        <v>#N/A</v>
      </c>
      <c r="DD188" s="7" t="e">
        <f>VLOOKUP(C188,listaBolsa!$D$2:$BA$248,14,0)</f>
        <v>#N/A</v>
      </c>
      <c r="DE188" s="7" t="e">
        <f>VLOOKUP(C188,listaBolsa!$D$2:$BA$248,23,0)</f>
        <v>#N/A</v>
      </c>
      <c r="DF188" s="7" t="e">
        <f>VLOOKUP(C188,listaBolsa!$D$2:$BA$248,29,0)</f>
        <v>#N/A</v>
      </c>
      <c r="DG188" s="7" t="e">
        <f>VLOOKUP(C188,listaBolsa!$D$2:$BA$248,36,0)</f>
        <v>#N/A</v>
      </c>
      <c r="DH188" s="7" t="e">
        <f>VLOOKUP(C188,listaBolsa!$D$2:$BA$248,40,0)</f>
        <v>#N/A</v>
      </c>
      <c r="DI188" s="7" t="e">
        <f>VLOOKUP(C188,listaBolsa!$D$2:$BA$248,48,0)</f>
        <v>#N/A</v>
      </c>
      <c r="DJ188" s="7" t="e">
        <f t="shared" si="76"/>
        <v>#N/A</v>
      </c>
      <c r="DK188" s="7" t="e">
        <f t="shared" si="76"/>
        <v>#N/A</v>
      </c>
      <c r="DL188" s="7" t="e">
        <f t="shared" si="57"/>
        <v>#N/A</v>
      </c>
      <c r="DM188" s="7" t="e">
        <f t="shared" si="57"/>
        <v>#N/A</v>
      </c>
      <c r="DN188" s="7" t="e">
        <f t="shared" si="58"/>
        <v>#N/A</v>
      </c>
      <c r="DO188" s="7" t="e">
        <f t="shared" si="58"/>
        <v>#N/A</v>
      </c>
      <c r="DP188" s="7" t="e">
        <f t="shared" si="59"/>
        <v>#N/A</v>
      </c>
      <c r="DQ188" s="7" t="e">
        <f t="shared" si="59"/>
        <v>#N/A</v>
      </c>
      <c r="DR188" s="7" t="e">
        <f t="shared" si="63"/>
        <v>#N/A</v>
      </c>
    </row>
    <row r="189" spans="1:122" s="7" customFormat="1" ht="42" customHeight="1">
      <c r="A189" s="75">
        <f t="shared" si="77"/>
        <v>175</v>
      </c>
      <c r="B189" s="538" t="s">
        <v>579</v>
      </c>
      <c r="C189" s="351" t="s">
        <v>775</v>
      </c>
      <c r="D189" s="351" t="s">
        <v>776</v>
      </c>
      <c r="E189" s="193" t="s">
        <v>568</v>
      </c>
      <c r="F189" s="75">
        <v>1</v>
      </c>
      <c r="G189" s="75" t="s">
        <v>192</v>
      </c>
      <c r="H189" s="106" t="s">
        <v>380</v>
      </c>
      <c r="I189" s="107">
        <v>60000</v>
      </c>
      <c r="J189" s="96"/>
      <c r="K189" s="96">
        <f t="shared" si="60"/>
        <v>60000</v>
      </c>
      <c r="L189" s="96">
        <f t="shared" si="69"/>
        <v>60000</v>
      </c>
      <c r="M189" s="96">
        <f t="shared" si="70"/>
        <v>60000</v>
      </c>
      <c r="N189" s="108" t="s">
        <v>381</v>
      </c>
      <c r="O189" s="109">
        <v>58300</v>
      </c>
      <c r="P189" s="110"/>
      <c r="Q189" s="110">
        <f t="shared" si="61"/>
        <v>58300</v>
      </c>
      <c r="R189" s="110">
        <f t="shared" si="71"/>
        <v>58300</v>
      </c>
      <c r="S189" s="110">
        <f t="shared" si="72"/>
        <v>58300</v>
      </c>
      <c r="T189" s="97" t="s">
        <v>382</v>
      </c>
      <c r="U189" s="98">
        <v>60000</v>
      </c>
      <c r="V189" s="99"/>
      <c r="W189" s="99">
        <f t="shared" si="62"/>
        <v>60000</v>
      </c>
      <c r="X189" s="99">
        <f t="shared" si="73"/>
        <v>60000</v>
      </c>
      <c r="Y189" s="99">
        <f t="shared" si="74"/>
        <v>60000</v>
      </c>
      <c r="Z189" s="100">
        <f t="shared" si="67"/>
        <v>59433.333333333336</v>
      </c>
      <c r="AA189" s="100">
        <f t="shared" si="75"/>
        <v>59433.333333333336</v>
      </c>
      <c r="AB189" s="78">
        <f t="shared" si="68"/>
        <v>981.4954576223638</v>
      </c>
      <c r="AC189" s="102">
        <f t="shared" si="56"/>
        <v>1.6514225310527712E-2</v>
      </c>
      <c r="AD189" s="5"/>
      <c r="AF189" s="7" t="s">
        <v>570</v>
      </c>
      <c r="AG189" s="7">
        <v>71</v>
      </c>
      <c r="AH189" s="7" t="s">
        <v>777</v>
      </c>
      <c r="BG189" s="7">
        <v>60</v>
      </c>
      <c r="DA189" s="7" t="e">
        <f>VLOOKUP(C189,listaBolsa!$D$2:$BA$248,1,0)</f>
        <v>#N/A</v>
      </c>
      <c r="DB189" s="7" t="e">
        <f>VLOOKUP(C189,listaBolsa!$D$2:$BA$248,2,0)</f>
        <v>#N/A</v>
      </c>
      <c r="DC189" s="7" t="e">
        <f>VLOOKUP(C189,listaBolsa!$D$2:$BA$248,10,0)</f>
        <v>#N/A</v>
      </c>
      <c r="DD189" s="7" t="e">
        <f>VLOOKUP(C189,listaBolsa!$D$2:$BA$248,14,0)</f>
        <v>#N/A</v>
      </c>
      <c r="DE189" s="7" t="e">
        <f>VLOOKUP(C189,listaBolsa!$D$2:$BA$248,23,0)</f>
        <v>#N/A</v>
      </c>
      <c r="DF189" s="7" t="e">
        <f>VLOOKUP(C189,listaBolsa!$D$2:$BA$248,29,0)</f>
        <v>#N/A</v>
      </c>
      <c r="DG189" s="7" t="e">
        <f>VLOOKUP(C189,listaBolsa!$D$2:$BA$248,36,0)</f>
        <v>#N/A</v>
      </c>
      <c r="DH189" s="7" t="e">
        <f>VLOOKUP(C189,listaBolsa!$D$2:$BA$248,40,0)</f>
        <v>#N/A</v>
      </c>
      <c r="DI189" s="7" t="e">
        <f>VLOOKUP(C189,listaBolsa!$D$2:$BA$248,48,0)</f>
        <v>#N/A</v>
      </c>
      <c r="DJ189" s="7" t="e">
        <f t="shared" si="76"/>
        <v>#N/A</v>
      </c>
      <c r="DK189" s="7" t="e">
        <f t="shared" si="76"/>
        <v>#N/A</v>
      </c>
      <c r="DL189" s="7" t="e">
        <f t="shared" si="57"/>
        <v>#N/A</v>
      </c>
      <c r="DM189" s="7" t="e">
        <f t="shared" si="57"/>
        <v>#N/A</v>
      </c>
      <c r="DN189" s="7" t="e">
        <f t="shared" si="58"/>
        <v>#N/A</v>
      </c>
      <c r="DO189" s="7" t="e">
        <f t="shared" si="58"/>
        <v>#N/A</v>
      </c>
      <c r="DP189" s="7" t="e">
        <f t="shared" si="59"/>
        <v>#N/A</v>
      </c>
      <c r="DQ189" s="7" t="e">
        <f t="shared" si="59"/>
        <v>#N/A</v>
      </c>
      <c r="DR189" s="7" t="e">
        <f t="shared" si="63"/>
        <v>#N/A</v>
      </c>
    </row>
    <row r="190" spans="1:122" s="7" customFormat="1" ht="42" customHeight="1">
      <c r="A190" s="75">
        <f t="shared" si="77"/>
        <v>176</v>
      </c>
      <c r="B190" s="538" t="s">
        <v>579</v>
      </c>
      <c r="C190" s="351" t="s">
        <v>778</v>
      </c>
      <c r="D190" s="351" t="s">
        <v>779</v>
      </c>
      <c r="E190" s="193" t="s">
        <v>568</v>
      </c>
      <c r="F190" s="75">
        <v>1</v>
      </c>
      <c r="G190" s="75" t="s">
        <v>192</v>
      </c>
      <c r="H190" s="106" t="s">
        <v>380</v>
      </c>
      <c r="I190" s="107">
        <v>38000</v>
      </c>
      <c r="J190" s="96">
        <f t="shared" si="64"/>
        <v>7220</v>
      </c>
      <c r="K190" s="96">
        <f t="shared" si="60"/>
        <v>45220</v>
      </c>
      <c r="L190" s="96">
        <f t="shared" si="69"/>
        <v>38000</v>
      </c>
      <c r="M190" s="96">
        <f t="shared" si="70"/>
        <v>45220</v>
      </c>
      <c r="N190" s="108" t="s">
        <v>381</v>
      </c>
      <c r="O190" s="109">
        <v>36000</v>
      </c>
      <c r="P190" s="110">
        <f t="shared" si="65"/>
        <v>6840</v>
      </c>
      <c r="Q190" s="110">
        <f t="shared" si="61"/>
        <v>42840</v>
      </c>
      <c r="R190" s="110">
        <f t="shared" si="71"/>
        <v>36000</v>
      </c>
      <c r="S190" s="110">
        <f t="shared" si="72"/>
        <v>42840</v>
      </c>
      <c r="T190" s="97" t="s">
        <v>382</v>
      </c>
      <c r="U190" s="98">
        <v>32000</v>
      </c>
      <c r="V190" s="99">
        <f t="shared" si="66"/>
        <v>6080</v>
      </c>
      <c r="W190" s="99">
        <f t="shared" si="62"/>
        <v>38080</v>
      </c>
      <c r="X190" s="99">
        <f t="shared" si="73"/>
        <v>32000</v>
      </c>
      <c r="Y190" s="99">
        <f t="shared" si="74"/>
        <v>38080</v>
      </c>
      <c r="Z190" s="100">
        <f t="shared" si="67"/>
        <v>42046.666666666664</v>
      </c>
      <c r="AA190" s="100">
        <f t="shared" si="75"/>
        <v>42046.666666666664</v>
      </c>
      <c r="AB190" s="78">
        <f t="shared" si="68"/>
        <v>3635.5100513316329</v>
      </c>
      <c r="AC190" s="102">
        <f t="shared" si="56"/>
        <v>8.6463692357657357E-2</v>
      </c>
      <c r="AD190" s="5"/>
      <c r="AF190" s="7" t="s">
        <v>570</v>
      </c>
      <c r="AG190" s="7">
        <v>72</v>
      </c>
      <c r="AH190" s="7" t="s">
        <v>780</v>
      </c>
      <c r="BG190" s="7">
        <v>61</v>
      </c>
      <c r="DA190" s="7" t="e">
        <f>VLOOKUP(C190,listaBolsa!$D$2:$BA$248,1,0)</f>
        <v>#N/A</v>
      </c>
      <c r="DB190" s="7" t="e">
        <f>VLOOKUP(C190,listaBolsa!$D$2:$BA$248,2,0)</f>
        <v>#N/A</v>
      </c>
      <c r="DC190" s="7" t="e">
        <f>VLOOKUP(C190,listaBolsa!$D$2:$BA$248,10,0)</f>
        <v>#N/A</v>
      </c>
      <c r="DD190" s="7" t="e">
        <f>VLOOKUP(C190,listaBolsa!$D$2:$BA$248,14,0)</f>
        <v>#N/A</v>
      </c>
      <c r="DE190" s="7" t="e">
        <f>VLOOKUP(C190,listaBolsa!$D$2:$BA$248,23,0)</f>
        <v>#N/A</v>
      </c>
      <c r="DF190" s="7" t="e">
        <f>VLOOKUP(C190,listaBolsa!$D$2:$BA$248,29,0)</f>
        <v>#N/A</v>
      </c>
      <c r="DG190" s="7" t="e">
        <f>VLOOKUP(C190,listaBolsa!$D$2:$BA$248,36,0)</f>
        <v>#N/A</v>
      </c>
      <c r="DH190" s="7" t="e">
        <f>VLOOKUP(C190,listaBolsa!$D$2:$BA$248,40,0)</f>
        <v>#N/A</v>
      </c>
      <c r="DI190" s="7" t="e">
        <f>VLOOKUP(C190,listaBolsa!$D$2:$BA$248,48,0)</f>
        <v>#N/A</v>
      </c>
      <c r="DJ190" s="7" t="e">
        <f t="shared" ref="DJ190:DK209" si="78">DA190=C190</f>
        <v>#N/A</v>
      </c>
      <c r="DK190" s="7" t="e">
        <f t="shared" si="78"/>
        <v>#N/A</v>
      </c>
      <c r="DL190" s="7" t="e">
        <f t="shared" si="57"/>
        <v>#N/A</v>
      </c>
      <c r="DM190" s="7" t="e">
        <f t="shared" si="57"/>
        <v>#N/A</v>
      </c>
      <c r="DN190" s="7" t="e">
        <f t="shared" si="58"/>
        <v>#N/A</v>
      </c>
      <c r="DO190" s="7" t="e">
        <f t="shared" si="58"/>
        <v>#N/A</v>
      </c>
      <c r="DP190" s="7" t="e">
        <f t="shared" si="59"/>
        <v>#N/A</v>
      </c>
      <c r="DQ190" s="7" t="e">
        <f t="shared" si="59"/>
        <v>#N/A</v>
      </c>
      <c r="DR190" s="7" t="e">
        <f t="shared" si="63"/>
        <v>#N/A</v>
      </c>
    </row>
    <row r="191" spans="1:122" s="7" customFormat="1" ht="42" customHeight="1">
      <c r="A191" s="75">
        <f t="shared" si="77"/>
        <v>177</v>
      </c>
      <c r="B191" s="538" t="s">
        <v>579</v>
      </c>
      <c r="C191" s="351" t="s">
        <v>781</v>
      </c>
      <c r="D191" s="351" t="s">
        <v>782</v>
      </c>
      <c r="E191" s="193" t="s">
        <v>568</v>
      </c>
      <c r="F191" s="75">
        <v>1</v>
      </c>
      <c r="G191" s="75" t="s">
        <v>192</v>
      </c>
      <c r="H191" s="106" t="s">
        <v>380</v>
      </c>
      <c r="I191" s="107">
        <v>39000</v>
      </c>
      <c r="J191" s="96">
        <f t="shared" si="64"/>
        <v>7410</v>
      </c>
      <c r="K191" s="96">
        <f t="shared" si="60"/>
        <v>46410</v>
      </c>
      <c r="L191" s="96">
        <f t="shared" si="69"/>
        <v>39000</v>
      </c>
      <c r="M191" s="96">
        <f t="shared" si="70"/>
        <v>46410</v>
      </c>
      <c r="N191" s="108" t="s">
        <v>381</v>
      </c>
      <c r="O191" s="109">
        <v>38000</v>
      </c>
      <c r="P191" s="110">
        <f t="shared" si="65"/>
        <v>7220</v>
      </c>
      <c r="Q191" s="110">
        <f t="shared" si="61"/>
        <v>45220</v>
      </c>
      <c r="R191" s="110">
        <f t="shared" si="71"/>
        <v>38000</v>
      </c>
      <c r="S191" s="110">
        <f t="shared" si="72"/>
        <v>45220</v>
      </c>
      <c r="T191" s="97" t="s">
        <v>382</v>
      </c>
      <c r="U191" s="98">
        <v>35000</v>
      </c>
      <c r="V191" s="99">
        <f t="shared" si="66"/>
        <v>6650</v>
      </c>
      <c r="W191" s="99">
        <f t="shared" si="62"/>
        <v>41650</v>
      </c>
      <c r="X191" s="99">
        <f t="shared" si="73"/>
        <v>35000</v>
      </c>
      <c r="Y191" s="99">
        <f t="shared" si="74"/>
        <v>41650</v>
      </c>
      <c r="Z191" s="100">
        <f t="shared" si="67"/>
        <v>44426.666666666664</v>
      </c>
      <c r="AA191" s="100">
        <f t="shared" si="75"/>
        <v>44426.666666666664</v>
      </c>
      <c r="AB191" s="78">
        <f t="shared" si="68"/>
        <v>2477.1825393646977</v>
      </c>
      <c r="AC191" s="102">
        <f t="shared" si="56"/>
        <v>5.5758910699985696E-2</v>
      </c>
      <c r="AD191" s="5"/>
      <c r="AF191" s="7" t="s">
        <v>570</v>
      </c>
      <c r="AG191" s="7">
        <v>73</v>
      </c>
      <c r="AH191" s="7" t="s">
        <v>783</v>
      </c>
      <c r="BG191" s="7">
        <v>62</v>
      </c>
      <c r="DA191" s="7" t="e">
        <f>VLOOKUP(C191,listaBolsa!$D$2:$BA$248,1,0)</f>
        <v>#N/A</v>
      </c>
      <c r="DB191" s="7" t="e">
        <f>VLOOKUP(C191,listaBolsa!$D$2:$BA$248,2,0)</f>
        <v>#N/A</v>
      </c>
      <c r="DC191" s="7" t="e">
        <f>VLOOKUP(C191,listaBolsa!$D$2:$BA$248,10,0)</f>
        <v>#N/A</v>
      </c>
      <c r="DD191" s="7" t="e">
        <f>VLOOKUP(C191,listaBolsa!$D$2:$BA$248,14,0)</f>
        <v>#N/A</v>
      </c>
      <c r="DE191" s="7" t="e">
        <f>VLOOKUP(C191,listaBolsa!$D$2:$BA$248,23,0)</f>
        <v>#N/A</v>
      </c>
      <c r="DF191" s="7" t="e">
        <f>VLOOKUP(C191,listaBolsa!$D$2:$BA$248,29,0)</f>
        <v>#N/A</v>
      </c>
      <c r="DG191" s="7" t="e">
        <f>VLOOKUP(C191,listaBolsa!$D$2:$BA$248,36,0)</f>
        <v>#N/A</v>
      </c>
      <c r="DH191" s="7" t="e">
        <f>VLOOKUP(C191,listaBolsa!$D$2:$BA$248,40,0)</f>
        <v>#N/A</v>
      </c>
      <c r="DI191" s="7" t="e">
        <f>VLOOKUP(C191,listaBolsa!$D$2:$BA$248,48,0)</f>
        <v>#N/A</v>
      </c>
      <c r="DJ191" s="7" t="e">
        <f t="shared" si="78"/>
        <v>#N/A</v>
      </c>
      <c r="DK191" s="7" t="e">
        <f t="shared" si="78"/>
        <v>#N/A</v>
      </c>
      <c r="DL191" s="7" t="e">
        <f t="shared" si="57"/>
        <v>#N/A</v>
      </c>
      <c r="DM191" s="7" t="e">
        <f t="shared" si="57"/>
        <v>#N/A</v>
      </c>
      <c r="DN191" s="7" t="e">
        <f t="shared" si="58"/>
        <v>#N/A</v>
      </c>
      <c r="DO191" s="7" t="e">
        <f t="shared" si="58"/>
        <v>#N/A</v>
      </c>
      <c r="DP191" s="7" t="e">
        <f t="shared" si="59"/>
        <v>#N/A</v>
      </c>
      <c r="DQ191" s="7" t="e">
        <f t="shared" si="59"/>
        <v>#N/A</v>
      </c>
      <c r="DR191" s="7" t="e">
        <f t="shared" si="63"/>
        <v>#N/A</v>
      </c>
    </row>
    <row r="192" spans="1:122" s="7" customFormat="1" ht="42" customHeight="1">
      <c r="A192" s="75">
        <f t="shared" si="77"/>
        <v>178</v>
      </c>
      <c r="B192" s="538" t="s">
        <v>579</v>
      </c>
      <c r="C192" s="351" t="s">
        <v>784</v>
      </c>
      <c r="D192" s="351" t="s">
        <v>785</v>
      </c>
      <c r="E192" s="193" t="s">
        <v>568</v>
      </c>
      <c r="F192" s="75">
        <v>1</v>
      </c>
      <c r="G192" s="75" t="s">
        <v>192</v>
      </c>
      <c r="H192" s="106" t="s">
        <v>380</v>
      </c>
      <c r="I192" s="107">
        <v>46000</v>
      </c>
      <c r="J192" s="96">
        <f t="shared" si="64"/>
        <v>8740</v>
      </c>
      <c r="K192" s="96">
        <f t="shared" si="60"/>
        <v>54740</v>
      </c>
      <c r="L192" s="96">
        <f t="shared" si="69"/>
        <v>46000</v>
      </c>
      <c r="M192" s="96">
        <f t="shared" si="70"/>
        <v>54740</v>
      </c>
      <c r="N192" s="108" t="s">
        <v>381</v>
      </c>
      <c r="O192" s="109">
        <v>45000</v>
      </c>
      <c r="P192" s="110">
        <f t="shared" si="65"/>
        <v>8550</v>
      </c>
      <c r="Q192" s="110">
        <f t="shared" si="61"/>
        <v>53550</v>
      </c>
      <c r="R192" s="110">
        <f t="shared" si="71"/>
        <v>45000</v>
      </c>
      <c r="S192" s="110">
        <f t="shared" si="72"/>
        <v>53550</v>
      </c>
      <c r="T192" s="97" t="s">
        <v>382</v>
      </c>
      <c r="U192" s="98">
        <v>43400</v>
      </c>
      <c r="V192" s="99">
        <f t="shared" si="66"/>
        <v>8246</v>
      </c>
      <c r="W192" s="99">
        <f t="shared" si="62"/>
        <v>51646</v>
      </c>
      <c r="X192" s="99">
        <f t="shared" si="73"/>
        <v>43400</v>
      </c>
      <c r="Y192" s="99">
        <f t="shared" si="74"/>
        <v>51646</v>
      </c>
      <c r="Z192" s="100">
        <f t="shared" si="67"/>
        <v>53312</v>
      </c>
      <c r="AA192" s="100">
        <f t="shared" si="75"/>
        <v>53312</v>
      </c>
      <c r="AB192" s="78">
        <f t="shared" si="68"/>
        <v>1560.6703687838763</v>
      </c>
      <c r="AC192" s="102">
        <f t="shared" si="56"/>
        <v>2.927427912634822E-2</v>
      </c>
      <c r="AD192" s="5"/>
      <c r="AF192" s="7" t="s">
        <v>570</v>
      </c>
      <c r="AG192" s="7">
        <v>74</v>
      </c>
      <c r="AH192" s="7" t="s">
        <v>786</v>
      </c>
      <c r="BG192" s="7">
        <v>63</v>
      </c>
      <c r="DA192" s="7" t="e">
        <f>VLOOKUP(C192,listaBolsa!$D$2:$BA$248,1,0)</f>
        <v>#N/A</v>
      </c>
      <c r="DB192" s="7" t="e">
        <f>VLOOKUP(C192,listaBolsa!$D$2:$BA$248,2,0)</f>
        <v>#N/A</v>
      </c>
      <c r="DC192" s="7" t="e">
        <f>VLOOKUP(C192,listaBolsa!$D$2:$BA$248,10,0)</f>
        <v>#N/A</v>
      </c>
      <c r="DD192" s="7" t="e">
        <f>VLOOKUP(C192,listaBolsa!$D$2:$BA$248,14,0)</f>
        <v>#N/A</v>
      </c>
      <c r="DE192" s="7" t="e">
        <f>VLOOKUP(C192,listaBolsa!$D$2:$BA$248,23,0)</f>
        <v>#N/A</v>
      </c>
      <c r="DF192" s="7" t="e">
        <f>VLOOKUP(C192,listaBolsa!$D$2:$BA$248,29,0)</f>
        <v>#N/A</v>
      </c>
      <c r="DG192" s="7" t="e">
        <f>VLOOKUP(C192,listaBolsa!$D$2:$BA$248,36,0)</f>
        <v>#N/A</v>
      </c>
      <c r="DH192" s="7" t="e">
        <f>VLOOKUP(C192,listaBolsa!$D$2:$BA$248,40,0)</f>
        <v>#N/A</v>
      </c>
      <c r="DI192" s="7" t="e">
        <f>VLOOKUP(C192,listaBolsa!$D$2:$BA$248,48,0)</f>
        <v>#N/A</v>
      </c>
      <c r="DJ192" s="7" t="e">
        <f t="shared" si="78"/>
        <v>#N/A</v>
      </c>
      <c r="DK192" s="7" t="e">
        <f t="shared" si="78"/>
        <v>#N/A</v>
      </c>
      <c r="DL192" s="7" t="e">
        <f t="shared" si="57"/>
        <v>#N/A</v>
      </c>
      <c r="DM192" s="7" t="e">
        <f t="shared" si="57"/>
        <v>#N/A</v>
      </c>
      <c r="DN192" s="7" t="e">
        <f t="shared" si="58"/>
        <v>#N/A</v>
      </c>
      <c r="DO192" s="7" t="e">
        <f t="shared" si="58"/>
        <v>#N/A</v>
      </c>
      <c r="DP192" s="7" t="e">
        <f t="shared" si="59"/>
        <v>#N/A</v>
      </c>
      <c r="DQ192" s="7" t="e">
        <f t="shared" si="59"/>
        <v>#N/A</v>
      </c>
      <c r="DR192" s="7" t="e">
        <f t="shared" si="63"/>
        <v>#N/A</v>
      </c>
    </row>
    <row r="193" spans="1:122" s="7" customFormat="1" ht="42" customHeight="1">
      <c r="A193" s="75">
        <f t="shared" si="77"/>
        <v>179</v>
      </c>
      <c r="B193" s="538" t="s">
        <v>579</v>
      </c>
      <c r="C193" s="351" t="s">
        <v>787</v>
      </c>
      <c r="D193" s="351" t="s">
        <v>788</v>
      </c>
      <c r="E193" s="193" t="s">
        <v>568</v>
      </c>
      <c r="F193" s="75">
        <v>1</v>
      </c>
      <c r="G193" s="75" t="s">
        <v>192</v>
      </c>
      <c r="H193" s="106" t="s">
        <v>380</v>
      </c>
      <c r="I193" s="107">
        <v>148000</v>
      </c>
      <c r="J193" s="96">
        <f t="shared" si="64"/>
        <v>28120</v>
      </c>
      <c r="K193" s="96">
        <f t="shared" si="60"/>
        <v>176120</v>
      </c>
      <c r="L193" s="96">
        <f t="shared" si="69"/>
        <v>148000</v>
      </c>
      <c r="M193" s="96">
        <f t="shared" si="70"/>
        <v>176120</v>
      </c>
      <c r="N193" s="108" t="s">
        <v>381</v>
      </c>
      <c r="O193" s="109">
        <v>150000</v>
      </c>
      <c r="P193" s="110">
        <f t="shared" si="65"/>
        <v>28500</v>
      </c>
      <c r="Q193" s="110">
        <f t="shared" si="61"/>
        <v>178500</v>
      </c>
      <c r="R193" s="110">
        <f t="shared" si="71"/>
        <v>150000</v>
      </c>
      <c r="S193" s="110">
        <f t="shared" si="72"/>
        <v>178500</v>
      </c>
      <c r="T193" s="97" t="s">
        <v>382</v>
      </c>
      <c r="U193" s="98">
        <v>138600</v>
      </c>
      <c r="V193" s="99">
        <f t="shared" si="66"/>
        <v>26334</v>
      </c>
      <c r="W193" s="99">
        <f t="shared" si="62"/>
        <v>164934</v>
      </c>
      <c r="X193" s="99">
        <f t="shared" si="73"/>
        <v>138600</v>
      </c>
      <c r="Y193" s="99">
        <f t="shared" si="74"/>
        <v>164934</v>
      </c>
      <c r="Z193" s="100">
        <f t="shared" si="67"/>
        <v>173184.66666666666</v>
      </c>
      <c r="AA193" s="100">
        <f t="shared" si="75"/>
        <v>173184.66666666666</v>
      </c>
      <c r="AB193" s="78">
        <f t="shared" si="68"/>
        <v>7243.7024602984166</v>
      </c>
      <c r="AC193" s="102">
        <f t="shared" si="56"/>
        <v>4.1826465354698937E-2</v>
      </c>
      <c r="AD193" s="5"/>
      <c r="AF193" s="7" t="s">
        <v>570</v>
      </c>
      <c r="AG193" s="7">
        <v>75</v>
      </c>
      <c r="AH193" s="7" t="s">
        <v>789</v>
      </c>
      <c r="BG193" s="7">
        <v>64</v>
      </c>
      <c r="DA193" s="7" t="e">
        <f>VLOOKUP(C193,listaBolsa!$D$2:$BA$248,1,0)</f>
        <v>#N/A</v>
      </c>
      <c r="DB193" s="7" t="e">
        <f>VLOOKUP(C193,listaBolsa!$D$2:$BA$248,2,0)</f>
        <v>#N/A</v>
      </c>
      <c r="DC193" s="7" t="e">
        <f>VLOOKUP(C193,listaBolsa!$D$2:$BA$248,10,0)</f>
        <v>#N/A</v>
      </c>
      <c r="DD193" s="7" t="e">
        <f>VLOOKUP(C193,listaBolsa!$D$2:$BA$248,14,0)</f>
        <v>#N/A</v>
      </c>
      <c r="DE193" s="7" t="e">
        <f>VLOOKUP(C193,listaBolsa!$D$2:$BA$248,23,0)</f>
        <v>#N/A</v>
      </c>
      <c r="DF193" s="7" t="e">
        <f>VLOOKUP(C193,listaBolsa!$D$2:$BA$248,29,0)</f>
        <v>#N/A</v>
      </c>
      <c r="DG193" s="7" t="e">
        <f>VLOOKUP(C193,listaBolsa!$D$2:$BA$248,36,0)</f>
        <v>#N/A</v>
      </c>
      <c r="DH193" s="7" t="e">
        <f>VLOOKUP(C193,listaBolsa!$D$2:$BA$248,40,0)</f>
        <v>#N/A</v>
      </c>
      <c r="DI193" s="7" t="e">
        <f>VLOOKUP(C193,listaBolsa!$D$2:$BA$248,48,0)</f>
        <v>#N/A</v>
      </c>
      <c r="DJ193" s="7" t="e">
        <f t="shared" si="78"/>
        <v>#N/A</v>
      </c>
      <c r="DK193" s="7" t="e">
        <f t="shared" si="78"/>
        <v>#N/A</v>
      </c>
      <c r="DL193" s="7" t="e">
        <f t="shared" si="57"/>
        <v>#N/A</v>
      </c>
      <c r="DM193" s="7" t="e">
        <f t="shared" si="57"/>
        <v>#N/A</v>
      </c>
      <c r="DN193" s="7" t="e">
        <f t="shared" si="58"/>
        <v>#N/A</v>
      </c>
      <c r="DO193" s="7" t="e">
        <f t="shared" si="58"/>
        <v>#N/A</v>
      </c>
      <c r="DP193" s="7" t="e">
        <f t="shared" si="59"/>
        <v>#N/A</v>
      </c>
      <c r="DQ193" s="7" t="e">
        <f t="shared" si="59"/>
        <v>#N/A</v>
      </c>
      <c r="DR193" s="7" t="e">
        <f t="shared" si="63"/>
        <v>#N/A</v>
      </c>
    </row>
    <row r="194" spans="1:122" s="7" customFormat="1" ht="42" customHeight="1">
      <c r="A194" s="75">
        <f t="shared" si="77"/>
        <v>180</v>
      </c>
      <c r="B194" s="538" t="s">
        <v>579</v>
      </c>
      <c r="C194" s="351" t="s">
        <v>790</v>
      </c>
      <c r="D194" s="351" t="s">
        <v>782</v>
      </c>
      <c r="E194" s="193" t="s">
        <v>568</v>
      </c>
      <c r="F194" s="75">
        <v>1</v>
      </c>
      <c r="G194" s="75" t="s">
        <v>192</v>
      </c>
      <c r="H194" s="106" t="s">
        <v>380</v>
      </c>
      <c r="I194" s="107">
        <v>37000</v>
      </c>
      <c r="J194" s="96">
        <f t="shared" si="64"/>
        <v>7030</v>
      </c>
      <c r="K194" s="96">
        <f t="shared" si="60"/>
        <v>44030</v>
      </c>
      <c r="L194" s="96">
        <f t="shared" si="69"/>
        <v>37000</v>
      </c>
      <c r="M194" s="96">
        <f t="shared" si="70"/>
        <v>44030</v>
      </c>
      <c r="N194" s="108" t="s">
        <v>381</v>
      </c>
      <c r="O194" s="109">
        <v>35000</v>
      </c>
      <c r="P194" s="110">
        <f t="shared" si="65"/>
        <v>6650</v>
      </c>
      <c r="Q194" s="110">
        <f t="shared" si="61"/>
        <v>41650</v>
      </c>
      <c r="R194" s="110">
        <f t="shared" si="71"/>
        <v>35000</v>
      </c>
      <c r="S194" s="110">
        <f t="shared" si="72"/>
        <v>41650</v>
      </c>
      <c r="T194" s="97" t="s">
        <v>382</v>
      </c>
      <c r="U194" s="98">
        <v>33600</v>
      </c>
      <c r="V194" s="99">
        <f t="shared" si="66"/>
        <v>6384</v>
      </c>
      <c r="W194" s="99">
        <f t="shared" si="62"/>
        <v>39984</v>
      </c>
      <c r="X194" s="99">
        <f t="shared" si="73"/>
        <v>33600</v>
      </c>
      <c r="Y194" s="99">
        <f t="shared" si="74"/>
        <v>39984</v>
      </c>
      <c r="Z194" s="100">
        <f t="shared" si="67"/>
        <v>41888</v>
      </c>
      <c r="AA194" s="100">
        <f t="shared" si="75"/>
        <v>41888</v>
      </c>
      <c r="AB194" s="78">
        <f t="shared" si="68"/>
        <v>2033.4728913855724</v>
      </c>
      <c r="AC194" s="102">
        <f t="shared" ref="AC194:AC257" si="79">IF(B194="","",(AB194/AA194))</f>
        <v>4.8545475825667789E-2</v>
      </c>
      <c r="AD194" s="5"/>
      <c r="AF194" s="7" t="s">
        <v>570</v>
      </c>
      <c r="AG194" s="7">
        <v>76</v>
      </c>
      <c r="AH194" s="7" t="s">
        <v>791</v>
      </c>
      <c r="BG194" s="7">
        <v>65</v>
      </c>
      <c r="DA194" s="7" t="e">
        <f>VLOOKUP(C194,listaBolsa!$D$2:$BA$248,1,0)</f>
        <v>#N/A</v>
      </c>
      <c r="DB194" s="7" t="e">
        <f>VLOOKUP(C194,listaBolsa!$D$2:$BA$248,2,0)</f>
        <v>#N/A</v>
      </c>
      <c r="DC194" s="7" t="e">
        <f>VLOOKUP(C194,listaBolsa!$D$2:$BA$248,10,0)</f>
        <v>#N/A</v>
      </c>
      <c r="DD194" s="7" t="e">
        <f>VLOOKUP(C194,listaBolsa!$D$2:$BA$248,14,0)</f>
        <v>#N/A</v>
      </c>
      <c r="DE194" s="7" t="e">
        <f>VLOOKUP(C194,listaBolsa!$D$2:$BA$248,23,0)</f>
        <v>#N/A</v>
      </c>
      <c r="DF194" s="7" t="e">
        <f>VLOOKUP(C194,listaBolsa!$D$2:$BA$248,29,0)</f>
        <v>#N/A</v>
      </c>
      <c r="DG194" s="7" t="e">
        <f>VLOOKUP(C194,listaBolsa!$D$2:$BA$248,36,0)</f>
        <v>#N/A</v>
      </c>
      <c r="DH194" s="7" t="e">
        <f>VLOOKUP(C194,listaBolsa!$D$2:$BA$248,40,0)</f>
        <v>#N/A</v>
      </c>
      <c r="DI194" s="7" t="e">
        <f>VLOOKUP(C194,listaBolsa!$D$2:$BA$248,48,0)</f>
        <v>#N/A</v>
      </c>
      <c r="DJ194" s="7" t="e">
        <f t="shared" si="78"/>
        <v>#N/A</v>
      </c>
      <c r="DK194" s="7" t="e">
        <f t="shared" si="78"/>
        <v>#N/A</v>
      </c>
      <c r="DL194" s="7" t="e">
        <f t="shared" ref="DL194:DM257" si="80">DC194=H194</f>
        <v>#N/A</v>
      </c>
      <c r="DM194" s="7" t="e">
        <f t="shared" si="80"/>
        <v>#N/A</v>
      </c>
      <c r="DN194" s="7" t="e">
        <f t="shared" ref="DN194:DO257" si="81">DE194=N194</f>
        <v>#N/A</v>
      </c>
      <c r="DO194" s="7" t="e">
        <f t="shared" si="81"/>
        <v>#N/A</v>
      </c>
      <c r="DP194" s="7" t="e">
        <f t="shared" ref="DP194:DQ257" si="82">DG194=T194</f>
        <v>#N/A</v>
      </c>
      <c r="DQ194" s="7" t="e">
        <f t="shared" si="82"/>
        <v>#N/A</v>
      </c>
      <c r="DR194" s="7" t="e">
        <f t="shared" si="63"/>
        <v>#N/A</v>
      </c>
    </row>
    <row r="195" spans="1:122" s="7" customFormat="1" ht="42" customHeight="1">
      <c r="A195" s="75">
        <f t="shared" si="77"/>
        <v>181</v>
      </c>
      <c r="B195" s="538" t="s">
        <v>579</v>
      </c>
      <c r="C195" s="351" t="s">
        <v>792</v>
      </c>
      <c r="D195" s="351" t="s">
        <v>793</v>
      </c>
      <c r="E195" s="193" t="s">
        <v>568</v>
      </c>
      <c r="F195" s="75">
        <v>1</v>
      </c>
      <c r="G195" s="75" t="s">
        <v>192</v>
      </c>
      <c r="H195" s="106" t="s">
        <v>794</v>
      </c>
      <c r="I195" s="107">
        <v>4789.9159663865548</v>
      </c>
      <c r="J195" s="96">
        <f t="shared" si="64"/>
        <v>910.0840336134454</v>
      </c>
      <c r="K195" s="96">
        <f t="shared" si="60"/>
        <v>5700</v>
      </c>
      <c r="L195" s="96">
        <f t="shared" si="69"/>
        <v>4789.9159663865548</v>
      </c>
      <c r="M195" s="96">
        <f t="shared" si="70"/>
        <v>5700</v>
      </c>
      <c r="N195" s="108" t="s">
        <v>795</v>
      </c>
      <c r="O195" s="109">
        <v>3613.4453781512611</v>
      </c>
      <c r="P195" s="110">
        <f t="shared" si="65"/>
        <v>686.55462184873966</v>
      </c>
      <c r="Q195" s="110">
        <f t="shared" si="61"/>
        <v>4300.0000000000009</v>
      </c>
      <c r="R195" s="110">
        <f t="shared" si="71"/>
        <v>3613.4453781512611</v>
      </c>
      <c r="S195" s="110">
        <f t="shared" si="72"/>
        <v>4300.0000000000009</v>
      </c>
      <c r="T195" s="97" t="s">
        <v>796</v>
      </c>
      <c r="U195" s="98">
        <v>4033.613445378151</v>
      </c>
      <c r="V195" s="99">
        <f t="shared" si="66"/>
        <v>766.38655462184875</v>
      </c>
      <c r="W195" s="99">
        <f t="shared" si="62"/>
        <v>4800</v>
      </c>
      <c r="X195" s="99">
        <f t="shared" si="73"/>
        <v>4033.613445378151</v>
      </c>
      <c r="Y195" s="99">
        <f t="shared" si="74"/>
        <v>4800</v>
      </c>
      <c r="Z195" s="100">
        <f t="shared" si="67"/>
        <v>4933.333333333333</v>
      </c>
      <c r="AA195" s="100">
        <f t="shared" si="75"/>
        <v>4933.333333333333</v>
      </c>
      <c r="AB195" s="78">
        <f t="shared" si="68"/>
        <v>709.45988845976046</v>
      </c>
      <c r="AC195" s="102">
        <f t="shared" si="79"/>
        <v>0.14380943684995146</v>
      </c>
      <c r="AD195" s="5"/>
      <c r="AF195" s="7" t="s">
        <v>570</v>
      </c>
      <c r="AG195" s="7">
        <v>77</v>
      </c>
      <c r="AH195" s="7" t="s">
        <v>797</v>
      </c>
      <c r="BG195" s="7">
        <v>66</v>
      </c>
      <c r="DA195" s="7" t="e">
        <f>VLOOKUP(C195,listaBolsa!$D$2:$BA$248,1,0)</f>
        <v>#N/A</v>
      </c>
      <c r="DB195" s="7" t="e">
        <f>VLOOKUP(C195,listaBolsa!$D$2:$BA$248,2,0)</f>
        <v>#N/A</v>
      </c>
      <c r="DC195" s="7" t="e">
        <f>VLOOKUP(C195,listaBolsa!$D$2:$BA$248,10,0)</f>
        <v>#N/A</v>
      </c>
      <c r="DD195" s="7" t="e">
        <f>VLOOKUP(C195,listaBolsa!$D$2:$BA$248,14,0)</f>
        <v>#N/A</v>
      </c>
      <c r="DE195" s="7" t="e">
        <f>VLOOKUP(C195,listaBolsa!$D$2:$BA$248,23,0)</f>
        <v>#N/A</v>
      </c>
      <c r="DF195" s="7" t="e">
        <f>VLOOKUP(C195,listaBolsa!$D$2:$BA$248,29,0)</f>
        <v>#N/A</v>
      </c>
      <c r="DG195" s="7" t="e">
        <f>VLOOKUP(C195,listaBolsa!$D$2:$BA$248,36,0)</f>
        <v>#N/A</v>
      </c>
      <c r="DH195" s="7" t="e">
        <f>VLOOKUP(C195,listaBolsa!$D$2:$BA$248,40,0)</f>
        <v>#N/A</v>
      </c>
      <c r="DI195" s="7" t="e">
        <f>VLOOKUP(C195,listaBolsa!$D$2:$BA$248,48,0)</f>
        <v>#N/A</v>
      </c>
      <c r="DJ195" s="7" t="e">
        <f t="shared" si="78"/>
        <v>#N/A</v>
      </c>
      <c r="DK195" s="7" t="e">
        <f t="shared" si="78"/>
        <v>#N/A</v>
      </c>
      <c r="DL195" s="7" t="e">
        <f t="shared" si="80"/>
        <v>#N/A</v>
      </c>
      <c r="DM195" s="7" t="e">
        <f t="shared" si="80"/>
        <v>#N/A</v>
      </c>
      <c r="DN195" s="7" t="e">
        <f t="shared" si="81"/>
        <v>#N/A</v>
      </c>
      <c r="DO195" s="7" t="e">
        <f t="shared" si="81"/>
        <v>#N/A</v>
      </c>
      <c r="DP195" s="7" t="e">
        <f t="shared" si="82"/>
        <v>#N/A</v>
      </c>
      <c r="DQ195" s="7" t="e">
        <f t="shared" si="82"/>
        <v>#N/A</v>
      </c>
      <c r="DR195" s="7" t="e">
        <f t="shared" si="63"/>
        <v>#N/A</v>
      </c>
    </row>
    <row r="196" spans="1:122" s="7" customFormat="1" ht="42" customHeight="1">
      <c r="A196" s="75">
        <f t="shared" si="77"/>
        <v>182</v>
      </c>
      <c r="B196" s="538" t="s">
        <v>579</v>
      </c>
      <c r="C196" s="351" t="s">
        <v>798</v>
      </c>
      <c r="D196" s="351" t="s">
        <v>799</v>
      </c>
      <c r="E196" s="193" t="s">
        <v>568</v>
      </c>
      <c r="F196" s="75">
        <v>1</v>
      </c>
      <c r="G196" s="75" t="s">
        <v>192</v>
      </c>
      <c r="H196" s="106" t="s">
        <v>380</v>
      </c>
      <c r="I196" s="107">
        <v>138000</v>
      </c>
      <c r="J196" s="96">
        <f t="shared" si="64"/>
        <v>26220</v>
      </c>
      <c r="K196" s="96">
        <f t="shared" si="60"/>
        <v>164220</v>
      </c>
      <c r="L196" s="96">
        <f t="shared" si="69"/>
        <v>138000</v>
      </c>
      <c r="M196" s="96">
        <f t="shared" si="70"/>
        <v>164220</v>
      </c>
      <c r="N196" s="108" t="s">
        <v>381</v>
      </c>
      <c r="O196" s="109">
        <v>136000</v>
      </c>
      <c r="P196" s="110">
        <f t="shared" si="65"/>
        <v>25840</v>
      </c>
      <c r="Q196" s="110">
        <f t="shared" si="61"/>
        <v>161840</v>
      </c>
      <c r="R196" s="110">
        <f t="shared" si="71"/>
        <v>136000</v>
      </c>
      <c r="S196" s="110">
        <f t="shared" si="72"/>
        <v>161840</v>
      </c>
      <c r="T196" s="97" t="s">
        <v>382</v>
      </c>
      <c r="U196" s="98">
        <v>117600</v>
      </c>
      <c r="V196" s="99">
        <f t="shared" si="66"/>
        <v>22344</v>
      </c>
      <c r="W196" s="99">
        <f t="shared" si="62"/>
        <v>139944</v>
      </c>
      <c r="X196" s="99">
        <f t="shared" si="73"/>
        <v>117600</v>
      </c>
      <c r="Y196" s="99">
        <f t="shared" si="74"/>
        <v>139944</v>
      </c>
      <c r="Z196" s="100">
        <f t="shared" si="67"/>
        <v>155334.66666666666</v>
      </c>
      <c r="AA196" s="100">
        <f t="shared" si="75"/>
        <v>155334.66666666666</v>
      </c>
      <c r="AB196" s="78">
        <f t="shared" si="68"/>
        <v>13381.725050729943</v>
      </c>
      <c r="AC196" s="102">
        <f t="shared" si="79"/>
        <v>8.6147705067316657E-2</v>
      </c>
      <c r="AD196" s="5"/>
      <c r="AF196" s="7" t="s">
        <v>570</v>
      </c>
      <c r="AG196" s="7">
        <v>78</v>
      </c>
      <c r="AH196" s="7" t="s">
        <v>800</v>
      </c>
      <c r="BG196" s="7">
        <v>67</v>
      </c>
      <c r="DA196" s="7" t="e">
        <f>VLOOKUP(C196,listaBolsa!$D$2:$BA$248,1,0)</f>
        <v>#N/A</v>
      </c>
      <c r="DB196" s="7" t="e">
        <f>VLOOKUP(C196,listaBolsa!$D$2:$BA$248,2,0)</f>
        <v>#N/A</v>
      </c>
      <c r="DC196" s="7" t="e">
        <f>VLOOKUP(C196,listaBolsa!$D$2:$BA$248,10,0)</f>
        <v>#N/A</v>
      </c>
      <c r="DD196" s="7" t="e">
        <f>VLOOKUP(C196,listaBolsa!$D$2:$BA$248,14,0)</f>
        <v>#N/A</v>
      </c>
      <c r="DE196" s="7" t="e">
        <f>VLOOKUP(C196,listaBolsa!$D$2:$BA$248,23,0)</f>
        <v>#N/A</v>
      </c>
      <c r="DF196" s="7" t="e">
        <f>VLOOKUP(C196,listaBolsa!$D$2:$BA$248,29,0)</f>
        <v>#N/A</v>
      </c>
      <c r="DG196" s="7" t="e">
        <f>VLOOKUP(C196,listaBolsa!$D$2:$BA$248,36,0)</f>
        <v>#N/A</v>
      </c>
      <c r="DH196" s="7" t="e">
        <f>VLOOKUP(C196,listaBolsa!$D$2:$BA$248,40,0)</f>
        <v>#N/A</v>
      </c>
      <c r="DI196" s="7" t="e">
        <f>VLOOKUP(C196,listaBolsa!$D$2:$BA$248,48,0)</f>
        <v>#N/A</v>
      </c>
      <c r="DJ196" s="7" t="e">
        <f t="shared" si="78"/>
        <v>#N/A</v>
      </c>
      <c r="DK196" s="7" t="e">
        <f t="shared" si="78"/>
        <v>#N/A</v>
      </c>
      <c r="DL196" s="7" t="e">
        <f t="shared" si="80"/>
        <v>#N/A</v>
      </c>
      <c r="DM196" s="7" t="e">
        <f t="shared" si="80"/>
        <v>#N/A</v>
      </c>
      <c r="DN196" s="7" t="e">
        <f t="shared" si="81"/>
        <v>#N/A</v>
      </c>
      <c r="DO196" s="7" t="e">
        <f t="shared" si="81"/>
        <v>#N/A</v>
      </c>
      <c r="DP196" s="7" t="e">
        <f t="shared" si="82"/>
        <v>#N/A</v>
      </c>
      <c r="DQ196" s="7" t="e">
        <f t="shared" si="82"/>
        <v>#N/A</v>
      </c>
      <c r="DR196" s="7" t="e">
        <f t="shared" si="63"/>
        <v>#N/A</v>
      </c>
    </row>
    <row r="197" spans="1:122" s="7" customFormat="1" ht="42" customHeight="1">
      <c r="A197" s="75">
        <f t="shared" si="77"/>
        <v>183</v>
      </c>
      <c r="B197" s="538" t="s">
        <v>579</v>
      </c>
      <c r="C197" s="351" t="s">
        <v>801</v>
      </c>
      <c r="D197" s="351" t="s">
        <v>802</v>
      </c>
      <c r="E197" s="193" t="s">
        <v>568</v>
      </c>
      <c r="F197" s="75">
        <v>1</v>
      </c>
      <c r="G197" s="75" t="s">
        <v>192</v>
      </c>
      <c r="H197" s="106" t="s">
        <v>380</v>
      </c>
      <c r="I197" s="107">
        <v>42000</v>
      </c>
      <c r="J197" s="96"/>
      <c r="K197" s="96">
        <f t="shared" si="60"/>
        <v>42000</v>
      </c>
      <c r="L197" s="96">
        <f t="shared" si="69"/>
        <v>42000</v>
      </c>
      <c r="M197" s="96">
        <f t="shared" si="70"/>
        <v>42000</v>
      </c>
      <c r="N197" s="108" t="s">
        <v>382</v>
      </c>
      <c r="O197" s="109">
        <v>30000</v>
      </c>
      <c r="P197" s="110"/>
      <c r="Q197" s="110">
        <f t="shared" si="61"/>
        <v>30000</v>
      </c>
      <c r="R197" s="110">
        <f t="shared" si="71"/>
        <v>30000</v>
      </c>
      <c r="S197" s="110">
        <f t="shared" si="72"/>
        <v>30000</v>
      </c>
      <c r="T197" s="97" t="s">
        <v>381</v>
      </c>
      <c r="U197" s="98">
        <v>40000</v>
      </c>
      <c r="V197" s="99"/>
      <c r="W197" s="99">
        <f t="shared" si="62"/>
        <v>40000</v>
      </c>
      <c r="X197" s="99">
        <f t="shared" si="73"/>
        <v>40000</v>
      </c>
      <c r="Y197" s="99">
        <f t="shared" si="74"/>
        <v>40000</v>
      </c>
      <c r="Z197" s="100">
        <f t="shared" si="67"/>
        <v>37333.333333333336</v>
      </c>
      <c r="AA197" s="100">
        <f t="shared" si="75"/>
        <v>37333.333333333336</v>
      </c>
      <c r="AB197" s="78">
        <f t="shared" si="68"/>
        <v>6429.1005073286306</v>
      </c>
      <c r="AC197" s="102">
        <f t="shared" si="79"/>
        <v>0.17220804930344544</v>
      </c>
      <c r="AD197" s="5"/>
      <c r="AF197" s="7" t="s">
        <v>570</v>
      </c>
      <c r="AG197" s="7">
        <v>79</v>
      </c>
      <c r="AH197" s="7" t="s">
        <v>803</v>
      </c>
      <c r="BG197" s="7">
        <v>68</v>
      </c>
      <c r="DA197" s="7" t="e">
        <f>VLOOKUP(C197,listaBolsa!$D$2:$BA$248,1,0)</f>
        <v>#N/A</v>
      </c>
      <c r="DB197" s="7" t="e">
        <f>VLOOKUP(C197,listaBolsa!$D$2:$BA$248,2,0)</f>
        <v>#N/A</v>
      </c>
      <c r="DC197" s="7" t="e">
        <f>VLOOKUP(C197,listaBolsa!$D$2:$BA$248,10,0)</f>
        <v>#N/A</v>
      </c>
      <c r="DD197" s="7" t="e">
        <f>VLOOKUP(C197,listaBolsa!$D$2:$BA$248,14,0)</f>
        <v>#N/A</v>
      </c>
      <c r="DE197" s="7" t="e">
        <f>VLOOKUP(C197,listaBolsa!$D$2:$BA$248,23,0)</f>
        <v>#N/A</v>
      </c>
      <c r="DF197" s="7" t="e">
        <f>VLOOKUP(C197,listaBolsa!$D$2:$BA$248,29,0)</f>
        <v>#N/A</v>
      </c>
      <c r="DG197" s="7" t="e">
        <f>VLOOKUP(C197,listaBolsa!$D$2:$BA$248,36,0)</f>
        <v>#N/A</v>
      </c>
      <c r="DH197" s="7" t="e">
        <f>VLOOKUP(C197,listaBolsa!$D$2:$BA$248,40,0)</f>
        <v>#N/A</v>
      </c>
      <c r="DI197" s="7" t="e">
        <f>VLOOKUP(C197,listaBolsa!$D$2:$BA$248,48,0)</f>
        <v>#N/A</v>
      </c>
      <c r="DJ197" s="7" t="e">
        <f t="shared" si="78"/>
        <v>#N/A</v>
      </c>
      <c r="DK197" s="7" t="e">
        <f t="shared" si="78"/>
        <v>#N/A</v>
      </c>
      <c r="DL197" s="7" t="e">
        <f t="shared" si="80"/>
        <v>#N/A</v>
      </c>
      <c r="DM197" s="7" t="e">
        <f t="shared" si="80"/>
        <v>#N/A</v>
      </c>
      <c r="DN197" s="7" t="e">
        <f t="shared" si="81"/>
        <v>#N/A</v>
      </c>
      <c r="DO197" s="7" t="e">
        <f t="shared" si="81"/>
        <v>#N/A</v>
      </c>
      <c r="DP197" s="7" t="e">
        <f t="shared" si="82"/>
        <v>#N/A</v>
      </c>
      <c r="DQ197" s="7" t="e">
        <f t="shared" si="82"/>
        <v>#N/A</v>
      </c>
      <c r="DR197" s="7" t="e">
        <f t="shared" si="63"/>
        <v>#N/A</v>
      </c>
    </row>
    <row r="198" spans="1:122" s="7" customFormat="1" ht="42" customHeight="1">
      <c r="A198" s="75">
        <f t="shared" si="77"/>
        <v>184</v>
      </c>
      <c r="B198" s="538" t="s">
        <v>579</v>
      </c>
      <c r="C198" s="351" t="s">
        <v>804</v>
      </c>
      <c r="D198" s="351" t="s">
        <v>805</v>
      </c>
      <c r="E198" s="193" t="s">
        <v>568</v>
      </c>
      <c r="F198" s="75">
        <v>1</v>
      </c>
      <c r="G198" s="75" t="s">
        <v>192</v>
      </c>
      <c r="H198" s="106" t="s">
        <v>380</v>
      </c>
      <c r="I198" s="107">
        <v>43000</v>
      </c>
      <c r="J198" s="96"/>
      <c r="K198" s="96">
        <f t="shared" si="60"/>
        <v>43000</v>
      </c>
      <c r="L198" s="96">
        <f t="shared" si="69"/>
        <v>43000</v>
      </c>
      <c r="M198" s="96">
        <f t="shared" si="70"/>
        <v>43000</v>
      </c>
      <c r="N198" s="108" t="s">
        <v>381</v>
      </c>
      <c r="O198" s="109">
        <v>42000</v>
      </c>
      <c r="P198" s="110"/>
      <c r="Q198" s="110">
        <f t="shared" si="61"/>
        <v>42000</v>
      </c>
      <c r="R198" s="110">
        <f t="shared" si="71"/>
        <v>42000</v>
      </c>
      <c r="S198" s="110">
        <f t="shared" si="72"/>
        <v>42000</v>
      </c>
      <c r="T198" s="97" t="s">
        <v>382</v>
      </c>
      <c r="U198" s="98">
        <v>40000</v>
      </c>
      <c r="V198" s="99"/>
      <c r="W198" s="99">
        <f t="shared" si="62"/>
        <v>40000</v>
      </c>
      <c r="X198" s="99">
        <f t="shared" si="73"/>
        <v>40000</v>
      </c>
      <c r="Y198" s="99">
        <f t="shared" si="74"/>
        <v>40000</v>
      </c>
      <c r="Z198" s="100">
        <f t="shared" si="67"/>
        <v>41666.666666666664</v>
      </c>
      <c r="AA198" s="100">
        <f t="shared" si="75"/>
        <v>41666.666666666664</v>
      </c>
      <c r="AB198" s="78">
        <f t="shared" si="68"/>
        <v>1527.5252316519466</v>
      </c>
      <c r="AC198" s="102">
        <f t="shared" si="79"/>
        <v>3.6660605559646717E-2</v>
      </c>
      <c r="AD198" s="5"/>
      <c r="AF198" s="7" t="s">
        <v>570</v>
      </c>
      <c r="AG198" s="7">
        <v>80</v>
      </c>
      <c r="AH198" s="7" t="s">
        <v>806</v>
      </c>
      <c r="BG198" s="7">
        <v>69</v>
      </c>
      <c r="DA198" s="7" t="e">
        <f>VLOOKUP(C198,listaBolsa!$D$2:$BA$248,1,0)</f>
        <v>#N/A</v>
      </c>
      <c r="DB198" s="7" t="e">
        <f>VLOOKUP(C198,listaBolsa!$D$2:$BA$248,2,0)</f>
        <v>#N/A</v>
      </c>
      <c r="DC198" s="7" t="e">
        <f>VLOOKUP(C198,listaBolsa!$D$2:$BA$248,10,0)</f>
        <v>#N/A</v>
      </c>
      <c r="DD198" s="7" t="e">
        <f>VLOOKUP(C198,listaBolsa!$D$2:$BA$248,14,0)</f>
        <v>#N/A</v>
      </c>
      <c r="DE198" s="7" t="e">
        <f>VLOOKUP(C198,listaBolsa!$D$2:$BA$248,23,0)</f>
        <v>#N/A</v>
      </c>
      <c r="DF198" s="7" t="e">
        <f>VLOOKUP(C198,listaBolsa!$D$2:$BA$248,29,0)</f>
        <v>#N/A</v>
      </c>
      <c r="DG198" s="7" t="e">
        <f>VLOOKUP(C198,listaBolsa!$D$2:$BA$248,36,0)</f>
        <v>#N/A</v>
      </c>
      <c r="DH198" s="7" t="e">
        <f>VLOOKUP(C198,listaBolsa!$D$2:$BA$248,40,0)</f>
        <v>#N/A</v>
      </c>
      <c r="DI198" s="7" t="e">
        <f>VLOOKUP(C198,listaBolsa!$D$2:$BA$248,48,0)</f>
        <v>#N/A</v>
      </c>
      <c r="DJ198" s="7" t="e">
        <f t="shared" si="78"/>
        <v>#N/A</v>
      </c>
      <c r="DK198" s="7" t="e">
        <f t="shared" si="78"/>
        <v>#N/A</v>
      </c>
      <c r="DL198" s="7" t="e">
        <f t="shared" si="80"/>
        <v>#N/A</v>
      </c>
      <c r="DM198" s="7" t="e">
        <f t="shared" si="80"/>
        <v>#N/A</v>
      </c>
      <c r="DN198" s="7" t="e">
        <f t="shared" si="81"/>
        <v>#N/A</v>
      </c>
      <c r="DO198" s="7" t="e">
        <f t="shared" si="81"/>
        <v>#N/A</v>
      </c>
      <c r="DP198" s="7" t="e">
        <f t="shared" si="82"/>
        <v>#N/A</v>
      </c>
      <c r="DQ198" s="7" t="e">
        <f t="shared" si="82"/>
        <v>#N/A</v>
      </c>
      <c r="DR198" s="7" t="e">
        <f t="shared" si="63"/>
        <v>#N/A</v>
      </c>
    </row>
    <row r="199" spans="1:122" s="7" customFormat="1" ht="42" customHeight="1">
      <c r="A199" s="75">
        <f t="shared" si="77"/>
        <v>185</v>
      </c>
      <c r="B199" s="538" t="s">
        <v>579</v>
      </c>
      <c r="C199" s="392" t="s">
        <v>807</v>
      </c>
      <c r="D199" s="351" t="s">
        <v>808</v>
      </c>
      <c r="E199" s="193" t="s">
        <v>568</v>
      </c>
      <c r="F199" s="75">
        <v>1</v>
      </c>
      <c r="G199" s="75" t="s">
        <v>192</v>
      </c>
      <c r="H199" s="106" t="s">
        <v>380</v>
      </c>
      <c r="I199" s="107">
        <v>9000</v>
      </c>
      <c r="J199" s="96">
        <f t="shared" si="64"/>
        <v>1710</v>
      </c>
      <c r="K199" s="96">
        <f t="shared" si="60"/>
        <v>10710</v>
      </c>
      <c r="L199" s="96">
        <f t="shared" si="69"/>
        <v>9000</v>
      </c>
      <c r="M199" s="96">
        <f t="shared" si="70"/>
        <v>10710</v>
      </c>
      <c r="N199" s="108" t="s">
        <v>381</v>
      </c>
      <c r="O199" s="109">
        <v>8000</v>
      </c>
      <c r="P199" s="110">
        <f t="shared" si="65"/>
        <v>1520</v>
      </c>
      <c r="Q199" s="110">
        <f t="shared" si="61"/>
        <v>9520</v>
      </c>
      <c r="R199" s="110">
        <f t="shared" si="71"/>
        <v>8000</v>
      </c>
      <c r="S199" s="110">
        <f t="shared" si="72"/>
        <v>9520</v>
      </c>
      <c r="T199" s="97" t="s">
        <v>382</v>
      </c>
      <c r="U199" s="98">
        <v>7140</v>
      </c>
      <c r="V199" s="99">
        <f t="shared" si="66"/>
        <v>1356.6</v>
      </c>
      <c r="W199" s="99">
        <f t="shared" si="62"/>
        <v>8496.6</v>
      </c>
      <c r="X199" s="99">
        <f t="shared" si="73"/>
        <v>7140</v>
      </c>
      <c r="Y199" s="99">
        <f t="shared" si="74"/>
        <v>8496.6</v>
      </c>
      <c r="Z199" s="100">
        <f t="shared" si="67"/>
        <v>9575.5333333333328</v>
      </c>
      <c r="AA199" s="100">
        <f t="shared" si="75"/>
        <v>9575.5333333333328</v>
      </c>
      <c r="AB199" s="78">
        <f t="shared" si="68"/>
        <v>1107.7444891911371</v>
      </c>
      <c r="AC199" s="102">
        <f t="shared" si="79"/>
        <v>0.11568488674515645</v>
      </c>
      <c r="AD199" s="5"/>
      <c r="AF199" s="7" t="s">
        <v>570</v>
      </c>
      <c r="AG199" s="7">
        <v>81</v>
      </c>
      <c r="AH199" s="7" t="s">
        <v>809</v>
      </c>
      <c r="BG199" s="7">
        <v>70</v>
      </c>
      <c r="DA199" s="7" t="e">
        <f>VLOOKUP(C199,listaBolsa!$D$2:$BA$248,1,0)</f>
        <v>#N/A</v>
      </c>
      <c r="DB199" s="7" t="e">
        <f>VLOOKUP(C199,listaBolsa!$D$2:$BA$248,2,0)</f>
        <v>#N/A</v>
      </c>
      <c r="DC199" s="7" t="e">
        <f>VLOOKUP(C199,listaBolsa!$D$2:$BA$248,10,0)</f>
        <v>#N/A</v>
      </c>
      <c r="DD199" s="7" t="e">
        <f>VLOOKUP(C199,listaBolsa!$D$2:$BA$248,14,0)</f>
        <v>#N/A</v>
      </c>
      <c r="DE199" s="7" t="e">
        <f>VLOOKUP(C199,listaBolsa!$D$2:$BA$248,23,0)</f>
        <v>#N/A</v>
      </c>
      <c r="DF199" s="7" t="e">
        <f>VLOOKUP(C199,listaBolsa!$D$2:$BA$248,29,0)</f>
        <v>#N/A</v>
      </c>
      <c r="DG199" s="7" t="e">
        <f>VLOOKUP(C199,listaBolsa!$D$2:$BA$248,36,0)</f>
        <v>#N/A</v>
      </c>
      <c r="DH199" s="7" t="e">
        <f>VLOOKUP(C199,listaBolsa!$D$2:$BA$248,40,0)</f>
        <v>#N/A</v>
      </c>
      <c r="DI199" s="7" t="e">
        <f>VLOOKUP(C199,listaBolsa!$D$2:$BA$248,48,0)</f>
        <v>#N/A</v>
      </c>
      <c r="DJ199" s="7" t="e">
        <f t="shared" si="78"/>
        <v>#N/A</v>
      </c>
      <c r="DK199" s="7" t="e">
        <f t="shared" si="78"/>
        <v>#N/A</v>
      </c>
      <c r="DL199" s="7" t="e">
        <f t="shared" si="80"/>
        <v>#N/A</v>
      </c>
      <c r="DM199" s="7" t="e">
        <f t="shared" si="80"/>
        <v>#N/A</v>
      </c>
      <c r="DN199" s="7" t="e">
        <f t="shared" si="81"/>
        <v>#N/A</v>
      </c>
      <c r="DO199" s="7" t="e">
        <f t="shared" si="81"/>
        <v>#N/A</v>
      </c>
      <c r="DP199" s="7" t="e">
        <f t="shared" si="82"/>
        <v>#N/A</v>
      </c>
      <c r="DQ199" s="7" t="e">
        <f t="shared" si="82"/>
        <v>#N/A</v>
      </c>
      <c r="DR199" s="7" t="e">
        <f t="shared" si="63"/>
        <v>#N/A</v>
      </c>
    </row>
    <row r="200" spans="1:122" s="7" customFormat="1" ht="42" customHeight="1">
      <c r="A200" s="75">
        <f t="shared" si="77"/>
        <v>186</v>
      </c>
      <c r="B200" s="538" t="s">
        <v>579</v>
      </c>
      <c r="C200" s="351" t="s">
        <v>810</v>
      </c>
      <c r="D200" s="351" t="s">
        <v>811</v>
      </c>
      <c r="E200" s="193" t="s">
        <v>568</v>
      </c>
      <c r="F200" s="75">
        <v>1</v>
      </c>
      <c r="G200" s="75" t="s">
        <v>192</v>
      </c>
      <c r="H200" s="106" t="s">
        <v>380</v>
      </c>
      <c r="I200" s="107">
        <v>24000</v>
      </c>
      <c r="J200" s="96">
        <f t="shared" si="64"/>
        <v>4560</v>
      </c>
      <c r="K200" s="96">
        <f t="shared" si="60"/>
        <v>28560</v>
      </c>
      <c r="L200" s="96">
        <f t="shared" si="69"/>
        <v>24000</v>
      </c>
      <c r="M200" s="96">
        <f t="shared" si="70"/>
        <v>28560</v>
      </c>
      <c r="N200" s="108" t="s">
        <v>381</v>
      </c>
      <c r="O200" s="109">
        <v>23000</v>
      </c>
      <c r="P200" s="110">
        <f t="shared" si="65"/>
        <v>4370</v>
      </c>
      <c r="Q200" s="110">
        <f t="shared" si="61"/>
        <v>27370</v>
      </c>
      <c r="R200" s="110">
        <f t="shared" si="71"/>
        <v>23000</v>
      </c>
      <c r="S200" s="110">
        <f t="shared" si="72"/>
        <v>27370</v>
      </c>
      <c r="T200" s="97" t="s">
        <v>382</v>
      </c>
      <c r="U200" s="98">
        <v>16800</v>
      </c>
      <c r="V200" s="99">
        <f t="shared" si="66"/>
        <v>3192</v>
      </c>
      <c r="W200" s="99">
        <f t="shared" si="62"/>
        <v>19992</v>
      </c>
      <c r="X200" s="99">
        <f t="shared" si="73"/>
        <v>16800</v>
      </c>
      <c r="Y200" s="99">
        <f t="shared" si="74"/>
        <v>19992</v>
      </c>
      <c r="Z200" s="100">
        <f t="shared" si="67"/>
        <v>25307.333333333332</v>
      </c>
      <c r="AA200" s="100">
        <f t="shared" si="75"/>
        <v>25307.333333333332</v>
      </c>
      <c r="AB200" s="78">
        <f t="shared" si="68"/>
        <v>4641.508519149068</v>
      </c>
      <c r="AC200" s="102">
        <f t="shared" si="79"/>
        <v>0.18340567368413904</v>
      </c>
      <c r="AD200" s="5"/>
      <c r="AF200" s="7" t="s">
        <v>570</v>
      </c>
      <c r="AG200" s="7">
        <v>82</v>
      </c>
      <c r="AH200" s="7" t="s">
        <v>812</v>
      </c>
      <c r="BG200" s="7">
        <v>71</v>
      </c>
      <c r="DA200" s="7" t="e">
        <f>VLOOKUP(C200,listaBolsa!$D$2:$BA$248,1,0)</f>
        <v>#N/A</v>
      </c>
      <c r="DB200" s="7" t="e">
        <f>VLOOKUP(C200,listaBolsa!$D$2:$BA$248,2,0)</f>
        <v>#N/A</v>
      </c>
      <c r="DC200" s="7" t="e">
        <f>VLOOKUP(C200,listaBolsa!$D$2:$BA$248,10,0)</f>
        <v>#N/A</v>
      </c>
      <c r="DD200" s="7" t="e">
        <f>VLOOKUP(C200,listaBolsa!$D$2:$BA$248,14,0)</f>
        <v>#N/A</v>
      </c>
      <c r="DE200" s="7" t="e">
        <f>VLOOKUP(C200,listaBolsa!$D$2:$BA$248,23,0)</f>
        <v>#N/A</v>
      </c>
      <c r="DF200" s="7" t="e">
        <f>VLOOKUP(C200,listaBolsa!$D$2:$BA$248,29,0)</f>
        <v>#N/A</v>
      </c>
      <c r="DG200" s="7" t="e">
        <f>VLOOKUP(C200,listaBolsa!$D$2:$BA$248,36,0)</f>
        <v>#N/A</v>
      </c>
      <c r="DH200" s="7" t="e">
        <f>VLOOKUP(C200,listaBolsa!$D$2:$BA$248,40,0)</f>
        <v>#N/A</v>
      </c>
      <c r="DI200" s="7" t="e">
        <f>VLOOKUP(C200,listaBolsa!$D$2:$BA$248,48,0)</f>
        <v>#N/A</v>
      </c>
      <c r="DJ200" s="7" t="e">
        <f t="shared" si="78"/>
        <v>#N/A</v>
      </c>
      <c r="DK200" s="7" t="e">
        <f t="shared" si="78"/>
        <v>#N/A</v>
      </c>
      <c r="DL200" s="7" t="e">
        <f t="shared" si="80"/>
        <v>#N/A</v>
      </c>
      <c r="DM200" s="7" t="e">
        <f t="shared" si="80"/>
        <v>#N/A</v>
      </c>
      <c r="DN200" s="7" t="e">
        <f t="shared" si="81"/>
        <v>#N/A</v>
      </c>
      <c r="DO200" s="7" t="e">
        <f t="shared" si="81"/>
        <v>#N/A</v>
      </c>
      <c r="DP200" s="7" t="e">
        <f t="shared" si="82"/>
        <v>#N/A</v>
      </c>
      <c r="DQ200" s="7" t="e">
        <f t="shared" si="82"/>
        <v>#N/A</v>
      </c>
      <c r="DR200" s="7" t="e">
        <f t="shared" si="63"/>
        <v>#N/A</v>
      </c>
    </row>
    <row r="201" spans="1:122" s="7" customFormat="1" ht="42" customHeight="1">
      <c r="A201" s="75">
        <f t="shared" si="77"/>
        <v>187</v>
      </c>
      <c r="B201" s="538" t="s">
        <v>579</v>
      </c>
      <c r="C201" s="351" t="s">
        <v>813</v>
      </c>
      <c r="D201" s="351" t="s">
        <v>814</v>
      </c>
      <c r="E201" s="193" t="s">
        <v>568</v>
      </c>
      <c r="F201" s="75">
        <v>1</v>
      </c>
      <c r="G201" s="75" t="s">
        <v>192</v>
      </c>
      <c r="H201" s="106" t="s">
        <v>380</v>
      </c>
      <c r="I201" s="107">
        <v>57000</v>
      </c>
      <c r="J201" s="96">
        <f t="shared" si="64"/>
        <v>10830</v>
      </c>
      <c r="K201" s="96">
        <f t="shared" si="60"/>
        <v>67830</v>
      </c>
      <c r="L201" s="96">
        <f t="shared" si="69"/>
        <v>57000</v>
      </c>
      <c r="M201" s="96">
        <f t="shared" si="70"/>
        <v>67830</v>
      </c>
      <c r="N201" s="108" t="s">
        <v>381</v>
      </c>
      <c r="O201" s="109">
        <v>55000</v>
      </c>
      <c r="P201" s="110">
        <f t="shared" si="65"/>
        <v>10450</v>
      </c>
      <c r="Q201" s="110">
        <f t="shared" si="61"/>
        <v>65450</v>
      </c>
      <c r="R201" s="110">
        <f t="shared" si="71"/>
        <v>55000</v>
      </c>
      <c r="S201" s="110">
        <f t="shared" si="72"/>
        <v>65450</v>
      </c>
      <c r="T201" s="97" t="s">
        <v>382</v>
      </c>
      <c r="U201" s="98">
        <v>56000</v>
      </c>
      <c r="V201" s="99">
        <f t="shared" si="66"/>
        <v>10640</v>
      </c>
      <c r="W201" s="99">
        <f t="shared" si="62"/>
        <v>66640</v>
      </c>
      <c r="X201" s="99">
        <f t="shared" si="73"/>
        <v>56000</v>
      </c>
      <c r="Y201" s="99">
        <f t="shared" si="74"/>
        <v>66640</v>
      </c>
      <c r="Z201" s="100">
        <f t="shared" si="67"/>
        <v>66640</v>
      </c>
      <c r="AA201" s="100">
        <f t="shared" si="75"/>
        <v>66640</v>
      </c>
      <c r="AB201" s="78">
        <f t="shared" si="68"/>
        <v>1190</v>
      </c>
      <c r="AC201" s="102">
        <f t="shared" si="79"/>
        <v>1.7857142857142856E-2</v>
      </c>
      <c r="AD201" s="5"/>
      <c r="AF201" s="7" t="s">
        <v>570</v>
      </c>
      <c r="AG201" s="7">
        <v>83</v>
      </c>
      <c r="AH201" s="7" t="s">
        <v>815</v>
      </c>
      <c r="BG201" s="7">
        <v>72</v>
      </c>
      <c r="DA201" s="7" t="e">
        <f>VLOOKUP(C201,listaBolsa!$D$2:$BA$248,1,0)</f>
        <v>#N/A</v>
      </c>
      <c r="DB201" s="7" t="e">
        <f>VLOOKUP(C201,listaBolsa!$D$2:$BA$248,2,0)</f>
        <v>#N/A</v>
      </c>
      <c r="DC201" s="7" t="e">
        <f>VLOOKUP(C201,listaBolsa!$D$2:$BA$248,10,0)</f>
        <v>#N/A</v>
      </c>
      <c r="DD201" s="7" t="e">
        <f>VLOOKUP(C201,listaBolsa!$D$2:$BA$248,14,0)</f>
        <v>#N/A</v>
      </c>
      <c r="DE201" s="7" t="e">
        <f>VLOOKUP(C201,listaBolsa!$D$2:$BA$248,23,0)</f>
        <v>#N/A</v>
      </c>
      <c r="DF201" s="7" t="e">
        <f>VLOOKUP(C201,listaBolsa!$D$2:$BA$248,29,0)</f>
        <v>#N/A</v>
      </c>
      <c r="DG201" s="7" t="e">
        <f>VLOOKUP(C201,listaBolsa!$D$2:$BA$248,36,0)</f>
        <v>#N/A</v>
      </c>
      <c r="DH201" s="7" t="e">
        <f>VLOOKUP(C201,listaBolsa!$D$2:$BA$248,40,0)</f>
        <v>#N/A</v>
      </c>
      <c r="DI201" s="7" t="e">
        <f>VLOOKUP(C201,listaBolsa!$D$2:$BA$248,48,0)</f>
        <v>#N/A</v>
      </c>
      <c r="DJ201" s="7" t="e">
        <f t="shared" si="78"/>
        <v>#N/A</v>
      </c>
      <c r="DK201" s="7" t="e">
        <f t="shared" si="78"/>
        <v>#N/A</v>
      </c>
      <c r="DL201" s="7" t="e">
        <f t="shared" si="80"/>
        <v>#N/A</v>
      </c>
      <c r="DM201" s="7" t="e">
        <f t="shared" si="80"/>
        <v>#N/A</v>
      </c>
      <c r="DN201" s="7" t="e">
        <f t="shared" si="81"/>
        <v>#N/A</v>
      </c>
      <c r="DO201" s="7" t="e">
        <f t="shared" si="81"/>
        <v>#N/A</v>
      </c>
      <c r="DP201" s="7" t="e">
        <f t="shared" si="82"/>
        <v>#N/A</v>
      </c>
      <c r="DQ201" s="7" t="e">
        <f t="shared" si="82"/>
        <v>#N/A</v>
      </c>
      <c r="DR201" s="7" t="e">
        <f t="shared" si="63"/>
        <v>#N/A</v>
      </c>
    </row>
    <row r="202" spans="1:122" s="7" customFormat="1" ht="42" customHeight="1">
      <c r="A202" s="75">
        <f t="shared" si="77"/>
        <v>188</v>
      </c>
      <c r="B202" s="538" t="s">
        <v>579</v>
      </c>
      <c r="C202" s="351" t="s">
        <v>816</v>
      </c>
      <c r="D202" s="351" t="s">
        <v>817</v>
      </c>
      <c r="E202" s="193" t="s">
        <v>568</v>
      </c>
      <c r="F202" s="75">
        <v>1</v>
      </c>
      <c r="G202" s="75" t="s">
        <v>192</v>
      </c>
      <c r="H202" s="106" t="s">
        <v>380</v>
      </c>
      <c r="I202" s="107">
        <v>69000</v>
      </c>
      <c r="J202" s="96">
        <f t="shared" si="64"/>
        <v>13110</v>
      </c>
      <c r="K202" s="96">
        <f t="shared" si="60"/>
        <v>82110</v>
      </c>
      <c r="L202" s="96">
        <f t="shared" si="69"/>
        <v>69000</v>
      </c>
      <c r="M202" s="96">
        <f t="shared" si="70"/>
        <v>82110</v>
      </c>
      <c r="N202" s="108" t="s">
        <v>381</v>
      </c>
      <c r="O202" s="109">
        <v>68000</v>
      </c>
      <c r="P202" s="110">
        <f t="shared" si="65"/>
        <v>12920</v>
      </c>
      <c r="Q202" s="110">
        <f t="shared" si="61"/>
        <v>80920</v>
      </c>
      <c r="R202" s="110">
        <f t="shared" si="71"/>
        <v>68000</v>
      </c>
      <c r="S202" s="110">
        <f t="shared" si="72"/>
        <v>80920</v>
      </c>
      <c r="T202" s="97" t="s">
        <v>382</v>
      </c>
      <c r="U202" s="98">
        <v>70000</v>
      </c>
      <c r="V202" s="99">
        <f t="shared" si="66"/>
        <v>13300</v>
      </c>
      <c r="W202" s="99">
        <f t="shared" si="62"/>
        <v>83300</v>
      </c>
      <c r="X202" s="99">
        <f t="shared" si="73"/>
        <v>70000</v>
      </c>
      <c r="Y202" s="99">
        <f t="shared" si="74"/>
        <v>83300</v>
      </c>
      <c r="Z202" s="100">
        <f t="shared" si="67"/>
        <v>82110</v>
      </c>
      <c r="AA202" s="100">
        <f t="shared" si="75"/>
        <v>82110</v>
      </c>
      <c r="AB202" s="78">
        <f t="shared" si="68"/>
        <v>1190</v>
      </c>
      <c r="AC202" s="102">
        <f t="shared" si="79"/>
        <v>1.4492753623188406E-2</v>
      </c>
      <c r="AD202" s="5"/>
      <c r="AF202" s="7" t="s">
        <v>570</v>
      </c>
      <c r="AG202" s="7">
        <v>84</v>
      </c>
      <c r="AH202" s="7" t="s">
        <v>818</v>
      </c>
      <c r="BG202" s="7">
        <v>73</v>
      </c>
      <c r="DA202" s="7" t="e">
        <f>VLOOKUP(C202,listaBolsa!$D$2:$BA$248,1,0)</f>
        <v>#N/A</v>
      </c>
      <c r="DB202" s="7" t="e">
        <f>VLOOKUP(C202,listaBolsa!$D$2:$BA$248,2,0)</f>
        <v>#N/A</v>
      </c>
      <c r="DC202" s="7" t="e">
        <f>VLOOKUP(C202,listaBolsa!$D$2:$BA$248,10,0)</f>
        <v>#N/A</v>
      </c>
      <c r="DD202" s="7" t="e">
        <f>VLOOKUP(C202,listaBolsa!$D$2:$BA$248,14,0)</f>
        <v>#N/A</v>
      </c>
      <c r="DE202" s="7" t="e">
        <f>VLOOKUP(C202,listaBolsa!$D$2:$BA$248,23,0)</f>
        <v>#N/A</v>
      </c>
      <c r="DF202" s="7" t="e">
        <f>VLOOKUP(C202,listaBolsa!$D$2:$BA$248,29,0)</f>
        <v>#N/A</v>
      </c>
      <c r="DG202" s="7" t="e">
        <f>VLOOKUP(C202,listaBolsa!$D$2:$BA$248,36,0)</f>
        <v>#N/A</v>
      </c>
      <c r="DH202" s="7" t="e">
        <f>VLOOKUP(C202,listaBolsa!$D$2:$BA$248,40,0)</f>
        <v>#N/A</v>
      </c>
      <c r="DI202" s="7" t="e">
        <f>VLOOKUP(C202,listaBolsa!$D$2:$BA$248,48,0)</f>
        <v>#N/A</v>
      </c>
      <c r="DJ202" s="7" t="e">
        <f t="shared" si="78"/>
        <v>#N/A</v>
      </c>
      <c r="DK202" s="7" t="e">
        <f t="shared" si="78"/>
        <v>#N/A</v>
      </c>
      <c r="DL202" s="7" t="e">
        <f t="shared" si="80"/>
        <v>#N/A</v>
      </c>
      <c r="DM202" s="7" t="e">
        <f t="shared" si="80"/>
        <v>#N/A</v>
      </c>
      <c r="DN202" s="7" t="e">
        <f t="shared" si="81"/>
        <v>#N/A</v>
      </c>
      <c r="DO202" s="7" t="e">
        <f t="shared" si="81"/>
        <v>#N/A</v>
      </c>
      <c r="DP202" s="7" t="e">
        <f t="shared" si="82"/>
        <v>#N/A</v>
      </c>
      <c r="DQ202" s="7" t="e">
        <f t="shared" si="82"/>
        <v>#N/A</v>
      </c>
      <c r="DR202" s="7" t="e">
        <f t="shared" si="63"/>
        <v>#N/A</v>
      </c>
    </row>
    <row r="203" spans="1:122" s="7" customFormat="1" ht="42" customHeight="1">
      <c r="A203" s="75">
        <f t="shared" si="77"/>
        <v>189</v>
      </c>
      <c r="B203" s="538" t="s">
        <v>579</v>
      </c>
      <c r="C203" s="351" t="s">
        <v>819</v>
      </c>
      <c r="D203" s="351" t="s">
        <v>820</v>
      </c>
      <c r="E203" s="193" t="s">
        <v>568</v>
      </c>
      <c r="F203" s="75">
        <v>1</v>
      </c>
      <c r="G203" s="75" t="s">
        <v>192</v>
      </c>
      <c r="H203" s="106" t="s">
        <v>381</v>
      </c>
      <c r="I203" s="107">
        <v>20000</v>
      </c>
      <c r="J203" s="96"/>
      <c r="K203" s="96">
        <f t="shared" si="60"/>
        <v>20000</v>
      </c>
      <c r="L203" s="96">
        <f t="shared" si="69"/>
        <v>20000</v>
      </c>
      <c r="M203" s="96">
        <f t="shared" si="70"/>
        <v>20000</v>
      </c>
      <c r="N203" s="108" t="s">
        <v>382</v>
      </c>
      <c r="O203" s="109">
        <v>20000</v>
      </c>
      <c r="P203" s="110"/>
      <c r="Q203" s="110">
        <f t="shared" si="61"/>
        <v>20000</v>
      </c>
      <c r="R203" s="110">
        <f t="shared" si="71"/>
        <v>20000</v>
      </c>
      <c r="S203" s="110">
        <f t="shared" si="72"/>
        <v>20000</v>
      </c>
      <c r="T203" s="97" t="s">
        <v>380</v>
      </c>
      <c r="U203" s="98">
        <v>22000</v>
      </c>
      <c r="V203" s="99"/>
      <c r="W203" s="99">
        <f t="shared" si="62"/>
        <v>22000</v>
      </c>
      <c r="X203" s="99">
        <f t="shared" si="73"/>
        <v>22000</v>
      </c>
      <c r="Y203" s="99">
        <f t="shared" si="74"/>
        <v>22000</v>
      </c>
      <c r="Z203" s="100">
        <f t="shared" si="67"/>
        <v>20666.666666666668</v>
      </c>
      <c r="AA203" s="100">
        <f t="shared" si="75"/>
        <v>20666.666666666668</v>
      </c>
      <c r="AB203" s="78">
        <f t="shared" si="68"/>
        <v>1154.7005383792514</v>
      </c>
      <c r="AC203" s="102">
        <f t="shared" si="79"/>
        <v>5.5872606695770224E-2</v>
      </c>
      <c r="AD203" s="5"/>
      <c r="AF203" s="7" t="s">
        <v>570</v>
      </c>
      <c r="AG203" s="7">
        <v>85</v>
      </c>
      <c r="AH203" s="7" t="s">
        <v>821</v>
      </c>
      <c r="BG203" s="7">
        <v>74</v>
      </c>
      <c r="DA203" s="7" t="e">
        <f>VLOOKUP(C203,listaBolsa!$D$2:$BA$248,1,0)</f>
        <v>#N/A</v>
      </c>
      <c r="DB203" s="7" t="e">
        <f>VLOOKUP(C203,listaBolsa!$D$2:$BA$248,2,0)</f>
        <v>#N/A</v>
      </c>
      <c r="DC203" s="7" t="e">
        <f>VLOOKUP(C203,listaBolsa!$D$2:$BA$248,10,0)</f>
        <v>#N/A</v>
      </c>
      <c r="DD203" s="7" t="e">
        <f>VLOOKUP(C203,listaBolsa!$D$2:$BA$248,14,0)</f>
        <v>#N/A</v>
      </c>
      <c r="DE203" s="7" t="e">
        <f>VLOOKUP(C203,listaBolsa!$D$2:$BA$248,23,0)</f>
        <v>#N/A</v>
      </c>
      <c r="DF203" s="7" t="e">
        <f>VLOOKUP(C203,listaBolsa!$D$2:$BA$248,29,0)</f>
        <v>#N/A</v>
      </c>
      <c r="DG203" s="7" t="e">
        <f>VLOOKUP(C203,listaBolsa!$D$2:$BA$248,36,0)</f>
        <v>#N/A</v>
      </c>
      <c r="DH203" s="7" t="e">
        <f>VLOOKUP(C203,listaBolsa!$D$2:$BA$248,40,0)</f>
        <v>#N/A</v>
      </c>
      <c r="DI203" s="7" t="e">
        <f>VLOOKUP(C203,listaBolsa!$D$2:$BA$248,48,0)</f>
        <v>#N/A</v>
      </c>
      <c r="DJ203" s="7" t="e">
        <f t="shared" si="78"/>
        <v>#N/A</v>
      </c>
      <c r="DK203" s="7" t="e">
        <f t="shared" si="78"/>
        <v>#N/A</v>
      </c>
      <c r="DL203" s="7" t="e">
        <f t="shared" si="80"/>
        <v>#N/A</v>
      </c>
      <c r="DM203" s="7" t="e">
        <f t="shared" si="80"/>
        <v>#N/A</v>
      </c>
      <c r="DN203" s="7" t="e">
        <f t="shared" si="81"/>
        <v>#N/A</v>
      </c>
      <c r="DO203" s="7" t="e">
        <f t="shared" si="81"/>
        <v>#N/A</v>
      </c>
      <c r="DP203" s="7" t="e">
        <f t="shared" si="82"/>
        <v>#N/A</v>
      </c>
      <c r="DQ203" s="7" t="e">
        <f t="shared" si="82"/>
        <v>#N/A</v>
      </c>
      <c r="DR203" s="7" t="e">
        <f t="shared" si="63"/>
        <v>#N/A</v>
      </c>
    </row>
    <row r="204" spans="1:122" s="7" customFormat="1" ht="42" customHeight="1">
      <c r="A204" s="75">
        <f t="shared" si="77"/>
        <v>190</v>
      </c>
      <c r="B204" s="538" t="s">
        <v>579</v>
      </c>
      <c r="C204" s="351" t="s">
        <v>822</v>
      </c>
      <c r="D204" s="351" t="s">
        <v>823</v>
      </c>
      <c r="E204" s="193" t="s">
        <v>568</v>
      </c>
      <c r="F204" s="75">
        <v>1</v>
      </c>
      <c r="G204" s="75" t="s">
        <v>192</v>
      </c>
      <c r="H204" s="106" t="s">
        <v>380</v>
      </c>
      <c r="I204" s="107">
        <v>59000</v>
      </c>
      <c r="J204" s="96">
        <f t="shared" si="64"/>
        <v>11210</v>
      </c>
      <c r="K204" s="96">
        <f t="shared" si="60"/>
        <v>70210</v>
      </c>
      <c r="L204" s="96">
        <f t="shared" si="69"/>
        <v>59000</v>
      </c>
      <c r="M204" s="96">
        <f t="shared" si="70"/>
        <v>70210</v>
      </c>
      <c r="N204" s="108" t="s">
        <v>381</v>
      </c>
      <c r="O204" s="109">
        <v>58000</v>
      </c>
      <c r="P204" s="110">
        <f t="shared" ref="P204:P262" si="83">O204*19%</f>
        <v>11020</v>
      </c>
      <c r="Q204" s="110">
        <f t="shared" si="61"/>
        <v>69020</v>
      </c>
      <c r="R204" s="110">
        <f t="shared" si="71"/>
        <v>58000</v>
      </c>
      <c r="S204" s="110">
        <f t="shared" si="72"/>
        <v>69020</v>
      </c>
      <c r="T204" s="97" t="s">
        <v>382</v>
      </c>
      <c r="U204" s="98">
        <v>56000</v>
      </c>
      <c r="V204" s="99">
        <f t="shared" si="66"/>
        <v>10640</v>
      </c>
      <c r="W204" s="99">
        <f t="shared" si="62"/>
        <v>66640</v>
      </c>
      <c r="X204" s="99">
        <f t="shared" si="73"/>
        <v>56000</v>
      </c>
      <c r="Y204" s="99">
        <f t="shared" si="74"/>
        <v>66640</v>
      </c>
      <c r="Z204" s="100">
        <f t="shared" si="67"/>
        <v>68623.333333333328</v>
      </c>
      <c r="AA204" s="100">
        <f t="shared" si="75"/>
        <v>68623.333333333328</v>
      </c>
      <c r="AB204" s="78">
        <f>IF(B204="","",STDEV(M204,S204,Y204))</f>
        <v>1817.7550256658164</v>
      </c>
      <c r="AC204" s="102">
        <f t="shared" si="79"/>
        <v>2.6488876849455723E-2</v>
      </c>
      <c r="AD204" s="5"/>
      <c r="AF204" s="7" t="s">
        <v>570</v>
      </c>
      <c r="AG204" s="7">
        <v>86</v>
      </c>
      <c r="AH204" s="7" t="s">
        <v>824</v>
      </c>
      <c r="BG204" s="7">
        <v>75</v>
      </c>
      <c r="DA204" s="7" t="e">
        <f>VLOOKUP(C204,listaBolsa!$D$2:$BA$248,1,0)</f>
        <v>#N/A</v>
      </c>
      <c r="DB204" s="7" t="e">
        <f>VLOOKUP(C204,listaBolsa!$D$2:$BA$248,2,0)</f>
        <v>#N/A</v>
      </c>
      <c r="DC204" s="7" t="e">
        <f>VLOOKUP(C204,listaBolsa!$D$2:$BA$248,10,0)</f>
        <v>#N/A</v>
      </c>
      <c r="DD204" s="7" t="e">
        <f>VLOOKUP(C204,listaBolsa!$D$2:$BA$248,14,0)</f>
        <v>#N/A</v>
      </c>
      <c r="DE204" s="7" t="e">
        <f>VLOOKUP(C204,listaBolsa!$D$2:$BA$248,23,0)</f>
        <v>#N/A</v>
      </c>
      <c r="DF204" s="7" t="e">
        <f>VLOOKUP(C204,listaBolsa!$D$2:$BA$248,29,0)</f>
        <v>#N/A</v>
      </c>
      <c r="DG204" s="7" t="e">
        <f>VLOOKUP(C204,listaBolsa!$D$2:$BA$248,36,0)</f>
        <v>#N/A</v>
      </c>
      <c r="DH204" s="7" t="e">
        <f>VLOOKUP(C204,listaBolsa!$D$2:$BA$248,40,0)</f>
        <v>#N/A</v>
      </c>
      <c r="DI204" s="7" t="e">
        <f>VLOOKUP(C204,listaBolsa!$D$2:$BA$248,48,0)</f>
        <v>#N/A</v>
      </c>
      <c r="DJ204" s="7" t="e">
        <f t="shared" si="78"/>
        <v>#N/A</v>
      </c>
      <c r="DK204" s="7" t="e">
        <f t="shared" si="78"/>
        <v>#N/A</v>
      </c>
      <c r="DL204" s="7" t="e">
        <f t="shared" si="80"/>
        <v>#N/A</v>
      </c>
      <c r="DM204" s="7" t="e">
        <f t="shared" si="80"/>
        <v>#N/A</v>
      </c>
      <c r="DN204" s="7" t="e">
        <f t="shared" si="81"/>
        <v>#N/A</v>
      </c>
      <c r="DO204" s="7" t="e">
        <f t="shared" si="81"/>
        <v>#N/A</v>
      </c>
      <c r="DP204" s="7" t="e">
        <f t="shared" si="82"/>
        <v>#N/A</v>
      </c>
      <c r="DQ204" s="7" t="e">
        <f t="shared" si="82"/>
        <v>#N/A</v>
      </c>
      <c r="DR204" s="7" t="e">
        <f t="shared" si="63"/>
        <v>#N/A</v>
      </c>
    </row>
    <row r="205" spans="1:122" s="7" customFormat="1" ht="42" customHeight="1">
      <c r="A205" s="75">
        <f t="shared" si="77"/>
        <v>191</v>
      </c>
      <c r="B205" s="538" t="s">
        <v>579</v>
      </c>
      <c r="C205" s="351" t="s">
        <v>825</v>
      </c>
      <c r="D205" s="351" t="s">
        <v>826</v>
      </c>
      <c r="E205" s="193" t="s">
        <v>568</v>
      </c>
      <c r="F205" s="75">
        <v>1</v>
      </c>
      <c r="G205" s="75" t="s">
        <v>192</v>
      </c>
      <c r="H205" s="106" t="s">
        <v>380</v>
      </c>
      <c r="I205" s="107">
        <v>320000</v>
      </c>
      <c r="J205" s="96">
        <f t="shared" si="64"/>
        <v>60800</v>
      </c>
      <c r="K205" s="96">
        <f t="shared" si="60"/>
        <v>380800</v>
      </c>
      <c r="L205" s="96">
        <f t="shared" si="69"/>
        <v>320000</v>
      </c>
      <c r="M205" s="96">
        <f t="shared" si="70"/>
        <v>380800</v>
      </c>
      <c r="N205" s="108" t="s">
        <v>381</v>
      </c>
      <c r="O205" s="109">
        <v>300000</v>
      </c>
      <c r="P205" s="110">
        <f t="shared" si="83"/>
        <v>57000</v>
      </c>
      <c r="Q205" s="110">
        <f t="shared" si="61"/>
        <v>357000</v>
      </c>
      <c r="R205" s="110">
        <f t="shared" si="71"/>
        <v>300000</v>
      </c>
      <c r="S205" s="110">
        <f t="shared" si="72"/>
        <v>357000</v>
      </c>
      <c r="T205" s="97" t="s">
        <v>382</v>
      </c>
      <c r="U205" s="98">
        <v>354200</v>
      </c>
      <c r="V205" s="99">
        <f t="shared" si="66"/>
        <v>67298</v>
      </c>
      <c r="W205" s="99">
        <f t="shared" si="62"/>
        <v>421498</v>
      </c>
      <c r="X205" s="99">
        <f t="shared" si="73"/>
        <v>354200</v>
      </c>
      <c r="Y205" s="99">
        <f t="shared" si="74"/>
        <v>421498</v>
      </c>
      <c r="Z205" s="100">
        <f t="shared" si="67"/>
        <v>386432.66666666669</v>
      </c>
      <c r="AA205" s="100">
        <f t="shared" si="75"/>
        <v>386432.66666666669</v>
      </c>
      <c r="AB205" s="78">
        <f t="shared" si="68"/>
        <v>32615.842796612407</v>
      </c>
      <c r="AC205" s="102">
        <f t="shared" si="79"/>
        <v>8.4402395578908287E-2</v>
      </c>
      <c r="AD205" s="5"/>
      <c r="AF205" s="7" t="s">
        <v>570</v>
      </c>
      <c r="AG205" s="7">
        <v>87</v>
      </c>
      <c r="AH205" s="7" t="s">
        <v>827</v>
      </c>
      <c r="BG205" s="7">
        <v>76</v>
      </c>
      <c r="DA205" s="7" t="e">
        <f>VLOOKUP(C205,listaBolsa!$D$2:$BA$248,1,0)</f>
        <v>#N/A</v>
      </c>
      <c r="DB205" s="7" t="e">
        <f>VLOOKUP(C205,listaBolsa!$D$2:$BA$248,2,0)</f>
        <v>#N/A</v>
      </c>
      <c r="DC205" s="7" t="e">
        <f>VLOOKUP(C205,listaBolsa!$D$2:$BA$248,10,0)</f>
        <v>#N/A</v>
      </c>
      <c r="DD205" s="7" t="e">
        <f>VLOOKUP(C205,listaBolsa!$D$2:$BA$248,14,0)</f>
        <v>#N/A</v>
      </c>
      <c r="DE205" s="7" t="e">
        <f>VLOOKUP(C205,listaBolsa!$D$2:$BA$248,23,0)</f>
        <v>#N/A</v>
      </c>
      <c r="DF205" s="7" t="e">
        <f>VLOOKUP(C205,listaBolsa!$D$2:$BA$248,29,0)</f>
        <v>#N/A</v>
      </c>
      <c r="DG205" s="7" t="e">
        <f>VLOOKUP(C205,listaBolsa!$D$2:$BA$248,36,0)</f>
        <v>#N/A</v>
      </c>
      <c r="DH205" s="7" t="e">
        <f>VLOOKUP(C205,listaBolsa!$D$2:$BA$248,40,0)</f>
        <v>#N/A</v>
      </c>
      <c r="DI205" s="7" t="e">
        <f>VLOOKUP(C205,listaBolsa!$D$2:$BA$248,48,0)</f>
        <v>#N/A</v>
      </c>
      <c r="DJ205" s="7" t="e">
        <f t="shared" si="78"/>
        <v>#N/A</v>
      </c>
      <c r="DK205" s="7" t="e">
        <f t="shared" si="78"/>
        <v>#N/A</v>
      </c>
      <c r="DL205" s="7" t="e">
        <f t="shared" si="80"/>
        <v>#N/A</v>
      </c>
      <c r="DM205" s="7" t="e">
        <f t="shared" si="80"/>
        <v>#N/A</v>
      </c>
      <c r="DN205" s="7" t="e">
        <f t="shared" si="81"/>
        <v>#N/A</v>
      </c>
      <c r="DO205" s="7" t="e">
        <f t="shared" si="81"/>
        <v>#N/A</v>
      </c>
      <c r="DP205" s="7" t="e">
        <f t="shared" si="82"/>
        <v>#N/A</v>
      </c>
      <c r="DQ205" s="7" t="e">
        <f t="shared" si="82"/>
        <v>#N/A</v>
      </c>
      <c r="DR205" s="7" t="e">
        <f t="shared" si="63"/>
        <v>#N/A</v>
      </c>
    </row>
    <row r="206" spans="1:122" s="7" customFormat="1" ht="42" customHeight="1">
      <c r="A206" s="75">
        <f t="shared" si="77"/>
        <v>192</v>
      </c>
      <c r="B206" s="538" t="s">
        <v>579</v>
      </c>
      <c r="C206" s="351" t="s">
        <v>828</v>
      </c>
      <c r="D206" s="351" t="s">
        <v>829</v>
      </c>
      <c r="E206" s="193" t="s">
        <v>568</v>
      </c>
      <c r="F206" s="75">
        <v>1</v>
      </c>
      <c r="G206" s="75" t="s">
        <v>192</v>
      </c>
      <c r="H206" s="106" t="s">
        <v>230</v>
      </c>
      <c r="I206" s="107">
        <v>20924.36974789916</v>
      </c>
      <c r="J206" s="96">
        <f t="shared" si="64"/>
        <v>3975.6302521008406</v>
      </c>
      <c r="K206" s="96">
        <f t="shared" si="60"/>
        <v>24900</v>
      </c>
      <c r="L206" s="96">
        <f t="shared" si="69"/>
        <v>20924.36974789916</v>
      </c>
      <c r="M206" s="96">
        <f t="shared" si="70"/>
        <v>24900</v>
      </c>
      <c r="N206" s="108" t="s">
        <v>356</v>
      </c>
      <c r="O206" s="109">
        <v>15126.050420168071</v>
      </c>
      <c r="P206" s="110">
        <f t="shared" si="83"/>
        <v>2873.9495798319335</v>
      </c>
      <c r="Q206" s="110">
        <f t="shared" si="61"/>
        <v>18000.000000000004</v>
      </c>
      <c r="R206" s="110">
        <f t="shared" si="71"/>
        <v>15126.050420168071</v>
      </c>
      <c r="S206" s="110">
        <f t="shared" si="72"/>
        <v>18000.000000000004</v>
      </c>
      <c r="T206" s="97" t="s">
        <v>830</v>
      </c>
      <c r="U206" s="98">
        <v>16862.18487394958</v>
      </c>
      <c r="V206" s="99">
        <f t="shared" si="66"/>
        <v>3203.8151260504201</v>
      </c>
      <c r="W206" s="99">
        <f t="shared" si="62"/>
        <v>20066</v>
      </c>
      <c r="X206" s="99">
        <f t="shared" si="73"/>
        <v>16862.18487394958</v>
      </c>
      <c r="Y206" s="99">
        <f t="shared" si="74"/>
        <v>20066</v>
      </c>
      <c r="Z206" s="100">
        <f t="shared" si="67"/>
        <v>20988.666666666668</v>
      </c>
      <c r="AA206" s="100">
        <f t="shared" si="75"/>
        <v>20988.666666666668</v>
      </c>
      <c r="AB206" s="78">
        <f t="shared" si="68"/>
        <v>3541.3253639468617</v>
      </c>
      <c r="AC206" s="102">
        <f t="shared" si="79"/>
        <v>0.16872559940032056</v>
      </c>
      <c r="AD206" s="5"/>
      <c r="AF206" s="7" t="s">
        <v>570</v>
      </c>
      <c r="AG206" s="7">
        <v>88</v>
      </c>
      <c r="AH206" s="7" t="s">
        <v>831</v>
      </c>
      <c r="BG206" s="7">
        <v>77</v>
      </c>
      <c r="DA206" s="7" t="e">
        <f>VLOOKUP(C206,listaBolsa!$D$2:$BA$248,1,0)</f>
        <v>#N/A</v>
      </c>
      <c r="DB206" s="7" t="e">
        <f>VLOOKUP(C206,listaBolsa!$D$2:$BA$248,2,0)</f>
        <v>#N/A</v>
      </c>
      <c r="DC206" s="7" t="e">
        <f>VLOOKUP(C206,listaBolsa!$D$2:$BA$248,10,0)</f>
        <v>#N/A</v>
      </c>
      <c r="DD206" s="7" t="e">
        <f>VLOOKUP(C206,listaBolsa!$D$2:$BA$248,14,0)</f>
        <v>#N/A</v>
      </c>
      <c r="DE206" s="7" t="e">
        <f>VLOOKUP(C206,listaBolsa!$D$2:$BA$248,23,0)</f>
        <v>#N/A</v>
      </c>
      <c r="DF206" s="7" t="e">
        <f>VLOOKUP(C206,listaBolsa!$D$2:$BA$248,29,0)</f>
        <v>#N/A</v>
      </c>
      <c r="DG206" s="7" t="e">
        <f>VLOOKUP(C206,listaBolsa!$D$2:$BA$248,36,0)</f>
        <v>#N/A</v>
      </c>
      <c r="DH206" s="7" t="e">
        <f>VLOOKUP(C206,listaBolsa!$D$2:$BA$248,40,0)</f>
        <v>#N/A</v>
      </c>
      <c r="DI206" s="7" t="e">
        <f>VLOOKUP(C206,listaBolsa!$D$2:$BA$248,48,0)</f>
        <v>#N/A</v>
      </c>
      <c r="DJ206" s="7" t="e">
        <f t="shared" si="78"/>
        <v>#N/A</v>
      </c>
      <c r="DK206" s="7" t="e">
        <f t="shared" si="78"/>
        <v>#N/A</v>
      </c>
      <c r="DL206" s="7" t="e">
        <f t="shared" si="80"/>
        <v>#N/A</v>
      </c>
      <c r="DM206" s="7" t="e">
        <f t="shared" si="80"/>
        <v>#N/A</v>
      </c>
      <c r="DN206" s="7" t="e">
        <f t="shared" si="81"/>
        <v>#N/A</v>
      </c>
      <c r="DO206" s="7" t="e">
        <f t="shared" si="81"/>
        <v>#N/A</v>
      </c>
      <c r="DP206" s="7" t="e">
        <f t="shared" si="82"/>
        <v>#N/A</v>
      </c>
      <c r="DQ206" s="7" t="e">
        <f t="shared" si="82"/>
        <v>#N/A</v>
      </c>
      <c r="DR206" s="7" t="e">
        <f t="shared" si="63"/>
        <v>#N/A</v>
      </c>
    </row>
    <row r="207" spans="1:122" s="7" customFormat="1" ht="42" customHeight="1">
      <c r="A207" s="75">
        <f t="shared" si="77"/>
        <v>193</v>
      </c>
      <c r="B207" s="538" t="s">
        <v>579</v>
      </c>
      <c r="C207" s="351" t="s">
        <v>832</v>
      </c>
      <c r="D207" s="351" t="s">
        <v>833</v>
      </c>
      <c r="E207" s="193" t="s">
        <v>568</v>
      </c>
      <c r="F207" s="75">
        <v>1</v>
      </c>
      <c r="G207" s="75" t="s">
        <v>192</v>
      </c>
      <c r="H207" s="106" t="s">
        <v>834</v>
      </c>
      <c r="I207" s="107">
        <v>209011.76470588229</v>
      </c>
      <c r="J207" s="96">
        <f t="shared" si="64"/>
        <v>39712.235294117636</v>
      </c>
      <c r="K207" s="96">
        <f t="shared" ref="K207:K264" si="84">I207+J207</f>
        <v>248723.99999999994</v>
      </c>
      <c r="L207" s="96">
        <f t="shared" si="69"/>
        <v>209011.76470588229</v>
      </c>
      <c r="M207" s="96">
        <f t="shared" si="70"/>
        <v>248723.99999999994</v>
      </c>
      <c r="N207" s="108" t="s">
        <v>695</v>
      </c>
      <c r="O207" s="109">
        <v>225966.38655462189</v>
      </c>
      <c r="P207" s="110">
        <f t="shared" si="83"/>
        <v>42933.613445378156</v>
      </c>
      <c r="Q207" s="110">
        <f t="shared" ref="Q207:Q264" si="85">O207+P207</f>
        <v>268900.00000000006</v>
      </c>
      <c r="R207" s="110">
        <f t="shared" si="71"/>
        <v>225966.38655462189</v>
      </c>
      <c r="S207" s="110">
        <f t="shared" si="72"/>
        <v>268900.00000000006</v>
      </c>
      <c r="T207" s="97" t="s">
        <v>835</v>
      </c>
      <c r="U207" s="98">
        <v>210084.03361344541</v>
      </c>
      <c r="V207" s="99">
        <f t="shared" si="66"/>
        <v>39915.966386554632</v>
      </c>
      <c r="W207" s="99">
        <f t="shared" ref="W207:W264" si="86">U207+V207</f>
        <v>250000.00000000006</v>
      </c>
      <c r="X207" s="99">
        <f t="shared" si="73"/>
        <v>210084.03361344541</v>
      </c>
      <c r="Y207" s="99">
        <f t="shared" si="74"/>
        <v>250000.00000000006</v>
      </c>
      <c r="Z207" s="100">
        <f t="shared" si="67"/>
        <v>255874.66666666666</v>
      </c>
      <c r="AA207" s="100">
        <f t="shared" si="75"/>
        <v>255874.66666666666</v>
      </c>
      <c r="AB207" s="78">
        <f t="shared" si="68"/>
        <v>11298.29745286139</v>
      </c>
      <c r="AC207" s="102">
        <f t="shared" si="79"/>
        <v>4.4155592267287332E-2</v>
      </c>
      <c r="AD207" s="5"/>
      <c r="AF207" s="7" t="s">
        <v>570</v>
      </c>
      <c r="AG207" s="7">
        <v>89</v>
      </c>
      <c r="AH207" s="7" t="s">
        <v>836</v>
      </c>
      <c r="BG207" s="7">
        <v>78</v>
      </c>
      <c r="DA207" s="7" t="e">
        <f>VLOOKUP(C207,listaBolsa!$D$2:$BA$248,1,0)</f>
        <v>#N/A</v>
      </c>
      <c r="DB207" s="7" t="e">
        <f>VLOOKUP(C207,listaBolsa!$D$2:$BA$248,2,0)</f>
        <v>#N/A</v>
      </c>
      <c r="DC207" s="7" t="e">
        <f>VLOOKUP(C207,listaBolsa!$D$2:$BA$248,10,0)</f>
        <v>#N/A</v>
      </c>
      <c r="DD207" s="7" t="e">
        <f>VLOOKUP(C207,listaBolsa!$D$2:$BA$248,14,0)</f>
        <v>#N/A</v>
      </c>
      <c r="DE207" s="7" t="e">
        <f>VLOOKUP(C207,listaBolsa!$D$2:$BA$248,23,0)</f>
        <v>#N/A</v>
      </c>
      <c r="DF207" s="7" t="e">
        <f>VLOOKUP(C207,listaBolsa!$D$2:$BA$248,29,0)</f>
        <v>#N/A</v>
      </c>
      <c r="DG207" s="7" t="e">
        <f>VLOOKUP(C207,listaBolsa!$D$2:$BA$248,36,0)</f>
        <v>#N/A</v>
      </c>
      <c r="DH207" s="7" t="e">
        <f>VLOOKUP(C207,listaBolsa!$D$2:$BA$248,40,0)</f>
        <v>#N/A</v>
      </c>
      <c r="DI207" s="7" t="e">
        <f>VLOOKUP(C207,listaBolsa!$D$2:$BA$248,48,0)</f>
        <v>#N/A</v>
      </c>
      <c r="DJ207" s="7" t="e">
        <f t="shared" si="78"/>
        <v>#N/A</v>
      </c>
      <c r="DK207" s="7" t="e">
        <f t="shared" si="78"/>
        <v>#N/A</v>
      </c>
      <c r="DL207" s="7" t="e">
        <f t="shared" si="80"/>
        <v>#N/A</v>
      </c>
      <c r="DM207" s="7" t="e">
        <f t="shared" si="80"/>
        <v>#N/A</v>
      </c>
      <c r="DN207" s="7" t="e">
        <f t="shared" si="81"/>
        <v>#N/A</v>
      </c>
      <c r="DO207" s="7" t="e">
        <f t="shared" si="81"/>
        <v>#N/A</v>
      </c>
      <c r="DP207" s="7" t="e">
        <f t="shared" si="82"/>
        <v>#N/A</v>
      </c>
      <c r="DQ207" s="7" t="e">
        <f t="shared" si="82"/>
        <v>#N/A</v>
      </c>
      <c r="DR207" s="7" t="e">
        <f t="shared" ref="DR207:DR263" si="87">DI207=AC207</f>
        <v>#N/A</v>
      </c>
    </row>
    <row r="208" spans="1:122" s="7" customFormat="1" ht="42" customHeight="1">
      <c r="A208" s="75">
        <f t="shared" si="77"/>
        <v>194</v>
      </c>
      <c r="B208" s="538" t="s">
        <v>579</v>
      </c>
      <c r="C208" s="351" t="s">
        <v>837</v>
      </c>
      <c r="D208" s="351" t="s">
        <v>838</v>
      </c>
      <c r="E208" s="193" t="s">
        <v>568</v>
      </c>
      <c r="F208" s="75">
        <v>1</v>
      </c>
      <c r="G208" s="75" t="s">
        <v>192</v>
      </c>
      <c r="H208" s="106" t="s">
        <v>380</v>
      </c>
      <c r="I208" s="107">
        <v>39000</v>
      </c>
      <c r="J208" s="96"/>
      <c r="K208" s="96">
        <f t="shared" si="84"/>
        <v>39000</v>
      </c>
      <c r="L208" s="96">
        <f t="shared" si="69"/>
        <v>39000</v>
      </c>
      <c r="M208" s="96">
        <f t="shared" si="70"/>
        <v>39000</v>
      </c>
      <c r="N208" s="108" t="s">
        <v>381</v>
      </c>
      <c r="O208" s="109">
        <v>38000</v>
      </c>
      <c r="P208" s="110"/>
      <c r="Q208" s="110">
        <f t="shared" si="85"/>
        <v>38000</v>
      </c>
      <c r="R208" s="110">
        <f t="shared" si="71"/>
        <v>38000</v>
      </c>
      <c r="S208" s="110">
        <f t="shared" si="72"/>
        <v>38000</v>
      </c>
      <c r="T208" s="97" t="s">
        <v>382</v>
      </c>
      <c r="U208" s="98">
        <v>41000</v>
      </c>
      <c r="V208" s="99"/>
      <c r="W208" s="99">
        <f t="shared" si="86"/>
        <v>41000</v>
      </c>
      <c r="X208" s="99">
        <f t="shared" si="73"/>
        <v>41000</v>
      </c>
      <c r="Y208" s="99">
        <f t="shared" si="74"/>
        <v>41000</v>
      </c>
      <c r="Z208" s="100">
        <f t="shared" si="67"/>
        <v>39333.333333333336</v>
      </c>
      <c r="AA208" s="100">
        <f t="shared" si="75"/>
        <v>39333.333333333336</v>
      </c>
      <c r="AB208" s="78">
        <f t="shared" si="68"/>
        <v>1527.5252316519466</v>
      </c>
      <c r="AC208" s="102">
        <f t="shared" si="79"/>
        <v>3.8835387245388472E-2</v>
      </c>
      <c r="AD208" s="5"/>
      <c r="AF208" s="7" t="s">
        <v>570</v>
      </c>
      <c r="AG208" s="7">
        <v>90</v>
      </c>
      <c r="AH208" s="7" t="s">
        <v>839</v>
      </c>
      <c r="BG208" s="7">
        <v>79</v>
      </c>
      <c r="DA208" s="7" t="e">
        <f>VLOOKUP(C208,listaBolsa!$D$2:$BA$248,1,0)</f>
        <v>#N/A</v>
      </c>
      <c r="DB208" s="7" t="e">
        <f>VLOOKUP(C208,listaBolsa!$D$2:$BA$248,2,0)</f>
        <v>#N/A</v>
      </c>
      <c r="DC208" s="7" t="e">
        <f>VLOOKUP(C208,listaBolsa!$D$2:$BA$248,10,0)</f>
        <v>#N/A</v>
      </c>
      <c r="DD208" s="7" t="e">
        <f>VLOOKUP(C208,listaBolsa!$D$2:$BA$248,14,0)</f>
        <v>#N/A</v>
      </c>
      <c r="DE208" s="7" t="e">
        <f>VLOOKUP(C208,listaBolsa!$D$2:$BA$248,23,0)</f>
        <v>#N/A</v>
      </c>
      <c r="DF208" s="7" t="e">
        <f>VLOOKUP(C208,listaBolsa!$D$2:$BA$248,29,0)</f>
        <v>#N/A</v>
      </c>
      <c r="DG208" s="7" t="e">
        <f>VLOOKUP(C208,listaBolsa!$D$2:$BA$248,36,0)</f>
        <v>#N/A</v>
      </c>
      <c r="DH208" s="7" t="e">
        <f>VLOOKUP(C208,listaBolsa!$D$2:$BA$248,40,0)</f>
        <v>#N/A</v>
      </c>
      <c r="DI208" s="7" t="e">
        <f>VLOOKUP(C208,listaBolsa!$D$2:$BA$248,48,0)</f>
        <v>#N/A</v>
      </c>
      <c r="DJ208" s="7" t="e">
        <f t="shared" si="78"/>
        <v>#N/A</v>
      </c>
      <c r="DK208" s="7" t="e">
        <f t="shared" si="78"/>
        <v>#N/A</v>
      </c>
      <c r="DL208" s="7" t="e">
        <f t="shared" si="80"/>
        <v>#N/A</v>
      </c>
      <c r="DM208" s="7" t="e">
        <f t="shared" si="80"/>
        <v>#N/A</v>
      </c>
      <c r="DN208" s="7" t="e">
        <f t="shared" si="81"/>
        <v>#N/A</v>
      </c>
      <c r="DO208" s="7" t="e">
        <f t="shared" si="81"/>
        <v>#N/A</v>
      </c>
      <c r="DP208" s="7" t="e">
        <f t="shared" si="82"/>
        <v>#N/A</v>
      </c>
      <c r="DQ208" s="7" t="e">
        <f t="shared" si="82"/>
        <v>#N/A</v>
      </c>
      <c r="DR208" s="7" t="e">
        <f t="shared" si="87"/>
        <v>#N/A</v>
      </c>
    </row>
    <row r="209" spans="1:122" s="7" customFormat="1" ht="42" customHeight="1">
      <c r="A209" s="75">
        <f t="shared" si="77"/>
        <v>195</v>
      </c>
      <c r="B209" s="538" t="s">
        <v>579</v>
      </c>
      <c r="C209" s="351" t="s">
        <v>840</v>
      </c>
      <c r="D209" s="351" t="s">
        <v>841</v>
      </c>
      <c r="E209" s="193" t="s">
        <v>568</v>
      </c>
      <c r="F209" s="75">
        <v>1</v>
      </c>
      <c r="G209" s="75" t="s">
        <v>192</v>
      </c>
      <c r="H209" s="106" t="s">
        <v>380</v>
      </c>
      <c r="I209" s="107">
        <v>39000</v>
      </c>
      <c r="J209" s="96"/>
      <c r="K209" s="96">
        <f t="shared" si="84"/>
        <v>39000</v>
      </c>
      <c r="L209" s="96">
        <f t="shared" si="69"/>
        <v>39000</v>
      </c>
      <c r="M209" s="96">
        <f t="shared" si="70"/>
        <v>39000</v>
      </c>
      <c r="N209" s="108" t="s">
        <v>381</v>
      </c>
      <c r="O209" s="109">
        <v>38000</v>
      </c>
      <c r="P209" s="110"/>
      <c r="Q209" s="110">
        <f t="shared" si="85"/>
        <v>38000</v>
      </c>
      <c r="R209" s="110">
        <f t="shared" si="71"/>
        <v>38000</v>
      </c>
      <c r="S209" s="110">
        <f t="shared" si="72"/>
        <v>38000</v>
      </c>
      <c r="T209" s="97" t="s">
        <v>382</v>
      </c>
      <c r="U209" s="98">
        <v>35000</v>
      </c>
      <c r="V209" s="99"/>
      <c r="W209" s="99">
        <f t="shared" si="86"/>
        <v>35000</v>
      </c>
      <c r="X209" s="99">
        <f t="shared" si="73"/>
        <v>35000</v>
      </c>
      <c r="Y209" s="99">
        <f t="shared" si="74"/>
        <v>35000</v>
      </c>
      <c r="Z209" s="100">
        <f t="shared" si="67"/>
        <v>37333.333333333336</v>
      </c>
      <c r="AA209" s="100">
        <f t="shared" si="75"/>
        <v>37333.333333333336</v>
      </c>
      <c r="AB209" s="78">
        <f t="shared" si="68"/>
        <v>2081.6659994661327</v>
      </c>
      <c r="AC209" s="102">
        <f t="shared" si="79"/>
        <v>5.5758910699985696E-2</v>
      </c>
      <c r="AD209" s="5"/>
      <c r="AF209" s="7" t="s">
        <v>570</v>
      </c>
      <c r="AG209" s="7">
        <v>91</v>
      </c>
      <c r="AH209" s="7" t="s">
        <v>842</v>
      </c>
      <c r="BG209" s="7">
        <v>80</v>
      </c>
      <c r="DA209" s="7" t="e">
        <f>VLOOKUP(C209,listaBolsa!$D$2:$BA$248,1,0)</f>
        <v>#N/A</v>
      </c>
      <c r="DB209" s="7" t="e">
        <f>VLOOKUP(C209,listaBolsa!$D$2:$BA$248,2,0)</f>
        <v>#N/A</v>
      </c>
      <c r="DC209" s="7" t="e">
        <f>VLOOKUP(C209,listaBolsa!$D$2:$BA$248,10,0)</f>
        <v>#N/A</v>
      </c>
      <c r="DD209" s="7" t="e">
        <f>VLOOKUP(C209,listaBolsa!$D$2:$BA$248,14,0)</f>
        <v>#N/A</v>
      </c>
      <c r="DE209" s="7" t="e">
        <f>VLOOKUP(C209,listaBolsa!$D$2:$BA$248,23,0)</f>
        <v>#N/A</v>
      </c>
      <c r="DF209" s="7" t="e">
        <f>VLOOKUP(C209,listaBolsa!$D$2:$BA$248,29,0)</f>
        <v>#N/A</v>
      </c>
      <c r="DG209" s="7" t="e">
        <f>VLOOKUP(C209,listaBolsa!$D$2:$BA$248,36,0)</f>
        <v>#N/A</v>
      </c>
      <c r="DH209" s="7" t="e">
        <f>VLOOKUP(C209,listaBolsa!$D$2:$BA$248,40,0)</f>
        <v>#N/A</v>
      </c>
      <c r="DI209" s="7" t="e">
        <f>VLOOKUP(C209,listaBolsa!$D$2:$BA$248,48,0)</f>
        <v>#N/A</v>
      </c>
      <c r="DJ209" s="7" t="e">
        <f t="shared" si="78"/>
        <v>#N/A</v>
      </c>
      <c r="DK209" s="7" t="e">
        <f t="shared" si="78"/>
        <v>#N/A</v>
      </c>
      <c r="DL209" s="7" t="e">
        <f t="shared" si="80"/>
        <v>#N/A</v>
      </c>
      <c r="DM209" s="7" t="e">
        <f t="shared" si="80"/>
        <v>#N/A</v>
      </c>
      <c r="DN209" s="7" t="e">
        <f t="shared" si="81"/>
        <v>#N/A</v>
      </c>
      <c r="DO209" s="7" t="e">
        <f t="shared" si="81"/>
        <v>#N/A</v>
      </c>
      <c r="DP209" s="7" t="e">
        <f t="shared" si="82"/>
        <v>#N/A</v>
      </c>
      <c r="DQ209" s="7" t="e">
        <f t="shared" si="82"/>
        <v>#N/A</v>
      </c>
      <c r="DR209" s="7" t="e">
        <f t="shared" si="87"/>
        <v>#N/A</v>
      </c>
    </row>
    <row r="210" spans="1:122" s="7" customFormat="1" ht="42" customHeight="1">
      <c r="A210" s="75">
        <f t="shared" si="77"/>
        <v>196</v>
      </c>
      <c r="B210" s="538" t="s">
        <v>579</v>
      </c>
      <c r="C210" s="392" t="s">
        <v>843</v>
      </c>
      <c r="D210" s="392" t="s">
        <v>844</v>
      </c>
      <c r="E210" s="193" t="s">
        <v>568</v>
      </c>
      <c r="F210" s="75">
        <v>1</v>
      </c>
      <c r="G210" s="75" t="s">
        <v>192</v>
      </c>
      <c r="H210" s="106" t="s">
        <v>380</v>
      </c>
      <c r="I210" s="107">
        <v>57000</v>
      </c>
      <c r="J210" s="96">
        <f t="shared" si="64"/>
        <v>10830</v>
      </c>
      <c r="K210" s="96">
        <f t="shared" si="84"/>
        <v>67830</v>
      </c>
      <c r="L210" s="96">
        <f t="shared" si="69"/>
        <v>57000</v>
      </c>
      <c r="M210" s="96">
        <f t="shared" si="70"/>
        <v>67830</v>
      </c>
      <c r="N210" s="108" t="s">
        <v>381</v>
      </c>
      <c r="O210" s="109">
        <v>55000</v>
      </c>
      <c r="P210" s="110">
        <f t="shared" si="83"/>
        <v>10450</v>
      </c>
      <c r="Q210" s="110">
        <f t="shared" si="85"/>
        <v>65450</v>
      </c>
      <c r="R210" s="110">
        <f t="shared" si="71"/>
        <v>55000</v>
      </c>
      <c r="S210" s="110">
        <f t="shared" si="72"/>
        <v>65450</v>
      </c>
      <c r="T210" s="97" t="s">
        <v>382</v>
      </c>
      <c r="U210" s="98">
        <v>52800</v>
      </c>
      <c r="V210" s="99">
        <f t="shared" si="66"/>
        <v>10032</v>
      </c>
      <c r="W210" s="99">
        <f t="shared" si="86"/>
        <v>62832</v>
      </c>
      <c r="X210" s="99">
        <f t="shared" si="73"/>
        <v>52800</v>
      </c>
      <c r="Y210" s="99">
        <f t="shared" si="74"/>
        <v>62832</v>
      </c>
      <c r="Z210" s="100">
        <f t="shared" si="67"/>
        <v>65370.666666666664</v>
      </c>
      <c r="AA210" s="100">
        <f t="shared" si="75"/>
        <v>65370.666666666664</v>
      </c>
      <c r="AB210" s="78">
        <f t="shared" si="68"/>
        <v>2499.944266045412</v>
      </c>
      <c r="AC210" s="102">
        <f t="shared" si="79"/>
        <v>3.8242600137351292E-2</v>
      </c>
      <c r="AD210" s="5"/>
      <c r="AF210" s="7" t="s">
        <v>570</v>
      </c>
      <c r="AG210" s="7">
        <v>92</v>
      </c>
      <c r="AH210" s="7" t="s">
        <v>845</v>
      </c>
      <c r="BG210" s="7">
        <v>81</v>
      </c>
      <c r="DA210" s="7" t="e">
        <f>VLOOKUP(C210,listaBolsa!$D$2:$BA$248,1,0)</f>
        <v>#N/A</v>
      </c>
      <c r="DB210" s="7" t="e">
        <f>VLOOKUP(C210,listaBolsa!$D$2:$BA$248,2,0)</f>
        <v>#N/A</v>
      </c>
      <c r="DC210" s="7" t="e">
        <f>VLOOKUP(C210,listaBolsa!$D$2:$BA$248,10,0)</f>
        <v>#N/A</v>
      </c>
      <c r="DD210" s="7" t="e">
        <f>VLOOKUP(C210,listaBolsa!$D$2:$BA$248,14,0)</f>
        <v>#N/A</v>
      </c>
      <c r="DE210" s="7" t="e">
        <f>VLOOKUP(C210,listaBolsa!$D$2:$BA$248,23,0)</f>
        <v>#N/A</v>
      </c>
      <c r="DF210" s="7" t="e">
        <f>VLOOKUP(C210,listaBolsa!$D$2:$BA$248,29,0)</f>
        <v>#N/A</v>
      </c>
      <c r="DG210" s="7" t="e">
        <f>VLOOKUP(C210,listaBolsa!$D$2:$BA$248,36,0)</f>
        <v>#N/A</v>
      </c>
      <c r="DH210" s="7" t="e">
        <f>VLOOKUP(C210,listaBolsa!$D$2:$BA$248,40,0)</f>
        <v>#N/A</v>
      </c>
      <c r="DI210" s="7" t="e">
        <f>VLOOKUP(C210,listaBolsa!$D$2:$BA$248,48,0)</f>
        <v>#N/A</v>
      </c>
      <c r="DJ210" s="7" t="e">
        <f t="shared" ref="DJ210:DJ263" si="88">DA210=C210</f>
        <v>#N/A</v>
      </c>
      <c r="DK210" s="7" t="e">
        <f>DB210=#REF!</f>
        <v>#N/A</v>
      </c>
      <c r="DL210" s="7" t="e">
        <f t="shared" si="80"/>
        <v>#N/A</v>
      </c>
      <c r="DM210" s="7" t="e">
        <f t="shared" si="80"/>
        <v>#N/A</v>
      </c>
      <c r="DN210" s="7" t="e">
        <f t="shared" si="81"/>
        <v>#N/A</v>
      </c>
      <c r="DO210" s="7" t="e">
        <f t="shared" si="81"/>
        <v>#N/A</v>
      </c>
      <c r="DP210" s="7" t="e">
        <f t="shared" si="82"/>
        <v>#N/A</v>
      </c>
      <c r="DQ210" s="7" t="e">
        <f t="shared" si="82"/>
        <v>#N/A</v>
      </c>
      <c r="DR210" s="7" t="e">
        <f t="shared" si="87"/>
        <v>#N/A</v>
      </c>
    </row>
    <row r="211" spans="1:122" s="7" customFormat="1" ht="42" customHeight="1">
      <c r="A211" s="75">
        <f t="shared" si="77"/>
        <v>197</v>
      </c>
      <c r="B211" s="538" t="s">
        <v>579</v>
      </c>
      <c r="C211" s="336" t="s">
        <v>846</v>
      </c>
      <c r="D211" s="336" t="s">
        <v>847</v>
      </c>
      <c r="E211" s="193" t="s">
        <v>568</v>
      </c>
      <c r="F211" s="75">
        <v>1</v>
      </c>
      <c r="G211" s="75" t="s">
        <v>192</v>
      </c>
      <c r="H211" s="106" t="s">
        <v>380</v>
      </c>
      <c r="I211" s="107">
        <v>94000</v>
      </c>
      <c r="J211" s="96"/>
      <c r="K211" s="96">
        <f t="shared" si="84"/>
        <v>94000</v>
      </c>
      <c r="L211" s="96">
        <f t="shared" si="69"/>
        <v>94000</v>
      </c>
      <c r="M211" s="96">
        <f t="shared" si="70"/>
        <v>94000</v>
      </c>
      <c r="N211" s="108" t="s">
        <v>381</v>
      </c>
      <c r="O211" s="109">
        <v>92000</v>
      </c>
      <c r="P211" s="110"/>
      <c r="Q211" s="110">
        <f t="shared" si="85"/>
        <v>92000</v>
      </c>
      <c r="R211" s="110">
        <f t="shared" si="71"/>
        <v>92000</v>
      </c>
      <c r="S211" s="110">
        <f t="shared" si="72"/>
        <v>92000</v>
      </c>
      <c r="T211" s="97" t="s">
        <v>382</v>
      </c>
      <c r="U211" s="98">
        <v>89600</v>
      </c>
      <c r="V211" s="99"/>
      <c r="W211" s="99">
        <f t="shared" si="86"/>
        <v>89600</v>
      </c>
      <c r="X211" s="99">
        <f t="shared" si="73"/>
        <v>89600</v>
      </c>
      <c r="Y211" s="99">
        <f t="shared" si="74"/>
        <v>89600</v>
      </c>
      <c r="Z211" s="100">
        <f t="shared" si="67"/>
        <v>91866.666666666672</v>
      </c>
      <c r="AA211" s="100">
        <f t="shared" si="75"/>
        <v>91866.666666666672</v>
      </c>
      <c r="AB211" s="78">
        <f t="shared" si="68"/>
        <v>2203.0282189144409</v>
      </c>
      <c r="AC211" s="102">
        <f t="shared" si="79"/>
        <v>2.398071355857519E-2</v>
      </c>
      <c r="AD211" s="5"/>
      <c r="AF211" s="7" t="s">
        <v>570</v>
      </c>
      <c r="AG211" s="7">
        <v>93</v>
      </c>
      <c r="AH211" s="7" t="s">
        <v>848</v>
      </c>
      <c r="BG211" s="7">
        <v>82</v>
      </c>
      <c r="DA211" s="7" t="e">
        <f>VLOOKUP(C211,listaBolsa!$D$2:$BA$248,1,0)</f>
        <v>#N/A</v>
      </c>
      <c r="DB211" s="7" t="e">
        <f>VLOOKUP(C211,listaBolsa!$D$2:$BA$248,2,0)</f>
        <v>#N/A</v>
      </c>
      <c r="DC211" s="7" t="e">
        <f>VLOOKUP(C211,listaBolsa!$D$2:$BA$248,10,0)</f>
        <v>#N/A</v>
      </c>
      <c r="DD211" s="7" t="e">
        <f>VLOOKUP(C211,listaBolsa!$D$2:$BA$248,14,0)</f>
        <v>#N/A</v>
      </c>
      <c r="DE211" s="7" t="e">
        <f>VLOOKUP(C211,listaBolsa!$D$2:$BA$248,23,0)</f>
        <v>#N/A</v>
      </c>
      <c r="DF211" s="7" t="e">
        <f>VLOOKUP(C211,listaBolsa!$D$2:$BA$248,29,0)</f>
        <v>#N/A</v>
      </c>
      <c r="DG211" s="7" t="e">
        <f>VLOOKUP(C211,listaBolsa!$D$2:$BA$248,36,0)</f>
        <v>#N/A</v>
      </c>
      <c r="DH211" s="7" t="e">
        <f>VLOOKUP(C211,listaBolsa!$D$2:$BA$248,40,0)</f>
        <v>#N/A</v>
      </c>
      <c r="DI211" s="7" t="e">
        <f>VLOOKUP(C211,listaBolsa!$D$2:$BA$248,48,0)</f>
        <v>#N/A</v>
      </c>
      <c r="DJ211" s="7" t="e">
        <f t="shared" si="88"/>
        <v>#N/A</v>
      </c>
      <c r="DK211" s="7" t="e">
        <f t="shared" ref="DK211:DK262" si="89">DB211=D210</f>
        <v>#N/A</v>
      </c>
      <c r="DL211" s="7" t="e">
        <f t="shared" si="80"/>
        <v>#N/A</v>
      </c>
      <c r="DM211" s="7" t="e">
        <f t="shared" si="80"/>
        <v>#N/A</v>
      </c>
      <c r="DN211" s="7" t="e">
        <f t="shared" si="81"/>
        <v>#N/A</v>
      </c>
      <c r="DO211" s="7" t="e">
        <f t="shared" si="81"/>
        <v>#N/A</v>
      </c>
      <c r="DP211" s="7" t="e">
        <f t="shared" si="82"/>
        <v>#N/A</v>
      </c>
      <c r="DQ211" s="7" t="e">
        <f t="shared" si="82"/>
        <v>#N/A</v>
      </c>
      <c r="DR211" s="7" t="e">
        <f t="shared" si="87"/>
        <v>#N/A</v>
      </c>
    </row>
    <row r="212" spans="1:122" s="7" customFormat="1" ht="42" customHeight="1">
      <c r="A212" s="75">
        <f t="shared" si="77"/>
        <v>198</v>
      </c>
      <c r="B212" s="538" t="s">
        <v>579</v>
      </c>
      <c r="C212" s="336" t="s">
        <v>849</v>
      </c>
      <c r="D212" s="336" t="s">
        <v>850</v>
      </c>
      <c r="E212" s="193" t="s">
        <v>568</v>
      </c>
      <c r="F212" s="75">
        <v>1</v>
      </c>
      <c r="G212" s="75" t="s">
        <v>192</v>
      </c>
      <c r="H212" s="106" t="s">
        <v>380</v>
      </c>
      <c r="I212" s="107">
        <v>75000</v>
      </c>
      <c r="J212" s="96">
        <f t="shared" ref="J212:J262" si="90">I212*19%</f>
        <v>14250</v>
      </c>
      <c r="K212" s="96">
        <f t="shared" si="84"/>
        <v>89250</v>
      </c>
      <c r="L212" s="96">
        <f t="shared" si="69"/>
        <v>75000</v>
      </c>
      <c r="M212" s="96">
        <f t="shared" si="70"/>
        <v>89250</v>
      </c>
      <c r="N212" s="108" t="s">
        <v>381</v>
      </c>
      <c r="O212" s="109">
        <v>73000</v>
      </c>
      <c r="P212" s="110">
        <f t="shared" si="83"/>
        <v>13870</v>
      </c>
      <c r="Q212" s="110">
        <f t="shared" si="85"/>
        <v>86870</v>
      </c>
      <c r="R212" s="110">
        <f t="shared" si="71"/>
        <v>73000</v>
      </c>
      <c r="S212" s="110">
        <f t="shared" si="72"/>
        <v>86870</v>
      </c>
      <c r="T212" s="97" t="s">
        <v>382</v>
      </c>
      <c r="U212" s="98">
        <v>70000</v>
      </c>
      <c r="V212" s="99">
        <f t="shared" ref="V212:V262" si="91">U212*19%</f>
        <v>13300</v>
      </c>
      <c r="W212" s="99">
        <f t="shared" si="86"/>
        <v>83300</v>
      </c>
      <c r="X212" s="99">
        <f t="shared" si="73"/>
        <v>70000</v>
      </c>
      <c r="Y212" s="99">
        <f t="shared" si="74"/>
        <v>83300</v>
      </c>
      <c r="Z212" s="100">
        <f t="shared" ref="Z212:Z264" si="92">IF(A212="","",AVERAGE(K212,Q212,W212))</f>
        <v>86473.333333333328</v>
      </c>
      <c r="AA212" s="100">
        <f t="shared" si="75"/>
        <v>86473.333333333328</v>
      </c>
      <c r="AB212" s="78">
        <f t="shared" ref="AB212:AB263" si="93">IF(B212="","",STDEV(M212,S212,Y212))</f>
        <v>2994.767659324064</v>
      </c>
      <c r="AC212" s="102">
        <f t="shared" si="79"/>
        <v>3.4632268051700686E-2</v>
      </c>
      <c r="AD212" s="5"/>
      <c r="AF212" s="7" t="s">
        <v>570</v>
      </c>
      <c r="AG212" s="7">
        <v>94</v>
      </c>
      <c r="AH212" s="7" t="s">
        <v>851</v>
      </c>
      <c r="BG212" s="7">
        <v>83</v>
      </c>
      <c r="DA212" s="7" t="e">
        <f>VLOOKUP(C212,listaBolsa!$D$2:$BA$248,1,0)</f>
        <v>#N/A</v>
      </c>
      <c r="DB212" s="7" t="e">
        <f>VLOOKUP(C212,listaBolsa!$D$2:$BA$248,2,0)</f>
        <v>#N/A</v>
      </c>
      <c r="DC212" s="7" t="e">
        <f>VLOOKUP(C212,listaBolsa!$D$2:$BA$248,10,0)</f>
        <v>#N/A</v>
      </c>
      <c r="DD212" s="7" t="e">
        <f>VLOOKUP(C212,listaBolsa!$D$2:$BA$248,14,0)</f>
        <v>#N/A</v>
      </c>
      <c r="DE212" s="7" t="e">
        <f>VLOOKUP(C212,listaBolsa!$D$2:$BA$248,23,0)</f>
        <v>#N/A</v>
      </c>
      <c r="DF212" s="7" t="e">
        <f>VLOOKUP(C212,listaBolsa!$D$2:$BA$248,29,0)</f>
        <v>#N/A</v>
      </c>
      <c r="DG212" s="7" t="e">
        <f>VLOOKUP(C212,listaBolsa!$D$2:$BA$248,36,0)</f>
        <v>#N/A</v>
      </c>
      <c r="DH212" s="7" t="e">
        <f>VLOOKUP(C212,listaBolsa!$D$2:$BA$248,40,0)</f>
        <v>#N/A</v>
      </c>
      <c r="DI212" s="7" t="e">
        <f>VLOOKUP(C212,listaBolsa!$D$2:$BA$248,48,0)</f>
        <v>#N/A</v>
      </c>
      <c r="DJ212" s="7" t="e">
        <f t="shared" si="88"/>
        <v>#N/A</v>
      </c>
      <c r="DK212" s="7" t="e">
        <f t="shared" si="89"/>
        <v>#N/A</v>
      </c>
      <c r="DL212" s="7" t="e">
        <f t="shared" si="80"/>
        <v>#N/A</v>
      </c>
      <c r="DM212" s="7" t="e">
        <f t="shared" si="80"/>
        <v>#N/A</v>
      </c>
      <c r="DN212" s="7" t="e">
        <f t="shared" si="81"/>
        <v>#N/A</v>
      </c>
      <c r="DO212" s="7" t="e">
        <f t="shared" si="81"/>
        <v>#N/A</v>
      </c>
      <c r="DP212" s="7" t="e">
        <f t="shared" si="82"/>
        <v>#N/A</v>
      </c>
      <c r="DQ212" s="7" t="e">
        <f t="shared" si="82"/>
        <v>#N/A</v>
      </c>
      <c r="DR212" s="7" t="e">
        <f t="shared" si="87"/>
        <v>#N/A</v>
      </c>
    </row>
    <row r="213" spans="1:122" s="7" customFormat="1" ht="42" customHeight="1">
      <c r="A213" s="75">
        <f t="shared" si="77"/>
        <v>199</v>
      </c>
      <c r="B213" s="538" t="s">
        <v>579</v>
      </c>
      <c r="C213" s="336" t="s">
        <v>852</v>
      </c>
      <c r="D213" s="336" t="s">
        <v>853</v>
      </c>
      <c r="E213" s="193" t="s">
        <v>568</v>
      </c>
      <c r="F213" s="75">
        <v>1</v>
      </c>
      <c r="G213" s="75" t="s">
        <v>192</v>
      </c>
      <c r="H213" s="106" t="s">
        <v>380</v>
      </c>
      <c r="I213" s="107">
        <v>20000</v>
      </c>
      <c r="J213" s="96"/>
      <c r="K213" s="96">
        <f t="shared" si="84"/>
        <v>20000</v>
      </c>
      <c r="L213" s="96">
        <f t="shared" si="69"/>
        <v>20000</v>
      </c>
      <c r="M213" s="96">
        <f t="shared" si="70"/>
        <v>20000</v>
      </c>
      <c r="N213" s="108" t="s">
        <v>381</v>
      </c>
      <c r="O213" s="109">
        <v>18000</v>
      </c>
      <c r="P213" s="110"/>
      <c r="Q213" s="110">
        <f t="shared" si="85"/>
        <v>18000</v>
      </c>
      <c r="R213" s="110">
        <f t="shared" si="71"/>
        <v>18000</v>
      </c>
      <c r="S213" s="110">
        <f t="shared" si="72"/>
        <v>18000</v>
      </c>
      <c r="T213" s="97" t="s">
        <v>382</v>
      </c>
      <c r="U213" s="98">
        <v>17000</v>
      </c>
      <c r="V213" s="99"/>
      <c r="W213" s="99">
        <f t="shared" si="86"/>
        <v>17000</v>
      </c>
      <c r="X213" s="99">
        <f t="shared" si="73"/>
        <v>17000</v>
      </c>
      <c r="Y213" s="99">
        <f t="shared" si="74"/>
        <v>17000</v>
      </c>
      <c r="Z213" s="100">
        <f t="shared" si="92"/>
        <v>18333.333333333332</v>
      </c>
      <c r="AA213" s="100">
        <f t="shared" si="75"/>
        <v>18333.333333333332</v>
      </c>
      <c r="AB213" s="78">
        <f t="shared" si="93"/>
        <v>1527.5252316519466</v>
      </c>
      <c r="AC213" s="102">
        <f t="shared" si="79"/>
        <v>8.3319558090106188E-2</v>
      </c>
      <c r="AD213" s="5"/>
      <c r="AF213" s="7" t="s">
        <v>570</v>
      </c>
      <c r="AG213" s="7">
        <v>95</v>
      </c>
      <c r="AH213" s="7" t="s">
        <v>854</v>
      </c>
      <c r="BG213" s="7">
        <v>84</v>
      </c>
      <c r="DA213" s="7" t="e">
        <f>VLOOKUP(C213,listaBolsa!$D$2:$BA$248,1,0)</f>
        <v>#N/A</v>
      </c>
      <c r="DB213" s="7" t="e">
        <f>VLOOKUP(C213,listaBolsa!$D$2:$BA$248,2,0)</f>
        <v>#N/A</v>
      </c>
      <c r="DC213" s="7" t="e">
        <f>VLOOKUP(C213,listaBolsa!$D$2:$BA$248,10,0)</f>
        <v>#N/A</v>
      </c>
      <c r="DD213" s="7" t="e">
        <f>VLOOKUP(C213,listaBolsa!$D$2:$BA$248,14,0)</f>
        <v>#N/A</v>
      </c>
      <c r="DE213" s="7" t="e">
        <f>VLOOKUP(C213,listaBolsa!$D$2:$BA$248,23,0)</f>
        <v>#N/A</v>
      </c>
      <c r="DF213" s="7" t="e">
        <f>VLOOKUP(C213,listaBolsa!$D$2:$BA$248,29,0)</f>
        <v>#N/A</v>
      </c>
      <c r="DG213" s="7" t="e">
        <f>VLOOKUP(C213,listaBolsa!$D$2:$BA$248,36,0)</f>
        <v>#N/A</v>
      </c>
      <c r="DH213" s="7" t="e">
        <f>VLOOKUP(C213,listaBolsa!$D$2:$BA$248,40,0)</f>
        <v>#N/A</v>
      </c>
      <c r="DI213" s="7" t="e">
        <f>VLOOKUP(C213,listaBolsa!$D$2:$BA$248,48,0)</f>
        <v>#N/A</v>
      </c>
      <c r="DJ213" s="7" t="e">
        <f t="shared" si="88"/>
        <v>#N/A</v>
      </c>
      <c r="DK213" s="7" t="e">
        <f t="shared" si="89"/>
        <v>#N/A</v>
      </c>
      <c r="DL213" s="7" t="e">
        <f t="shared" si="80"/>
        <v>#N/A</v>
      </c>
      <c r="DM213" s="7" t="e">
        <f t="shared" si="80"/>
        <v>#N/A</v>
      </c>
      <c r="DN213" s="7" t="e">
        <f t="shared" si="81"/>
        <v>#N/A</v>
      </c>
      <c r="DO213" s="7" t="e">
        <f t="shared" si="81"/>
        <v>#N/A</v>
      </c>
      <c r="DP213" s="7" t="e">
        <f t="shared" si="82"/>
        <v>#N/A</v>
      </c>
      <c r="DQ213" s="7" t="e">
        <f t="shared" si="82"/>
        <v>#N/A</v>
      </c>
      <c r="DR213" s="7" t="e">
        <f t="shared" si="87"/>
        <v>#N/A</v>
      </c>
    </row>
    <row r="214" spans="1:122" s="7" customFormat="1" ht="42" customHeight="1">
      <c r="A214" s="75">
        <f t="shared" si="77"/>
        <v>200</v>
      </c>
      <c r="B214" s="538" t="s">
        <v>579</v>
      </c>
      <c r="C214" s="336" t="s">
        <v>855</v>
      </c>
      <c r="D214" s="336" t="s">
        <v>856</v>
      </c>
      <c r="E214" s="193" t="s">
        <v>568</v>
      </c>
      <c r="F214" s="75">
        <v>1</v>
      </c>
      <c r="G214" s="75" t="s">
        <v>192</v>
      </c>
      <c r="H214" s="106" t="s">
        <v>328</v>
      </c>
      <c r="I214" s="107">
        <v>33613.445378151257</v>
      </c>
      <c r="J214" s="96">
        <f t="shared" si="90"/>
        <v>6386.5546218487389</v>
      </c>
      <c r="K214" s="96">
        <f t="shared" si="84"/>
        <v>39999.999999999993</v>
      </c>
      <c r="L214" s="96">
        <f t="shared" si="69"/>
        <v>33613.445378151257</v>
      </c>
      <c r="M214" s="96">
        <f t="shared" si="70"/>
        <v>39999.999999999993</v>
      </c>
      <c r="N214" s="108" t="s">
        <v>857</v>
      </c>
      <c r="O214" s="109">
        <v>26890.756302521011</v>
      </c>
      <c r="P214" s="110">
        <f t="shared" si="83"/>
        <v>5109.2436974789925</v>
      </c>
      <c r="Q214" s="110">
        <f t="shared" si="85"/>
        <v>32000.000000000004</v>
      </c>
      <c r="R214" s="110">
        <f t="shared" si="71"/>
        <v>26890.756302521011</v>
      </c>
      <c r="S214" s="110">
        <f t="shared" si="72"/>
        <v>32000.000000000004</v>
      </c>
      <c r="T214" s="97" t="s">
        <v>284</v>
      </c>
      <c r="U214" s="98">
        <v>30168.067226890758</v>
      </c>
      <c r="V214" s="99">
        <f t="shared" si="91"/>
        <v>5731.9327731092444</v>
      </c>
      <c r="W214" s="99">
        <f t="shared" si="86"/>
        <v>35900</v>
      </c>
      <c r="X214" s="99">
        <f t="shared" si="73"/>
        <v>30168.067226890758</v>
      </c>
      <c r="Y214" s="99">
        <f t="shared" si="74"/>
        <v>35900</v>
      </c>
      <c r="Z214" s="100">
        <f t="shared" si="92"/>
        <v>35966.666666666664</v>
      </c>
      <c r="AA214" s="100">
        <f t="shared" si="75"/>
        <v>35966.666666666664</v>
      </c>
      <c r="AB214" s="78">
        <f t="shared" si="93"/>
        <v>4000.4166449675326</v>
      </c>
      <c r="AC214" s="102">
        <f t="shared" si="79"/>
        <v>0.11122567131513067</v>
      </c>
      <c r="AD214" s="5"/>
      <c r="AF214" s="7" t="s">
        <v>570</v>
      </c>
      <c r="AG214" s="7">
        <v>96</v>
      </c>
      <c r="AH214" s="7" t="s">
        <v>858</v>
      </c>
      <c r="BG214" s="7">
        <v>85</v>
      </c>
      <c r="DA214" s="7" t="e">
        <f>VLOOKUP(C214,listaBolsa!$D$2:$BA$248,1,0)</f>
        <v>#N/A</v>
      </c>
      <c r="DB214" s="7" t="e">
        <f>VLOOKUP(C214,listaBolsa!$D$2:$BA$248,2,0)</f>
        <v>#N/A</v>
      </c>
      <c r="DC214" s="7" t="e">
        <f>VLOOKUP(C214,listaBolsa!$D$2:$BA$248,10,0)</f>
        <v>#N/A</v>
      </c>
      <c r="DD214" s="7" t="e">
        <f>VLOOKUP(C214,listaBolsa!$D$2:$BA$248,14,0)</f>
        <v>#N/A</v>
      </c>
      <c r="DE214" s="7" t="e">
        <f>VLOOKUP(C214,listaBolsa!$D$2:$BA$248,23,0)</f>
        <v>#N/A</v>
      </c>
      <c r="DF214" s="7" t="e">
        <f>VLOOKUP(C214,listaBolsa!$D$2:$BA$248,29,0)</f>
        <v>#N/A</v>
      </c>
      <c r="DG214" s="7" t="e">
        <f>VLOOKUP(C214,listaBolsa!$D$2:$BA$248,36,0)</f>
        <v>#N/A</v>
      </c>
      <c r="DH214" s="7" t="e">
        <f>VLOOKUP(C214,listaBolsa!$D$2:$BA$248,40,0)</f>
        <v>#N/A</v>
      </c>
      <c r="DI214" s="7" t="e">
        <f>VLOOKUP(C214,listaBolsa!$D$2:$BA$248,48,0)</f>
        <v>#N/A</v>
      </c>
      <c r="DJ214" s="7" t="e">
        <f t="shared" si="88"/>
        <v>#N/A</v>
      </c>
      <c r="DK214" s="7" t="e">
        <f t="shared" si="89"/>
        <v>#N/A</v>
      </c>
      <c r="DL214" s="7" t="e">
        <f t="shared" si="80"/>
        <v>#N/A</v>
      </c>
      <c r="DM214" s="7" t="e">
        <f t="shared" si="80"/>
        <v>#N/A</v>
      </c>
      <c r="DN214" s="7" t="e">
        <f t="shared" si="81"/>
        <v>#N/A</v>
      </c>
      <c r="DO214" s="7" t="e">
        <f t="shared" si="81"/>
        <v>#N/A</v>
      </c>
      <c r="DP214" s="7" t="e">
        <f t="shared" si="82"/>
        <v>#N/A</v>
      </c>
      <c r="DQ214" s="7" t="e">
        <f t="shared" si="82"/>
        <v>#N/A</v>
      </c>
      <c r="DR214" s="7" t="e">
        <f t="shared" si="87"/>
        <v>#N/A</v>
      </c>
    </row>
    <row r="215" spans="1:122" s="7" customFormat="1" ht="42" customHeight="1">
      <c r="A215" s="75">
        <f t="shared" si="77"/>
        <v>201</v>
      </c>
      <c r="B215" s="538" t="s">
        <v>579</v>
      </c>
      <c r="C215" s="336" t="s">
        <v>859</v>
      </c>
      <c r="D215" s="336" t="s">
        <v>860</v>
      </c>
      <c r="E215" s="193" t="s">
        <v>568</v>
      </c>
      <c r="F215" s="75">
        <v>1</v>
      </c>
      <c r="G215" s="75" t="s">
        <v>192</v>
      </c>
      <c r="H215" s="106" t="s">
        <v>380</v>
      </c>
      <c r="I215" s="107">
        <v>42000</v>
      </c>
      <c r="J215" s="96"/>
      <c r="K215" s="96">
        <f t="shared" si="84"/>
        <v>42000</v>
      </c>
      <c r="L215" s="96">
        <f t="shared" si="69"/>
        <v>42000</v>
      </c>
      <c r="M215" s="96">
        <f t="shared" si="70"/>
        <v>42000</v>
      </c>
      <c r="N215" s="108" t="s">
        <v>381</v>
      </c>
      <c r="O215" s="109">
        <v>40000</v>
      </c>
      <c r="P215" s="110"/>
      <c r="Q215" s="110">
        <f t="shared" si="85"/>
        <v>40000</v>
      </c>
      <c r="R215" s="110">
        <f t="shared" si="71"/>
        <v>40000</v>
      </c>
      <c r="S215" s="110">
        <f t="shared" si="72"/>
        <v>40000</v>
      </c>
      <c r="T215" s="97" t="s">
        <v>382</v>
      </c>
      <c r="U215" s="98">
        <v>38000</v>
      </c>
      <c r="V215" s="99"/>
      <c r="W215" s="99">
        <f t="shared" si="86"/>
        <v>38000</v>
      </c>
      <c r="X215" s="99">
        <f t="shared" si="73"/>
        <v>38000</v>
      </c>
      <c r="Y215" s="99">
        <f t="shared" si="74"/>
        <v>38000</v>
      </c>
      <c r="Z215" s="100">
        <f t="shared" si="92"/>
        <v>40000</v>
      </c>
      <c r="AA215" s="100">
        <f t="shared" si="75"/>
        <v>40000</v>
      </c>
      <c r="AB215" s="78">
        <f t="shared" si="93"/>
        <v>2000</v>
      </c>
      <c r="AC215" s="102">
        <f t="shared" si="79"/>
        <v>0.05</v>
      </c>
      <c r="AD215" s="5"/>
      <c r="AF215" s="7" t="s">
        <v>570</v>
      </c>
      <c r="AG215" s="7">
        <v>97</v>
      </c>
      <c r="AH215" s="7" t="s">
        <v>861</v>
      </c>
      <c r="BG215" s="7">
        <v>86</v>
      </c>
      <c r="DA215" s="7" t="e">
        <f>VLOOKUP(C215,listaBolsa!$D$2:$BA$248,1,0)</f>
        <v>#N/A</v>
      </c>
      <c r="DB215" s="7" t="e">
        <f>VLOOKUP(C215,listaBolsa!$D$2:$BA$248,2,0)</f>
        <v>#N/A</v>
      </c>
      <c r="DC215" s="7" t="e">
        <f>VLOOKUP(C215,listaBolsa!$D$2:$BA$248,10,0)</f>
        <v>#N/A</v>
      </c>
      <c r="DD215" s="7" t="e">
        <f>VLOOKUP(C215,listaBolsa!$D$2:$BA$248,14,0)</f>
        <v>#N/A</v>
      </c>
      <c r="DE215" s="7" t="e">
        <f>VLOOKUP(C215,listaBolsa!$D$2:$BA$248,23,0)</f>
        <v>#N/A</v>
      </c>
      <c r="DF215" s="7" t="e">
        <f>VLOOKUP(C215,listaBolsa!$D$2:$BA$248,29,0)</f>
        <v>#N/A</v>
      </c>
      <c r="DG215" s="7" t="e">
        <f>VLOOKUP(C215,listaBolsa!$D$2:$BA$248,36,0)</f>
        <v>#N/A</v>
      </c>
      <c r="DH215" s="7" t="e">
        <f>VLOOKUP(C215,listaBolsa!$D$2:$BA$248,40,0)</f>
        <v>#N/A</v>
      </c>
      <c r="DI215" s="7" t="e">
        <f>VLOOKUP(C215,listaBolsa!$D$2:$BA$248,48,0)</f>
        <v>#N/A</v>
      </c>
      <c r="DJ215" s="7" t="e">
        <f t="shared" si="88"/>
        <v>#N/A</v>
      </c>
      <c r="DK215" s="7" t="e">
        <f t="shared" si="89"/>
        <v>#N/A</v>
      </c>
      <c r="DL215" s="7" t="e">
        <f t="shared" si="80"/>
        <v>#N/A</v>
      </c>
      <c r="DM215" s="7" t="e">
        <f t="shared" si="80"/>
        <v>#N/A</v>
      </c>
      <c r="DN215" s="7" t="e">
        <f t="shared" si="81"/>
        <v>#N/A</v>
      </c>
      <c r="DO215" s="7" t="e">
        <f t="shared" si="81"/>
        <v>#N/A</v>
      </c>
      <c r="DP215" s="7" t="e">
        <f t="shared" si="82"/>
        <v>#N/A</v>
      </c>
      <c r="DQ215" s="7" t="e">
        <f t="shared" si="82"/>
        <v>#N/A</v>
      </c>
      <c r="DR215" s="7" t="e">
        <f t="shared" si="87"/>
        <v>#N/A</v>
      </c>
    </row>
    <row r="216" spans="1:122" s="7" customFormat="1" ht="42" customHeight="1">
      <c r="A216" s="75">
        <f t="shared" si="77"/>
        <v>202</v>
      </c>
      <c r="B216" s="538" t="s">
        <v>579</v>
      </c>
      <c r="C216" s="336" t="s">
        <v>862</v>
      </c>
      <c r="D216" s="336" t="s">
        <v>863</v>
      </c>
      <c r="E216" s="193" t="s">
        <v>568</v>
      </c>
      <c r="F216" s="75">
        <v>1</v>
      </c>
      <c r="G216" s="75" t="s">
        <v>192</v>
      </c>
      <c r="H216" s="106" t="s">
        <v>380</v>
      </c>
      <c r="I216" s="107">
        <v>60000</v>
      </c>
      <c r="J216" s="96">
        <f t="shared" si="90"/>
        <v>11400</v>
      </c>
      <c r="K216" s="96">
        <f t="shared" si="84"/>
        <v>71400</v>
      </c>
      <c r="L216" s="96">
        <f t="shared" si="69"/>
        <v>60000</v>
      </c>
      <c r="M216" s="96">
        <f t="shared" si="70"/>
        <v>71400</v>
      </c>
      <c r="N216" s="108" t="s">
        <v>382</v>
      </c>
      <c r="O216" s="109">
        <v>56000</v>
      </c>
      <c r="P216" s="110">
        <f t="shared" si="83"/>
        <v>10640</v>
      </c>
      <c r="Q216" s="110">
        <f t="shared" si="85"/>
        <v>66640</v>
      </c>
      <c r="R216" s="110">
        <f t="shared" si="71"/>
        <v>56000</v>
      </c>
      <c r="S216" s="110">
        <f t="shared" si="72"/>
        <v>66640</v>
      </c>
      <c r="T216" s="97" t="s">
        <v>381</v>
      </c>
      <c r="U216" s="98">
        <v>58000</v>
      </c>
      <c r="V216" s="99">
        <f t="shared" si="91"/>
        <v>11020</v>
      </c>
      <c r="W216" s="99">
        <f t="shared" si="86"/>
        <v>69020</v>
      </c>
      <c r="X216" s="99">
        <f t="shared" si="73"/>
        <v>58000</v>
      </c>
      <c r="Y216" s="99">
        <f t="shared" si="74"/>
        <v>69020</v>
      </c>
      <c r="Z216" s="100">
        <f t="shared" si="92"/>
        <v>69020</v>
      </c>
      <c r="AA216" s="100">
        <f t="shared" si="75"/>
        <v>69020</v>
      </c>
      <c r="AB216" s="78">
        <f t="shared" si="93"/>
        <v>2380</v>
      </c>
      <c r="AC216" s="102">
        <f t="shared" si="79"/>
        <v>3.4482758620689655E-2</v>
      </c>
      <c r="AD216" s="5"/>
      <c r="AF216" s="7" t="s">
        <v>570</v>
      </c>
      <c r="AG216" s="7">
        <v>98</v>
      </c>
      <c r="AH216" s="7" t="s">
        <v>864</v>
      </c>
      <c r="BG216" s="7">
        <v>87</v>
      </c>
      <c r="DA216" s="7" t="e">
        <f>VLOOKUP(C216,listaBolsa!$D$2:$BA$248,1,0)</f>
        <v>#N/A</v>
      </c>
      <c r="DB216" s="7" t="e">
        <f>VLOOKUP(C216,listaBolsa!$D$2:$BA$248,2,0)</f>
        <v>#N/A</v>
      </c>
      <c r="DC216" s="7" t="e">
        <f>VLOOKUP(C216,listaBolsa!$D$2:$BA$248,10,0)</f>
        <v>#N/A</v>
      </c>
      <c r="DD216" s="7" t="e">
        <f>VLOOKUP(C216,listaBolsa!$D$2:$BA$248,14,0)</f>
        <v>#N/A</v>
      </c>
      <c r="DE216" s="7" t="e">
        <f>VLOOKUP(C216,listaBolsa!$D$2:$BA$248,23,0)</f>
        <v>#N/A</v>
      </c>
      <c r="DF216" s="7" t="e">
        <f>VLOOKUP(C216,listaBolsa!$D$2:$BA$248,29,0)</f>
        <v>#N/A</v>
      </c>
      <c r="DG216" s="7" t="e">
        <f>VLOOKUP(C216,listaBolsa!$D$2:$BA$248,36,0)</f>
        <v>#N/A</v>
      </c>
      <c r="DH216" s="7" t="e">
        <f>VLOOKUP(C216,listaBolsa!$D$2:$BA$248,40,0)</f>
        <v>#N/A</v>
      </c>
      <c r="DI216" s="7" t="e">
        <f>VLOOKUP(C216,listaBolsa!$D$2:$BA$248,48,0)</f>
        <v>#N/A</v>
      </c>
      <c r="DJ216" s="7" t="e">
        <f t="shared" si="88"/>
        <v>#N/A</v>
      </c>
      <c r="DK216" s="7" t="e">
        <f t="shared" si="89"/>
        <v>#N/A</v>
      </c>
      <c r="DL216" s="7" t="e">
        <f t="shared" si="80"/>
        <v>#N/A</v>
      </c>
      <c r="DM216" s="7" t="e">
        <f t="shared" si="80"/>
        <v>#N/A</v>
      </c>
      <c r="DN216" s="7" t="e">
        <f t="shared" si="81"/>
        <v>#N/A</v>
      </c>
      <c r="DO216" s="7" t="e">
        <f t="shared" si="81"/>
        <v>#N/A</v>
      </c>
      <c r="DP216" s="7" t="e">
        <f t="shared" si="82"/>
        <v>#N/A</v>
      </c>
      <c r="DQ216" s="7" t="e">
        <f t="shared" si="82"/>
        <v>#N/A</v>
      </c>
      <c r="DR216" s="7" t="e">
        <f t="shared" si="87"/>
        <v>#N/A</v>
      </c>
    </row>
    <row r="217" spans="1:122" s="7" customFormat="1" ht="42" customHeight="1">
      <c r="A217" s="75">
        <f t="shared" si="77"/>
        <v>203</v>
      </c>
      <c r="B217" s="538" t="s">
        <v>579</v>
      </c>
      <c r="C217" s="336" t="s">
        <v>865</v>
      </c>
      <c r="D217" s="336" t="s">
        <v>866</v>
      </c>
      <c r="E217" s="193" t="s">
        <v>568</v>
      </c>
      <c r="F217" s="75">
        <v>1</v>
      </c>
      <c r="G217" s="75" t="s">
        <v>192</v>
      </c>
      <c r="H217" s="106" t="s">
        <v>380</v>
      </c>
      <c r="I217" s="107">
        <v>252000</v>
      </c>
      <c r="J217" s="96">
        <f t="shared" si="90"/>
        <v>47880</v>
      </c>
      <c r="K217" s="96">
        <f t="shared" si="84"/>
        <v>299880</v>
      </c>
      <c r="L217" s="96">
        <f t="shared" si="69"/>
        <v>252000</v>
      </c>
      <c r="M217" s="96">
        <f t="shared" si="70"/>
        <v>299880</v>
      </c>
      <c r="N217" s="108" t="s">
        <v>381</v>
      </c>
      <c r="O217" s="109">
        <v>250000</v>
      </c>
      <c r="P217" s="110">
        <f t="shared" si="83"/>
        <v>47500</v>
      </c>
      <c r="Q217" s="110">
        <f t="shared" si="85"/>
        <v>297500</v>
      </c>
      <c r="R217" s="110">
        <f t="shared" si="71"/>
        <v>250000</v>
      </c>
      <c r="S217" s="110">
        <f t="shared" si="72"/>
        <v>297500</v>
      </c>
      <c r="T217" s="97" t="s">
        <v>867</v>
      </c>
      <c r="U217" s="98">
        <v>288450</v>
      </c>
      <c r="V217" s="99">
        <f t="shared" si="91"/>
        <v>54805.5</v>
      </c>
      <c r="W217" s="99">
        <f t="shared" si="86"/>
        <v>343255.5</v>
      </c>
      <c r="X217" s="99">
        <f t="shared" si="73"/>
        <v>288450</v>
      </c>
      <c r="Y217" s="99">
        <f t="shared" si="74"/>
        <v>343255.5</v>
      </c>
      <c r="Z217" s="100">
        <f t="shared" si="92"/>
        <v>313545.16666666669</v>
      </c>
      <c r="AA217" s="100">
        <f t="shared" si="75"/>
        <v>313545.16666666669</v>
      </c>
      <c r="AB217" s="78">
        <f t="shared" si="93"/>
        <v>25757.407285736917</v>
      </c>
      <c r="AC217" s="102">
        <f t="shared" si="79"/>
        <v>8.2148953401408667E-2</v>
      </c>
      <c r="AD217" s="5"/>
      <c r="AF217" s="7" t="s">
        <v>570</v>
      </c>
      <c r="AG217" s="7">
        <v>99</v>
      </c>
      <c r="AH217" s="7" t="s">
        <v>868</v>
      </c>
      <c r="BG217" s="7">
        <v>88</v>
      </c>
      <c r="DA217" s="7" t="e">
        <f>VLOOKUP(C217,listaBolsa!$D$2:$BA$248,1,0)</f>
        <v>#N/A</v>
      </c>
      <c r="DB217" s="7" t="e">
        <f>VLOOKUP(C217,listaBolsa!$D$2:$BA$248,2,0)</f>
        <v>#N/A</v>
      </c>
      <c r="DC217" s="7" t="e">
        <f>VLOOKUP(C217,listaBolsa!$D$2:$BA$248,10,0)</f>
        <v>#N/A</v>
      </c>
      <c r="DD217" s="7" t="e">
        <f>VLOOKUP(C217,listaBolsa!$D$2:$BA$248,14,0)</f>
        <v>#N/A</v>
      </c>
      <c r="DE217" s="7" t="e">
        <f>VLOOKUP(C217,listaBolsa!$D$2:$BA$248,23,0)</f>
        <v>#N/A</v>
      </c>
      <c r="DF217" s="7" t="e">
        <f>VLOOKUP(C217,listaBolsa!$D$2:$BA$248,29,0)</f>
        <v>#N/A</v>
      </c>
      <c r="DG217" s="7" t="e">
        <f>VLOOKUP(C217,listaBolsa!$D$2:$BA$248,36,0)</f>
        <v>#N/A</v>
      </c>
      <c r="DH217" s="7" t="e">
        <f>VLOOKUP(C217,listaBolsa!$D$2:$BA$248,40,0)</f>
        <v>#N/A</v>
      </c>
      <c r="DI217" s="7" t="e">
        <f>VLOOKUP(C217,listaBolsa!$D$2:$BA$248,48,0)</f>
        <v>#N/A</v>
      </c>
      <c r="DJ217" s="7" t="e">
        <f t="shared" si="88"/>
        <v>#N/A</v>
      </c>
      <c r="DK217" s="7" t="e">
        <f t="shared" si="89"/>
        <v>#N/A</v>
      </c>
      <c r="DL217" s="7" t="e">
        <f t="shared" si="80"/>
        <v>#N/A</v>
      </c>
      <c r="DM217" s="7" t="e">
        <f t="shared" si="80"/>
        <v>#N/A</v>
      </c>
      <c r="DN217" s="7" t="e">
        <f t="shared" si="81"/>
        <v>#N/A</v>
      </c>
      <c r="DO217" s="7" t="e">
        <f t="shared" si="81"/>
        <v>#N/A</v>
      </c>
      <c r="DP217" s="7" t="e">
        <f t="shared" si="82"/>
        <v>#N/A</v>
      </c>
      <c r="DQ217" s="7" t="e">
        <f t="shared" si="82"/>
        <v>#N/A</v>
      </c>
      <c r="DR217" s="7" t="e">
        <f t="shared" si="87"/>
        <v>#N/A</v>
      </c>
    </row>
    <row r="218" spans="1:122" s="7" customFormat="1" ht="42" customHeight="1">
      <c r="A218" s="75">
        <f t="shared" si="77"/>
        <v>204</v>
      </c>
      <c r="B218" s="538" t="s">
        <v>579</v>
      </c>
      <c r="C218" s="336" t="s">
        <v>869</v>
      </c>
      <c r="D218" s="336" t="s">
        <v>866</v>
      </c>
      <c r="E218" s="193" t="s">
        <v>568</v>
      </c>
      <c r="F218" s="75">
        <v>1</v>
      </c>
      <c r="G218" s="75" t="s">
        <v>192</v>
      </c>
      <c r="H218" s="106" t="s">
        <v>380</v>
      </c>
      <c r="I218" s="107">
        <v>34000</v>
      </c>
      <c r="J218" s="96"/>
      <c r="K218" s="96">
        <f t="shared" si="84"/>
        <v>34000</v>
      </c>
      <c r="L218" s="96">
        <f t="shared" si="69"/>
        <v>34000</v>
      </c>
      <c r="M218" s="96">
        <f t="shared" si="70"/>
        <v>34000</v>
      </c>
      <c r="N218" s="108" t="s">
        <v>381</v>
      </c>
      <c r="O218" s="109">
        <v>32000</v>
      </c>
      <c r="P218" s="110"/>
      <c r="Q218" s="110">
        <f t="shared" si="85"/>
        <v>32000</v>
      </c>
      <c r="R218" s="110">
        <f t="shared" si="71"/>
        <v>32000</v>
      </c>
      <c r="S218" s="110">
        <f t="shared" si="72"/>
        <v>32000</v>
      </c>
      <c r="T218" s="97" t="s">
        <v>382</v>
      </c>
      <c r="U218" s="98">
        <v>30800</v>
      </c>
      <c r="V218" s="99"/>
      <c r="W218" s="99">
        <f t="shared" si="86"/>
        <v>30800</v>
      </c>
      <c r="X218" s="99">
        <f t="shared" si="73"/>
        <v>30800</v>
      </c>
      <c r="Y218" s="99">
        <f t="shared" si="74"/>
        <v>30800</v>
      </c>
      <c r="Z218" s="100">
        <f t="shared" si="92"/>
        <v>32266.666666666668</v>
      </c>
      <c r="AA218" s="100">
        <f t="shared" si="75"/>
        <v>32266.666666666668</v>
      </c>
      <c r="AB218" s="78">
        <f t="shared" si="93"/>
        <v>1616.5807537309522</v>
      </c>
      <c r="AC218" s="102">
        <f t="shared" si="79"/>
        <v>5.0100643194141078E-2</v>
      </c>
      <c r="AD218" s="5"/>
      <c r="AF218" s="7" t="s">
        <v>570</v>
      </c>
      <c r="AG218" s="7">
        <v>100</v>
      </c>
      <c r="AH218" s="7" t="s">
        <v>870</v>
      </c>
      <c r="BG218" s="7">
        <v>89</v>
      </c>
      <c r="DA218" s="7" t="e">
        <f>VLOOKUP(C218,listaBolsa!$D$2:$BA$248,1,0)</f>
        <v>#N/A</v>
      </c>
      <c r="DB218" s="7" t="e">
        <f>VLOOKUP(C218,listaBolsa!$D$2:$BA$248,2,0)</f>
        <v>#N/A</v>
      </c>
      <c r="DC218" s="7" t="e">
        <f>VLOOKUP(C218,listaBolsa!$D$2:$BA$248,10,0)</f>
        <v>#N/A</v>
      </c>
      <c r="DD218" s="7" t="e">
        <f>VLOOKUP(C218,listaBolsa!$D$2:$BA$248,14,0)</f>
        <v>#N/A</v>
      </c>
      <c r="DE218" s="7" t="e">
        <f>VLOOKUP(C218,listaBolsa!$D$2:$BA$248,23,0)</f>
        <v>#N/A</v>
      </c>
      <c r="DF218" s="7" t="e">
        <f>VLOOKUP(C218,listaBolsa!$D$2:$BA$248,29,0)</f>
        <v>#N/A</v>
      </c>
      <c r="DG218" s="7" t="e">
        <f>VLOOKUP(C218,listaBolsa!$D$2:$BA$248,36,0)</f>
        <v>#N/A</v>
      </c>
      <c r="DH218" s="7" t="e">
        <f>VLOOKUP(C218,listaBolsa!$D$2:$BA$248,40,0)</f>
        <v>#N/A</v>
      </c>
      <c r="DI218" s="7" t="e">
        <f>VLOOKUP(C218,listaBolsa!$D$2:$BA$248,48,0)</f>
        <v>#N/A</v>
      </c>
      <c r="DJ218" s="7" t="e">
        <f t="shared" si="88"/>
        <v>#N/A</v>
      </c>
      <c r="DK218" s="7" t="e">
        <f t="shared" si="89"/>
        <v>#N/A</v>
      </c>
      <c r="DL218" s="7" t="e">
        <f t="shared" si="80"/>
        <v>#N/A</v>
      </c>
      <c r="DM218" s="7" t="e">
        <f t="shared" si="80"/>
        <v>#N/A</v>
      </c>
      <c r="DN218" s="7" t="e">
        <f t="shared" si="81"/>
        <v>#N/A</v>
      </c>
      <c r="DO218" s="7" t="e">
        <f t="shared" si="81"/>
        <v>#N/A</v>
      </c>
      <c r="DP218" s="7" t="e">
        <f t="shared" si="82"/>
        <v>#N/A</v>
      </c>
      <c r="DQ218" s="7" t="e">
        <f t="shared" si="82"/>
        <v>#N/A</v>
      </c>
      <c r="DR218" s="7" t="e">
        <f t="shared" si="87"/>
        <v>#N/A</v>
      </c>
    </row>
    <row r="219" spans="1:122" s="7" customFormat="1" ht="42" customHeight="1">
      <c r="A219" s="75">
        <f t="shared" si="77"/>
        <v>205</v>
      </c>
      <c r="B219" s="538" t="s">
        <v>579</v>
      </c>
      <c r="C219" s="336" t="s">
        <v>871</v>
      </c>
      <c r="D219" s="336" t="s">
        <v>872</v>
      </c>
      <c r="E219" s="193" t="s">
        <v>568</v>
      </c>
      <c r="F219" s="75">
        <v>1</v>
      </c>
      <c r="G219" s="75" t="s">
        <v>192</v>
      </c>
      <c r="H219" s="106" t="s">
        <v>380</v>
      </c>
      <c r="I219" s="107">
        <v>10000</v>
      </c>
      <c r="J219" s="96"/>
      <c r="K219" s="96">
        <f t="shared" si="84"/>
        <v>10000</v>
      </c>
      <c r="L219" s="96">
        <f t="shared" ref="L219:L264" si="94">IF(B219="","",(I219*F219))</f>
        <v>10000</v>
      </c>
      <c r="M219" s="96">
        <f t="shared" ref="M219:M264" si="95">IF(B219="","",(K219*F219))</f>
        <v>10000</v>
      </c>
      <c r="N219" s="108" t="s">
        <v>381</v>
      </c>
      <c r="O219" s="109">
        <v>9000</v>
      </c>
      <c r="P219" s="110"/>
      <c r="Q219" s="110">
        <f t="shared" si="85"/>
        <v>9000</v>
      </c>
      <c r="R219" s="110">
        <f t="shared" ref="R219:R264" si="96">IF(B219="","",(O219*F219))</f>
        <v>9000</v>
      </c>
      <c r="S219" s="110">
        <f t="shared" ref="S219:S264" si="97">IF(B219="","",(Q219*F219))</f>
        <v>9000</v>
      </c>
      <c r="T219" s="97" t="s">
        <v>382</v>
      </c>
      <c r="U219" s="98">
        <v>10000</v>
      </c>
      <c r="V219" s="99"/>
      <c r="W219" s="99">
        <f t="shared" si="86"/>
        <v>10000</v>
      </c>
      <c r="X219" s="99">
        <f t="shared" ref="X219:X264" si="98">IF(B219="","",(U219*F219))</f>
        <v>10000</v>
      </c>
      <c r="Y219" s="99">
        <f t="shared" ref="Y219:Y264" si="99">IF(B219="","",(W219*F219))</f>
        <v>10000</v>
      </c>
      <c r="Z219" s="100">
        <f t="shared" si="92"/>
        <v>9666.6666666666661</v>
      </c>
      <c r="AA219" s="100">
        <f t="shared" ref="AA219:AA264" si="100">IF(B219="","",Z219*F219)</f>
        <v>9666.6666666666661</v>
      </c>
      <c r="AB219" s="78">
        <f t="shared" si="93"/>
        <v>577.35026918962569</v>
      </c>
      <c r="AC219" s="102">
        <f t="shared" si="79"/>
        <v>5.972588991616818E-2</v>
      </c>
      <c r="AD219" s="5"/>
      <c r="AF219" s="7" t="s">
        <v>570</v>
      </c>
      <c r="AG219" s="7">
        <v>101</v>
      </c>
      <c r="AH219" s="7" t="s">
        <v>873</v>
      </c>
      <c r="BG219" s="7">
        <v>90</v>
      </c>
      <c r="DA219" s="7" t="e">
        <f>VLOOKUP(C219,listaBolsa!$D$2:$BA$248,1,0)</f>
        <v>#N/A</v>
      </c>
      <c r="DB219" s="7" t="e">
        <f>VLOOKUP(C219,listaBolsa!$D$2:$BA$248,2,0)</f>
        <v>#N/A</v>
      </c>
      <c r="DC219" s="7" t="e">
        <f>VLOOKUP(C219,listaBolsa!$D$2:$BA$248,10,0)</f>
        <v>#N/A</v>
      </c>
      <c r="DD219" s="7" t="e">
        <f>VLOOKUP(C219,listaBolsa!$D$2:$BA$248,14,0)</f>
        <v>#N/A</v>
      </c>
      <c r="DE219" s="7" t="e">
        <f>VLOOKUP(C219,listaBolsa!$D$2:$BA$248,23,0)</f>
        <v>#N/A</v>
      </c>
      <c r="DF219" s="7" t="e">
        <f>VLOOKUP(C219,listaBolsa!$D$2:$BA$248,29,0)</f>
        <v>#N/A</v>
      </c>
      <c r="DG219" s="7" t="e">
        <f>VLOOKUP(C219,listaBolsa!$D$2:$BA$248,36,0)</f>
        <v>#N/A</v>
      </c>
      <c r="DH219" s="7" t="e">
        <f>VLOOKUP(C219,listaBolsa!$D$2:$BA$248,40,0)</f>
        <v>#N/A</v>
      </c>
      <c r="DI219" s="7" t="e">
        <f>VLOOKUP(C219,listaBolsa!$D$2:$BA$248,48,0)</f>
        <v>#N/A</v>
      </c>
      <c r="DJ219" s="7" t="e">
        <f t="shared" si="88"/>
        <v>#N/A</v>
      </c>
      <c r="DK219" s="7" t="e">
        <f t="shared" si="89"/>
        <v>#N/A</v>
      </c>
      <c r="DL219" s="7" t="e">
        <f t="shared" si="80"/>
        <v>#N/A</v>
      </c>
      <c r="DM219" s="7" t="e">
        <f t="shared" si="80"/>
        <v>#N/A</v>
      </c>
      <c r="DN219" s="7" t="e">
        <f t="shared" si="81"/>
        <v>#N/A</v>
      </c>
      <c r="DO219" s="7" t="e">
        <f t="shared" si="81"/>
        <v>#N/A</v>
      </c>
      <c r="DP219" s="7" t="e">
        <f t="shared" si="82"/>
        <v>#N/A</v>
      </c>
      <c r="DQ219" s="7" t="e">
        <f t="shared" si="82"/>
        <v>#N/A</v>
      </c>
      <c r="DR219" s="7" t="e">
        <f t="shared" si="87"/>
        <v>#N/A</v>
      </c>
    </row>
    <row r="220" spans="1:122" s="7" customFormat="1" ht="42" customHeight="1">
      <c r="A220" s="75">
        <f t="shared" si="77"/>
        <v>206</v>
      </c>
      <c r="B220" s="634" t="s">
        <v>579</v>
      </c>
      <c r="C220" s="453" t="s">
        <v>874</v>
      </c>
      <c r="D220" s="395" t="s">
        <v>875</v>
      </c>
      <c r="E220" s="194" t="s">
        <v>568</v>
      </c>
      <c r="F220" s="75">
        <v>1</v>
      </c>
      <c r="G220" s="75" t="s">
        <v>192</v>
      </c>
      <c r="H220" s="106" t="s">
        <v>380</v>
      </c>
      <c r="I220" s="107">
        <v>48000</v>
      </c>
      <c r="J220" s="96"/>
      <c r="K220" s="96">
        <f t="shared" si="84"/>
        <v>48000</v>
      </c>
      <c r="L220" s="96">
        <f t="shared" si="94"/>
        <v>48000</v>
      </c>
      <c r="M220" s="96">
        <f t="shared" si="95"/>
        <v>48000</v>
      </c>
      <c r="N220" s="108" t="s">
        <v>381</v>
      </c>
      <c r="O220" s="109">
        <v>46000</v>
      </c>
      <c r="P220" s="110"/>
      <c r="Q220" s="110">
        <f t="shared" si="85"/>
        <v>46000</v>
      </c>
      <c r="R220" s="110">
        <f t="shared" si="96"/>
        <v>46000</v>
      </c>
      <c r="S220" s="110">
        <f t="shared" si="97"/>
        <v>46000</v>
      </c>
      <c r="T220" s="97" t="s">
        <v>382</v>
      </c>
      <c r="U220" s="98">
        <v>44000</v>
      </c>
      <c r="V220" s="99"/>
      <c r="W220" s="99">
        <f t="shared" si="86"/>
        <v>44000</v>
      </c>
      <c r="X220" s="99">
        <f t="shared" si="98"/>
        <v>44000</v>
      </c>
      <c r="Y220" s="99">
        <f t="shared" si="99"/>
        <v>44000</v>
      </c>
      <c r="Z220" s="100">
        <f t="shared" si="92"/>
        <v>46000</v>
      </c>
      <c r="AA220" s="100">
        <f t="shared" si="100"/>
        <v>46000</v>
      </c>
      <c r="AB220" s="78">
        <f t="shared" si="93"/>
        <v>2000</v>
      </c>
      <c r="AC220" s="102">
        <f t="shared" si="79"/>
        <v>4.3478260869565216E-2</v>
      </c>
      <c r="AD220" s="5"/>
      <c r="AF220" s="7" t="s">
        <v>570</v>
      </c>
      <c r="AG220" s="7">
        <v>102</v>
      </c>
      <c r="AH220" s="7" t="s">
        <v>876</v>
      </c>
      <c r="BG220" s="7">
        <v>91</v>
      </c>
      <c r="DA220" s="7" t="e">
        <f>VLOOKUP(C220,listaBolsa!$D$2:$BA$248,1,0)</f>
        <v>#N/A</v>
      </c>
      <c r="DB220" s="7" t="e">
        <f>VLOOKUP(C220,listaBolsa!$D$2:$BA$248,2,0)</f>
        <v>#N/A</v>
      </c>
      <c r="DC220" s="7" t="e">
        <f>VLOOKUP(C220,listaBolsa!$D$2:$BA$248,10,0)</f>
        <v>#N/A</v>
      </c>
      <c r="DD220" s="7" t="e">
        <f>VLOOKUP(C220,listaBolsa!$D$2:$BA$248,14,0)</f>
        <v>#N/A</v>
      </c>
      <c r="DE220" s="7" t="e">
        <f>VLOOKUP(C220,listaBolsa!$D$2:$BA$248,23,0)</f>
        <v>#N/A</v>
      </c>
      <c r="DF220" s="7" t="e">
        <f>VLOOKUP(C220,listaBolsa!$D$2:$BA$248,29,0)</f>
        <v>#N/A</v>
      </c>
      <c r="DG220" s="7" t="e">
        <f>VLOOKUP(C220,listaBolsa!$D$2:$BA$248,36,0)</f>
        <v>#N/A</v>
      </c>
      <c r="DH220" s="7" t="e">
        <f>VLOOKUP(C220,listaBolsa!$D$2:$BA$248,40,0)</f>
        <v>#N/A</v>
      </c>
      <c r="DI220" s="7" t="e">
        <f>VLOOKUP(C220,listaBolsa!$D$2:$BA$248,48,0)</f>
        <v>#N/A</v>
      </c>
      <c r="DJ220" s="7" t="e">
        <f t="shared" si="88"/>
        <v>#N/A</v>
      </c>
      <c r="DK220" s="7" t="e">
        <f t="shared" si="89"/>
        <v>#N/A</v>
      </c>
      <c r="DL220" s="7" t="e">
        <f t="shared" si="80"/>
        <v>#N/A</v>
      </c>
      <c r="DM220" s="7" t="e">
        <f t="shared" si="80"/>
        <v>#N/A</v>
      </c>
      <c r="DN220" s="7" t="e">
        <f t="shared" si="81"/>
        <v>#N/A</v>
      </c>
      <c r="DO220" s="7" t="e">
        <f t="shared" si="81"/>
        <v>#N/A</v>
      </c>
      <c r="DP220" s="7" t="e">
        <f t="shared" si="82"/>
        <v>#N/A</v>
      </c>
      <c r="DQ220" s="7" t="e">
        <f t="shared" si="82"/>
        <v>#N/A</v>
      </c>
      <c r="DR220" s="7" t="e">
        <f t="shared" si="87"/>
        <v>#N/A</v>
      </c>
    </row>
    <row r="221" spans="1:122" s="7" customFormat="1" ht="42" customHeight="1">
      <c r="A221" s="75">
        <f t="shared" si="77"/>
        <v>207</v>
      </c>
      <c r="B221" s="538" t="s">
        <v>579</v>
      </c>
      <c r="C221" s="336" t="s">
        <v>877</v>
      </c>
      <c r="D221" s="336" t="s">
        <v>878</v>
      </c>
      <c r="E221" s="193" t="s">
        <v>568</v>
      </c>
      <c r="F221" s="75">
        <v>1</v>
      </c>
      <c r="G221" s="75" t="s">
        <v>192</v>
      </c>
      <c r="H221" s="106" t="s">
        <v>380</v>
      </c>
      <c r="I221" s="107">
        <v>18000</v>
      </c>
      <c r="J221" s="96">
        <f t="shared" si="90"/>
        <v>3420</v>
      </c>
      <c r="K221" s="96">
        <f t="shared" si="84"/>
        <v>21420</v>
      </c>
      <c r="L221" s="96">
        <f t="shared" si="94"/>
        <v>18000</v>
      </c>
      <c r="M221" s="96">
        <f t="shared" si="95"/>
        <v>21420</v>
      </c>
      <c r="N221" s="108" t="s">
        <v>381</v>
      </c>
      <c r="O221" s="109">
        <v>16600</v>
      </c>
      <c r="P221" s="110">
        <f t="shared" si="83"/>
        <v>3154</v>
      </c>
      <c r="Q221" s="110">
        <f t="shared" si="85"/>
        <v>19754</v>
      </c>
      <c r="R221" s="110">
        <f t="shared" si="96"/>
        <v>16600</v>
      </c>
      <c r="S221" s="110">
        <f t="shared" si="97"/>
        <v>19754</v>
      </c>
      <c r="T221" s="97" t="s">
        <v>382</v>
      </c>
      <c r="U221" s="98">
        <v>16600</v>
      </c>
      <c r="V221" s="99">
        <f t="shared" si="91"/>
        <v>3154</v>
      </c>
      <c r="W221" s="99">
        <f t="shared" si="86"/>
        <v>19754</v>
      </c>
      <c r="X221" s="99">
        <f t="shared" si="98"/>
        <v>16600</v>
      </c>
      <c r="Y221" s="99">
        <f t="shared" si="99"/>
        <v>19754</v>
      </c>
      <c r="Z221" s="100">
        <f t="shared" si="92"/>
        <v>20309.333333333332</v>
      </c>
      <c r="AA221" s="100">
        <f t="shared" si="100"/>
        <v>20309.333333333332</v>
      </c>
      <c r="AB221" s="78">
        <f t="shared" si="93"/>
        <v>961.86554846991658</v>
      </c>
      <c r="AC221" s="102">
        <f t="shared" si="79"/>
        <v>4.7360764269461494E-2</v>
      </c>
      <c r="AD221" s="5"/>
      <c r="AF221" s="7" t="s">
        <v>570</v>
      </c>
      <c r="AG221" s="7">
        <v>103</v>
      </c>
      <c r="AH221" s="7" t="s">
        <v>879</v>
      </c>
      <c r="BG221" s="7">
        <v>92</v>
      </c>
      <c r="DA221" s="7" t="e">
        <f>VLOOKUP(C221,listaBolsa!$D$2:$BA$248,1,0)</f>
        <v>#N/A</v>
      </c>
      <c r="DB221" s="7" t="e">
        <f>VLOOKUP(C221,listaBolsa!$D$2:$BA$248,2,0)</f>
        <v>#N/A</v>
      </c>
      <c r="DC221" s="7" t="e">
        <f>VLOOKUP(C221,listaBolsa!$D$2:$BA$248,10,0)</f>
        <v>#N/A</v>
      </c>
      <c r="DD221" s="7" t="e">
        <f>VLOOKUP(C221,listaBolsa!$D$2:$BA$248,14,0)</f>
        <v>#N/A</v>
      </c>
      <c r="DE221" s="7" t="e">
        <f>VLOOKUP(C221,listaBolsa!$D$2:$BA$248,23,0)</f>
        <v>#N/A</v>
      </c>
      <c r="DF221" s="7" t="e">
        <f>VLOOKUP(C221,listaBolsa!$D$2:$BA$248,29,0)</f>
        <v>#N/A</v>
      </c>
      <c r="DG221" s="7" t="e">
        <f>VLOOKUP(C221,listaBolsa!$D$2:$BA$248,36,0)</f>
        <v>#N/A</v>
      </c>
      <c r="DH221" s="7" t="e">
        <f>VLOOKUP(C221,listaBolsa!$D$2:$BA$248,40,0)</f>
        <v>#N/A</v>
      </c>
      <c r="DI221" s="7" t="e">
        <f>VLOOKUP(C221,listaBolsa!$D$2:$BA$248,48,0)</f>
        <v>#N/A</v>
      </c>
      <c r="DJ221" s="7" t="e">
        <f t="shared" si="88"/>
        <v>#N/A</v>
      </c>
      <c r="DK221" s="7" t="e">
        <f t="shared" si="89"/>
        <v>#N/A</v>
      </c>
      <c r="DL221" s="7" t="e">
        <f t="shared" si="80"/>
        <v>#N/A</v>
      </c>
      <c r="DM221" s="7" t="e">
        <f t="shared" si="80"/>
        <v>#N/A</v>
      </c>
      <c r="DN221" s="7" t="e">
        <f t="shared" si="81"/>
        <v>#N/A</v>
      </c>
      <c r="DO221" s="7" t="e">
        <f t="shared" si="81"/>
        <v>#N/A</v>
      </c>
      <c r="DP221" s="7" t="e">
        <f t="shared" si="82"/>
        <v>#N/A</v>
      </c>
      <c r="DQ221" s="7" t="e">
        <f t="shared" si="82"/>
        <v>#N/A</v>
      </c>
      <c r="DR221" s="7" t="e">
        <f t="shared" si="87"/>
        <v>#N/A</v>
      </c>
    </row>
    <row r="222" spans="1:122" s="7" customFormat="1" ht="42" customHeight="1">
      <c r="A222" s="75">
        <f t="shared" si="77"/>
        <v>208</v>
      </c>
      <c r="B222" s="538" t="s">
        <v>579</v>
      </c>
      <c r="C222" s="336" t="s">
        <v>880</v>
      </c>
      <c r="D222" s="336" t="s">
        <v>881</v>
      </c>
      <c r="E222" s="193" t="s">
        <v>568</v>
      </c>
      <c r="F222" s="75">
        <v>1</v>
      </c>
      <c r="G222" s="75" t="s">
        <v>192</v>
      </c>
      <c r="H222" s="106" t="s">
        <v>380</v>
      </c>
      <c r="I222" s="107">
        <v>24000</v>
      </c>
      <c r="J222" s="96">
        <f t="shared" si="90"/>
        <v>4560</v>
      </c>
      <c r="K222" s="96">
        <f t="shared" si="84"/>
        <v>28560</v>
      </c>
      <c r="L222" s="96">
        <f t="shared" si="94"/>
        <v>24000</v>
      </c>
      <c r="M222" s="96">
        <f t="shared" si="95"/>
        <v>28560</v>
      </c>
      <c r="N222" s="108" t="s">
        <v>381</v>
      </c>
      <c r="O222" s="109">
        <v>23000</v>
      </c>
      <c r="P222" s="110">
        <f t="shared" si="83"/>
        <v>4370</v>
      </c>
      <c r="Q222" s="110">
        <f t="shared" si="85"/>
        <v>27370</v>
      </c>
      <c r="R222" s="110">
        <f t="shared" si="96"/>
        <v>23000</v>
      </c>
      <c r="S222" s="110">
        <f t="shared" si="97"/>
        <v>27370</v>
      </c>
      <c r="T222" s="97" t="s">
        <v>382</v>
      </c>
      <c r="U222" s="98">
        <v>22260</v>
      </c>
      <c r="V222" s="99">
        <f t="shared" si="91"/>
        <v>4229.3999999999996</v>
      </c>
      <c r="W222" s="99">
        <f t="shared" si="86"/>
        <v>26489.4</v>
      </c>
      <c r="X222" s="99">
        <f t="shared" si="98"/>
        <v>22260</v>
      </c>
      <c r="Y222" s="99">
        <f t="shared" si="99"/>
        <v>26489.4</v>
      </c>
      <c r="Z222" s="100">
        <f t="shared" si="92"/>
        <v>27473.133333333331</v>
      </c>
      <c r="AA222" s="100">
        <f t="shared" si="100"/>
        <v>27473.133333333331</v>
      </c>
      <c r="AB222" s="78">
        <f t="shared" si="93"/>
        <v>1039.1455400151278</v>
      </c>
      <c r="AC222" s="102">
        <f t="shared" si="79"/>
        <v>3.7824063509870054E-2</v>
      </c>
      <c r="AD222" s="5"/>
      <c r="AF222" s="7" t="s">
        <v>570</v>
      </c>
      <c r="AG222" s="7">
        <v>104</v>
      </c>
      <c r="AH222" s="7" t="s">
        <v>882</v>
      </c>
      <c r="BG222" s="7">
        <v>93</v>
      </c>
      <c r="DA222" s="7" t="e">
        <f>VLOOKUP(C222,listaBolsa!$D$2:$BA$248,1,0)</f>
        <v>#N/A</v>
      </c>
      <c r="DB222" s="7" t="e">
        <f>VLOOKUP(C222,listaBolsa!$D$2:$BA$248,2,0)</f>
        <v>#N/A</v>
      </c>
      <c r="DC222" s="7" t="e">
        <f>VLOOKUP(C222,listaBolsa!$D$2:$BA$248,10,0)</f>
        <v>#N/A</v>
      </c>
      <c r="DD222" s="7" t="e">
        <f>VLOOKUP(C222,listaBolsa!$D$2:$BA$248,14,0)</f>
        <v>#N/A</v>
      </c>
      <c r="DE222" s="7" t="e">
        <f>VLOOKUP(C222,listaBolsa!$D$2:$BA$248,23,0)</f>
        <v>#N/A</v>
      </c>
      <c r="DF222" s="7" t="e">
        <f>VLOOKUP(C222,listaBolsa!$D$2:$BA$248,29,0)</f>
        <v>#N/A</v>
      </c>
      <c r="DG222" s="7" t="e">
        <f>VLOOKUP(C222,listaBolsa!$D$2:$BA$248,36,0)</f>
        <v>#N/A</v>
      </c>
      <c r="DH222" s="7" t="e">
        <f>VLOOKUP(C222,listaBolsa!$D$2:$BA$248,40,0)</f>
        <v>#N/A</v>
      </c>
      <c r="DI222" s="7" t="e">
        <f>VLOOKUP(C222,listaBolsa!$D$2:$BA$248,48,0)</f>
        <v>#N/A</v>
      </c>
      <c r="DJ222" s="7" t="e">
        <f t="shared" si="88"/>
        <v>#N/A</v>
      </c>
      <c r="DK222" s="7" t="e">
        <f t="shared" si="89"/>
        <v>#N/A</v>
      </c>
      <c r="DL222" s="7" t="e">
        <f t="shared" si="80"/>
        <v>#N/A</v>
      </c>
      <c r="DM222" s="7" t="e">
        <f t="shared" si="80"/>
        <v>#N/A</v>
      </c>
      <c r="DN222" s="7" t="e">
        <f t="shared" si="81"/>
        <v>#N/A</v>
      </c>
      <c r="DO222" s="7" t="e">
        <f t="shared" si="81"/>
        <v>#N/A</v>
      </c>
      <c r="DP222" s="7" t="e">
        <f t="shared" si="82"/>
        <v>#N/A</v>
      </c>
      <c r="DQ222" s="7" t="e">
        <f t="shared" si="82"/>
        <v>#N/A</v>
      </c>
      <c r="DR222" s="7" t="e">
        <f t="shared" si="87"/>
        <v>#N/A</v>
      </c>
    </row>
    <row r="223" spans="1:122" s="7" customFormat="1" ht="42" customHeight="1">
      <c r="A223" s="75">
        <f t="shared" si="77"/>
        <v>209</v>
      </c>
      <c r="B223" s="538" t="s">
        <v>579</v>
      </c>
      <c r="C223" s="336" t="s">
        <v>883</v>
      </c>
      <c r="D223" s="336" t="s">
        <v>884</v>
      </c>
      <c r="E223" s="193" t="s">
        <v>568</v>
      </c>
      <c r="F223" s="75">
        <v>1</v>
      </c>
      <c r="G223" s="75" t="s">
        <v>192</v>
      </c>
      <c r="H223" s="106" t="s">
        <v>380</v>
      </c>
      <c r="I223" s="107">
        <v>14000</v>
      </c>
      <c r="J223" s="96">
        <f t="shared" si="90"/>
        <v>2660</v>
      </c>
      <c r="K223" s="96">
        <f t="shared" si="84"/>
        <v>16660</v>
      </c>
      <c r="L223" s="96">
        <f t="shared" si="94"/>
        <v>14000</v>
      </c>
      <c r="M223" s="96">
        <f t="shared" si="95"/>
        <v>16660</v>
      </c>
      <c r="N223" s="108" t="s">
        <v>381</v>
      </c>
      <c r="O223" s="109">
        <v>12000</v>
      </c>
      <c r="P223" s="110">
        <f t="shared" si="83"/>
        <v>2280</v>
      </c>
      <c r="Q223" s="110">
        <f t="shared" si="85"/>
        <v>14280</v>
      </c>
      <c r="R223" s="110">
        <f t="shared" si="96"/>
        <v>12000</v>
      </c>
      <c r="S223" s="110">
        <f t="shared" si="97"/>
        <v>14280</v>
      </c>
      <c r="T223" s="97" t="s">
        <v>382</v>
      </c>
      <c r="U223" s="98">
        <v>10780</v>
      </c>
      <c r="V223" s="99">
        <f t="shared" si="91"/>
        <v>2048.1999999999998</v>
      </c>
      <c r="W223" s="99">
        <f t="shared" si="86"/>
        <v>12828.2</v>
      </c>
      <c r="X223" s="99">
        <f t="shared" si="98"/>
        <v>10780</v>
      </c>
      <c r="Y223" s="99">
        <f t="shared" si="99"/>
        <v>12828.2</v>
      </c>
      <c r="Z223" s="100">
        <f t="shared" si="92"/>
        <v>14589.4</v>
      </c>
      <c r="AA223" s="100">
        <f t="shared" si="100"/>
        <v>14589.4</v>
      </c>
      <c r="AB223" s="78">
        <f t="shared" si="93"/>
        <v>1934.5462206936393</v>
      </c>
      <c r="AC223" s="102">
        <f t="shared" si="79"/>
        <v>0.13259943662478507</v>
      </c>
      <c r="AD223" s="5"/>
      <c r="AF223" s="7" t="s">
        <v>570</v>
      </c>
      <c r="AG223" s="7">
        <v>105</v>
      </c>
      <c r="AH223" s="7" t="s">
        <v>885</v>
      </c>
      <c r="BG223" s="7">
        <v>94</v>
      </c>
      <c r="DA223" s="7" t="e">
        <f>VLOOKUP(C223,listaBolsa!$D$2:$BA$248,1,0)</f>
        <v>#N/A</v>
      </c>
      <c r="DB223" s="7" t="e">
        <f>VLOOKUP(C223,listaBolsa!$D$2:$BA$248,2,0)</f>
        <v>#N/A</v>
      </c>
      <c r="DC223" s="7" t="e">
        <f>VLOOKUP(C223,listaBolsa!$D$2:$BA$248,10,0)</f>
        <v>#N/A</v>
      </c>
      <c r="DD223" s="7" t="e">
        <f>VLOOKUP(C223,listaBolsa!$D$2:$BA$248,14,0)</f>
        <v>#N/A</v>
      </c>
      <c r="DE223" s="7" t="e">
        <f>VLOOKUP(C223,listaBolsa!$D$2:$BA$248,23,0)</f>
        <v>#N/A</v>
      </c>
      <c r="DF223" s="7" t="e">
        <f>VLOOKUP(C223,listaBolsa!$D$2:$BA$248,29,0)</f>
        <v>#N/A</v>
      </c>
      <c r="DG223" s="7" t="e">
        <f>VLOOKUP(C223,listaBolsa!$D$2:$BA$248,36,0)</f>
        <v>#N/A</v>
      </c>
      <c r="DH223" s="7" t="e">
        <f>VLOOKUP(C223,listaBolsa!$D$2:$BA$248,40,0)</f>
        <v>#N/A</v>
      </c>
      <c r="DI223" s="7" t="e">
        <f>VLOOKUP(C223,listaBolsa!$D$2:$BA$248,48,0)</f>
        <v>#N/A</v>
      </c>
      <c r="DJ223" s="7" t="e">
        <f t="shared" si="88"/>
        <v>#N/A</v>
      </c>
      <c r="DK223" s="7" t="e">
        <f t="shared" si="89"/>
        <v>#N/A</v>
      </c>
      <c r="DL223" s="7" t="e">
        <f t="shared" si="80"/>
        <v>#N/A</v>
      </c>
      <c r="DM223" s="7" t="e">
        <f t="shared" si="80"/>
        <v>#N/A</v>
      </c>
      <c r="DN223" s="7" t="e">
        <f t="shared" si="81"/>
        <v>#N/A</v>
      </c>
      <c r="DO223" s="7" t="e">
        <f t="shared" si="81"/>
        <v>#N/A</v>
      </c>
      <c r="DP223" s="7" t="e">
        <f t="shared" si="82"/>
        <v>#N/A</v>
      </c>
      <c r="DQ223" s="7" t="e">
        <f t="shared" si="82"/>
        <v>#N/A</v>
      </c>
      <c r="DR223" s="7" t="e">
        <f t="shared" si="87"/>
        <v>#N/A</v>
      </c>
    </row>
    <row r="224" spans="1:122" s="7" customFormat="1" ht="42" customHeight="1">
      <c r="A224" s="75">
        <f t="shared" si="77"/>
        <v>210</v>
      </c>
      <c r="B224" s="538" t="s">
        <v>579</v>
      </c>
      <c r="C224" s="336" t="s">
        <v>886</v>
      </c>
      <c r="D224" s="336" t="s">
        <v>887</v>
      </c>
      <c r="E224" s="193" t="s">
        <v>568</v>
      </c>
      <c r="F224" s="75">
        <v>1</v>
      </c>
      <c r="G224" s="75" t="s">
        <v>192</v>
      </c>
      <c r="H224" s="106" t="s">
        <v>380</v>
      </c>
      <c r="I224" s="107">
        <v>20000</v>
      </c>
      <c r="J224" s="96"/>
      <c r="K224" s="96">
        <f t="shared" si="84"/>
        <v>20000</v>
      </c>
      <c r="L224" s="96">
        <f t="shared" si="94"/>
        <v>20000</v>
      </c>
      <c r="M224" s="96">
        <f t="shared" si="95"/>
        <v>20000</v>
      </c>
      <c r="N224" s="108" t="s">
        <v>381</v>
      </c>
      <c r="O224" s="109">
        <v>19300</v>
      </c>
      <c r="P224" s="110"/>
      <c r="Q224" s="110">
        <f t="shared" si="85"/>
        <v>19300</v>
      </c>
      <c r="R224" s="110">
        <f t="shared" si="96"/>
        <v>19300</v>
      </c>
      <c r="S224" s="110">
        <f t="shared" si="97"/>
        <v>19300</v>
      </c>
      <c r="T224" s="97" t="s">
        <v>263</v>
      </c>
      <c r="U224" s="98">
        <v>18403.361344537811</v>
      </c>
      <c r="V224" s="99"/>
      <c r="W224" s="99">
        <f t="shared" si="86"/>
        <v>18403.361344537811</v>
      </c>
      <c r="X224" s="99">
        <f t="shared" si="98"/>
        <v>18403.361344537811</v>
      </c>
      <c r="Y224" s="99">
        <f t="shared" si="99"/>
        <v>18403.361344537811</v>
      </c>
      <c r="Z224" s="100">
        <f t="shared" si="92"/>
        <v>19234.453781512606</v>
      </c>
      <c r="AA224" s="100">
        <f t="shared" si="100"/>
        <v>19234.453781512606</v>
      </c>
      <c r="AB224" s="78">
        <f t="shared" si="93"/>
        <v>800.3349168301512</v>
      </c>
      <c r="AC224" s="102">
        <f t="shared" si="79"/>
        <v>4.1609443445667346E-2</v>
      </c>
      <c r="AD224" s="5"/>
      <c r="AF224" s="7" t="s">
        <v>570</v>
      </c>
      <c r="AG224" s="7">
        <v>106</v>
      </c>
      <c r="AH224" s="7" t="s">
        <v>888</v>
      </c>
      <c r="BG224" s="7">
        <v>95</v>
      </c>
      <c r="DA224" s="7" t="e">
        <f>VLOOKUP(C224,listaBolsa!$D$2:$BA$248,1,0)</f>
        <v>#N/A</v>
      </c>
      <c r="DB224" s="7" t="e">
        <f>VLOOKUP(C224,listaBolsa!$D$2:$BA$248,2,0)</f>
        <v>#N/A</v>
      </c>
      <c r="DC224" s="7" t="e">
        <f>VLOOKUP(C224,listaBolsa!$D$2:$BA$248,10,0)</f>
        <v>#N/A</v>
      </c>
      <c r="DD224" s="7" t="e">
        <f>VLOOKUP(C224,listaBolsa!$D$2:$BA$248,14,0)</f>
        <v>#N/A</v>
      </c>
      <c r="DE224" s="7" t="e">
        <f>VLOOKUP(C224,listaBolsa!$D$2:$BA$248,23,0)</f>
        <v>#N/A</v>
      </c>
      <c r="DF224" s="7" t="e">
        <f>VLOOKUP(C224,listaBolsa!$D$2:$BA$248,29,0)</f>
        <v>#N/A</v>
      </c>
      <c r="DG224" s="7" t="e">
        <f>VLOOKUP(C224,listaBolsa!$D$2:$BA$248,36,0)</f>
        <v>#N/A</v>
      </c>
      <c r="DH224" s="7" t="e">
        <f>VLOOKUP(C224,listaBolsa!$D$2:$BA$248,40,0)</f>
        <v>#N/A</v>
      </c>
      <c r="DI224" s="7" t="e">
        <f>VLOOKUP(C224,listaBolsa!$D$2:$BA$248,48,0)</f>
        <v>#N/A</v>
      </c>
      <c r="DJ224" s="7" t="e">
        <f t="shared" si="88"/>
        <v>#N/A</v>
      </c>
      <c r="DK224" s="7" t="e">
        <f t="shared" si="89"/>
        <v>#N/A</v>
      </c>
      <c r="DL224" s="7" t="e">
        <f t="shared" si="80"/>
        <v>#N/A</v>
      </c>
      <c r="DM224" s="7" t="e">
        <f t="shared" si="80"/>
        <v>#N/A</v>
      </c>
      <c r="DN224" s="7" t="e">
        <f t="shared" si="81"/>
        <v>#N/A</v>
      </c>
      <c r="DO224" s="7" t="e">
        <f t="shared" si="81"/>
        <v>#N/A</v>
      </c>
      <c r="DP224" s="7" t="e">
        <f t="shared" si="82"/>
        <v>#N/A</v>
      </c>
      <c r="DQ224" s="7" t="e">
        <f t="shared" si="82"/>
        <v>#N/A</v>
      </c>
      <c r="DR224" s="7" t="e">
        <f t="shared" si="87"/>
        <v>#N/A</v>
      </c>
    </row>
    <row r="225" spans="1:122" s="7" customFormat="1" ht="42" customHeight="1">
      <c r="A225" s="75">
        <f t="shared" si="77"/>
        <v>211</v>
      </c>
      <c r="B225" s="538" t="s">
        <v>579</v>
      </c>
      <c r="C225" s="336" t="s">
        <v>889</v>
      </c>
      <c r="D225" s="336" t="s">
        <v>890</v>
      </c>
      <c r="E225" s="193" t="s">
        <v>568</v>
      </c>
      <c r="F225" s="75">
        <v>1</v>
      </c>
      <c r="G225" s="75" t="s">
        <v>192</v>
      </c>
      <c r="H225" s="106" t="s">
        <v>380</v>
      </c>
      <c r="I225" s="107">
        <v>24000</v>
      </c>
      <c r="J225" s="96">
        <f t="shared" si="90"/>
        <v>4560</v>
      </c>
      <c r="K225" s="96">
        <f t="shared" si="84"/>
        <v>28560</v>
      </c>
      <c r="L225" s="96">
        <f t="shared" si="94"/>
        <v>24000</v>
      </c>
      <c r="M225" s="96">
        <f t="shared" si="95"/>
        <v>28560</v>
      </c>
      <c r="N225" s="108" t="s">
        <v>381</v>
      </c>
      <c r="O225" s="109">
        <v>23000</v>
      </c>
      <c r="P225" s="110">
        <f t="shared" si="83"/>
        <v>4370</v>
      </c>
      <c r="Q225" s="110">
        <f t="shared" si="85"/>
        <v>27370</v>
      </c>
      <c r="R225" s="110">
        <f t="shared" si="96"/>
        <v>23000</v>
      </c>
      <c r="S225" s="110">
        <f t="shared" si="97"/>
        <v>27370</v>
      </c>
      <c r="T225" s="97" t="s">
        <v>382</v>
      </c>
      <c r="U225" s="98">
        <v>21000</v>
      </c>
      <c r="V225" s="99">
        <f t="shared" si="91"/>
        <v>3990</v>
      </c>
      <c r="W225" s="99">
        <f t="shared" si="86"/>
        <v>24990</v>
      </c>
      <c r="X225" s="99">
        <f t="shared" si="98"/>
        <v>21000</v>
      </c>
      <c r="Y225" s="99">
        <f t="shared" si="99"/>
        <v>24990</v>
      </c>
      <c r="Z225" s="100">
        <f t="shared" si="92"/>
        <v>26973.333333333332</v>
      </c>
      <c r="AA225" s="100">
        <f t="shared" si="100"/>
        <v>26973.333333333332</v>
      </c>
      <c r="AB225" s="78">
        <f t="shared" si="93"/>
        <v>1817.7550256658164</v>
      </c>
      <c r="AC225" s="102">
        <f t="shared" si="79"/>
        <v>6.7390819043468234E-2</v>
      </c>
      <c r="AD225" s="5"/>
      <c r="AF225" s="7" t="s">
        <v>570</v>
      </c>
      <c r="AG225" s="7">
        <v>107</v>
      </c>
      <c r="AH225" s="7" t="s">
        <v>891</v>
      </c>
      <c r="BG225" s="7">
        <v>96</v>
      </c>
      <c r="DA225" s="7" t="e">
        <f>VLOOKUP(C225,listaBolsa!$D$2:$BA$248,1,0)</f>
        <v>#N/A</v>
      </c>
      <c r="DB225" s="7" t="e">
        <f>VLOOKUP(C225,listaBolsa!$D$2:$BA$248,2,0)</f>
        <v>#N/A</v>
      </c>
      <c r="DC225" s="7" t="e">
        <f>VLOOKUP(C225,listaBolsa!$D$2:$BA$248,10,0)</f>
        <v>#N/A</v>
      </c>
      <c r="DD225" s="7" t="e">
        <f>VLOOKUP(C225,listaBolsa!$D$2:$BA$248,14,0)</f>
        <v>#N/A</v>
      </c>
      <c r="DE225" s="7" t="e">
        <f>VLOOKUP(C225,listaBolsa!$D$2:$BA$248,23,0)</f>
        <v>#N/A</v>
      </c>
      <c r="DF225" s="7" t="e">
        <f>VLOOKUP(C225,listaBolsa!$D$2:$BA$248,29,0)</f>
        <v>#N/A</v>
      </c>
      <c r="DG225" s="7" t="e">
        <f>VLOOKUP(C225,listaBolsa!$D$2:$BA$248,36,0)</f>
        <v>#N/A</v>
      </c>
      <c r="DH225" s="7" t="e">
        <f>VLOOKUP(C225,listaBolsa!$D$2:$BA$248,40,0)</f>
        <v>#N/A</v>
      </c>
      <c r="DI225" s="7" t="e">
        <f>VLOOKUP(C225,listaBolsa!$D$2:$BA$248,48,0)</f>
        <v>#N/A</v>
      </c>
      <c r="DJ225" s="7" t="e">
        <f t="shared" si="88"/>
        <v>#N/A</v>
      </c>
      <c r="DK225" s="7" t="e">
        <f t="shared" si="89"/>
        <v>#N/A</v>
      </c>
      <c r="DL225" s="7" t="e">
        <f t="shared" si="80"/>
        <v>#N/A</v>
      </c>
      <c r="DM225" s="7" t="e">
        <f t="shared" si="80"/>
        <v>#N/A</v>
      </c>
      <c r="DN225" s="7" t="e">
        <f t="shared" si="81"/>
        <v>#N/A</v>
      </c>
      <c r="DO225" s="7" t="e">
        <f t="shared" si="81"/>
        <v>#N/A</v>
      </c>
      <c r="DP225" s="7" t="e">
        <f t="shared" si="82"/>
        <v>#N/A</v>
      </c>
      <c r="DQ225" s="7" t="e">
        <f t="shared" si="82"/>
        <v>#N/A</v>
      </c>
      <c r="DR225" s="7" t="e">
        <f t="shared" si="87"/>
        <v>#N/A</v>
      </c>
    </row>
    <row r="226" spans="1:122" s="7" customFormat="1" ht="42" customHeight="1">
      <c r="A226" s="75">
        <f t="shared" si="77"/>
        <v>212</v>
      </c>
      <c r="B226" s="538" t="s">
        <v>579</v>
      </c>
      <c r="C226" s="351" t="s">
        <v>892</v>
      </c>
      <c r="D226" s="351" t="s">
        <v>893</v>
      </c>
      <c r="E226" s="193" t="s">
        <v>568</v>
      </c>
      <c r="F226" s="75">
        <v>1</v>
      </c>
      <c r="G226" s="75" t="s">
        <v>192</v>
      </c>
      <c r="H226" s="106" t="s">
        <v>351</v>
      </c>
      <c r="I226" s="107">
        <v>1298.319327731092</v>
      </c>
      <c r="J226" s="96">
        <f t="shared" si="90"/>
        <v>246.6806722689075</v>
      </c>
      <c r="K226" s="96">
        <f t="shared" si="84"/>
        <v>1544.9999999999995</v>
      </c>
      <c r="L226" s="96">
        <f t="shared" si="94"/>
        <v>1298.319327731092</v>
      </c>
      <c r="M226" s="96">
        <f t="shared" si="95"/>
        <v>1544.9999999999995</v>
      </c>
      <c r="N226" s="108" t="s">
        <v>313</v>
      </c>
      <c r="O226" s="109">
        <v>1680.672268907563</v>
      </c>
      <c r="P226" s="110">
        <f t="shared" si="83"/>
        <v>319.32773109243698</v>
      </c>
      <c r="Q226" s="110">
        <f t="shared" si="85"/>
        <v>2000</v>
      </c>
      <c r="R226" s="110">
        <f t="shared" si="96"/>
        <v>1680.672268907563</v>
      </c>
      <c r="S226" s="110">
        <f t="shared" si="97"/>
        <v>2000</v>
      </c>
      <c r="T226" s="97" t="s">
        <v>894</v>
      </c>
      <c r="U226" s="98">
        <v>1554.621848739496</v>
      </c>
      <c r="V226" s="99">
        <f t="shared" si="91"/>
        <v>295.37815126050424</v>
      </c>
      <c r="W226" s="99">
        <f t="shared" si="86"/>
        <v>1850.0000000000002</v>
      </c>
      <c r="X226" s="99">
        <f t="shared" si="98"/>
        <v>1554.621848739496</v>
      </c>
      <c r="Y226" s="99">
        <f t="shared" si="99"/>
        <v>1850.0000000000002</v>
      </c>
      <c r="Z226" s="100">
        <f t="shared" si="92"/>
        <v>1798.3333333333333</v>
      </c>
      <c r="AA226" s="100">
        <f t="shared" si="100"/>
        <v>1798.3333333333333</v>
      </c>
      <c r="AB226" s="78">
        <f t="shared" si="93"/>
        <v>231.85843381971901</v>
      </c>
      <c r="AC226" s="102">
        <f t="shared" si="79"/>
        <v>0.12892962028900037</v>
      </c>
      <c r="AD226" s="5"/>
      <c r="AF226" s="7" t="s">
        <v>570</v>
      </c>
      <c r="AG226" s="7">
        <v>108</v>
      </c>
      <c r="AH226" s="7" t="s">
        <v>895</v>
      </c>
      <c r="BG226" s="7">
        <v>97</v>
      </c>
      <c r="DA226" s="7" t="e">
        <f>VLOOKUP(C226,listaBolsa!$D$2:$BA$248,1,0)</f>
        <v>#N/A</v>
      </c>
      <c r="DB226" s="7" t="e">
        <f>VLOOKUP(C226,listaBolsa!$D$2:$BA$248,2,0)</f>
        <v>#N/A</v>
      </c>
      <c r="DC226" s="7" t="e">
        <f>VLOOKUP(C226,listaBolsa!$D$2:$BA$248,10,0)</f>
        <v>#N/A</v>
      </c>
      <c r="DD226" s="7" t="e">
        <f>VLOOKUP(C226,listaBolsa!$D$2:$BA$248,14,0)</f>
        <v>#N/A</v>
      </c>
      <c r="DE226" s="7" t="e">
        <f>VLOOKUP(C226,listaBolsa!$D$2:$BA$248,23,0)</f>
        <v>#N/A</v>
      </c>
      <c r="DF226" s="7" t="e">
        <f>VLOOKUP(C226,listaBolsa!$D$2:$BA$248,29,0)</f>
        <v>#N/A</v>
      </c>
      <c r="DG226" s="7" t="e">
        <f>VLOOKUP(C226,listaBolsa!$D$2:$BA$248,36,0)</f>
        <v>#N/A</v>
      </c>
      <c r="DH226" s="7" t="e">
        <f>VLOOKUP(C226,listaBolsa!$D$2:$BA$248,40,0)</f>
        <v>#N/A</v>
      </c>
      <c r="DI226" s="7" t="e">
        <f>VLOOKUP(C226,listaBolsa!$D$2:$BA$248,48,0)</f>
        <v>#N/A</v>
      </c>
      <c r="DJ226" s="7" t="e">
        <f t="shared" si="88"/>
        <v>#N/A</v>
      </c>
      <c r="DK226" s="7" t="e">
        <f t="shared" si="89"/>
        <v>#N/A</v>
      </c>
      <c r="DL226" s="7" t="e">
        <f t="shared" si="80"/>
        <v>#N/A</v>
      </c>
      <c r="DM226" s="7" t="e">
        <f t="shared" si="80"/>
        <v>#N/A</v>
      </c>
      <c r="DN226" s="7" t="e">
        <f t="shared" si="81"/>
        <v>#N/A</v>
      </c>
      <c r="DO226" s="7" t="e">
        <f t="shared" si="81"/>
        <v>#N/A</v>
      </c>
      <c r="DP226" s="7" t="e">
        <f t="shared" si="82"/>
        <v>#N/A</v>
      </c>
      <c r="DQ226" s="7" t="e">
        <f t="shared" si="82"/>
        <v>#N/A</v>
      </c>
      <c r="DR226" s="7" t="e">
        <f t="shared" si="87"/>
        <v>#N/A</v>
      </c>
    </row>
    <row r="227" spans="1:122" s="7" customFormat="1" ht="42" customHeight="1">
      <c r="A227" s="75">
        <f t="shared" si="77"/>
        <v>213</v>
      </c>
      <c r="B227" s="538" t="s">
        <v>579</v>
      </c>
      <c r="C227" s="351" t="s">
        <v>896</v>
      </c>
      <c r="D227" s="351" t="s">
        <v>897</v>
      </c>
      <c r="E227" s="193" t="s">
        <v>568</v>
      </c>
      <c r="F227" s="75">
        <v>1</v>
      </c>
      <c r="G227" s="75" t="s">
        <v>192</v>
      </c>
      <c r="H227" s="106" t="s">
        <v>380</v>
      </c>
      <c r="I227" s="107">
        <v>3550</v>
      </c>
      <c r="J227" s="96">
        <f t="shared" si="90"/>
        <v>674.5</v>
      </c>
      <c r="K227" s="96">
        <f t="shared" si="84"/>
        <v>4224.5</v>
      </c>
      <c r="L227" s="96">
        <f t="shared" si="94"/>
        <v>3550</v>
      </c>
      <c r="M227" s="96">
        <f t="shared" si="95"/>
        <v>4224.5</v>
      </c>
      <c r="N227" s="108" t="s">
        <v>381</v>
      </c>
      <c r="O227" s="109">
        <v>3400</v>
      </c>
      <c r="P227" s="110">
        <f t="shared" si="83"/>
        <v>646</v>
      </c>
      <c r="Q227" s="110">
        <f t="shared" si="85"/>
        <v>4046</v>
      </c>
      <c r="R227" s="110">
        <f t="shared" si="96"/>
        <v>3400</v>
      </c>
      <c r="S227" s="110">
        <f t="shared" si="97"/>
        <v>4046</v>
      </c>
      <c r="T227" s="97" t="s">
        <v>382</v>
      </c>
      <c r="U227" s="98">
        <v>3360</v>
      </c>
      <c r="V227" s="99">
        <f t="shared" si="91"/>
        <v>638.4</v>
      </c>
      <c r="W227" s="99">
        <f t="shared" si="86"/>
        <v>3998.4</v>
      </c>
      <c r="X227" s="99">
        <f t="shared" si="98"/>
        <v>3360</v>
      </c>
      <c r="Y227" s="99">
        <f t="shared" si="99"/>
        <v>3998.4</v>
      </c>
      <c r="Z227" s="100">
        <f t="shared" si="92"/>
        <v>4089.6333333333332</v>
      </c>
      <c r="AA227" s="100">
        <f t="shared" si="100"/>
        <v>4089.6333333333332</v>
      </c>
      <c r="AB227" s="78">
        <f t="shared" si="93"/>
        <v>119.19816833044594</v>
      </c>
      <c r="AC227" s="102">
        <f t="shared" si="79"/>
        <v>2.9146419401196343E-2</v>
      </c>
      <c r="AD227" s="5"/>
      <c r="AF227" s="7" t="s">
        <v>570</v>
      </c>
      <c r="AG227" s="7">
        <v>109</v>
      </c>
      <c r="AH227" s="7" t="s">
        <v>898</v>
      </c>
      <c r="BG227" s="7">
        <v>98</v>
      </c>
      <c r="DA227" s="7" t="e">
        <f>VLOOKUP(C227,listaBolsa!$D$2:$BA$248,1,0)</f>
        <v>#N/A</v>
      </c>
      <c r="DB227" s="7" t="e">
        <f>VLOOKUP(C227,listaBolsa!$D$2:$BA$248,2,0)</f>
        <v>#N/A</v>
      </c>
      <c r="DC227" s="7" t="e">
        <f>VLOOKUP(C227,listaBolsa!$D$2:$BA$248,10,0)</f>
        <v>#N/A</v>
      </c>
      <c r="DD227" s="7" t="e">
        <f>VLOOKUP(C227,listaBolsa!$D$2:$BA$248,14,0)</f>
        <v>#N/A</v>
      </c>
      <c r="DE227" s="7" t="e">
        <f>VLOOKUP(C227,listaBolsa!$D$2:$BA$248,23,0)</f>
        <v>#N/A</v>
      </c>
      <c r="DF227" s="7" t="e">
        <f>VLOOKUP(C227,listaBolsa!$D$2:$BA$248,29,0)</f>
        <v>#N/A</v>
      </c>
      <c r="DG227" s="7" t="e">
        <f>VLOOKUP(C227,listaBolsa!$D$2:$BA$248,36,0)</f>
        <v>#N/A</v>
      </c>
      <c r="DH227" s="7" t="e">
        <f>VLOOKUP(C227,listaBolsa!$D$2:$BA$248,40,0)</f>
        <v>#N/A</v>
      </c>
      <c r="DI227" s="7" t="e">
        <f>VLOOKUP(C227,listaBolsa!$D$2:$BA$248,48,0)</f>
        <v>#N/A</v>
      </c>
      <c r="DJ227" s="7" t="e">
        <f t="shared" si="88"/>
        <v>#N/A</v>
      </c>
      <c r="DK227" s="7" t="e">
        <f t="shared" si="89"/>
        <v>#N/A</v>
      </c>
      <c r="DL227" s="7" t="e">
        <f t="shared" si="80"/>
        <v>#N/A</v>
      </c>
      <c r="DM227" s="7" t="e">
        <f t="shared" si="80"/>
        <v>#N/A</v>
      </c>
      <c r="DN227" s="7" t="e">
        <f t="shared" si="81"/>
        <v>#N/A</v>
      </c>
      <c r="DO227" s="7" t="e">
        <f t="shared" si="81"/>
        <v>#N/A</v>
      </c>
      <c r="DP227" s="7" t="e">
        <f t="shared" si="82"/>
        <v>#N/A</v>
      </c>
      <c r="DQ227" s="7" t="e">
        <f t="shared" si="82"/>
        <v>#N/A</v>
      </c>
      <c r="DR227" s="7" t="e">
        <f t="shared" si="87"/>
        <v>#N/A</v>
      </c>
    </row>
    <row r="228" spans="1:122" s="7" customFormat="1" ht="42" customHeight="1">
      <c r="A228" s="75">
        <f t="shared" si="77"/>
        <v>214</v>
      </c>
      <c r="B228" s="538" t="s">
        <v>579</v>
      </c>
      <c r="C228" s="351" t="s">
        <v>899</v>
      </c>
      <c r="D228" s="351" t="s">
        <v>900</v>
      </c>
      <c r="E228" s="193" t="s">
        <v>568</v>
      </c>
      <c r="F228" s="75">
        <v>1</v>
      </c>
      <c r="G228" s="75" t="s">
        <v>192</v>
      </c>
      <c r="H228" s="106" t="s">
        <v>380</v>
      </c>
      <c r="I228" s="107">
        <v>4200</v>
      </c>
      <c r="J228" s="96">
        <f t="shared" si="90"/>
        <v>798</v>
      </c>
      <c r="K228" s="96">
        <f t="shared" si="84"/>
        <v>4998</v>
      </c>
      <c r="L228" s="96">
        <f t="shared" si="94"/>
        <v>4200</v>
      </c>
      <c r="M228" s="96">
        <f t="shared" si="95"/>
        <v>4998</v>
      </c>
      <c r="N228" s="108" t="s">
        <v>381</v>
      </c>
      <c r="O228" s="109">
        <v>4000</v>
      </c>
      <c r="P228" s="110">
        <f t="shared" si="83"/>
        <v>760</v>
      </c>
      <c r="Q228" s="110">
        <f t="shared" si="85"/>
        <v>4760</v>
      </c>
      <c r="R228" s="110">
        <f t="shared" si="96"/>
        <v>4000</v>
      </c>
      <c r="S228" s="110">
        <f t="shared" si="97"/>
        <v>4760</v>
      </c>
      <c r="T228" s="97" t="s">
        <v>382</v>
      </c>
      <c r="U228" s="98">
        <v>4900</v>
      </c>
      <c r="V228" s="99">
        <f t="shared" si="91"/>
        <v>931</v>
      </c>
      <c r="W228" s="99">
        <f t="shared" si="86"/>
        <v>5831</v>
      </c>
      <c r="X228" s="99">
        <f t="shared" si="98"/>
        <v>4900</v>
      </c>
      <c r="Y228" s="99">
        <f t="shared" si="99"/>
        <v>5831</v>
      </c>
      <c r="Z228" s="100">
        <f t="shared" si="92"/>
        <v>5196.333333333333</v>
      </c>
      <c r="AA228" s="100">
        <f t="shared" si="100"/>
        <v>5196.333333333333</v>
      </c>
      <c r="AB228" s="78">
        <f t="shared" si="93"/>
        <v>562.37205952406043</v>
      </c>
      <c r="AC228" s="102">
        <f t="shared" si="79"/>
        <v>0.10822478533402921</v>
      </c>
      <c r="AD228" s="5"/>
      <c r="AF228" s="7" t="s">
        <v>570</v>
      </c>
      <c r="AG228" s="7">
        <v>110</v>
      </c>
      <c r="AH228" s="7" t="s">
        <v>901</v>
      </c>
      <c r="BG228" s="7">
        <v>99</v>
      </c>
      <c r="DA228" s="7" t="e">
        <f>VLOOKUP(C228,listaBolsa!$D$2:$BA$248,1,0)</f>
        <v>#N/A</v>
      </c>
      <c r="DB228" s="7" t="e">
        <f>VLOOKUP(C228,listaBolsa!$D$2:$BA$248,2,0)</f>
        <v>#N/A</v>
      </c>
      <c r="DC228" s="7" t="e">
        <f>VLOOKUP(C228,listaBolsa!$D$2:$BA$248,10,0)</f>
        <v>#N/A</v>
      </c>
      <c r="DD228" s="7" t="e">
        <f>VLOOKUP(C228,listaBolsa!$D$2:$BA$248,14,0)</f>
        <v>#N/A</v>
      </c>
      <c r="DE228" s="7" t="e">
        <f>VLOOKUP(C228,listaBolsa!$D$2:$BA$248,23,0)</f>
        <v>#N/A</v>
      </c>
      <c r="DF228" s="7" t="e">
        <f>VLOOKUP(C228,listaBolsa!$D$2:$BA$248,29,0)</f>
        <v>#N/A</v>
      </c>
      <c r="DG228" s="7" t="e">
        <f>VLOOKUP(C228,listaBolsa!$D$2:$BA$248,36,0)</f>
        <v>#N/A</v>
      </c>
      <c r="DH228" s="7" t="e">
        <f>VLOOKUP(C228,listaBolsa!$D$2:$BA$248,40,0)</f>
        <v>#N/A</v>
      </c>
      <c r="DI228" s="7" t="e">
        <f>VLOOKUP(C228,listaBolsa!$D$2:$BA$248,48,0)</f>
        <v>#N/A</v>
      </c>
      <c r="DJ228" s="7" t="e">
        <f t="shared" si="88"/>
        <v>#N/A</v>
      </c>
      <c r="DK228" s="7" t="e">
        <f t="shared" si="89"/>
        <v>#N/A</v>
      </c>
      <c r="DL228" s="7" t="e">
        <f t="shared" si="80"/>
        <v>#N/A</v>
      </c>
      <c r="DM228" s="7" t="e">
        <f t="shared" si="80"/>
        <v>#N/A</v>
      </c>
      <c r="DN228" s="7" t="e">
        <f t="shared" si="81"/>
        <v>#N/A</v>
      </c>
      <c r="DO228" s="7" t="e">
        <f t="shared" si="81"/>
        <v>#N/A</v>
      </c>
      <c r="DP228" s="7" t="e">
        <f t="shared" si="82"/>
        <v>#N/A</v>
      </c>
      <c r="DQ228" s="7" t="e">
        <f t="shared" si="82"/>
        <v>#N/A</v>
      </c>
      <c r="DR228" s="7" t="e">
        <f t="shared" si="87"/>
        <v>#N/A</v>
      </c>
    </row>
    <row r="229" spans="1:122" s="7" customFormat="1" ht="42" customHeight="1">
      <c r="A229" s="75">
        <f t="shared" si="77"/>
        <v>215</v>
      </c>
      <c r="B229" s="538" t="s">
        <v>579</v>
      </c>
      <c r="C229" s="351" t="s">
        <v>902</v>
      </c>
      <c r="D229" s="351" t="s">
        <v>903</v>
      </c>
      <c r="E229" s="193" t="s">
        <v>568</v>
      </c>
      <c r="F229" s="75">
        <v>1</v>
      </c>
      <c r="G229" s="75" t="s">
        <v>192</v>
      </c>
      <c r="H229" s="106" t="s">
        <v>380</v>
      </c>
      <c r="I229" s="107">
        <v>6000</v>
      </c>
      <c r="J229" s="96">
        <f t="shared" si="90"/>
        <v>1140</v>
      </c>
      <c r="K229" s="96">
        <f t="shared" si="84"/>
        <v>7140</v>
      </c>
      <c r="L229" s="96">
        <f t="shared" si="94"/>
        <v>6000</v>
      </c>
      <c r="M229" s="96">
        <f t="shared" si="95"/>
        <v>7140</v>
      </c>
      <c r="N229" s="108" t="s">
        <v>381</v>
      </c>
      <c r="O229" s="109">
        <v>5500</v>
      </c>
      <c r="P229" s="110">
        <f t="shared" si="83"/>
        <v>1045</v>
      </c>
      <c r="Q229" s="110">
        <f t="shared" si="85"/>
        <v>6545</v>
      </c>
      <c r="R229" s="110">
        <f t="shared" si="96"/>
        <v>5500</v>
      </c>
      <c r="S229" s="110">
        <f t="shared" si="97"/>
        <v>6545</v>
      </c>
      <c r="T229" s="97" t="s">
        <v>382</v>
      </c>
      <c r="U229" s="98">
        <v>5600</v>
      </c>
      <c r="V229" s="99">
        <f t="shared" si="91"/>
        <v>1064</v>
      </c>
      <c r="W229" s="99">
        <f t="shared" si="86"/>
        <v>6664</v>
      </c>
      <c r="X229" s="99">
        <f t="shared" si="98"/>
        <v>5600</v>
      </c>
      <c r="Y229" s="99">
        <f t="shared" si="99"/>
        <v>6664</v>
      </c>
      <c r="Z229" s="100">
        <f t="shared" si="92"/>
        <v>6783</v>
      </c>
      <c r="AA229" s="100">
        <f t="shared" si="100"/>
        <v>6783</v>
      </c>
      <c r="AB229" s="78">
        <f t="shared" si="93"/>
        <v>314.84440601668626</v>
      </c>
      <c r="AC229" s="102">
        <f t="shared" si="79"/>
        <v>4.6416689667799833E-2</v>
      </c>
      <c r="AD229" s="5"/>
      <c r="AF229" s="7" t="s">
        <v>570</v>
      </c>
      <c r="AG229" s="7">
        <v>111</v>
      </c>
      <c r="AH229" s="7" t="s">
        <v>904</v>
      </c>
      <c r="BG229" s="7">
        <v>100</v>
      </c>
      <c r="DA229" s="7" t="e">
        <f>VLOOKUP(C229,listaBolsa!$D$2:$BA$248,1,0)</f>
        <v>#N/A</v>
      </c>
      <c r="DB229" s="7" t="e">
        <f>VLOOKUP(C229,listaBolsa!$D$2:$BA$248,2,0)</f>
        <v>#N/A</v>
      </c>
      <c r="DC229" s="7" t="e">
        <f>VLOOKUP(C229,listaBolsa!$D$2:$BA$248,10,0)</f>
        <v>#N/A</v>
      </c>
      <c r="DD229" s="7" t="e">
        <f>VLOOKUP(C229,listaBolsa!$D$2:$BA$248,14,0)</f>
        <v>#N/A</v>
      </c>
      <c r="DE229" s="7" t="e">
        <f>VLOOKUP(C229,listaBolsa!$D$2:$BA$248,23,0)</f>
        <v>#N/A</v>
      </c>
      <c r="DF229" s="7" t="e">
        <f>VLOOKUP(C229,listaBolsa!$D$2:$BA$248,29,0)</f>
        <v>#N/A</v>
      </c>
      <c r="DG229" s="7" t="e">
        <f>VLOOKUP(C229,listaBolsa!$D$2:$BA$248,36,0)</f>
        <v>#N/A</v>
      </c>
      <c r="DH229" s="7" t="e">
        <f>VLOOKUP(C229,listaBolsa!$D$2:$BA$248,40,0)</f>
        <v>#N/A</v>
      </c>
      <c r="DI229" s="7" t="e">
        <f>VLOOKUP(C229,listaBolsa!$D$2:$BA$248,48,0)</f>
        <v>#N/A</v>
      </c>
      <c r="DJ229" s="7" t="e">
        <f t="shared" si="88"/>
        <v>#N/A</v>
      </c>
      <c r="DK229" s="7" t="e">
        <f t="shared" si="89"/>
        <v>#N/A</v>
      </c>
      <c r="DL229" s="7" t="e">
        <f t="shared" si="80"/>
        <v>#N/A</v>
      </c>
      <c r="DM229" s="7" t="e">
        <f t="shared" si="80"/>
        <v>#N/A</v>
      </c>
      <c r="DN229" s="7" t="e">
        <f t="shared" si="81"/>
        <v>#N/A</v>
      </c>
      <c r="DO229" s="7" t="e">
        <f t="shared" si="81"/>
        <v>#N/A</v>
      </c>
      <c r="DP229" s="7" t="e">
        <f t="shared" si="82"/>
        <v>#N/A</v>
      </c>
      <c r="DQ229" s="7" t="e">
        <f t="shared" si="82"/>
        <v>#N/A</v>
      </c>
      <c r="DR229" s="7" t="e">
        <f t="shared" si="87"/>
        <v>#N/A</v>
      </c>
    </row>
    <row r="230" spans="1:122" s="7" customFormat="1" ht="42" customHeight="1">
      <c r="A230" s="75">
        <f t="shared" si="77"/>
        <v>216</v>
      </c>
      <c r="B230" s="538" t="s">
        <v>579</v>
      </c>
      <c r="C230" s="351" t="s">
        <v>905</v>
      </c>
      <c r="D230" s="351" t="s">
        <v>906</v>
      </c>
      <c r="E230" s="193" t="s">
        <v>568</v>
      </c>
      <c r="F230" s="75">
        <v>1</v>
      </c>
      <c r="G230" s="75" t="s">
        <v>192</v>
      </c>
      <c r="H230" s="106" t="s">
        <v>380</v>
      </c>
      <c r="I230" s="107">
        <v>8000</v>
      </c>
      <c r="J230" s="96">
        <f t="shared" si="90"/>
        <v>1520</v>
      </c>
      <c r="K230" s="96">
        <f t="shared" si="84"/>
        <v>9520</v>
      </c>
      <c r="L230" s="96">
        <f t="shared" si="94"/>
        <v>8000</v>
      </c>
      <c r="M230" s="96">
        <f t="shared" si="95"/>
        <v>9520</v>
      </c>
      <c r="N230" s="108" t="s">
        <v>381</v>
      </c>
      <c r="O230" s="109">
        <v>7500</v>
      </c>
      <c r="P230" s="110">
        <f t="shared" si="83"/>
        <v>1425</v>
      </c>
      <c r="Q230" s="110">
        <f t="shared" si="85"/>
        <v>8925</v>
      </c>
      <c r="R230" s="110">
        <f t="shared" si="96"/>
        <v>7500</v>
      </c>
      <c r="S230" s="110">
        <f t="shared" si="97"/>
        <v>8925</v>
      </c>
      <c r="T230" s="97" t="s">
        <v>382</v>
      </c>
      <c r="U230" s="98">
        <v>6720</v>
      </c>
      <c r="V230" s="99">
        <f t="shared" si="91"/>
        <v>1276.8</v>
      </c>
      <c r="W230" s="99">
        <f t="shared" si="86"/>
        <v>7996.8</v>
      </c>
      <c r="X230" s="99">
        <f t="shared" si="98"/>
        <v>6720</v>
      </c>
      <c r="Y230" s="99">
        <f t="shared" si="99"/>
        <v>7996.8</v>
      </c>
      <c r="Z230" s="100">
        <f t="shared" si="92"/>
        <v>8813.9333333333325</v>
      </c>
      <c r="AA230" s="100">
        <f t="shared" si="100"/>
        <v>8813.9333333333325</v>
      </c>
      <c r="AB230" s="78">
        <f t="shared" si="93"/>
        <v>767.64992889554367</v>
      </c>
      <c r="AC230" s="102">
        <f t="shared" si="79"/>
        <v>8.7095045975940796E-2</v>
      </c>
      <c r="AD230" s="5"/>
      <c r="AF230" s="7" t="s">
        <v>570</v>
      </c>
      <c r="AG230" s="7">
        <v>112</v>
      </c>
      <c r="AH230" s="7" t="s">
        <v>907</v>
      </c>
      <c r="BG230" s="7">
        <v>101</v>
      </c>
      <c r="DA230" s="7" t="e">
        <f>VLOOKUP(C230,listaBolsa!$D$2:$BA$248,1,0)</f>
        <v>#N/A</v>
      </c>
      <c r="DB230" s="7" t="e">
        <f>VLOOKUP(C230,listaBolsa!$D$2:$BA$248,2,0)</f>
        <v>#N/A</v>
      </c>
      <c r="DC230" s="7" t="e">
        <f>VLOOKUP(C230,listaBolsa!$D$2:$BA$248,10,0)</f>
        <v>#N/A</v>
      </c>
      <c r="DD230" s="7" t="e">
        <f>VLOOKUP(C230,listaBolsa!$D$2:$BA$248,14,0)</f>
        <v>#N/A</v>
      </c>
      <c r="DE230" s="7" t="e">
        <f>VLOOKUP(C230,listaBolsa!$D$2:$BA$248,23,0)</f>
        <v>#N/A</v>
      </c>
      <c r="DF230" s="7" t="e">
        <f>VLOOKUP(C230,listaBolsa!$D$2:$BA$248,29,0)</f>
        <v>#N/A</v>
      </c>
      <c r="DG230" s="7" t="e">
        <f>VLOOKUP(C230,listaBolsa!$D$2:$BA$248,36,0)</f>
        <v>#N/A</v>
      </c>
      <c r="DH230" s="7" t="e">
        <f>VLOOKUP(C230,listaBolsa!$D$2:$BA$248,40,0)</f>
        <v>#N/A</v>
      </c>
      <c r="DI230" s="7" t="e">
        <f>VLOOKUP(C230,listaBolsa!$D$2:$BA$248,48,0)</f>
        <v>#N/A</v>
      </c>
      <c r="DJ230" s="7" t="e">
        <f t="shared" si="88"/>
        <v>#N/A</v>
      </c>
      <c r="DK230" s="7" t="e">
        <f t="shared" si="89"/>
        <v>#N/A</v>
      </c>
      <c r="DL230" s="7" t="e">
        <f t="shared" si="80"/>
        <v>#N/A</v>
      </c>
      <c r="DM230" s="7" t="e">
        <f t="shared" si="80"/>
        <v>#N/A</v>
      </c>
      <c r="DN230" s="7" t="e">
        <f t="shared" si="81"/>
        <v>#N/A</v>
      </c>
      <c r="DO230" s="7" t="e">
        <f t="shared" si="81"/>
        <v>#N/A</v>
      </c>
      <c r="DP230" s="7" t="e">
        <f t="shared" si="82"/>
        <v>#N/A</v>
      </c>
      <c r="DQ230" s="7" t="e">
        <f t="shared" si="82"/>
        <v>#N/A</v>
      </c>
      <c r="DR230" s="7" t="e">
        <f t="shared" si="87"/>
        <v>#N/A</v>
      </c>
    </row>
    <row r="231" spans="1:122" s="7" customFormat="1" ht="42" customHeight="1">
      <c r="A231" s="75">
        <f t="shared" si="77"/>
        <v>217</v>
      </c>
      <c r="B231" s="538" t="s">
        <v>579</v>
      </c>
      <c r="C231" s="351" t="s">
        <v>908</v>
      </c>
      <c r="D231" s="351" t="s">
        <v>909</v>
      </c>
      <c r="E231" s="193" t="s">
        <v>568</v>
      </c>
      <c r="F231" s="75">
        <v>1</v>
      </c>
      <c r="G231" s="75" t="s">
        <v>192</v>
      </c>
      <c r="H231" s="106" t="s">
        <v>380</v>
      </c>
      <c r="I231" s="107">
        <v>8000</v>
      </c>
      <c r="J231" s="96">
        <f t="shared" si="90"/>
        <v>1520</v>
      </c>
      <c r="K231" s="96">
        <f t="shared" si="84"/>
        <v>9520</v>
      </c>
      <c r="L231" s="96">
        <f t="shared" si="94"/>
        <v>8000</v>
      </c>
      <c r="M231" s="96">
        <f t="shared" si="95"/>
        <v>9520</v>
      </c>
      <c r="N231" s="108" t="s">
        <v>381</v>
      </c>
      <c r="O231" s="109">
        <v>7500</v>
      </c>
      <c r="P231" s="110">
        <f t="shared" si="83"/>
        <v>1425</v>
      </c>
      <c r="Q231" s="110">
        <f t="shared" si="85"/>
        <v>8925</v>
      </c>
      <c r="R231" s="110">
        <f t="shared" si="96"/>
        <v>7500</v>
      </c>
      <c r="S231" s="110">
        <f t="shared" si="97"/>
        <v>8925</v>
      </c>
      <c r="T231" s="97" t="s">
        <v>382</v>
      </c>
      <c r="U231" s="98">
        <v>7700</v>
      </c>
      <c r="V231" s="99">
        <f t="shared" si="91"/>
        <v>1463</v>
      </c>
      <c r="W231" s="99">
        <f t="shared" si="86"/>
        <v>9163</v>
      </c>
      <c r="X231" s="99">
        <f t="shared" si="98"/>
        <v>7700</v>
      </c>
      <c r="Y231" s="99">
        <f t="shared" si="99"/>
        <v>9163</v>
      </c>
      <c r="Z231" s="100">
        <f t="shared" si="92"/>
        <v>9202.6666666666661</v>
      </c>
      <c r="AA231" s="100">
        <f t="shared" si="100"/>
        <v>9202.6666666666661</v>
      </c>
      <c r="AB231" s="78">
        <f t="shared" si="93"/>
        <v>299.47676593240641</v>
      </c>
      <c r="AC231" s="102">
        <f t="shared" si="79"/>
        <v>3.2542389807201512E-2</v>
      </c>
      <c r="AD231" s="5"/>
      <c r="AF231" s="7" t="s">
        <v>570</v>
      </c>
      <c r="AG231" s="7">
        <v>113</v>
      </c>
      <c r="AH231" s="7" t="s">
        <v>910</v>
      </c>
      <c r="BG231" s="7">
        <v>102</v>
      </c>
      <c r="DA231" s="7" t="e">
        <f>VLOOKUP(C231,listaBolsa!$D$2:$BA$248,1,0)</f>
        <v>#N/A</v>
      </c>
      <c r="DB231" s="7" t="e">
        <f>VLOOKUP(C231,listaBolsa!$D$2:$BA$248,2,0)</f>
        <v>#N/A</v>
      </c>
      <c r="DC231" s="7" t="e">
        <f>VLOOKUP(C231,listaBolsa!$D$2:$BA$248,10,0)</f>
        <v>#N/A</v>
      </c>
      <c r="DD231" s="7" t="e">
        <f>VLOOKUP(C231,listaBolsa!$D$2:$BA$248,14,0)</f>
        <v>#N/A</v>
      </c>
      <c r="DE231" s="7" t="e">
        <f>VLOOKUP(C231,listaBolsa!$D$2:$BA$248,23,0)</f>
        <v>#N/A</v>
      </c>
      <c r="DF231" s="7" t="e">
        <f>VLOOKUP(C231,listaBolsa!$D$2:$BA$248,29,0)</f>
        <v>#N/A</v>
      </c>
      <c r="DG231" s="7" t="e">
        <f>VLOOKUP(C231,listaBolsa!$D$2:$BA$248,36,0)</f>
        <v>#N/A</v>
      </c>
      <c r="DH231" s="7" t="e">
        <f>VLOOKUP(C231,listaBolsa!$D$2:$BA$248,40,0)</f>
        <v>#N/A</v>
      </c>
      <c r="DI231" s="7" t="e">
        <f>VLOOKUP(C231,listaBolsa!$D$2:$BA$248,48,0)</f>
        <v>#N/A</v>
      </c>
      <c r="DJ231" s="7" t="e">
        <f t="shared" si="88"/>
        <v>#N/A</v>
      </c>
      <c r="DK231" s="7" t="e">
        <f t="shared" si="89"/>
        <v>#N/A</v>
      </c>
      <c r="DL231" s="7" t="e">
        <f t="shared" si="80"/>
        <v>#N/A</v>
      </c>
      <c r="DM231" s="7" t="e">
        <f t="shared" si="80"/>
        <v>#N/A</v>
      </c>
      <c r="DN231" s="7" t="e">
        <f t="shared" si="81"/>
        <v>#N/A</v>
      </c>
      <c r="DO231" s="7" t="e">
        <f t="shared" si="81"/>
        <v>#N/A</v>
      </c>
      <c r="DP231" s="7" t="e">
        <f t="shared" si="82"/>
        <v>#N/A</v>
      </c>
      <c r="DQ231" s="7" t="e">
        <f t="shared" si="82"/>
        <v>#N/A</v>
      </c>
      <c r="DR231" s="7" t="e">
        <f t="shared" si="87"/>
        <v>#N/A</v>
      </c>
    </row>
    <row r="232" spans="1:122" s="7" customFormat="1" ht="42" customHeight="1">
      <c r="A232" s="75">
        <f t="shared" si="77"/>
        <v>218</v>
      </c>
      <c r="B232" s="538" t="s">
        <v>579</v>
      </c>
      <c r="C232" s="351" t="s">
        <v>911</v>
      </c>
      <c r="D232" s="351" t="s">
        <v>912</v>
      </c>
      <c r="E232" s="193" t="s">
        <v>568</v>
      </c>
      <c r="F232" s="75">
        <v>1</v>
      </c>
      <c r="G232" s="75" t="s">
        <v>192</v>
      </c>
      <c r="H232" s="106" t="s">
        <v>380</v>
      </c>
      <c r="I232" s="107">
        <v>8000</v>
      </c>
      <c r="J232" s="96">
        <f t="shared" si="90"/>
        <v>1520</v>
      </c>
      <c r="K232" s="96">
        <f t="shared" si="84"/>
        <v>9520</v>
      </c>
      <c r="L232" s="96">
        <f t="shared" si="94"/>
        <v>8000</v>
      </c>
      <c r="M232" s="96">
        <f t="shared" si="95"/>
        <v>9520</v>
      </c>
      <c r="N232" s="108" t="s">
        <v>381</v>
      </c>
      <c r="O232" s="109">
        <v>7400</v>
      </c>
      <c r="P232" s="110">
        <f t="shared" si="83"/>
        <v>1406</v>
      </c>
      <c r="Q232" s="110">
        <f t="shared" si="85"/>
        <v>8806</v>
      </c>
      <c r="R232" s="110">
        <f t="shared" si="96"/>
        <v>7400</v>
      </c>
      <c r="S232" s="110">
        <f t="shared" si="97"/>
        <v>8806</v>
      </c>
      <c r="T232" s="97" t="s">
        <v>382</v>
      </c>
      <c r="U232" s="98">
        <v>7700</v>
      </c>
      <c r="V232" s="99">
        <f t="shared" si="91"/>
        <v>1463</v>
      </c>
      <c r="W232" s="99">
        <f t="shared" si="86"/>
        <v>9163</v>
      </c>
      <c r="X232" s="99">
        <f t="shared" si="98"/>
        <v>7700</v>
      </c>
      <c r="Y232" s="99">
        <f t="shared" si="99"/>
        <v>9163</v>
      </c>
      <c r="Z232" s="100">
        <f t="shared" si="92"/>
        <v>9163</v>
      </c>
      <c r="AA232" s="100">
        <f t="shared" si="100"/>
        <v>9163</v>
      </c>
      <c r="AB232" s="78">
        <f t="shared" si="93"/>
        <v>357</v>
      </c>
      <c r="AC232" s="102">
        <f t="shared" si="79"/>
        <v>3.896103896103896E-2</v>
      </c>
      <c r="AD232" s="5"/>
      <c r="AF232" s="7" t="s">
        <v>570</v>
      </c>
      <c r="AG232" s="7">
        <v>114</v>
      </c>
      <c r="AH232" s="7" t="s">
        <v>913</v>
      </c>
      <c r="BG232" s="7">
        <v>103</v>
      </c>
      <c r="DA232" s="7" t="e">
        <f>VLOOKUP(C232,listaBolsa!$D$2:$BA$248,1,0)</f>
        <v>#N/A</v>
      </c>
      <c r="DB232" s="7" t="e">
        <f>VLOOKUP(C232,listaBolsa!$D$2:$BA$248,2,0)</f>
        <v>#N/A</v>
      </c>
      <c r="DC232" s="7" t="e">
        <f>VLOOKUP(C232,listaBolsa!$D$2:$BA$248,10,0)</f>
        <v>#N/A</v>
      </c>
      <c r="DD232" s="7" t="e">
        <f>VLOOKUP(C232,listaBolsa!$D$2:$BA$248,14,0)</f>
        <v>#N/A</v>
      </c>
      <c r="DE232" s="7" t="e">
        <f>VLOOKUP(C232,listaBolsa!$D$2:$BA$248,23,0)</f>
        <v>#N/A</v>
      </c>
      <c r="DF232" s="7" t="e">
        <f>VLOOKUP(C232,listaBolsa!$D$2:$BA$248,29,0)</f>
        <v>#N/A</v>
      </c>
      <c r="DG232" s="7" t="e">
        <f>VLOOKUP(C232,listaBolsa!$D$2:$BA$248,36,0)</f>
        <v>#N/A</v>
      </c>
      <c r="DH232" s="7" t="e">
        <f>VLOOKUP(C232,listaBolsa!$D$2:$BA$248,40,0)</f>
        <v>#N/A</v>
      </c>
      <c r="DI232" s="7" t="e">
        <f>VLOOKUP(C232,listaBolsa!$D$2:$BA$248,48,0)</f>
        <v>#N/A</v>
      </c>
      <c r="DJ232" s="7" t="e">
        <f t="shared" si="88"/>
        <v>#N/A</v>
      </c>
      <c r="DK232" s="7" t="e">
        <f t="shared" si="89"/>
        <v>#N/A</v>
      </c>
      <c r="DL232" s="7" t="e">
        <f t="shared" si="80"/>
        <v>#N/A</v>
      </c>
      <c r="DM232" s="7" t="e">
        <f t="shared" si="80"/>
        <v>#N/A</v>
      </c>
      <c r="DN232" s="7" t="e">
        <f t="shared" si="81"/>
        <v>#N/A</v>
      </c>
      <c r="DO232" s="7" t="e">
        <f t="shared" si="81"/>
        <v>#N/A</v>
      </c>
      <c r="DP232" s="7" t="e">
        <f t="shared" si="82"/>
        <v>#N/A</v>
      </c>
      <c r="DQ232" s="7" t="e">
        <f t="shared" si="82"/>
        <v>#N/A</v>
      </c>
      <c r="DR232" s="7" t="e">
        <f t="shared" si="87"/>
        <v>#N/A</v>
      </c>
    </row>
    <row r="233" spans="1:122" s="7" customFormat="1" ht="42" customHeight="1">
      <c r="A233" s="75">
        <f t="shared" si="77"/>
        <v>219</v>
      </c>
      <c r="B233" s="538" t="s">
        <v>579</v>
      </c>
      <c r="C233" s="351" t="s">
        <v>914</v>
      </c>
      <c r="D233" s="351" t="s">
        <v>915</v>
      </c>
      <c r="E233" s="193" t="s">
        <v>568</v>
      </c>
      <c r="F233" s="75">
        <v>1</v>
      </c>
      <c r="G233" s="75" t="s">
        <v>192</v>
      </c>
      <c r="H233" s="106" t="s">
        <v>380</v>
      </c>
      <c r="I233" s="107">
        <v>4000</v>
      </c>
      <c r="J233" s="96">
        <f t="shared" si="90"/>
        <v>760</v>
      </c>
      <c r="K233" s="96">
        <f t="shared" si="84"/>
        <v>4760</v>
      </c>
      <c r="L233" s="96">
        <f t="shared" si="94"/>
        <v>4000</v>
      </c>
      <c r="M233" s="96">
        <f t="shared" si="95"/>
        <v>4760</v>
      </c>
      <c r="N233" s="108" t="s">
        <v>381</v>
      </c>
      <c r="O233" s="109">
        <v>3400</v>
      </c>
      <c r="P233" s="110">
        <f t="shared" si="83"/>
        <v>646</v>
      </c>
      <c r="Q233" s="110">
        <f t="shared" si="85"/>
        <v>4046</v>
      </c>
      <c r="R233" s="110">
        <f t="shared" si="96"/>
        <v>3400</v>
      </c>
      <c r="S233" s="110">
        <f t="shared" si="97"/>
        <v>4046</v>
      </c>
      <c r="T233" s="97" t="s">
        <v>382</v>
      </c>
      <c r="U233" s="98">
        <v>3080</v>
      </c>
      <c r="V233" s="99">
        <f t="shared" si="91"/>
        <v>585.20000000000005</v>
      </c>
      <c r="W233" s="99">
        <f t="shared" si="86"/>
        <v>3665.2</v>
      </c>
      <c r="X233" s="99">
        <f t="shared" si="98"/>
        <v>3080</v>
      </c>
      <c r="Y233" s="99">
        <f t="shared" si="99"/>
        <v>3665.2</v>
      </c>
      <c r="Z233" s="100">
        <f t="shared" si="92"/>
        <v>4157.0666666666666</v>
      </c>
      <c r="AA233" s="100">
        <f t="shared" si="100"/>
        <v>4157.0666666666666</v>
      </c>
      <c r="AB233" s="78">
        <f t="shared" si="93"/>
        <v>555.78648178354388</v>
      </c>
      <c r="AC233" s="102">
        <f t="shared" si="79"/>
        <v>0.13369679303921289</v>
      </c>
      <c r="AD233" s="5"/>
      <c r="AF233" s="7" t="s">
        <v>570</v>
      </c>
      <c r="AG233" s="7">
        <v>115</v>
      </c>
      <c r="AH233" s="7" t="s">
        <v>916</v>
      </c>
      <c r="BG233" s="7">
        <v>104</v>
      </c>
      <c r="DA233" s="7" t="e">
        <f>VLOOKUP(C233,listaBolsa!$D$2:$BA$248,1,0)</f>
        <v>#N/A</v>
      </c>
      <c r="DB233" s="7" t="e">
        <f>VLOOKUP(C233,listaBolsa!$D$2:$BA$248,2,0)</f>
        <v>#N/A</v>
      </c>
      <c r="DC233" s="7" t="e">
        <f>VLOOKUP(C233,listaBolsa!$D$2:$BA$248,10,0)</f>
        <v>#N/A</v>
      </c>
      <c r="DD233" s="7" t="e">
        <f>VLOOKUP(C233,listaBolsa!$D$2:$BA$248,14,0)</f>
        <v>#N/A</v>
      </c>
      <c r="DE233" s="7" t="e">
        <f>VLOOKUP(C233,listaBolsa!$D$2:$BA$248,23,0)</f>
        <v>#N/A</v>
      </c>
      <c r="DF233" s="7" t="e">
        <f>VLOOKUP(C233,listaBolsa!$D$2:$BA$248,29,0)</f>
        <v>#N/A</v>
      </c>
      <c r="DG233" s="7" t="e">
        <f>VLOOKUP(C233,listaBolsa!$D$2:$BA$248,36,0)</f>
        <v>#N/A</v>
      </c>
      <c r="DH233" s="7" t="e">
        <f>VLOOKUP(C233,listaBolsa!$D$2:$BA$248,40,0)</f>
        <v>#N/A</v>
      </c>
      <c r="DI233" s="7" t="e">
        <f>VLOOKUP(C233,listaBolsa!$D$2:$BA$248,48,0)</f>
        <v>#N/A</v>
      </c>
      <c r="DJ233" s="7" t="e">
        <f t="shared" si="88"/>
        <v>#N/A</v>
      </c>
      <c r="DK233" s="7" t="e">
        <f t="shared" si="89"/>
        <v>#N/A</v>
      </c>
      <c r="DL233" s="7" t="e">
        <f t="shared" si="80"/>
        <v>#N/A</v>
      </c>
      <c r="DM233" s="7" t="e">
        <f t="shared" si="80"/>
        <v>#N/A</v>
      </c>
      <c r="DN233" s="7" t="e">
        <f t="shared" si="81"/>
        <v>#N/A</v>
      </c>
      <c r="DO233" s="7" t="e">
        <f t="shared" si="81"/>
        <v>#N/A</v>
      </c>
      <c r="DP233" s="7" t="e">
        <f t="shared" si="82"/>
        <v>#N/A</v>
      </c>
      <c r="DQ233" s="7" t="e">
        <f t="shared" si="82"/>
        <v>#N/A</v>
      </c>
      <c r="DR233" s="7" t="e">
        <f t="shared" si="87"/>
        <v>#N/A</v>
      </c>
    </row>
    <row r="234" spans="1:122" s="7" customFormat="1" ht="42" customHeight="1">
      <c r="A234" s="75">
        <f t="shared" si="77"/>
        <v>220</v>
      </c>
      <c r="B234" s="538" t="s">
        <v>579</v>
      </c>
      <c r="C234" s="351" t="s">
        <v>917</v>
      </c>
      <c r="D234" s="351" t="s">
        <v>918</v>
      </c>
      <c r="E234" s="193" t="s">
        <v>568</v>
      </c>
      <c r="F234" s="75">
        <v>1</v>
      </c>
      <c r="G234" s="75" t="s">
        <v>192</v>
      </c>
      <c r="H234" s="106" t="s">
        <v>380</v>
      </c>
      <c r="I234" s="107">
        <v>58000</v>
      </c>
      <c r="J234" s="96">
        <f t="shared" si="90"/>
        <v>11020</v>
      </c>
      <c r="K234" s="96">
        <f t="shared" si="84"/>
        <v>69020</v>
      </c>
      <c r="L234" s="96">
        <f t="shared" si="94"/>
        <v>58000</v>
      </c>
      <c r="M234" s="96">
        <f t="shared" si="95"/>
        <v>69020</v>
      </c>
      <c r="N234" s="108" t="s">
        <v>381</v>
      </c>
      <c r="O234" s="109">
        <v>56000</v>
      </c>
      <c r="P234" s="110">
        <f t="shared" si="83"/>
        <v>10640</v>
      </c>
      <c r="Q234" s="110">
        <f t="shared" si="85"/>
        <v>66640</v>
      </c>
      <c r="R234" s="110">
        <f t="shared" si="96"/>
        <v>56000</v>
      </c>
      <c r="S234" s="110">
        <f t="shared" si="97"/>
        <v>66640</v>
      </c>
      <c r="T234" s="97" t="s">
        <v>239</v>
      </c>
      <c r="U234" s="98">
        <v>71428.571428571435</v>
      </c>
      <c r="V234" s="99">
        <f t="shared" si="91"/>
        <v>13571.428571428572</v>
      </c>
      <c r="W234" s="99">
        <f t="shared" si="86"/>
        <v>85000</v>
      </c>
      <c r="X234" s="99">
        <f t="shared" si="98"/>
        <v>71428.571428571435</v>
      </c>
      <c r="Y234" s="99">
        <f t="shared" si="99"/>
        <v>85000</v>
      </c>
      <c r="Z234" s="100">
        <f t="shared" si="92"/>
        <v>73553.333333333328</v>
      </c>
      <c r="AA234" s="100">
        <f t="shared" si="100"/>
        <v>73553.333333333328</v>
      </c>
      <c r="AB234" s="78">
        <f t="shared" si="93"/>
        <v>9984.2743017874363</v>
      </c>
      <c r="AC234" s="102">
        <f t="shared" si="79"/>
        <v>0.13574196911702308</v>
      </c>
      <c r="AD234" s="5"/>
      <c r="AF234" s="7" t="s">
        <v>570</v>
      </c>
      <c r="AG234" s="7">
        <v>116</v>
      </c>
      <c r="AH234" s="7" t="s">
        <v>919</v>
      </c>
      <c r="BG234" s="7">
        <v>105</v>
      </c>
      <c r="DA234" s="7" t="e">
        <f>VLOOKUP(C234,listaBolsa!$D$2:$BA$248,1,0)</f>
        <v>#N/A</v>
      </c>
      <c r="DB234" s="7" t="e">
        <f>VLOOKUP(C234,listaBolsa!$D$2:$BA$248,2,0)</f>
        <v>#N/A</v>
      </c>
      <c r="DC234" s="7" t="e">
        <f>VLOOKUP(C234,listaBolsa!$D$2:$BA$248,10,0)</f>
        <v>#N/A</v>
      </c>
      <c r="DD234" s="7" t="e">
        <f>VLOOKUP(C234,listaBolsa!$D$2:$BA$248,14,0)</f>
        <v>#N/A</v>
      </c>
      <c r="DE234" s="7" t="e">
        <f>VLOOKUP(C234,listaBolsa!$D$2:$BA$248,23,0)</f>
        <v>#N/A</v>
      </c>
      <c r="DF234" s="7" t="e">
        <f>VLOOKUP(C234,listaBolsa!$D$2:$BA$248,29,0)</f>
        <v>#N/A</v>
      </c>
      <c r="DG234" s="7" t="e">
        <f>VLOOKUP(C234,listaBolsa!$D$2:$BA$248,36,0)</f>
        <v>#N/A</v>
      </c>
      <c r="DH234" s="7" t="e">
        <f>VLOOKUP(C234,listaBolsa!$D$2:$BA$248,40,0)</f>
        <v>#N/A</v>
      </c>
      <c r="DI234" s="7" t="e">
        <f>VLOOKUP(C234,listaBolsa!$D$2:$BA$248,48,0)</f>
        <v>#N/A</v>
      </c>
      <c r="DJ234" s="7" t="e">
        <f t="shared" si="88"/>
        <v>#N/A</v>
      </c>
      <c r="DK234" s="7" t="e">
        <f t="shared" si="89"/>
        <v>#N/A</v>
      </c>
      <c r="DL234" s="7" t="e">
        <f t="shared" si="80"/>
        <v>#N/A</v>
      </c>
      <c r="DM234" s="7" t="e">
        <f t="shared" si="80"/>
        <v>#N/A</v>
      </c>
      <c r="DN234" s="7" t="e">
        <f t="shared" si="81"/>
        <v>#N/A</v>
      </c>
      <c r="DO234" s="7" t="e">
        <f t="shared" si="81"/>
        <v>#N/A</v>
      </c>
      <c r="DP234" s="7" t="e">
        <f t="shared" si="82"/>
        <v>#N/A</v>
      </c>
      <c r="DQ234" s="7" t="e">
        <f t="shared" si="82"/>
        <v>#N/A</v>
      </c>
      <c r="DR234" s="7" t="e">
        <f t="shared" si="87"/>
        <v>#N/A</v>
      </c>
    </row>
    <row r="235" spans="1:122" s="7" customFormat="1" ht="42" customHeight="1">
      <c r="A235" s="75">
        <f t="shared" si="77"/>
        <v>221</v>
      </c>
      <c r="B235" s="538" t="s">
        <v>579</v>
      </c>
      <c r="C235" s="351" t="s">
        <v>920</v>
      </c>
      <c r="D235" s="351" t="s">
        <v>921</v>
      </c>
      <c r="E235" s="193" t="s">
        <v>568</v>
      </c>
      <c r="F235" s="75">
        <v>1</v>
      </c>
      <c r="G235" s="75" t="s">
        <v>192</v>
      </c>
      <c r="H235" s="106" t="s">
        <v>380</v>
      </c>
      <c r="I235" s="107">
        <v>190000</v>
      </c>
      <c r="J235" s="96">
        <f t="shared" si="90"/>
        <v>36100</v>
      </c>
      <c r="K235" s="96">
        <f t="shared" si="84"/>
        <v>226100</v>
      </c>
      <c r="L235" s="96">
        <f t="shared" si="94"/>
        <v>190000</v>
      </c>
      <c r="M235" s="96">
        <f t="shared" si="95"/>
        <v>226100</v>
      </c>
      <c r="N235" s="108" t="s">
        <v>381</v>
      </c>
      <c r="O235" s="109">
        <v>188000</v>
      </c>
      <c r="P235" s="110">
        <f t="shared" si="83"/>
        <v>35720</v>
      </c>
      <c r="Q235" s="110">
        <f t="shared" si="85"/>
        <v>223720</v>
      </c>
      <c r="R235" s="110">
        <f t="shared" si="96"/>
        <v>188000</v>
      </c>
      <c r="S235" s="110">
        <f t="shared" si="97"/>
        <v>223720</v>
      </c>
      <c r="T235" s="97" t="s">
        <v>382</v>
      </c>
      <c r="U235" s="98">
        <v>196000</v>
      </c>
      <c r="V235" s="99">
        <f t="shared" si="91"/>
        <v>37240</v>
      </c>
      <c r="W235" s="99">
        <f t="shared" si="86"/>
        <v>233240</v>
      </c>
      <c r="X235" s="99">
        <f t="shared" si="98"/>
        <v>196000</v>
      </c>
      <c r="Y235" s="99">
        <f t="shared" si="99"/>
        <v>233240</v>
      </c>
      <c r="Z235" s="100">
        <f t="shared" si="92"/>
        <v>227686.66666666666</v>
      </c>
      <c r="AA235" s="100">
        <f t="shared" si="100"/>
        <v>227686.66666666666</v>
      </c>
      <c r="AB235" s="78">
        <f t="shared" si="93"/>
        <v>4954.3650787293964</v>
      </c>
      <c r="AC235" s="102">
        <f t="shared" si="79"/>
        <v>2.1759574907311494E-2</v>
      </c>
      <c r="AD235" s="5"/>
      <c r="AF235" s="7" t="s">
        <v>570</v>
      </c>
      <c r="AG235" s="7">
        <v>117</v>
      </c>
      <c r="AH235" s="7" t="s">
        <v>922</v>
      </c>
      <c r="BG235" s="7">
        <v>106</v>
      </c>
      <c r="DA235" s="7" t="e">
        <f>VLOOKUP(C235,listaBolsa!$D$2:$BA$248,1,0)</f>
        <v>#N/A</v>
      </c>
      <c r="DB235" s="7" t="e">
        <f>VLOOKUP(C235,listaBolsa!$D$2:$BA$248,2,0)</f>
        <v>#N/A</v>
      </c>
      <c r="DC235" s="7" t="e">
        <f>VLOOKUP(C235,listaBolsa!$D$2:$BA$248,10,0)</f>
        <v>#N/A</v>
      </c>
      <c r="DD235" s="7" t="e">
        <f>VLOOKUP(C235,listaBolsa!$D$2:$BA$248,14,0)</f>
        <v>#N/A</v>
      </c>
      <c r="DE235" s="7" t="e">
        <f>VLOOKUP(C235,listaBolsa!$D$2:$BA$248,23,0)</f>
        <v>#N/A</v>
      </c>
      <c r="DF235" s="7" t="e">
        <f>VLOOKUP(C235,listaBolsa!$D$2:$BA$248,29,0)</f>
        <v>#N/A</v>
      </c>
      <c r="DG235" s="7" t="e">
        <f>VLOOKUP(C235,listaBolsa!$D$2:$BA$248,36,0)</f>
        <v>#N/A</v>
      </c>
      <c r="DH235" s="7" t="e">
        <f>VLOOKUP(C235,listaBolsa!$D$2:$BA$248,40,0)</f>
        <v>#N/A</v>
      </c>
      <c r="DI235" s="7" t="e">
        <f>VLOOKUP(C235,listaBolsa!$D$2:$BA$248,48,0)</f>
        <v>#N/A</v>
      </c>
      <c r="DJ235" s="7" t="e">
        <f t="shared" si="88"/>
        <v>#N/A</v>
      </c>
      <c r="DK235" s="7" t="e">
        <f t="shared" si="89"/>
        <v>#N/A</v>
      </c>
      <c r="DL235" s="7" t="e">
        <f t="shared" si="80"/>
        <v>#N/A</v>
      </c>
      <c r="DM235" s="7" t="e">
        <f t="shared" si="80"/>
        <v>#N/A</v>
      </c>
      <c r="DN235" s="7" t="e">
        <f t="shared" si="81"/>
        <v>#N/A</v>
      </c>
      <c r="DO235" s="7" t="e">
        <f t="shared" si="81"/>
        <v>#N/A</v>
      </c>
      <c r="DP235" s="7" t="e">
        <f t="shared" si="82"/>
        <v>#N/A</v>
      </c>
      <c r="DQ235" s="7" t="e">
        <f t="shared" si="82"/>
        <v>#N/A</v>
      </c>
      <c r="DR235" s="7" t="e">
        <f t="shared" si="87"/>
        <v>#N/A</v>
      </c>
    </row>
    <row r="236" spans="1:122" s="7" customFormat="1" ht="42" customHeight="1">
      <c r="A236" s="75">
        <f t="shared" si="77"/>
        <v>222</v>
      </c>
      <c r="B236" s="538" t="s">
        <v>579</v>
      </c>
      <c r="C236" s="351" t="s">
        <v>923</v>
      </c>
      <c r="D236" s="351" t="s">
        <v>924</v>
      </c>
      <c r="E236" s="193" t="s">
        <v>568</v>
      </c>
      <c r="F236" s="75">
        <v>1</v>
      </c>
      <c r="G236" s="75" t="s">
        <v>192</v>
      </c>
      <c r="H236" s="106" t="s">
        <v>380</v>
      </c>
      <c r="I236" s="107">
        <v>12000</v>
      </c>
      <c r="J236" s="96">
        <f t="shared" si="90"/>
        <v>2280</v>
      </c>
      <c r="K236" s="96">
        <f t="shared" si="84"/>
        <v>14280</v>
      </c>
      <c r="L236" s="96">
        <f t="shared" si="94"/>
        <v>12000</v>
      </c>
      <c r="M236" s="96">
        <f t="shared" si="95"/>
        <v>14280</v>
      </c>
      <c r="N236" s="108" t="s">
        <v>381</v>
      </c>
      <c r="O236" s="109">
        <v>10000</v>
      </c>
      <c r="P236" s="110">
        <f t="shared" si="83"/>
        <v>1900</v>
      </c>
      <c r="Q236" s="110">
        <f t="shared" si="85"/>
        <v>11900</v>
      </c>
      <c r="R236" s="110">
        <f t="shared" si="96"/>
        <v>10000</v>
      </c>
      <c r="S236" s="110">
        <f t="shared" si="97"/>
        <v>11900</v>
      </c>
      <c r="T236" s="97" t="s">
        <v>382</v>
      </c>
      <c r="U236" s="98">
        <v>9800</v>
      </c>
      <c r="V236" s="99">
        <f t="shared" si="91"/>
        <v>1862</v>
      </c>
      <c r="W236" s="99">
        <f t="shared" si="86"/>
        <v>11662</v>
      </c>
      <c r="X236" s="99">
        <f t="shared" si="98"/>
        <v>9800</v>
      </c>
      <c r="Y236" s="99">
        <f t="shared" si="99"/>
        <v>11662</v>
      </c>
      <c r="Z236" s="100">
        <f t="shared" si="92"/>
        <v>12614</v>
      </c>
      <c r="AA236" s="100">
        <f t="shared" si="100"/>
        <v>12614</v>
      </c>
      <c r="AB236" s="78">
        <f t="shared" si="93"/>
        <v>1447.6974822109762</v>
      </c>
      <c r="AC236" s="102">
        <f t="shared" si="79"/>
        <v>0.11476910434524942</v>
      </c>
      <c r="AD236" s="5"/>
      <c r="AF236" s="7" t="s">
        <v>570</v>
      </c>
      <c r="AG236" s="7">
        <v>118</v>
      </c>
      <c r="AH236" s="7" t="s">
        <v>925</v>
      </c>
      <c r="BG236" s="7">
        <v>107</v>
      </c>
      <c r="DA236" s="7" t="e">
        <f>VLOOKUP(C236,listaBolsa!$D$2:$BA$248,1,0)</f>
        <v>#N/A</v>
      </c>
      <c r="DB236" s="7" t="e">
        <f>VLOOKUP(C236,listaBolsa!$D$2:$BA$248,2,0)</f>
        <v>#N/A</v>
      </c>
      <c r="DC236" s="7" t="e">
        <f>VLOOKUP(C236,listaBolsa!$D$2:$BA$248,10,0)</f>
        <v>#N/A</v>
      </c>
      <c r="DD236" s="7" t="e">
        <f>VLOOKUP(C236,listaBolsa!$D$2:$BA$248,14,0)</f>
        <v>#N/A</v>
      </c>
      <c r="DE236" s="7" t="e">
        <f>VLOOKUP(C236,listaBolsa!$D$2:$BA$248,23,0)</f>
        <v>#N/A</v>
      </c>
      <c r="DF236" s="7" t="e">
        <f>VLOOKUP(C236,listaBolsa!$D$2:$BA$248,29,0)</f>
        <v>#N/A</v>
      </c>
      <c r="DG236" s="7" t="e">
        <f>VLOOKUP(C236,listaBolsa!$D$2:$BA$248,36,0)</f>
        <v>#N/A</v>
      </c>
      <c r="DH236" s="7" t="e">
        <f>VLOOKUP(C236,listaBolsa!$D$2:$BA$248,40,0)</f>
        <v>#N/A</v>
      </c>
      <c r="DI236" s="7" t="e">
        <f>VLOOKUP(C236,listaBolsa!$D$2:$BA$248,48,0)</f>
        <v>#N/A</v>
      </c>
      <c r="DJ236" s="7" t="e">
        <f t="shared" si="88"/>
        <v>#N/A</v>
      </c>
      <c r="DK236" s="7" t="e">
        <f t="shared" si="89"/>
        <v>#N/A</v>
      </c>
      <c r="DL236" s="7" t="e">
        <f t="shared" si="80"/>
        <v>#N/A</v>
      </c>
      <c r="DM236" s="7" t="e">
        <f t="shared" si="80"/>
        <v>#N/A</v>
      </c>
      <c r="DN236" s="7" t="e">
        <f t="shared" si="81"/>
        <v>#N/A</v>
      </c>
      <c r="DO236" s="7" t="e">
        <f t="shared" si="81"/>
        <v>#N/A</v>
      </c>
      <c r="DP236" s="7" t="e">
        <f t="shared" si="82"/>
        <v>#N/A</v>
      </c>
      <c r="DQ236" s="7" t="e">
        <f t="shared" si="82"/>
        <v>#N/A</v>
      </c>
      <c r="DR236" s="7" t="e">
        <f t="shared" si="87"/>
        <v>#N/A</v>
      </c>
    </row>
    <row r="237" spans="1:122" s="7" customFormat="1" ht="42" customHeight="1">
      <c r="A237" s="75">
        <f t="shared" si="77"/>
        <v>223</v>
      </c>
      <c r="B237" s="538" t="s">
        <v>579</v>
      </c>
      <c r="C237" s="351" t="s">
        <v>926</v>
      </c>
      <c r="D237" s="351" t="s">
        <v>924</v>
      </c>
      <c r="E237" s="193" t="s">
        <v>568</v>
      </c>
      <c r="F237" s="75">
        <v>1</v>
      </c>
      <c r="G237" s="75" t="s">
        <v>192</v>
      </c>
      <c r="H237" s="106" t="s">
        <v>380</v>
      </c>
      <c r="I237" s="107">
        <v>30000</v>
      </c>
      <c r="J237" s="96">
        <f t="shared" si="90"/>
        <v>5700</v>
      </c>
      <c r="K237" s="96">
        <f t="shared" si="84"/>
        <v>35700</v>
      </c>
      <c r="L237" s="96">
        <f t="shared" si="94"/>
        <v>30000</v>
      </c>
      <c r="M237" s="96">
        <f t="shared" si="95"/>
        <v>35700</v>
      </c>
      <c r="N237" s="108" t="s">
        <v>381</v>
      </c>
      <c r="O237" s="109">
        <v>28000</v>
      </c>
      <c r="P237" s="110">
        <f t="shared" si="83"/>
        <v>5320</v>
      </c>
      <c r="Q237" s="110">
        <f t="shared" si="85"/>
        <v>33320</v>
      </c>
      <c r="R237" s="110">
        <f t="shared" si="96"/>
        <v>28000</v>
      </c>
      <c r="S237" s="110">
        <f t="shared" si="97"/>
        <v>33320</v>
      </c>
      <c r="T237" s="97" t="s">
        <v>382</v>
      </c>
      <c r="U237" s="98">
        <v>35000</v>
      </c>
      <c r="V237" s="99">
        <f t="shared" si="91"/>
        <v>6650</v>
      </c>
      <c r="W237" s="99">
        <f t="shared" si="86"/>
        <v>41650</v>
      </c>
      <c r="X237" s="99">
        <f t="shared" si="98"/>
        <v>35000</v>
      </c>
      <c r="Y237" s="99">
        <f t="shared" si="99"/>
        <v>41650</v>
      </c>
      <c r="Z237" s="100">
        <f t="shared" si="92"/>
        <v>36890</v>
      </c>
      <c r="AA237" s="100">
        <f t="shared" si="100"/>
        <v>36890</v>
      </c>
      <c r="AB237" s="78">
        <f t="shared" si="93"/>
        <v>4290.6060178021471</v>
      </c>
      <c r="AC237" s="102">
        <f t="shared" si="79"/>
        <v>0.11630810566012868</v>
      </c>
      <c r="AD237" s="5"/>
      <c r="AF237" s="7" t="s">
        <v>570</v>
      </c>
      <c r="AG237" s="7">
        <v>119</v>
      </c>
      <c r="AH237" s="7" t="s">
        <v>927</v>
      </c>
      <c r="BG237" s="7">
        <v>108</v>
      </c>
      <c r="DA237" s="7" t="e">
        <f>VLOOKUP(C237,listaBolsa!$D$2:$BA$248,1,0)</f>
        <v>#N/A</v>
      </c>
      <c r="DB237" s="7" t="e">
        <f>VLOOKUP(C237,listaBolsa!$D$2:$BA$248,2,0)</f>
        <v>#N/A</v>
      </c>
      <c r="DC237" s="7" t="e">
        <f>VLOOKUP(C237,listaBolsa!$D$2:$BA$248,10,0)</f>
        <v>#N/A</v>
      </c>
      <c r="DD237" s="7" t="e">
        <f>VLOOKUP(C237,listaBolsa!$D$2:$BA$248,14,0)</f>
        <v>#N/A</v>
      </c>
      <c r="DE237" s="7" t="e">
        <f>VLOOKUP(C237,listaBolsa!$D$2:$BA$248,23,0)</f>
        <v>#N/A</v>
      </c>
      <c r="DF237" s="7" t="e">
        <f>VLOOKUP(C237,listaBolsa!$D$2:$BA$248,29,0)</f>
        <v>#N/A</v>
      </c>
      <c r="DG237" s="7" t="e">
        <f>VLOOKUP(C237,listaBolsa!$D$2:$BA$248,36,0)</f>
        <v>#N/A</v>
      </c>
      <c r="DH237" s="7" t="e">
        <f>VLOOKUP(C237,listaBolsa!$D$2:$BA$248,40,0)</f>
        <v>#N/A</v>
      </c>
      <c r="DI237" s="7" t="e">
        <f>VLOOKUP(C237,listaBolsa!$D$2:$BA$248,48,0)</f>
        <v>#N/A</v>
      </c>
      <c r="DJ237" s="7" t="e">
        <f t="shared" si="88"/>
        <v>#N/A</v>
      </c>
      <c r="DK237" s="7" t="e">
        <f t="shared" si="89"/>
        <v>#N/A</v>
      </c>
      <c r="DL237" s="7" t="e">
        <f t="shared" si="80"/>
        <v>#N/A</v>
      </c>
      <c r="DM237" s="7" t="e">
        <f t="shared" si="80"/>
        <v>#N/A</v>
      </c>
      <c r="DN237" s="7" t="e">
        <f t="shared" si="81"/>
        <v>#N/A</v>
      </c>
      <c r="DO237" s="7" t="e">
        <f t="shared" si="81"/>
        <v>#N/A</v>
      </c>
      <c r="DP237" s="7" t="e">
        <f t="shared" si="82"/>
        <v>#N/A</v>
      </c>
      <c r="DQ237" s="7" t="e">
        <f t="shared" si="82"/>
        <v>#N/A</v>
      </c>
      <c r="DR237" s="7" t="e">
        <f t="shared" si="87"/>
        <v>#N/A</v>
      </c>
    </row>
    <row r="238" spans="1:122" s="7" customFormat="1" ht="42" customHeight="1">
      <c r="A238" s="75">
        <f t="shared" si="77"/>
        <v>224</v>
      </c>
      <c r="B238" s="538" t="s">
        <v>579</v>
      </c>
      <c r="C238" s="351" t="s">
        <v>928</v>
      </c>
      <c r="D238" s="351" t="s">
        <v>929</v>
      </c>
      <c r="E238" s="193" t="s">
        <v>568</v>
      </c>
      <c r="F238" s="75">
        <v>1</v>
      </c>
      <c r="G238" s="75" t="s">
        <v>192</v>
      </c>
      <c r="H238" s="106" t="s">
        <v>380</v>
      </c>
      <c r="I238" s="107">
        <v>310000</v>
      </c>
      <c r="J238" s="96">
        <f t="shared" si="90"/>
        <v>58900</v>
      </c>
      <c r="K238" s="96">
        <f t="shared" si="84"/>
        <v>368900</v>
      </c>
      <c r="L238" s="96">
        <f t="shared" si="94"/>
        <v>310000</v>
      </c>
      <c r="M238" s="96">
        <f t="shared" si="95"/>
        <v>368900</v>
      </c>
      <c r="N238" s="108" t="s">
        <v>381</v>
      </c>
      <c r="O238" s="109">
        <v>320000</v>
      </c>
      <c r="P238" s="110">
        <f t="shared" si="83"/>
        <v>60800</v>
      </c>
      <c r="Q238" s="110">
        <f t="shared" si="85"/>
        <v>380800</v>
      </c>
      <c r="R238" s="110">
        <f t="shared" si="96"/>
        <v>320000</v>
      </c>
      <c r="S238" s="110">
        <f t="shared" si="97"/>
        <v>380800</v>
      </c>
      <c r="T238" s="97" t="s">
        <v>382</v>
      </c>
      <c r="U238" s="98">
        <v>308000</v>
      </c>
      <c r="V238" s="99">
        <f t="shared" si="91"/>
        <v>58520</v>
      </c>
      <c r="W238" s="99">
        <f t="shared" si="86"/>
        <v>366520</v>
      </c>
      <c r="X238" s="99">
        <f t="shared" si="98"/>
        <v>308000</v>
      </c>
      <c r="Y238" s="99">
        <f t="shared" si="99"/>
        <v>366520</v>
      </c>
      <c r="Z238" s="100">
        <f t="shared" si="92"/>
        <v>372073.33333333331</v>
      </c>
      <c r="AA238" s="100">
        <f t="shared" si="100"/>
        <v>372073.33333333331</v>
      </c>
      <c r="AB238" s="78">
        <f t="shared" si="93"/>
        <v>7650.6296037210777</v>
      </c>
      <c r="AC238" s="102">
        <f t="shared" si="79"/>
        <v>2.0562155140709925E-2</v>
      </c>
      <c r="AD238" s="5"/>
      <c r="AF238" s="7" t="s">
        <v>570</v>
      </c>
      <c r="AG238" s="7">
        <v>120</v>
      </c>
      <c r="AH238" s="7" t="s">
        <v>930</v>
      </c>
      <c r="BG238" s="7">
        <v>109</v>
      </c>
      <c r="DA238" s="7" t="e">
        <f>VLOOKUP(C238,listaBolsa!$D$2:$BA$248,1,0)</f>
        <v>#N/A</v>
      </c>
      <c r="DB238" s="7" t="e">
        <f>VLOOKUP(C238,listaBolsa!$D$2:$BA$248,2,0)</f>
        <v>#N/A</v>
      </c>
      <c r="DC238" s="7" t="e">
        <f>VLOOKUP(C238,listaBolsa!$D$2:$BA$248,10,0)</f>
        <v>#N/A</v>
      </c>
      <c r="DD238" s="7" t="e">
        <f>VLOOKUP(C238,listaBolsa!$D$2:$BA$248,14,0)</f>
        <v>#N/A</v>
      </c>
      <c r="DE238" s="7" t="e">
        <f>VLOOKUP(C238,listaBolsa!$D$2:$BA$248,23,0)</f>
        <v>#N/A</v>
      </c>
      <c r="DF238" s="7" t="e">
        <f>VLOOKUP(C238,listaBolsa!$D$2:$BA$248,29,0)</f>
        <v>#N/A</v>
      </c>
      <c r="DG238" s="7" t="e">
        <f>VLOOKUP(C238,listaBolsa!$D$2:$BA$248,36,0)</f>
        <v>#N/A</v>
      </c>
      <c r="DH238" s="7" t="e">
        <f>VLOOKUP(C238,listaBolsa!$D$2:$BA$248,40,0)</f>
        <v>#N/A</v>
      </c>
      <c r="DI238" s="7" t="e">
        <f>VLOOKUP(C238,listaBolsa!$D$2:$BA$248,48,0)</f>
        <v>#N/A</v>
      </c>
      <c r="DJ238" s="7" t="e">
        <f t="shared" si="88"/>
        <v>#N/A</v>
      </c>
      <c r="DK238" s="7" t="e">
        <f t="shared" si="89"/>
        <v>#N/A</v>
      </c>
      <c r="DL238" s="7" t="e">
        <f t="shared" si="80"/>
        <v>#N/A</v>
      </c>
      <c r="DM238" s="7" t="e">
        <f t="shared" si="80"/>
        <v>#N/A</v>
      </c>
      <c r="DN238" s="7" t="e">
        <f t="shared" si="81"/>
        <v>#N/A</v>
      </c>
      <c r="DO238" s="7" t="e">
        <f t="shared" si="81"/>
        <v>#N/A</v>
      </c>
      <c r="DP238" s="7" t="e">
        <f t="shared" si="82"/>
        <v>#N/A</v>
      </c>
      <c r="DQ238" s="7" t="e">
        <f t="shared" si="82"/>
        <v>#N/A</v>
      </c>
      <c r="DR238" s="7" t="e">
        <f t="shared" si="87"/>
        <v>#N/A</v>
      </c>
    </row>
    <row r="239" spans="1:122" s="7" customFormat="1" ht="42" customHeight="1">
      <c r="A239" s="75">
        <f t="shared" si="77"/>
        <v>225</v>
      </c>
      <c r="B239" s="538" t="s">
        <v>579</v>
      </c>
      <c r="C239" s="336" t="s">
        <v>931</v>
      </c>
      <c r="D239" s="75" t="s">
        <v>932</v>
      </c>
      <c r="E239" s="193" t="s">
        <v>568</v>
      </c>
      <c r="F239" s="75">
        <v>1</v>
      </c>
      <c r="G239" s="75" t="s">
        <v>192</v>
      </c>
      <c r="H239" s="106" t="s">
        <v>933</v>
      </c>
      <c r="I239" s="107">
        <v>5042.0168067226896</v>
      </c>
      <c r="J239" s="96">
        <f t="shared" si="90"/>
        <v>957.98319327731099</v>
      </c>
      <c r="K239" s="96">
        <f t="shared" si="84"/>
        <v>6000.0000000000009</v>
      </c>
      <c r="L239" s="96">
        <f t="shared" si="94"/>
        <v>5042.0168067226896</v>
      </c>
      <c r="M239" s="96">
        <f t="shared" si="95"/>
        <v>6000.0000000000009</v>
      </c>
      <c r="N239" s="108" t="s">
        <v>934</v>
      </c>
      <c r="O239" s="109">
        <v>4705.8823529411766</v>
      </c>
      <c r="P239" s="110">
        <f t="shared" si="83"/>
        <v>894.11764705882354</v>
      </c>
      <c r="Q239" s="110">
        <f t="shared" si="85"/>
        <v>5600</v>
      </c>
      <c r="R239" s="110">
        <f t="shared" si="96"/>
        <v>4705.8823529411766</v>
      </c>
      <c r="S239" s="110">
        <f t="shared" si="97"/>
        <v>5600</v>
      </c>
      <c r="T239" s="97" t="s">
        <v>935</v>
      </c>
      <c r="U239" s="98">
        <v>3512.6050420168071</v>
      </c>
      <c r="V239" s="99">
        <f t="shared" si="91"/>
        <v>667.39495798319342</v>
      </c>
      <c r="W239" s="99">
        <f t="shared" si="86"/>
        <v>4180.0000000000009</v>
      </c>
      <c r="X239" s="99">
        <f t="shared" si="98"/>
        <v>3512.6050420168071</v>
      </c>
      <c r="Y239" s="99">
        <f t="shared" si="99"/>
        <v>4180.0000000000009</v>
      </c>
      <c r="Z239" s="100">
        <f t="shared" si="92"/>
        <v>5260</v>
      </c>
      <c r="AA239" s="100">
        <f t="shared" si="100"/>
        <v>5260</v>
      </c>
      <c r="AB239" s="78">
        <f t="shared" si="93"/>
        <v>956.45177609746747</v>
      </c>
      <c r="AC239" s="102">
        <f t="shared" si="79"/>
        <v>0.18183493842157175</v>
      </c>
      <c r="AD239" s="5"/>
      <c r="AF239" s="7" t="s">
        <v>570</v>
      </c>
      <c r="AG239" s="7">
        <v>121</v>
      </c>
      <c r="AH239" s="7" t="s">
        <v>936</v>
      </c>
      <c r="BG239" s="7">
        <v>110</v>
      </c>
      <c r="DA239" s="7" t="e">
        <f>VLOOKUP(C239,listaBolsa!$D$2:$BA$248,1,0)</f>
        <v>#N/A</v>
      </c>
      <c r="DB239" s="7" t="e">
        <f>VLOOKUP(C239,listaBolsa!$D$2:$BA$248,2,0)</f>
        <v>#N/A</v>
      </c>
      <c r="DC239" s="7" t="e">
        <f>VLOOKUP(C239,listaBolsa!$D$2:$BA$248,10,0)</f>
        <v>#N/A</v>
      </c>
      <c r="DD239" s="7" t="e">
        <f>VLOOKUP(C239,listaBolsa!$D$2:$BA$248,14,0)</f>
        <v>#N/A</v>
      </c>
      <c r="DE239" s="7" t="e">
        <f>VLOOKUP(C239,listaBolsa!$D$2:$BA$248,23,0)</f>
        <v>#N/A</v>
      </c>
      <c r="DF239" s="7" t="e">
        <f>VLOOKUP(C239,listaBolsa!$D$2:$BA$248,29,0)</f>
        <v>#N/A</v>
      </c>
      <c r="DG239" s="7" t="e">
        <f>VLOOKUP(C239,listaBolsa!$D$2:$BA$248,36,0)</f>
        <v>#N/A</v>
      </c>
      <c r="DH239" s="7" t="e">
        <f>VLOOKUP(C239,listaBolsa!$D$2:$BA$248,40,0)</f>
        <v>#N/A</v>
      </c>
      <c r="DI239" s="7" t="e">
        <f>VLOOKUP(C239,listaBolsa!$D$2:$BA$248,48,0)</f>
        <v>#N/A</v>
      </c>
      <c r="DJ239" s="7" t="e">
        <f t="shared" si="88"/>
        <v>#N/A</v>
      </c>
      <c r="DK239" s="7" t="e">
        <f t="shared" si="89"/>
        <v>#N/A</v>
      </c>
      <c r="DL239" s="7" t="e">
        <f t="shared" si="80"/>
        <v>#N/A</v>
      </c>
      <c r="DM239" s="7" t="e">
        <f t="shared" si="80"/>
        <v>#N/A</v>
      </c>
      <c r="DN239" s="7" t="e">
        <f t="shared" si="81"/>
        <v>#N/A</v>
      </c>
      <c r="DO239" s="7" t="e">
        <f t="shared" si="81"/>
        <v>#N/A</v>
      </c>
      <c r="DP239" s="7" t="e">
        <f t="shared" si="82"/>
        <v>#N/A</v>
      </c>
      <c r="DQ239" s="7" t="e">
        <f t="shared" si="82"/>
        <v>#N/A</v>
      </c>
      <c r="DR239" s="7" t="e">
        <f t="shared" si="87"/>
        <v>#N/A</v>
      </c>
    </row>
    <row r="240" spans="1:122" s="7" customFormat="1" ht="42" customHeight="1">
      <c r="A240" s="75">
        <f t="shared" si="77"/>
        <v>226</v>
      </c>
      <c r="B240" s="538" t="s">
        <v>579</v>
      </c>
      <c r="C240" s="336" t="s">
        <v>937</v>
      </c>
      <c r="D240" s="75" t="s">
        <v>938</v>
      </c>
      <c r="E240" s="193" t="s">
        <v>568</v>
      </c>
      <c r="F240" s="75">
        <v>1</v>
      </c>
      <c r="G240" s="75" t="s">
        <v>192</v>
      </c>
      <c r="H240" s="106" t="s">
        <v>328</v>
      </c>
      <c r="I240" s="107">
        <v>12605.042016806719</v>
      </c>
      <c r="J240" s="96">
        <f t="shared" si="90"/>
        <v>2394.9579831932765</v>
      </c>
      <c r="K240" s="96">
        <f t="shared" si="84"/>
        <v>14999.999999999996</v>
      </c>
      <c r="L240" s="96">
        <f t="shared" si="94"/>
        <v>12605.042016806719</v>
      </c>
      <c r="M240" s="96">
        <f t="shared" si="95"/>
        <v>14999.999999999996</v>
      </c>
      <c r="N240" s="108" t="s">
        <v>939</v>
      </c>
      <c r="O240" s="109">
        <v>9663.865546218487</v>
      </c>
      <c r="P240" s="110">
        <f t="shared" si="83"/>
        <v>1836.1344537815125</v>
      </c>
      <c r="Q240" s="110">
        <f t="shared" si="85"/>
        <v>11500</v>
      </c>
      <c r="R240" s="110">
        <f t="shared" si="96"/>
        <v>9663.865546218487</v>
      </c>
      <c r="S240" s="110">
        <f t="shared" si="97"/>
        <v>11500</v>
      </c>
      <c r="T240" s="97" t="s">
        <v>940</v>
      </c>
      <c r="U240" s="98">
        <v>9159.6638655462193</v>
      </c>
      <c r="V240" s="99">
        <f t="shared" si="91"/>
        <v>1740.3361344537816</v>
      </c>
      <c r="W240" s="99">
        <f t="shared" si="86"/>
        <v>10900</v>
      </c>
      <c r="X240" s="99">
        <f t="shared" si="98"/>
        <v>9159.6638655462193</v>
      </c>
      <c r="Y240" s="99">
        <f t="shared" si="99"/>
        <v>10900</v>
      </c>
      <c r="Z240" s="100">
        <f t="shared" si="92"/>
        <v>12466.666666666666</v>
      </c>
      <c r="AA240" s="100">
        <f t="shared" si="100"/>
        <v>12466.666666666666</v>
      </c>
      <c r="AB240" s="78">
        <f t="shared" si="93"/>
        <v>2214.3471573656384</v>
      </c>
      <c r="AC240" s="102">
        <f t="shared" si="79"/>
        <v>0.17762142973521164</v>
      </c>
      <c r="AD240" s="5"/>
      <c r="AF240" s="7" t="s">
        <v>570</v>
      </c>
      <c r="AG240" s="7">
        <v>122</v>
      </c>
      <c r="AH240" s="7" t="s">
        <v>941</v>
      </c>
      <c r="BG240" s="7">
        <v>111</v>
      </c>
      <c r="DA240" s="7" t="e">
        <f>VLOOKUP(C240,listaBolsa!$D$2:$BA$248,1,0)</f>
        <v>#N/A</v>
      </c>
      <c r="DB240" s="7" t="e">
        <f>VLOOKUP(C240,listaBolsa!$D$2:$BA$248,2,0)</f>
        <v>#N/A</v>
      </c>
      <c r="DC240" s="7" t="e">
        <f>VLOOKUP(C240,listaBolsa!$D$2:$BA$248,10,0)</f>
        <v>#N/A</v>
      </c>
      <c r="DD240" s="7" t="e">
        <f>VLOOKUP(C240,listaBolsa!$D$2:$BA$248,14,0)</f>
        <v>#N/A</v>
      </c>
      <c r="DE240" s="7" t="e">
        <f>VLOOKUP(C240,listaBolsa!$D$2:$BA$248,23,0)</f>
        <v>#N/A</v>
      </c>
      <c r="DF240" s="7" t="e">
        <f>VLOOKUP(C240,listaBolsa!$D$2:$BA$248,29,0)</f>
        <v>#N/A</v>
      </c>
      <c r="DG240" s="7" t="e">
        <f>VLOOKUP(C240,listaBolsa!$D$2:$BA$248,36,0)</f>
        <v>#N/A</v>
      </c>
      <c r="DH240" s="7" t="e">
        <f>VLOOKUP(C240,listaBolsa!$D$2:$BA$248,40,0)</f>
        <v>#N/A</v>
      </c>
      <c r="DI240" s="7" t="e">
        <f>VLOOKUP(C240,listaBolsa!$D$2:$BA$248,48,0)</f>
        <v>#N/A</v>
      </c>
      <c r="DJ240" s="7" t="e">
        <f t="shared" si="88"/>
        <v>#N/A</v>
      </c>
      <c r="DK240" s="7" t="e">
        <f t="shared" si="89"/>
        <v>#N/A</v>
      </c>
      <c r="DL240" s="7" t="e">
        <f t="shared" si="80"/>
        <v>#N/A</v>
      </c>
      <c r="DM240" s="7" t="e">
        <f t="shared" si="80"/>
        <v>#N/A</v>
      </c>
      <c r="DN240" s="7" t="e">
        <f t="shared" si="81"/>
        <v>#N/A</v>
      </c>
      <c r="DO240" s="7" t="e">
        <f t="shared" si="81"/>
        <v>#N/A</v>
      </c>
      <c r="DP240" s="7" t="e">
        <f t="shared" si="82"/>
        <v>#N/A</v>
      </c>
      <c r="DQ240" s="7" t="e">
        <f t="shared" si="82"/>
        <v>#N/A</v>
      </c>
      <c r="DR240" s="7" t="e">
        <f t="shared" si="87"/>
        <v>#N/A</v>
      </c>
    </row>
    <row r="241" spans="1:122" s="7" customFormat="1" ht="42" customHeight="1">
      <c r="A241" s="75">
        <f t="shared" si="77"/>
        <v>227</v>
      </c>
      <c r="B241" s="538" t="s">
        <v>579</v>
      </c>
      <c r="C241" s="336" t="s">
        <v>942</v>
      </c>
      <c r="D241" s="75" t="s">
        <v>943</v>
      </c>
      <c r="E241" s="193" t="s">
        <v>568</v>
      </c>
      <c r="F241" s="75">
        <v>1</v>
      </c>
      <c r="G241" s="75" t="s">
        <v>192</v>
      </c>
      <c r="H241" s="106" t="s">
        <v>934</v>
      </c>
      <c r="I241" s="107">
        <v>21050.42016806723</v>
      </c>
      <c r="J241" s="96">
        <f t="shared" si="90"/>
        <v>3999.5798319327737</v>
      </c>
      <c r="K241" s="96">
        <f t="shared" si="84"/>
        <v>25050.000000000004</v>
      </c>
      <c r="L241" s="96">
        <f t="shared" si="94"/>
        <v>21050.42016806723</v>
      </c>
      <c r="M241" s="96">
        <f t="shared" si="95"/>
        <v>25050.000000000004</v>
      </c>
      <c r="N241" s="108" t="s">
        <v>944</v>
      </c>
      <c r="O241" s="109">
        <v>18403.361344537811</v>
      </c>
      <c r="P241" s="110">
        <f t="shared" si="83"/>
        <v>3496.638655462184</v>
      </c>
      <c r="Q241" s="110">
        <f t="shared" si="85"/>
        <v>21899.999999999993</v>
      </c>
      <c r="R241" s="110">
        <f t="shared" si="96"/>
        <v>18403.361344537811</v>
      </c>
      <c r="S241" s="110">
        <f t="shared" si="97"/>
        <v>21899.999999999993</v>
      </c>
      <c r="T241" s="97" t="s">
        <v>945</v>
      </c>
      <c r="U241" s="98">
        <v>19075.63025210084</v>
      </c>
      <c r="V241" s="99">
        <f t="shared" si="91"/>
        <v>3624.3697478991598</v>
      </c>
      <c r="W241" s="99">
        <f t="shared" si="86"/>
        <v>22700</v>
      </c>
      <c r="X241" s="99">
        <f t="shared" si="98"/>
        <v>19075.63025210084</v>
      </c>
      <c r="Y241" s="99">
        <f t="shared" si="99"/>
        <v>22700</v>
      </c>
      <c r="Z241" s="100">
        <f t="shared" si="92"/>
        <v>23216.666666666668</v>
      </c>
      <c r="AA241" s="100">
        <f t="shared" si="100"/>
        <v>23216.666666666668</v>
      </c>
      <c r="AB241" s="78">
        <f t="shared" si="93"/>
        <v>1637.3250542678902</v>
      </c>
      <c r="AC241" s="102">
        <f t="shared" si="79"/>
        <v>7.0523692215415226E-2</v>
      </c>
      <c r="AD241" s="5"/>
      <c r="AF241" s="7" t="s">
        <v>570</v>
      </c>
      <c r="AG241" s="7">
        <v>123</v>
      </c>
      <c r="AH241" s="7" t="s">
        <v>946</v>
      </c>
      <c r="BG241" s="7">
        <v>112</v>
      </c>
      <c r="DA241" s="7" t="e">
        <f>VLOOKUP(C241,listaBolsa!$D$2:$BA$248,1,0)</f>
        <v>#N/A</v>
      </c>
      <c r="DB241" s="7" t="e">
        <f>VLOOKUP(C241,listaBolsa!$D$2:$BA$248,2,0)</f>
        <v>#N/A</v>
      </c>
      <c r="DC241" s="7" t="e">
        <f>VLOOKUP(C241,listaBolsa!$D$2:$BA$248,10,0)</f>
        <v>#N/A</v>
      </c>
      <c r="DD241" s="7" t="e">
        <f>VLOOKUP(C241,listaBolsa!$D$2:$BA$248,14,0)</f>
        <v>#N/A</v>
      </c>
      <c r="DE241" s="7" t="e">
        <f>VLOOKUP(C241,listaBolsa!$D$2:$BA$248,23,0)</f>
        <v>#N/A</v>
      </c>
      <c r="DF241" s="7" t="e">
        <f>VLOOKUP(C241,listaBolsa!$D$2:$BA$248,29,0)</f>
        <v>#N/A</v>
      </c>
      <c r="DG241" s="7" t="e">
        <f>VLOOKUP(C241,listaBolsa!$D$2:$BA$248,36,0)</f>
        <v>#N/A</v>
      </c>
      <c r="DH241" s="7" t="e">
        <f>VLOOKUP(C241,listaBolsa!$D$2:$BA$248,40,0)</f>
        <v>#N/A</v>
      </c>
      <c r="DI241" s="7" t="e">
        <f>VLOOKUP(C241,listaBolsa!$D$2:$BA$248,48,0)</f>
        <v>#N/A</v>
      </c>
      <c r="DJ241" s="7" t="e">
        <f t="shared" si="88"/>
        <v>#N/A</v>
      </c>
      <c r="DK241" s="7" t="e">
        <f t="shared" si="89"/>
        <v>#N/A</v>
      </c>
      <c r="DL241" s="7" t="e">
        <f t="shared" si="80"/>
        <v>#N/A</v>
      </c>
      <c r="DM241" s="7" t="e">
        <f t="shared" si="80"/>
        <v>#N/A</v>
      </c>
      <c r="DN241" s="7" t="e">
        <f t="shared" si="81"/>
        <v>#N/A</v>
      </c>
      <c r="DO241" s="7" t="e">
        <f t="shared" si="81"/>
        <v>#N/A</v>
      </c>
      <c r="DP241" s="7" t="e">
        <f t="shared" si="82"/>
        <v>#N/A</v>
      </c>
      <c r="DQ241" s="7" t="e">
        <f t="shared" si="82"/>
        <v>#N/A</v>
      </c>
      <c r="DR241" s="7" t="e">
        <f t="shared" si="87"/>
        <v>#N/A</v>
      </c>
    </row>
    <row r="242" spans="1:122" s="7" customFormat="1" ht="42" customHeight="1">
      <c r="A242" s="75">
        <f t="shared" si="77"/>
        <v>228</v>
      </c>
      <c r="B242" s="538" t="s">
        <v>579</v>
      </c>
      <c r="C242" s="336" t="s">
        <v>947</v>
      </c>
      <c r="D242" s="75" t="s">
        <v>948</v>
      </c>
      <c r="E242" s="193" t="s">
        <v>568</v>
      </c>
      <c r="F242" s="75">
        <v>1</v>
      </c>
      <c r="G242" s="75" t="s">
        <v>192</v>
      </c>
      <c r="H242" s="106" t="s">
        <v>949</v>
      </c>
      <c r="I242" s="107">
        <v>57143</v>
      </c>
      <c r="J242" s="96">
        <f t="shared" si="90"/>
        <v>10857.17</v>
      </c>
      <c r="K242" s="96">
        <f t="shared" si="84"/>
        <v>68000.17</v>
      </c>
      <c r="L242" s="96">
        <f t="shared" si="94"/>
        <v>57143</v>
      </c>
      <c r="M242" s="96">
        <f t="shared" si="95"/>
        <v>68000.17</v>
      </c>
      <c r="N242" s="108" t="s">
        <v>950</v>
      </c>
      <c r="O242" s="109">
        <v>47899</v>
      </c>
      <c r="P242" s="110">
        <f t="shared" si="83"/>
        <v>9100.81</v>
      </c>
      <c r="Q242" s="110">
        <f t="shared" si="85"/>
        <v>56999.81</v>
      </c>
      <c r="R242" s="110">
        <f t="shared" si="96"/>
        <v>47899</v>
      </c>
      <c r="S242" s="110">
        <f t="shared" si="97"/>
        <v>56999.81</v>
      </c>
      <c r="T242" s="97" t="s">
        <v>769</v>
      </c>
      <c r="U242" s="98">
        <v>46220</v>
      </c>
      <c r="V242" s="99">
        <f t="shared" si="91"/>
        <v>8781.7999999999993</v>
      </c>
      <c r="W242" s="99">
        <f t="shared" si="86"/>
        <v>55001.8</v>
      </c>
      <c r="X242" s="99">
        <f t="shared" si="98"/>
        <v>46220</v>
      </c>
      <c r="Y242" s="99">
        <f t="shared" si="99"/>
        <v>55001.8</v>
      </c>
      <c r="Z242" s="100">
        <f t="shared" si="92"/>
        <v>60000.593333333331</v>
      </c>
      <c r="AA242" s="100">
        <f t="shared" si="100"/>
        <v>60000.593333333331</v>
      </c>
      <c r="AB242" s="78">
        <f t="shared" si="93"/>
        <v>6999.4950621050739</v>
      </c>
      <c r="AC242" s="102">
        <f t="shared" si="79"/>
        <v>0.11665709742601002</v>
      </c>
      <c r="AD242" s="5"/>
      <c r="AF242" s="7" t="s">
        <v>570</v>
      </c>
      <c r="AG242" s="7">
        <v>124</v>
      </c>
      <c r="AH242" s="7" t="s">
        <v>951</v>
      </c>
      <c r="BG242" s="7">
        <v>113</v>
      </c>
      <c r="DA242" s="7" t="e">
        <f>VLOOKUP(C242,listaBolsa!$D$2:$BA$248,1,0)</f>
        <v>#N/A</v>
      </c>
      <c r="DB242" s="7" t="e">
        <f>VLOOKUP(C242,listaBolsa!$D$2:$BA$248,2,0)</f>
        <v>#N/A</v>
      </c>
      <c r="DC242" s="7" t="e">
        <f>VLOOKUP(C242,listaBolsa!$D$2:$BA$248,10,0)</f>
        <v>#N/A</v>
      </c>
      <c r="DD242" s="7" t="e">
        <f>VLOOKUP(C242,listaBolsa!$D$2:$BA$248,14,0)</f>
        <v>#N/A</v>
      </c>
      <c r="DE242" s="7" t="e">
        <f>VLOOKUP(C242,listaBolsa!$D$2:$BA$248,23,0)</f>
        <v>#N/A</v>
      </c>
      <c r="DF242" s="7" t="e">
        <f>VLOOKUP(C242,listaBolsa!$D$2:$BA$248,29,0)</f>
        <v>#N/A</v>
      </c>
      <c r="DG242" s="7" t="e">
        <f>VLOOKUP(C242,listaBolsa!$D$2:$BA$248,36,0)</f>
        <v>#N/A</v>
      </c>
      <c r="DH242" s="7" t="e">
        <f>VLOOKUP(C242,listaBolsa!$D$2:$BA$248,40,0)</f>
        <v>#N/A</v>
      </c>
      <c r="DI242" s="7" t="e">
        <f>VLOOKUP(C242,listaBolsa!$D$2:$BA$248,48,0)</f>
        <v>#N/A</v>
      </c>
      <c r="DJ242" s="7" t="e">
        <f t="shared" si="88"/>
        <v>#N/A</v>
      </c>
      <c r="DK242" s="7" t="e">
        <f t="shared" si="89"/>
        <v>#N/A</v>
      </c>
      <c r="DL242" s="7" t="e">
        <f t="shared" si="80"/>
        <v>#N/A</v>
      </c>
      <c r="DM242" s="7" t="e">
        <f t="shared" si="80"/>
        <v>#N/A</v>
      </c>
      <c r="DN242" s="7" t="e">
        <f t="shared" si="81"/>
        <v>#N/A</v>
      </c>
      <c r="DO242" s="7" t="e">
        <f t="shared" si="81"/>
        <v>#N/A</v>
      </c>
      <c r="DP242" s="7" t="e">
        <f t="shared" si="82"/>
        <v>#N/A</v>
      </c>
      <c r="DQ242" s="7" t="e">
        <f t="shared" si="82"/>
        <v>#N/A</v>
      </c>
      <c r="DR242" s="7" t="e">
        <f t="shared" si="87"/>
        <v>#N/A</v>
      </c>
    </row>
    <row r="243" spans="1:122" s="7" customFormat="1" ht="42" customHeight="1">
      <c r="A243" s="75">
        <f t="shared" si="77"/>
        <v>229</v>
      </c>
      <c r="B243" s="538" t="s">
        <v>579</v>
      </c>
      <c r="C243" s="336" t="s">
        <v>952</v>
      </c>
      <c r="D243" s="75" t="s">
        <v>953</v>
      </c>
      <c r="E243" s="193" t="s">
        <v>568</v>
      </c>
      <c r="F243" s="75">
        <v>1</v>
      </c>
      <c r="G243" s="75" t="s">
        <v>192</v>
      </c>
      <c r="H243" s="106" t="s">
        <v>380</v>
      </c>
      <c r="I243" s="107">
        <v>42000</v>
      </c>
      <c r="J243" s="96">
        <f t="shared" si="90"/>
        <v>7980</v>
      </c>
      <c r="K243" s="96">
        <f t="shared" si="84"/>
        <v>49980</v>
      </c>
      <c r="L243" s="96">
        <f t="shared" si="94"/>
        <v>42000</v>
      </c>
      <c r="M243" s="96">
        <f t="shared" si="95"/>
        <v>49980</v>
      </c>
      <c r="N243" s="108" t="s">
        <v>381</v>
      </c>
      <c r="O243" s="109">
        <v>40000</v>
      </c>
      <c r="P243" s="110">
        <f t="shared" si="83"/>
        <v>7600</v>
      </c>
      <c r="Q243" s="110">
        <f t="shared" si="85"/>
        <v>47600</v>
      </c>
      <c r="R243" s="110">
        <f t="shared" si="96"/>
        <v>40000</v>
      </c>
      <c r="S243" s="110">
        <f t="shared" si="97"/>
        <v>47600</v>
      </c>
      <c r="T243" s="97" t="s">
        <v>382</v>
      </c>
      <c r="U243" s="98">
        <v>39200</v>
      </c>
      <c r="V243" s="99">
        <f t="shared" si="91"/>
        <v>7448</v>
      </c>
      <c r="W243" s="99">
        <f t="shared" si="86"/>
        <v>46648</v>
      </c>
      <c r="X243" s="99">
        <f t="shared" si="98"/>
        <v>39200</v>
      </c>
      <c r="Y243" s="99">
        <f t="shared" si="99"/>
        <v>46648</v>
      </c>
      <c r="Z243" s="100">
        <f t="shared" si="92"/>
        <v>48076</v>
      </c>
      <c r="AA243" s="100">
        <f t="shared" si="100"/>
        <v>48076</v>
      </c>
      <c r="AB243" s="78">
        <f t="shared" si="93"/>
        <v>1716.2424071208588</v>
      </c>
      <c r="AC243" s="102">
        <f t="shared" si="79"/>
        <v>3.569852747984148E-2</v>
      </c>
      <c r="AD243" s="5"/>
      <c r="AF243" s="7" t="s">
        <v>570</v>
      </c>
      <c r="AG243" s="7">
        <v>125</v>
      </c>
      <c r="AH243" s="7" t="s">
        <v>954</v>
      </c>
      <c r="BG243" s="7">
        <v>114</v>
      </c>
      <c r="DA243" s="7" t="e">
        <f>VLOOKUP(C243,listaBolsa!$D$2:$BA$248,1,0)</f>
        <v>#N/A</v>
      </c>
      <c r="DB243" s="7" t="e">
        <f>VLOOKUP(C243,listaBolsa!$D$2:$BA$248,2,0)</f>
        <v>#N/A</v>
      </c>
      <c r="DC243" s="7" t="e">
        <f>VLOOKUP(C243,listaBolsa!$D$2:$BA$248,10,0)</f>
        <v>#N/A</v>
      </c>
      <c r="DD243" s="7" t="e">
        <f>VLOOKUP(C243,listaBolsa!$D$2:$BA$248,14,0)</f>
        <v>#N/A</v>
      </c>
      <c r="DE243" s="7" t="e">
        <f>VLOOKUP(C243,listaBolsa!$D$2:$BA$248,23,0)</f>
        <v>#N/A</v>
      </c>
      <c r="DF243" s="7" t="e">
        <f>VLOOKUP(C243,listaBolsa!$D$2:$BA$248,29,0)</f>
        <v>#N/A</v>
      </c>
      <c r="DG243" s="7" t="e">
        <f>VLOOKUP(C243,listaBolsa!$D$2:$BA$248,36,0)</f>
        <v>#N/A</v>
      </c>
      <c r="DH243" s="7" t="e">
        <f>VLOOKUP(C243,listaBolsa!$D$2:$BA$248,40,0)</f>
        <v>#N/A</v>
      </c>
      <c r="DI243" s="7" t="e">
        <f>VLOOKUP(C243,listaBolsa!$D$2:$BA$248,48,0)</f>
        <v>#N/A</v>
      </c>
      <c r="DJ243" s="7" t="e">
        <f t="shared" si="88"/>
        <v>#N/A</v>
      </c>
      <c r="DK243" s="7" t="e">
        <f t="shared" si="89"/>
        <v>#N/A</v>
      </c>
      <c r="DL243" s="7" t="e">
        <f t="shared" si="80"/>
        <v>#N/A</v>
      </c>
      <c r="DM243" s="7" t="e">
        <f t="shared" si="80"/>
        <v>#N/A</v>
      </c>
      <c r="DN243" s="7" t="e">
        <f t="shared" si="81"/>
        <v>#N/A</v>
      </c>
      <c r="DO243" s="7" t="e">
        <f t="shared" si="81"/>
        <v>#N/A</v>
      </c>
      <c r="DP243" s="7" t="e">
        <f t="shared" si="82"/>
        <v>#N/A</v>
      </c>
      <c r="DQ243" s="7" t="e">
        <f t="shared" si="82"/>
        <v>#N/A</v>
      </c>
      <c r="DR243" s="7" t="e">
        <f t="shared" si="87"/>
        <v>#N/A</v>
      </c>
    </row>
    <row r="244" spans="1:122" s="7" customFormat="1" ht="42" customHeight="1">
      <c r="A244" s="75">
        <f t="shared" si="77"/>
        <v>230</v>
      </c>
      <c r="B244" s="538" t="s">
        <v>579</v>
      </c>
      <c r="C244" s="336" t="s">
        <v>955</v>
      </c>
      <c r="D244" s="75" t="s">
        <v>956</v>
      </c>
      <c r="E244" s="193" t="s">
        <v>568</v>
      </c>
      <c r="F244" s="75">
        <v>1</v>
      </c>
      <c r="G244" s="75" t="s">
        <v>192</v>
      </c>
      <c r="H244" s="106" t="s">
        <v>380</v>
      </c>
      <c r="I244" s="107">
        <v>6000</v>
      </c>
      <c r="J244" s="96">
        <f t="shared" si="90"/>
        <v>1140</v>
      </c>
      <c r="K244" s="96">
        <f t="shared" si="84"/>
        <v>7140</v>
      </c>
      <c r="L244" s="96">
        <f t="shared" si="94"/>
        <v>6000</v>
      </c>
      <c r="M244" s="96">
        <f t="shared" si="95"/>
        <v>7140</v>
      </c>
      <c r="N244" s="108" t="s">
        <v>381</v>
      </c>
      <c r="O244" s="109">
        <v>5500</v>
      </c>
      <c r="P244" s="110">
        <f t="shared" si="83"/>
        <v>1045</v>
      </c>
      <c r="Q244" s="110">
        <f t="shared" si="85"/>
        <v>6545</v>
      </c>
      <c r="R244" s="110">
        <f t="shared" si="96"/>
        <v>5500</v>
      </c>
      <c r="S244" s="110">
        <f t="shared" si="97"/>
        <v>6545</v>
      </c>
      <c r="T244" s="97" t="s">
        <v>382</v>
      </c>
      <c r="U244" s="98">
        <v>4900</v>
      </c>
      <c r="V244" s="99">
        <f t="shared" si="91"/>
        <v>931</v>
      </c>
      <c r="W244" s="99">
        <f t="shared" si="86"/>
        <v>5831</v>
      </c>
      <c r="X244" s="99">
        <f t="shared" si="98"/>
        <v>4900</v>
      </c>
      <c r="Y244" s="99">
        <f t="shared" si="99"/>
        <v>5831</v>
      </c>
      <c r="Z244" s="100">
        <f t="shared" si="92"/>
        <v>6505.333333333333</v>
      </c>
      <c r="AA244" s="100">
        <f t="shared" si="100"/>
        <v>6505.333333333333</v>
      </c>
      <c r="AB244" s="78">
        <f t="shared" si="93"/>
        <v>655.40089512704617</v>
      </c>
      <c r="AC244" s="102">
        <f t="shared" si="79"/>
        <v>0.10074824171864821</v>
      </c>
      <c r="AD244" s="5"/>
      <c r="AF244" s="7" t="s">
        <v>570</v>
      </c>
      <c r="AG244" s="7">
        <v>126</v>
      </c>
      <c r="AH244" s="7" t="s">
        <v>957</v>
      </c>
      <c r="BG244" s="7">
        <v>115</v>
      </c>
      <c r="DA244" s="7" t="e">
        <f>VLOOKUP(C244,listaBolsa!$D$2:$BA$248,1,0)</f>
        <v>#N/A</v>
      </c>
      <c r="DB244" s="7" t="e">
        <f>VLOOKUP(C244,listaBolsa!$D$2:$BA$248,2,0)</f>
        <v>#N/A</v>
      </c>
      <c r="DC244" s="7" t="e">
        <f>VLOOKUP(C244,listaBolsa!$D$2:$BA$248,10,0)</f>
        <v>#N/A</v>
      </c>
      <c r="DD244" s="7" t="e">
        <f>VLOOKUP(C244,listaBolsa!$D$2:$BA$248,14,0)</f>
        <v>#N/A</v>
      </c>
      <c r="DE244" s="7" t="e">
        <f>VLOOKUP(C244,listaBolsa!$D$2:$BA$248,23,0)</f>
        <v>#N/A</v>
      </c>
      <c r="DF244" s="7" t="e">
        <f>VLOOKUP(C244,listaBolsa!$D$2:$BA$248,29,0)</f>
        <v>#N/A</v>
      </c>
      <c r="DG244" s="7" t="e">
        <f>VLOOKUP(C244,listaBolsa!$D$2:$BA$248,36,0)</f>
        <v>#N/A</v>
      </c>
      <c r="DH244" s="7" t="e">
        <f>VLOOKUP(C244,listaBolsa!$D$2:$BA$248,40,0)</f>
        <v>#N/A</v>
      </c>
      <c r="DI244" s="7" t="e">
        <f>VLOOKUP(C244,listaBolsa!$D$2:$BA$248,48,0)</f>
        <v>#N/A</v>
      </c>
      <c r="DJ244" s="7" t="e">
        <f t="shared" si="88"/>
        <v>#N/A</v>
      </c>
      <c r="DK244" s="7" t="e">
        <f t="shared" si="89"/>
        <v>#N/A</v>
      </c>
      <c r="DL244" s="7" t="e">
        <f t="shared" si="80"/>
        <v>#N/A</v>
      </c>
      <c r="DM244" s="7" t="e">
        <f t="shared" si="80"/>
        <v>#N/A</v>
      </c>
      <c r="DN244" s="7" t="e">
        <f t="shared" si="81"/>
        <v>#N/A</v>
      </c>
      <c r="DO244" s="7" t="e">
        <f t="shared" si="81"/>
        <v>#N/A</v>
      </c>
      <c r="DP244" s="7" t="e">
        <f t="shared" si="82"/>
        <v>#N/A</v>
      </c>
      <c r="DQ244" s="7" t="e">
        <f t="shared" si="82"/>
        <v>#N/A</v>
      </c>
      <c r="DR244" s="7" t="e">
        <f t="shared" si="87"/>
        <v>#N/A</v>
      </c>
    </row>
    <row r="245" spans="1:122" s="7" customFormat="1" ht="42" customHeight="1">
      <c r="A245" s="75">
        <f t="shared" si="77"/>
        <v>231</v>
      </c>
      <c r="B245" s="538" t="s">
        <v>579</v>
      </c>
      <c r="C245" s="336" t="s">
        <v>958</v>
      </c>
      <c r="D245" s="75" t="s">
        <v>959</v>
      </c>
      <c r="E245" s="193" t="s">
        <v>568</v>
      </c>
      <c r="F245" s="75">
        <v>1</v>
      </c>
      <c r="G245" s="75" t="s">
        <v>192</v>
      </c>
      <c r="H245" s="106" t="s">
        <v>960</v>
      </c>
      <c r="I245" s="107">
        <v>46190.739495798327</v>
      </c>
      <c r="J245" s="96">
        <f t="shared" si="90"/>
        <v>8776.2405042016817</v>
      </c>
      <c r="K245" s="96">
        <f t="shared" si="84"/>
        <v>54966.98000000001</v>
      </c>
      <c r="L245" s="96">
        <f t="shared" si="94"/>
        <v>46190.739495798327</v>
      </c>
      <c r="M245" s="96">
        <f t="shared" si="95"/>
        <v>54966.98000000001</v>
      </c>
      <c r="N245" s="108" t="s">
        <v>961</v>
      </c>
      <c r="O245" s="109">
        <v>36638.655462184877</v>
      </c>
      <c r="P245" s="110">
        <f t="shared" si="83"/>
        <v>6961.3445378151264</v>
      </c>
      <c r="Q245" s="110">
        <f t="shared" si="85"/>
        <v>43600</v>
      </c>
      <c r="R245" s="110">
        <f t="shared" si="96"/>
        <v>36638.655462184877</v>
      </c>
      <c r="S245" s="110">
        <f t="shared" si="97"/>
        <v>43600</v>
      </c>
      <c r="T245" s="97" t="s">
        <v>962</v>
      </c>
      <c r="U245" s="98">
        <v>45798.319327731093</v>
      </c>
      <c r="V245" s="99">
        <f t="shared" si="91"/>
        <v>8701.6806722689071</v>
      </c>
      <c r="W245" s="99">
        <f t="shared" si="86"/>
        <v>54500</v>
      </c>
      <c r="X245" s="99">
        <f t="shared" si="98"/>
        <v>45798.319327731093</v>
      </c>
      <c r="Y245" s="99">
        <f t="shared" si="99"/>
        <v>54500</v>
      </c>
      <c r="Z245" s="100">
        <f t="shared" si="92"/>
        <v>51022.326666666668</v>
      </c>
      <c r="AA245" s="100">
        <f t="shared" si="100"/>
        <v>51022.326666666668</v>
      </c>
      <c r="AB245" s="78">
        <f t="shared" si="93"/>
        <v>6432.1627342701067</v>
      </c>
      <c r="AC245" s="102">
        <f t="shared" si="79"/>
        <v>0.12606564918710958</v>
      </c>
      <c r="AD245" s="5"/>
      <c r="AF245" s="7" t="s">
        <v>570</v>
      </c>
      <c r="AG245" s="7">
        <v>127</v>
      </c>
      <c r="AH245" s="7" t="s">
        <v>963</v>
      </c>
      <c r="BG245" s="7">
        <v>116</v>
      </c>
      <c r="DA245" s="7" t="e">
        <f>VLOOKUP(C245,listaBolsa!$D$2:$BA$248,1,0)</f>
        <v>#N/A</v>
      </c>
      <c r="DB245" s="7" t="e">
        <f>VLOOKUP(C245,listaBolsa!$D$2:$BA$248,2,0)</f>
        <v>#N/A</v>
      </c>
      <c r="DC245" s="7" t="e">
        <f>VLOOKUP(C245,listaBolsa!$D$2:$BA$248,10,0)</f>
        <v>#N/A</v>
      </c>
      <c r="DD245" s="7" t="e">
        <f>VLOOKUP(C245,listaBolsa!$D$2:$BA$248,14,0)</f>
        <v>#N/A</v>
      </c>
      <c r="DE245" s="7" t="e">
        <f>VLOOKUP(C245,listaBolsa!$D$2:$BA$248,23,0)</f>
        <v>#N/A</v>
      </c>
      <c r="DF245" s="7" t="e">
        <f>VLOOKUP(C245,listaBolsa!$D$2:$BA$248,29,0)</f>
        <v>#N/A</v>
      </c>
      <c r="DG245" s="7" t="e">
        <f>VLOOKUP(C245,listaBolsa!$D$2:$BA$248,36,0)</f>
        <v>#N/A</v>
      </c>
      <c r="DH245" s="7" t="e">
        <f>VLOOKUP(C245,listaBolsa!$D$2:$BA$248,40,0)</f>
        <v>#N/A</v>
      </c>
      <c r="DI245" s="7" t="e">
        <f>VLOOKUP(C245,listaBolsa!$D$2:$BA$248,48,0)</f>
        <v>#N/A</v>
      </c>
      <c r="DJ245" s="7" t="e">
        <f t="shared" si="88"/>
        <v>#N/A</v>
      </c>
      <c r="DK245" s="7" t="e">
        <f t="shared" si="89"/>
        <v>#N/A</v>
      </c>
      <c r="DL245" s="7" t="e">
        <f t="shared" si="80"/>
        <v>#N/A</v>
      </c>
      <c r="DM245" s="7" t="e">
        <f t="shared" si="80"/>
        <v>#N/A</v>
      </c>
      <c r="DN245" s="7" t="e">
        <f t="shared" si="81"/>
        <v>#N/A</v>
      </c>
      <c r="DO245" s="7" t="e">
        <f t="shared" si="81"/>
        <v>#N/A</v>
      </c>
      <c r="DP245" s="7" t="e">
        <f t="shared" si="82"/>
        <v>#N/A</v>
      </c>
      <c r="DQ245" s="7" t="e">
        <f t="shared" si="82"/>
        <v>#N/A</v>
      </c>
      <c r="DR245" s="7" t="e">
        <f t="shared" si="87"/>
        <v>#N/A</v>
      </c>
    </row>
    <row r="246" spans="1:122" s="7" customFormat="1" ht="42" customHeight="1">
      <c r="A246" s="75">
        <f t="shared" si="77"/>
        <v>232</v>
      </c>
      <c r="B246" s="538" t="s">
        <v>579</v>
      </c>
      <c r="C246" s="336" t="s">
        <v>964</v>
      </c>
      <c r="D246" s="75" t="s">
        <v>965</v>
      </c>
      <c r="E246" s="193" t="s">
        <v>568</v>
      </c>
      <c r="F246" s="75">
        <v>1</v>
      </c>
      <c r="G246" s="75" t="s">
        <v>192</v>
      </c>
      <c r="H246" s="106" t="s">
        <v>380</v>
      </c>
      <c r="I246" s="107">
        <v>76000</v>
      </c>
      <c r="J246" s="96">
        <f t="shared" si="90"/>
        <v>14440</v>
      </c>
      <c r="K246" s="96">
        <f t="shared" si="84"/>
        <v>90440</v>
      </c>
      <c r="L246" s="96">
        <f t="shared" si="94"/>
        <v>76000</v>
      </c>
      <c r="M246" s="96">
        <f t="shared" si="95"/>
        <v>90440</v>
      </c>
      <c r="N246" s="108" t="s">
        <v>381</v>
      </c>
      <c r="O246" s="109">
        <v>74000</v>
      </c>
      <c r="P246" s="110">
        <f t="shared" si="83"/>
        <v>14060</v>
      </c>
      <c r="Q246" s="110">
        <f t="shared" si="85"/>
        <v>88060</v>
      </c>
      <c r="R246" s="110">
        <f t="shared" si="96"/>
        <v>74000</v>
      </c>
      <c r="S246" s="110">
        <f t="shared" si="97"/>
        <v>88060</v>
      </c>
      <c r="T246" s="97" t="s">
        <v>382</v>
      </c>
      <c r="U246" s="98">
        <v>63000</v>
      </c>
      <c r="V246" s="99">
        <f t="shared" si="91"/>
        <v>11970</v>
      </c>
      <c r="W246" s="99">
        <f t="shared" si="86"/>
        <v>74970</v>
      </c>
      <c r="X246" s="99">
        <f t="shared" si="98"/>
        <v>63000</v>
      </c>
      <c r="Y246" s="99">
        <f t="shared" si="99"/>
        <v>74970</v>
      </c>
      <c r="Z246" s="100">
        <f t="shared" si="92"/>
        <v>84490</v>
      </c>
      <c r="AA246" s="100">
        <f t="shared" si="100"/>
        <v>84490</v>
      </c>
      <c r="AB246" s="78">
        <f t="shared" si="93"/>
        <v>8330</v>
      </c>
      <c r="AC246" s="102">
        <f t="shared" si="79"/>
        <v>9.8591549295774641E-2</v>
      </c>
      <c r="AD246" s="5"/>
      <c r="AF246" s="7" t="s">
        <v>570</v>
      </c>
      <c r="AG246" s="7">
        <v>128</v>
      </c>
      <c r="AH246" s="7" t="s">
        <v>966</v>
      </c>
      <c r="BG246" s="7">
        <v>117</v>
      </c>
      <c r="DA246" s="7" t="e">
        <f>VLOOKUP(C246,listaBolsa!$D$2:$BA$248,1,0)</f>
        <v>#N/A</v>
      </c>
      <c r="DB246" s="7" t="e">
        <f>VLOOKUP(C246,listaBolsa!$D$2:$BA$248,2,0)</f>
        <v>#N/A</v>
      </c>
      <c r="DC246" s="7" t="e">
        <f>VLOOKUP(C246,listaBolsa!$D$2:$BA$248,10,0)</f>
        <v>#N/A</v>
      </c>
      <c r="DD246" s="7" t="e">
        <f>VLOOKUP(C246,listaBolsa!$D$2:$BA$248,14,0)</f>
        <v>#N/A</v>
      </c>
      <c r="DE246" s="7" t="e">
        <f>VLOOKUP(C246,listaBolsa!$D$2:$BA$248,23,0)</f>
        <v>#N/A</v>
      </c>
      <c r="DF246" s="7" t="e">
        <f>VLOOKUP(C246,listaBolsa!$D$2:$BA$248,29,0)</f>
        <v>#N/A</v>
      </c>
      <c r="DG246" s="7" t="e">
        <f>VLOOKUP(C246,listaBolsa!$D$2:$BA$248,36,0)</f>
        <v>#N/A</v>
      </c>
      <c r="DH246" s="7" t="e">
        <f>VLOOKUP(C246,listaBolsa!$D$2:$BA$248,40,0)</f>
        <v>#N/A</v>
      </c>
      <c r="DI246" s="7" t="e">
        <f>VLOOKUP(C246,listaBolsa!$D$2:$BA$248,48,0)</f>
        <v>#N/A</v>
      </c>
      <c r="DJ246" s="7" t="e">
        <f t="shared" si="88"/>
        <v>#N/A</v>
      </c>
      <c r="DK246" s="7" t="e">
        <f t="shared" si="89"/>
        <v>#N/A</v>
      </c>
      <c r="DL246" s="7" t="e">
        <f t="shared" si="80"/>
        <v>#N/A</v>
      </c>
      <c r="DM246" s="7" t="e">
        <f t="shared" si="80"/>
        <v>#N/A</v>
      </c>
      <c r="DN246" s="7" t="e">
        <f t="shared" si="81"/>
        <v>#N/A</v>
      </c>
      <c r="DO246" s="7" t="e">
        <f t="shared" si="81"/>
        <v>#N/A</v>
      </c>
      <c r="DP246" s="7" t="e">
        <f t="shared" si="82"/>
        <v>#N/A</v>
      </c>
      <c r="DQ246" s="7" t="e">
        <f t="shared" si="82"/>
        <v>#N/A</v>
      </c>
      <c r="DR246" s="7" t="e">
        <f t="shared" si="87"/>
        <v>#N/A</v>
      </c>
    </row>
    <row r="247" spans="1:122" s="7" customFormat="1" ht="42" customHeight="1">
      <c r="A247" s="75">
        <f t="shared" si="77"/>
        <v>233</v>
      </c>
      <c r="B247" s="538" t="s">
        <v>579</v>
      </c>
      <c r="C247" s="336" t="s">
        <v>967</v>
      </c>
      <c r="D247" s="336" t="s">
        <v>968</v>
      </c>
      <c r="E247" s="193" t="s">
        <v>568</v>
      </c>
      <c r="F247" s="75">
        <v>1</v>
      </c>
      <c r="G247" s="75" t="s">
        <v>192</v>
      </c>
      <c r="H247" s="106" t="s">
        <v>380</v>
      </c>
      <c r="I247" s="107">
        <v>25000</v>
      </c>
      <c r="J247" s="96">
        <f t="shared" si="90"/>
        <v>4750</v>
      </c>
      <c r="K247" s="96">
        <f t="shared" si="84"/>
        <v>29750</v>
      </c>
      <c r="L247" s="96">
        <f t="shared" si="94"/>
        <v>25000</v>
      </c>
      <c r="M247" s="96">
        <f t="shared" si="95"/>
        <v>29750</v>
      </c>
      <c r="N247" s="108" t="s">
        <v>381</v>
      </c>
      <c r="O247" s="109">
        <v>23000</v>
      </c>
      <c r="P247" s="110">
        <f t="shared" si="83"/>
        <v>4370</v>
      </c>
      <c r="Q247" s="110">
        <f t="shared" si="85"/>
        <v>27370</v>
      </c>
      <c r="R247" s="110">
        <f t="shared" si="96"/>
        <v>23000</v>
      </c>
      <c r="S247" s="110">
        <f t="shared" si="97"/>
        <v>27370</v>
      </c>
      <c r="T247" s="97" t="s">
        <v>382</v>
      </c>
      <c r="U247" s="98">
        <v>22000</v>
      </c>
      <c r="V247" s="99">
        <f t="shared" si="91"/>
        <v>4180</v>
      </c>
      <c r="W247" s="99">
        <f t="shared" si="86"/>
        <v>26180</v>
      </c>
      <c r="X247" s="99">
        <f t="shared" si="98"/>
        <v>22000</v>
      </c>
      <c r="Y247" s="99">
        <f t="shared" si="99"/>
        <v>26180</v>
      </c>
      <c r="Z247" s="100">
        <f t="shared" si="92"/>
        <v>27766.666666666668</v>
      </c>
      <c r="AA247" s="100">
        <f t="shared" si="100"/>
        <v>27766.666666666668</v>
      </c>
      <c r="AB247" s="78">
        <f t="shared" si="93"/>
        <v>1817.7550256658164</v>
      </c>
      <c r="AC247" s="102">
        <f t="shared" si="79"/>
        <v>6.5465367070797711E-2</v>
      </c>
      <c r="AD247" s="5"/>
      <c r="AF247" s="7" t="s">
        <v>570</v>
      </c>
      <c r="AG247" s="7">
        <v>129</v>
      </c>
      <c r="AH247" s="7" t="s">
        <v>969</v>
      </c>
      <c r="BG247" s="7">
        <v>118</v>
      </c>
      <c r="DA247" s="7" t="e">
        <f>VLOOKUP(C247,listaBolsa!$D$2:$BA$248,1,0)</f>
        <v>#N/A</v>
      </c>
      <c r="DB247" s="7" t="e">
        <f>VLOOKUP(C247,listaBolsa!$D$2:$BA$248,2,0)</f>
        <v>#N/A</v>
      </c>
      <c r="DC247" s="7" t="e">
        <f>VLOOKUP(C247,listaBolsa!$D$2:$BA$248,10,0)</f>
        <v>#N/A</v>
      </c>
      <c r="DD247" s="7" t="e">
        <f>VLOOKUP(C247,listaBolsa!$D$2:$BA$248,14,0)</f>
        <v>#N/A</v>
      </c>
      <c r="DE247" s="7" t="e">
        <f>VLOOKUP(C247,listaBolsa!$D$2:$BA$248,23,0)</f>
        <v>#N/A</v>
      </c>
      <c r="DF247" s="7" t="e">
        <f>VLOOKUP(C247,listaBolsa!$D$2:$BA$248,29,0)</f>
        <v>#N/A</v>
      </c>
      <c r="DG247" s="7" t="e">
        <f>VLOOKUP(C247,listaBolsa!$D$2:$BA$248,36,0)</f>
        <v>#N/A</v>
      </c>
      <c r="DH247" s="7" t="e">
        <f>VLOOKUP(C247,listaBolsa!$D$2:$BA$248,40,0)</f>
        <v>#N/A</v>
      </c>
      <c r="DI247" s="7" t="e">
        <f>VLOOKUP(C247,listaBolsa!$D$2:$BA$248,48,0)</f>
        <v>#N/A</v>
      </c>
      <c r="DJ247" s="7" t="e">
        <f t="shared" si="88"/>
        <v>#N/A</v>
      </c>
      <c r="DK247" s="7" t="e">
        <f t="shared" si="89"/>
        <v>#N/A</v>
      </c>
      <c r="DL247" s="7" t="e">
        <f t="shared" si="80"/>
        <v>#N/A</v>
      </c>
      <c r="DM247" s="7" t="e">
        <f t="shared" si="80"/>
        <v>#N/A</v>
      </c>
      <c r="DN247" s="7" t="e">
        <f t="shared" si="81"/>
        <v>#N/A</v>
      </c>
      <c r="DO247" s="7" t="e">
        <f t="shared" si="81"/>
        <v>#N/A</v>
      </c>
      <c r="DP247" s="7" t="e">
        <f t="shared" si="82"/>
        <v>#N/A</v>
      </c>
      <c r="DQ247" s="7" t="e">
        <f t="shared" si="82"/>
        <v>#N/A</v>
      </c>
      <c r="DR247" s="7" t="e">
        <f t="shared" si="87"/>
        <v>#N/A</v>
      </c>
    </row>
    <row r="248" spans="1:122" s="7" customFormat="1" ht="42" customHeight="1">
      <c r="A248" s="75">
        <f t="shared" ref="A248:A262" si="101">A247+1</f>
        <v>234</v>
      </c>
      <c r="B248" s="538" t="s">
        <v>579</v>
      </c>
      <c r="C248" s="336" t="s">
        <v>970</v>
      </c>
      <c r="D248" s="75" t="s">
        <v>971</v>
      </c>
      <c r="E248" s="193" t="s">
        <v>568</v>
      </c>
      <c r="F248" s="75">
        <v>1</v>
      </c>
      <c r="G248" s="75" t="s">
        <v>192</v>
      </c>
      <c r="H248" s="106" t="s">
        <v>380</v>
      </c>
      <c r="I248" s="107">
        <v>58000</v>
      </c>
      <c r="J248" s="96">
        <f t="shared" si="90"/>
        <v>11020</v>
      </c>
      <c r="K248" s="96">
        <f t="shared" si="84"/>
        <v>69020</v>
      </c>
      <c r="L248" s="96">
        <f t="shared" si="94"/>
        <v>58000</v>
      </c>
      <c r="M248" s="96">
        <f t="shared" si="95"/>
        <v>69020</v>
      </c>
      <c r="N248" s="108" t="s">
        <v>381</v>
      </c>
      <c r="O248" s="109">
        <v>56000</v>
      </c>
      <c r="P248" s="110">
        <f t="shared" si="83"/>
        <v>10640</v>
      </c>
      <c r="Q248" s="110">
        <f t="shared" si="85"/>
        <v>66640</v>
      </c>
      <c r="R248" s="110">
        <f t="shared" si="96"/>
        <v>56000</v>
      </c>
      <c r="S248" s="110">
        <f t="shared" si="97"/>
        <v>66640</v>
      </c>
      <c r="T248" s="97" t="s">
        <v>239</v>
      </c>
      <c r="U248" s="98">
        <v>71428.571428571435</v>
      </c>
      <c r="V248" s="99">
        <f t="shared" si="91"/>
        <v>13571.428571428572</v>
      </c>
      <c r="W248" s="99">
        <f t="shared" si="86"/>
        <v>85000</v>
      </c>
      <c r="X248" s="99">
        <f t="shared" si="98"/>
        <v>71428.571428571435</v>
      </c>
      <c r="Y248" s="99">
        <f t="shared" si="99"/>
        <v>85000</v>
      </c>
      <c r="Z248" s="100">
        <f t="shared" si="92"/>
        <v>73553.333333333328</v>
      </c>
      <c r="AA248" s="100">
        <f t="shared" si="100"/>
        <v>73553.333333333328</v>
      </c>
      <c r="AB248" s="78">
        <f t="shared" si="93"/>
        <v>9984.2743017874363</v>
      </c>
      <c r="AC248" s="102">
        <f t="shared" si="79"/>
        <v>0.13574196911702308</v>
      </c>
      <c r="AD248" s="5"/>
      <c r="AF248" s="7" t="s">
        <v>570</v>
      </c>
      <c r="AG248" s="7">
        <v>130</v>
      </c>
      <c r="AH248" s="7" t="s">
        <v>972</v>
      </c>
      <c r="BG248" s="7">
        <v>119</v>
      </c>
      <c r="DA248" s="7" t="e">
        <f>VLOOKUP(C248,listaBolsa!$D$2:$BA$248,1,0)</f>
        <v>#N/A</v>
      </c>
      <c r="DB248" s="7" t="e">
        <f>VLOOKUP(C248,listaBolsa!$D$2:$BA$248,2,0)</f>
        <v>#N/A</v>
      </c>
      <c r="DC248" s="7" t="e">
        <f>VLOOKUP(C248,listaBolsa!$D$2:$BA$248,10,0)</f>
        <v>#N/A</v>
      </c>
      <c r="DD248" s="7" t="e">
        <f>VLOOKUP(C248,listaBolsa!$D$2:$BA$248,14,0)</f>
        <v>#N/A</v>
      </c>
      <c r="DE248" s="7" t="e">
        <f>VLOOKUP(C248,listaBolsa!$D$2:$BA$248,23,0)</f>
        <v>#N/A</v>
      </c>
      <c r="DF248" s="7" t="e">
        <f>VLOOKUP(C248,listaBolsa!$D$2:$BA$248,29,0)</f>
        <v>#N/A</v>
      </c>
      <c r="DG248" s="7" t="e">
        <f>VLOOKUP(C248,listaBolsa!$D$2:$BA$248,36,0)</f>
        <v>#N/A</v>
      </c>
      <c r="DH248" s="7" t="e">
        <f>VLOOKUP(C248,listaBolsa!$D$2:$BA$248,40,0)</f>
        <v>#N/A</v>
      </c>
      <c r="DI248" s="7" t="e">
        <f>VLOOKUP(C248,listaBolsa!$D$2:$BA$248,48,0)</f>
        <v>#N/A</v>
      </c>
      <c r="DJ248" s="7" t="e">
        <f t="shared" si="88"/>
        <v>#N/A</v>
      </c>
      <c r="DK248" s="7" t="e">
        <f t="shared" si="89"/>
        <v>#N/A</v>
      </c>
      <c r="DL248" s="7" t="e">
        <f t="shared" si="80"/>
        <v>#N/A</v>
      </c>
      <c r="DM248" s="7" t="e">
        <f t="shared" si="80"/>
        <v>#N/A</v>
      </c>
      <c r="DN248" s="7" t="e">
        <f t="shared" si="81"/>
        <v>#N/A</v>
      </c>
      <c r="DO248" s="7" t="e">
        <f t="shared" si="81"/>
        <v>#N/A</v>
      </c>
      <c r="DP248" s="7" t="e">
        <f t="shared" si="82"/>
        <v>#N/A</v>
      </c>
      <c r="DQ248" s="7" t="e">
        <f t="shared" si="82"/>
        <v>#N/A</v>
      </c>
      <c r="DR248" s="7" t="e">
        <f t="shared" si="87"/>
        <v>#N/A</v>
      </c>
    </row>
    <row r="249" spans="1:122" s="7" customFormat="1" ht="42" customHeight="1">
      <c r="A249" s="75">
        <f t="shared" si="101"/>
        <v>235</v>
      </c>
      <c r="B249" s="538" t="s">
        <v>579</v>
      </c>
      <c r="C249" s="336" t="s">
        <v>973</v>
      </c>
      <c r="D249" s="75" t="s">
        <v>974</v>
      </c>
      <c r="E249" s="193" t="s">
        <v>568</v>
      </c>
      <c r="F249" s="75">
        <v>1</v>
      </c>
      <c r="G249" s="75" t="s">
        <v>192</v>
      </c>
      <c r="H249" s="106" t="s">
        <v>380</v>
      </c>
      <c r="I249" s="107">
        <v>630000</v>
      </c>
      <c r="J249" s="96">
        <f t="shared" si="90"/>
        <v>119700</v>
      </c>
      <c r="K249" s="96">
        <f t="shared" si="84"/>
        <v>749700</v>
      </c>
      <c r="L249" s="96">
        <f t="shared" si="94"/>
        <v>630000</v>
      </c>
      <c r="M249" s="96">
        <f t="shared" si="95"/>
        <v>749700</v>
      </c>
      <c r="N249" s="108" t="s">
        <v>381</v>
      </c>
      <c r="O249" s="109">
        <v>620000</v>
      </c>
      <c r="P249" s="110">
        <f t="shared" si="83"/>
        <v>117800</v>
      </c>
      <c r="Q249" s="110">
        <f t="shared" si="85"/>
        <v>737800</v>
      </c>
      <c r="R249" s="110">
        <f t="shared" si="96"/>
        <v>620000</v>
      </c>
      <c r="S249" s="110">
        <f t="shared" si="97"/>
        <v>737800</v>
      </c>
      <c r="T249" s="97" t="s">
        <v>382</v>
      </c>
      <c r="U249" s="98">
        <v>595000</v>
      </c>
      <c r="V249" s="99">
        <f t="shared" si="91"/>
        <v>113050</v>
      </c>
      <c r="W249" s="99">
        <f t="shared" si="86"/>
        <v>708050</v>
      </c>
      <c r="X249" s="99">
        <f t="shared" si="98"/>
        <v>595000</v>
      </c>
      <c r="Y249" s="99">
        <f t="shared" si="99"/>
        <v>708050</v>
      </c>
      <c r="Z249" s="100">
        <f t="shared" si="92"/>
        <v>731850</v>
      </c>
      <c r="AA249" s="100">
        <f t="shared" si="100"/>
        <v>731850</v>
      </c>
      <c r="AB249" s="78">
        <f t="shared" si="93"/>
        <v>21453.030089010736</v>
      </c>
      <c r="AC249" s="102">
        <f t="shared" si="79"/>
        <v>2.9313425003772271E-2</v>
      </c>
      <c r="AD249" s="5"/>
      <c r="AF249" s="7" t="s">
        <v>570</v>
      </c>
      <c r="AG249" s="7">
        <v>131</v>
      </c>
      <c r="AH249" s="7" t="s">
        <v>975</v>
      </c>
      <c r="BG249" s="7">
        <v>120</v>
      </c>
      <c r="DA249" s="7" t="e">
        <f>VLOOKUP(C249,listaBolsa!$D$2:$BA$248,1,0)</f>
        <v>#N/A</v>
      </c>
      <c r="DB249" s="7" t="e">
        <f>VLOOKUP(C249,listaBolsa!$D$2:$BA$248,2,0)</f>
        <v>#N/A</v>
      </c>
      <c r="DC249" s="7" t="e">
        <f>VLOOKUP(C249,listaBolsa!$D$2:$BA$248,10,0)</f>
        <v>#N/A</v>
      </c>
      <c r="DD249" s="7" t="e">
        <f>VLOOKUP(C249,listaBolsa!$D$2:$BA$248,14,0)</f>
        <v>#N/A</v>
      </c>
      <c r="DE249" s="7" t="e">
        <f>VLOOKUP(C249,listaBolsa!$D$2:$BA$248,23,0)</f>
        <v>#N/A</v>
      </c>
      <c r="DF249" s="7" t="e">
        <f>VLOOKUP(C249,listaBolsa!$D$2:$BA$248,29,0)</f>
        <v>#N/A</v>
      </c>
      <c r="DG249" s="7" t="e">
        <f>VLOOKUP(C249,listaBolsa!$D$2:$BA$248,36,0)</f>
        <v>#N/A</v>
      </c>
      <c r="DH249" s="7" t="e">
        <f>VLOOKUP(C249,listaBolsa!$D$2:$BA$248,40,0)</f>
        <v>#N/A</v>
      </c>
      <c r="DI249" s="7" t="e">
        <f>VLOOKUP(C249,listaBolsa!$D$2:$BA$248,48,0)</f>
        <v>#N/A</v>
      </c>
      <c r="DJ249" s="7" t="e">
        <f t="shared" si="88"/>
        <v>#N/A</v>
      </c>
      <c r="DK249" s="7" t="e">
        <f t="shared" si="89"/>
        <v>#N/A</v>
      </c>
      <c r="DL249" s="7" t="e">
        <f t="shared" si="80"/>
        <v>#N/A</v>
      </c>
      <c r="DM249" s="7" t="e">
        <f t="shared" si="80"/>
        <v>#N/A</v>
      </c>
      <c r="DN249" s="7" t="e">
        <f t="shared" si="81"/>
        <v>#N/A</v>
      </c>
      <c r="DO249" s="7" t="e">
        <f t="shared" si="81"/>
        <v>#N/A</v>
      </c>
      <c r="DP249" s="7" t="e">
        <f t="shared" si="82"/>
        <v>#N/A</v>
      </c>
      <c r="DQ249" s="7" t="e">
        <f t="shared" si="82"/>
        <v>#N/A</v>
      </c>
      <c r="DR249" s="7" t="e">
        <f t="shared" si="87"/>
        <v>#N/A</v>
      </c>
    </row>
    <row r="250" spans="1:122" s="7" customFormat="1" ht="42" customHeight="1">
      <c r="A250" s="75">
        <f t="shared" si="101"/>
        <v>236</v>
      </c>
      <c r="B250" s="538" t="s">
        <v>579</v>
      </c>
      <c r="C250" s="336" t="s">
        <v>976</v>
      </c>
      <c r="D250" s="336" t="s">
        <v>977</v>
      </c>
      <c r="E250" s="193" t="s">
        <v>568</v>
      </c>
      <c r="F250" s="75">
        <v>1</v>
      </c>
      <c r="G250" s="75" t="s">
        <v>192</v>
      </c>
      <c r="H250" s="106" t="s">
        <v>380</v>
      </c>
      <c r="I250" s="107">
        <v>140000</v>
      </c>
      <c r="J250" s="96">
        <f t="shared" si="90"/>
        <v>26600</v>
      </c>
      <c r="K250" s="96">
        <f t="shared" si="84"/>
        <v>166600</v>
      </c>
      <c r="L250" s="96">
        <f t="shared" si="94"/>
        <v>140000</v>
      </c>
      <c r="M250" s="96">
        <f t="shared" si="95"/>
        <v>166600</v>
      </c>
      <c r="N250" s="108" t="s">
        <v>381</v>
      </c>
      <c r="O250" s="109">
        <v>130000</v>
      </c>
      <c r="P250" s="110">
        <f t="shared" si="83"/>
        <v>24700</v>
      </c>
      <c r="Q250" s="110">
        <f t="shared" si="85"/>
        <v>154700</v>
      </c>
      <c r="R250" s="110">
        <f t="shared" si="96"/>
        <v>130000</v>
      </c>
      <c r="S250" s="110">
        <f t="shared" si="97"/>
        <v>154700</v>
      </c>
      <c r="T250" s="97" t="s">
        <v>382</v>
      </c>
      <c r="U250" s="98">
        <v>120400</v>
      </c>
      <c r="V250" s="99">
        <f t="shared" si="91"/>
        <v>22876</v>
      </c>
      <c r="W250" s="99">
        <f t="shared" si="86"/>
        <v>143276</v>
      </c>
      <c r="X250" s="99">
        <f t="shared" si="98"/>
        <v>120400</v>
      </c>
      <c r="Y250" s="99">
        <f t="shared" si="99"/>
        <v>143276</v>
      </c>
      <c r="Z250" s="100">
        <f t="shared" si="92"/>
        <v>154858.66666666666</v>
      </c>
      <c r="AA250" s="100">
        <f t="shared" si="100"/>
        <v>154858.66666666666</v>
      </c>
      <c r="AB250" s="78">
        <f t="shared" si="93"/>
        <v>11662.809495714715</v>
      </c>
      <c r="AC250" s="102">
        <f t="shared" si="79"/>
        <v>7.531260436859448E-2</v>
      </c>
      <c r="AD250" s="5"/>
      <c r="AF250" s="7" t="s">
        <v>570</v>
      </c>
      <c r="AG250" s="7">
        <v>132</v>
      </c>
      <c r="AH250" s="7" t="s">
        <v>978</v>
      </c>
      <c r="BG250" s="7">
        <v>81</v>
      </c>
      <c r="DA250" s="7" t="e">
        <f>VLOOKUP(C250,listaBolsa!$D$2:$BA$248,1,0)</f>
        <v>#N/A</v>
      </c>
      <c r="DB250" s="7" t="e">
        <f>VLOOKUP(C250,listaBolsa!$D$2:$BA$248,2,0)</f>
        <v>#N/A</v>
      </c>
      <c r="DC250" s="7" t="e">
        <f>VLOOKUP(C250,listaBolsa!$D$2:$BA$248,10,0)</f>
        <v>#N/A</v>
      </c>
      <c r="DD250" s="7" t="e">
        <f>VLOOKUP(C250,listaBolsa!$D$2:$BA$248,14,0)</f>
        <v>#N/A</v>
      </c>
      <c r="DE250" s="7" t="e">
        <f>VLOOKUP(C250,listaBolsa!$D$2:$BA$248,23,0)</f>
        <v>#N/A</v>
      </c>
      <c r="DF250" s="7" t="e">
        <f>VLOOKUP(C250,listaBolsa!$D$2:$BA$248,29,0)</f>
        <v>#N/A</v>
      </c>
      <c r="DG250" s="7" t="e">
        <f>VLOOKUP(C250,listaBolsa!$D$2:$BA$248,36,0)</f>
        <v>#N/A</v>
      </c>
      <c r="DH250" s="7" t="e">
        <f>VLOOKUP(C250,listaBolsa!$D$2:$BA$248,40,0)</f>
        <v>#N/A</v>
      </c>
      <c r="DI250" s="7" t="e">
        <f>VLOOKUP(C250,listaBolsa!$D$2:$BA$248,48,0)</f>
        <v>#N/A</v>
      </c>
      <c r="DJ250" s="7" t="e">
        <f t="shared" si="88"/>
        <v>#N/A</v>
      </c>
      <c r="DK250" s="7" t="e">
        <f t="shared" si="89"/>
        <v>#N/A</v>
      </c>
      <c r="DL250" s="7" t="e">
        <f t="shared" si="80"/>
        <v>#N/A</v>
      </c>
      <c r="DM250" s="7" t="e">
        <f t="shared" si="80"/>
        <v>#N/A</v>
      </c>
      <c r="DN250" s="7" t="e">
        <f t="shared" si="81"/>
        <v>#N/A</v>
      </c>
      <c r="DO250" s="7" t="e">
        <f t="shared" si="81"/>
        <v>#N/A</v>
      </c>
      <c r="DP250" s="7" t="e">
        <f t="shared" si="82"/>
        <v>#N/A</v>
      </c>
      <c r="DQ250" s="7" t="e">
        <f t="shared" si="82"/>
        <v>#N/A</v>
      </c>
      <c r="DR250" s="7" t="e">
        <f t="shared" si="87"/>
        <v>#N/A</v>
      </c>
    </row>
    <row r="251" spans="1:122" s="7" customFormat="1" ht="42" customHeight="1">
      <c r="A251" s="75">
        <f t="shared" si="101"/>
        <v>237</v>
      </c>
      <c r="B251" s="538" t="s">
        <v>579</v>
      </c>
      <c r="C251" s="336" t="s">
        <v>979</v>
      </c>
      <c r="D251" s="75" t="s">
        <v>980</v>
      </c>
      <c r="E251" s="193" t="s">
        <v>568</v>
      </c>
      <c r="F251" s="75">
        <v>1</v>
      </c>
      <c r="G251" s="75" t="s">
        <v>192</v>
      </c>
      <c r="H251" s="106" t="s">
        <v>380</v>
      </c>
      <c r="I251" s="107">
        <v>60000</v>
      </c>
      <c r="J251" s="96">
        <f t="shared" si="90"/>
        <v>11400</v>
      </c>
      <c r="K251" s="96">
        <f t="shared" si="84"/>
        <v>71400</v>
      </c>
      <c r="L251" s="96">
        <f t="shared" si="94"/>
        <v>60000</v>
      </c>
      <c r="M251" s="96">
        <f t="shared" si="95"/>
        <v>71400</v>
      </c>
      <c r="N251" s="108" t="s">
        <v>381</v>
      </c>
      <c r="O251" s="109">
        <v>58000</v>
      </c>
      <c r="P251" s="110">
        <f t="shared" si="83"/>
        <v>11020</v>
      </c>
      <c r="Q251" s="110">
        <f t="shared" si="85"/>
        <v>69020</v>
      </c>
      <c r="R251" s="110">
        <f t="shared" si="96"/>
        <v>58000</v>
      </c>
      <c r="S251" s="110">
        <f t="shared" si="97"/>
        <v>69020</v>
      </c>
      <c r="T251" s="97" t="s">
        <v>382</v>
      </c>
      <c r="U251" s="98">
        <v>56000</v>
      </c>
      <c r="V251" s="99">
        <f t="shared" si="91"/>
        <v>10640</v>
      </c>
      <c r="W251" s="99">
        <f t="shared" si="86"/>
        <v>66640</v>
      </c>
      <c r="X251" s="99">
        <f t="shared" si="98"/>
        <v>56000</v>
      </c>
      <c r="Y251" s="99">
        <f t="shared" si="99"/>
        <v>66640</v>
      </c>
      <c r="Z251" s="100">
        <f t="shared" si="92"/>
        <v>69020</v>
      </c>
      <c r="AA251" s="100">
        <f t="shared" si="100"/>
        <v>69020</v>
      </c>
      <c r="AB251" s="78">
        <f t="shared" si="93"/>
        <v>2380</v>
      </c>
      <c r="AC251" s="102">
        <f t="shared" si="79"/>
        <v>3.4482758620689655E-2</v>
      </c>
      <c r="AD251" s="5"/>
      <c r="AF251" s="7" t="s">
        <v>570</v>
      </c>
      <c r="AG251" s="7">
        <v>133</v>
      </c>
      <c r="AH251" s="7" t="s">
        <v>981</v>
      </c>
      <c r="BG251" s="7">
        <v>82</v>
      </c>
      <c r="DA251" s="7" t="e">
        <f>VLOOKUP(C251,listaBolsa!$D$2:$BA$248,1,0)</f>
        <v>#N/A</v>
      </c>
      <c r="DB251" s="7" t="e">
        <f>VLOOKUP(C251,listaBolsa!$D$2:$BA$248,2,0)</f>
        <v>#N/A</v>
      </c>
      <c r="DC251" s="7" t="e">
        <f>VLOOKUP(C251,listaBolsa!$D$2:$BA$248,10,0)</f>
        <v>#N/A</v>
      </c>
      <c r="DD251" s="7" t="e">
        <f>VLOOKUP(C251,listaBolsa!$D$2:$BA$248,14,0)</f>
        <v>#N/A</v>
      </c>
      <c r="DE251" s="7" t="e">
        <f>VLOOKUP(C251,listaBolsa!$D$2:$BA$248,23,0)</f>
        <v>#N/A</v>
      </c>
      <c r="DF251" s="7" t="e">
        <f>VLOOKUP(C251,listaBolsa!$D$2:$BA$248,29,0)</f>
        <v>#N/A</v>
      </c>
      <c r="DG251" s="7" t="e">
        <f>VLOOKUP(C251,listaBolsa!$D$2:$BA$248,36,0)</f>
        <v>#N/A</v>
      </c>
      <c r="DH251" s="7" t="e">
        <f>VLOOKUP(C251,listaBolsa!$D$2:$BA$248,40,0)</f>
        <v>#N/A</v>
      </c>
      <c r="DI251" s="7" t="e">
        <f>VLOOKUP(C251,listaBolsa!$D$2:$BA$248,48,0)</f>
        <v>#N/A</v>
      </c>
      <c r="DJ251" s="7" t="e">
        <f t="shared" si="88"/>
        <v>#N/A</v>
      </c>
      <c r="DK251" s="7" t="e">
        <f t="shared" si="89"/>
        <v>#N/A</v>
      </c>
      <c r="DL251" s="7" t="e">
        <f t="shared" si="80"/>
        <v>#N/A</v>
      </c>
      <c r="DM251" s="7" t="e">
        <f t="shared" si="80"/>
        <v>#N/A</v>
      </c>
      <c r="DN251" s="7" t="e">
        <f t="shared" si="81"/>
        <v>#N/A</v>
      </c>
      <c r="DO251" s="7" t="e">
        <f t="shared" si="81"/>
        <v>#N/A</v>
      </c>
      <c r="DP251" s="7" t="e">
        <f t="shared" si="82"/>
        <v>#N/A</v>
      </c>
      <c r="DQ251" s="7" t="e">
        <f t="shared" si="82"/>
        <v>#N/A</v>
      </c>
      <c r="DR251" s="7" t="e">
        <f t="shared" si="87"/>
        <v>#N/A</v>
      </c>
    </row>
    <row r="252" spans="1:122" s="7" customFormat="1" ht="42" customHeight="1">
      <c r="A252" s="75">
        <f t="shared" si="101"/>
        <v>238</v>
      </c>
      <c r="B252" s="538" t="s">
        <v>579</v>
      </c>
      <c r="C252" s="336" t="s">
        <v>982</v>
      </c>
      <c r="D252" s="75" t="s">
        <v>983</v>
      </c>
      <c r="E252" s="193" t="s">
        <v>568</v>
      </c>
      <c r="F252" s="75">
        <v>1</v>
      </c>
      <c r="G252" s="75" t="s">
        <v>192</v>
      </c>
      <c r="H252" s="106" t="s">
        <v>380</v>
      </c>
      <c r="I252" s="107">
        <v>80000</v>
      </c>
      <c r="J252" s="96">
        <f t="shared" si="90"/>
        <v>15200</v>
      </c>
      <c r="K252" s="96">
        <f t="shared" si="84"/>
        <v>95200</v>
      </c>
      <c r="L252" s="96">
        <f t="shared" si="94"/>
        <v>80000</v>
      </c>
      <c r="M252" s="96">
        <f t="shared" si="95"/>
        <v>95200</v>
      </c>
      <c r="N252" s="108" t="s">
        <v>381</v>
      </c>
      <c r="O252" s="109">
        <v>78000</v>
      </c>
      <c r="P252" s="110">
        <f t="shared" si="83"/>
        <v>14820</v>
      </c>
      <c r="Q252" s="110">
        <f t="shared" si="85"/>
        <v>92820</v>
      </c>
      <c r="R252" s="110">
        <f t="shared" si="96"/>
        <v>78000</v>
      </c>
      <c r="S252" s="110">
        <f t="shared" si="97"/>
        <v>92820</v>
      </c>
      <c r="T252" s="97" t="s">
        <v>382</v>
      </c>
      <c r="U252" s="98">
        <v>77000</v>
      </c>
      <c r="V252" s="99">
        <f t="shared" si="91"/>
        <v>14630</v>
      </c>
      <c r="W252" s="99">
        <f t="shared" si="86"/>
        <v>91630</v>
      </c>
      <c r="X252" s="99">
        <f t="shared" si="98"/>
        <v>77000</v>
      </c>
      <c r="Y252" s="99">
        <f t="shared" si="99"/>
        <v>91630</v>
      </c>
      <c r="Z252" s="100">
        <f t="shared" si="92"/>
        <v>93216.666666666672</v>
      </c>
      <c r="AA252" s="100">
        <f t="shared" si="100"/>
        <v>93216.666666666672</v>
      </c>
      <c r="AB252" s="78">
        <f t="shared" si="93"/>
        <v>1817.7550256658164</v>
      </c>
      <c r="AC252" s="102">
        <f t="shared" si="79"/>
        <v>1.950032210619506E-2</v>
      </c>
      <c r="AD252" s="5"/>
      <c r="AF252" s="7" t="s">
        <v>570</v>
      </c>
      <c r="AG252" s="7">
        <v>134</v>
      </c>
      <c r="AH252" s="7" t="s">
        <v>984</v>
      </c>
      <c r="BG252" s="7">
        <v>83</v>
      </c>
      <c r="DA252" s="7" t="e">
        <f>VLOOKUP(C252,listaBolsa!$D$2:$BA$248,1,0)</f>
        <v>#N/A</v>
      </c>
      <c r="DB252" s="7" t="e">
        <f>VLOOKUP(C252,listaBolsa!$D$2:$BA$248,2,0)</f>
        <v>#N/A</v>
      </c>
      <c r="DC252" s="7" t="e">
        <f>VLOOKUP(C252,listaBolsa!$D$2:$BA$248,10,0)</f>
        <v>#N/A</v>
      </c>
      <c r="DD252" s="7" t="e">
        <f>VLOOKUP(C252,listaBolsa!$D$2:$BA$248,14,0)</f>
        <v>#N/A</v>
      </c>
      <c r="DE252" s="7" t="e">
        <f>VLOOKUP(C252,listaBolsa!$D$2:$BA$248,23,0)</f>
        <v>#N/A</v>
      </c>
      <c r="DF252" s="7" t="e">
        <f>VLOOKUP(C252,listaBolsa!$D$2:$BA$248,29,0)</f>
        <v>#N/A</v>
      </c>
      <c r="DG252" s="7" t="e">
        <f>VLOOKUP(C252,listaBolsa!$D$2:$BA$248,36,0)</f>
        <v>#N/A</v>
      </c>
      <c r="DH252" s="7" t="e">
        <f>VLOOKUP(C252,listaBolsa!$D$2:$BA$248,40,0)</f>
        <v>#N/A</v>
      </c>
      <c r="DI252" s="7" t="e">
        <f>VLOOKUP(C252,listaBolsa!$D$2:$BA$248,48,0)</f>
        <v>#N/A</v>
      </c>
      <c r="DJ252" s="7" t="e">
        <f t="shared" si="88"/>
        <v>#N/A</v>
      </c>
      <c r="DK252" s="7" t="e">
        <f t="shared" si="89"/>
        <v>#N/A</v>
      </c>
      <c r="DL252" s="7" t="e">
        <f t="shared" si="80"/>
        <v>#N/A</v>
      </c>
      <c r="DM252" s="7" t="e">
        <f t="shared" si="80"/>
        <v>#N/A</v>
      </c>
      <c r="DN252" s="7" t="e">
        <f t="shared" si="81"/>
        <v>#N/A</v>
      </c>
      <c r="DO252" s="7" t="e">
        <f t="shared" si="81"/>
        <v>#N/A</v>
      </c>
      <c r="DP252" s="7" t="e">
        <f t="shared" si="82"/>
        <v>#N/A</v>
      </c>
      <c r="DQ252" s="7" t="e">
        <f t="shared" si="82"/>
        <v>#N/A</v>
      </c>
      <c r="DR252" s="7" t="e">
        <f t="shared" si="87"/>
        <v>#N/A</v>
      </c>
    </row>
    <row r="253" spans="1:122" s="7" customFormat="1" ht="42" customHeight="1">
      <c r="A253" s="75">
        <f t="shared" si="101"/>
        <v>239</v>
      </c>
      <c r="B253" s="538" t="s">
        <v>579</v>
      </c>
      <c r="C253" s="336" t="s">
        <v>985</v>
      </c>
      <c r="D253" s="75" t="s">
        <v>986</v>
      </c>
      <c r="E253" s="193" t="s">
        <v>568</v>
      </c>
      <c r="F253" s="75">
        <v>1</v>
      </c>
      <c r="G253" s="75" t="s">
        <v>192</v>
      </c>
      <c r="H253" s="106" t="s">
        <v>987</v>
      </c>
      <c r="I253" s="107">
        <v>368894.11764705891</v>
      </c>
      <c r="J253" s="96">
        <f t="shared" si="90"/>
        <v>70089.882352941189</v>
      </c>
      <c r="K253" s="96">
        <f t="shared" si="84"/>
        <v>438984.00000000012</v>
      </c>
      <c r="L253" s="96">
        <f t="shared" si="94"/>
        <v>368894.11764705891</v>
      </c>
      <c r="M253" s="96">
        <f t="shared" si="95"/>
        <v>438984.00000000012</v>
      </c>
      <c r="N253" s="108" t="s">
        <v>380</v>
      </c>
      <c r="O253" s="109">
        <v>440000</v>
      </c>
      <c r="P253" s="110">
        <f t="shared" si="83"/>
        <v>83600</v>
      </c>
      <c r="Q253" s="110">
        <f t="shared" si="85"/>
        <v>523600</v>
      </c>
      <c r="R253" s="110">
        <f t="shared" si="96"/>
        <v>440000</v>
      </c>
      <c r="S253" s="110">
        <f t="shared" si="97"/>
        <v>523600</v>
      </c>
      <c r="T253" s="97" t="s">
        <v>381</v>
      </c>
      <c r="U253" s="98">
        <v>430000</v>
      </c>
      <c r="V253" s="99">
        <f t="shared" si="91"/>
        <v>81700</v>
      </c>
      <c r="W253" s="99">
        <f t="shared" si="86"/>
        <v>511700</v>
      </c>
      <c r="X253" s="99">
        <f t="shared" si="98"/>
        <v>430000</v>
      </c>
      <c r="Y253" s="99">
        <f t="shared" si="99"/>
        <v>511700</v>
      </c>
      <c r="Z253" s="100">
        <f t="shared" si="92"/>
        <v>491428</v>
      </c>
      <c r="AA253" s="100">
        <f t="shared" si="100"/>
        <v>491428</v>
      </c>
      <c r="AB253" s="78">
        <f t="shared" si="93"/>
        <v>45805.920490696328</v>
      </c>
      <c r="AC253" s="102">
        <f t="shared" si="79"/>
        <v>9.3209830312266151E-2</v>
      </c>
      <c r="AD253" s="5"/>
      <c r="AF253" s="7" t="s">
        <v>570</v>
      </c>
      <c r="AG253" s="7">
        <v>135</v>
      </c>
      <c r="AH253" s="7" t="s">
        <v>988</v>
      </c>
      <c r="BG253" s="7">
        <v>84</v>
      </c>
      <c r="DA253" s="7" t="e">
        <f>VLOOKUP(C253,listaBolsa!$D$2:$BA$248,1,0)</f>
        <v>#N/A</v>
      </c>
      <c r="DB253" s="7" t="e">
        <f>VLOOKUP(C253,listaBolsa!$D$2:$BA$248,2,0)</f>
        <v>#N/A</v>
      </c>
      <c r="DC253" s="7" t="e">
        <f>VLOOKUP(C253,listaBolsa!$D$2:$BA$248,10,0)</f>
        <v>#N/A</v>
      </c>
      <c r="DD253" s="7" t="e">
        <f>VLOOKUP(C253,listaBolsa!$D$2:$BA$248,14,0)</f>
        <v>#N/A</v>
      </c>
      <c r="DE253" s="7" t="e">
        <f>VLOOKUP(C253,listaBolsa!$D$2:$BA$248,23,0)</f>
        <v>#N/A</v>
      </c>
      <c r="DF253" s="7" t="e">
        <f>VLOOKUP(C253,listaBolsa!$D$2:$BA$248,29,0)</f>
        <v>#N/A</v>
      </c>
      <c r="DG253" s="7" t="e">
        <f>VLOOKUP(C253,listaBolsa!$D$2:$BA$248,36,0)</f>
        <v>#N/A</v>
      </c>
      <c r="DH253" s="7" t="e">
        <f>VLOOKUP(C253,listaBolsa!$D$2:$BA$248,40,0)</f>
        <v>#N/A</v>
      </c>
      <c r="DI253" s="7" t="e">
        <f>VLOOKUP(C253,listaBolsa!$D$2:$BA$248,48,0)</f>
        <v>#N/A</v>
      </c>
      <c r="DJ253" s="7" t="e">
        <f t="shared" si="88"/>
        <v>#N/A</v>
      </c>
      <c r="DK253" s="7" t="e">
        <f t="shared" si="89"/>
        <v>#N/A</v>
      </c>
      <c r="DL253" s="7" t="e">
        <f t="shared" si="80"/>
        <v>#N/A</v>
      </c>
      <c r="DM253" s="7" t="e">
        <f t="shared" si="80"/>
        <v>#N/A</v>
      </c>
      <c r="DN253" s="7" t="e">
        <f t="shared" si="81"/>
        <v>#N/A</v>
      </c>
      <c r="DO253" s="7" t="e">
        <f t="shared" si="81"/>
        <v>#N/A</v>
      </c>
      <c r="DP253" s="7" t="e">
        <f t="shared" si="82"/>
        <v>#N/A</v>
      </c>
      <c r="DQ253" s="7" t="e">
        <f t="shared" si="82"/>
        <v>#N/A</v>
      </c>
      <c r="DR253" s="7" t="e">
        <f t="shared" si="87"/>
        <v>#N/A</v>
      </c>
    </row>
    <row r="254" spans="1:122" s="7" customFormat="1" ht="42" customHeight="1">
      <c r="A254" s="75">
        <f t="shared" si="101"/>
        <v>240</v>
      </c>
      <c r="B254" s="538" t="s">
        <v>579</v>
      </c>
      <c r="C254" s="336" t="s">
        <v>989</v>
      </c>
      <c r="D254" s="336" t="s">
        <v>990</v>
      </c>
      <c r="E254" s="193" t="s">
        <v>568</v>
      </c>
      <c r="F254" s="75">
        <v>1</v>
      </c>
      <c r="G254" s="75" t="s">
        <v>192</v>
      </c>
      <c r="H254" s="106" t="s">
        <v>380</v>
      </c>
      <c r="I254" s="107">
        <v>45000</v>
      </c>
      <c r="J254" s="96">
        <f t="shared" si="90"/>
        <v>8550</v>
      </c>
      <c r="K254" s="96">
        <f t="shared" si="84"/>
        <v>53550</v>
      </c>
      <c r="L254" s="96">
        <f t="shared" si="94"/>
        <v>45000</v>
      </c>
      <c r="M254" s="96">
        <f t="shared" si="95"/>
        <v>53550</v>
      </c>
      <c r="N254" s="108" t="s">
        <v>381</v>
      </c>
      <c r="O254" s="109">
        <v>44000</v>
      </c>
      <c r="P254" s="110">
        <f t="shared" si="83"/>
        <v>8360</v>
      </c>
      <c r="Q254" s="110">
        <f t="shared" si="85"/>
        <v>52360</v>
      </c>
      <c r="R254" s="110">
        <f t="shared" si="96"/>
        <v>44000</v>
      </c>
      <c r="S254" s="110">
        <f t="shared" si="97"/>
        <v>52360</v>
      </c>
      <c r="T254" s="97" t="s">
        <v>382</v>
      </c>
      <c r="U254" s="98">
        <v>42000</v>
      </c>
      <c r="V254" s="99">
        <f t="shared" si="91"/>
        <v>7980</v>
      </c>
      <c r="W254" s="99">
        <f t="shared" si="86"/>
        <v>49980</v>
      </c>
      <c r="X254" s="99">
        <f t="shared" si="98"/>
        <v>42000</v>
      </c>
      <c r="Y254" s="99">
        <f t="shared" si="99"/>
        <v>49980</v>
      </c>
      <c r="Z254" s="100">
        <f t="shared" si="92"/>
        <v>51963.333333333336</v>
      </c>
      <c r="AA254" s="100">
        <f t="shared" si="100"/>
        <v>51963.333333333336</v>
      </c>
      <c r="AB254" s="78">
        <f t="shared" si="93"/>
        <v>1817.7550256658167</v>
      </c>
      <c r="AC254" s="102">
        <f t="shared" si="79"/>
        <v>3.4981493854624734E-2</v>
      </c>
      <c r="AD254" s="5"/>
      <c r="AF254" s="7" t="s">
        <v>570</v>
      </c>
      <c r="AG254" s="7">
        <v>136</v>
      </c>
      <c r="AH254" s="7" t="s">
        <v>991</v>
      </c>
      <c r="BG254" s="7">
        <v>85</v>
      </c>
      <c r="DA254" s="7" t="e">
        <f>VLOOKUP(C254,listaBolsa!$D$2:$BA$248,1,0)</f>
        <v>#N/A</v>
      </c>
      <c r="DB254" s="7" t="e">
        <f>VLOOKUP(C254,listaBolsa!$D$2:$BA$248,2,0)</f>
        <v>#N/A</v>
      </c>
      <c r="DC254" s="7" t="e">
        <f>VLOOKUP(C254,listaBolsa!$D$2:$BA$248,10,0)</f>
        <v>#N/A</v>
      </c>
      <c r="DD254" s="7" t="e">
        <f>VLOOKUP(C254,listaBolsa!$D$2:$BA$248,14,0)</f>
        <v>#N/A</v>
      </c>
      <c r="DE254" s="7" t="e">
        <f>VLOOKUP(C254,listaBolsa!$D$2:$BA$248,23,0)</f>
        <v>#N/A</v>
      </c>
      <c r="DF254" s="7" t="e">
        <f>VLOOKUP(C254,listaBolsa!$D$2:$BA$248,29,0)</f>
        <v>#N/A</v>
      </c>
      <c r="DG254" s="7" t="e">
        <f>VLOOKUP(C254,listaBolsa!$D$2:$BA$248,36,0)</f>
        <v>#N/A</v>
      </c>
      <c r="DH254" s="7" t="e">
        <f>VLOOKUP(C254,listaBolsa!$D$2:$BA$248,40,0)</f>
        <v>#N/A</v>
      </c>
      <c r="DI254" s="7" t="e">
        <f>VLOOKUP(C254,listaBolsa!$D$2:$BA$248,48,0)</f>
        <v>#N/A</v>
      </c>
      <c r="DJ254" s="7" t="e">
        <f t="shared" si="88"/>
        <v>#N/A</v>
      </c>
      <c r="DK254" s="7" t="e">
        <f t="shared" si="89"/>
        <v>#N/A</v>
      </c>
      <c r="DL254" s="7" t="e">
        <f t="shared" si="80"/>
        <v>#N/A</v>
      </c>
      <c r="DM254" s="7" t="e">
        <f t="shared" si="80"/>
        <v>#N/A</v>
      </c>
      <c r="DN254" s="7" t="e">
        <f t="shared" si="81"/>
        <v>#N/A</v>
      </c>
      <c r="DO254" s="7" t="e">
        <f t="shared" si="81"/>
        <v>#N/A</v>
      </c>
      <c r="DP254" s="7" t="e">
        <f t="shared" si="82"/>
        <v>#N/A</v>
      </c>
      <c r="DQ254" s="7" t="e">
        <f t="shared" si="82"/>
        <v>#N/A</v>
      </c>
      <c r="DR254" s="7" t="e">
        <f t="shared" si="87"/>
        <v>#N/A</v>
      </c>
    </row>
    <row r="255" spans="1:122" s="7" customFormat="1" ht="42" customHeight="1">
      <c r="A255" s="75">
        <f t="shared" si="101"/>
        <v>241</v>
      </c>
      <c r="B255" s="538" t="s">
        <v>579</v>
      </c>
      <c r="C255" s="336" t="s">
        <v>992</v>
      </c>
      <c r="D255" s="336" t="s">
        <v>993</v>
      </c>
      <c r="E255" s="193" t="s">
        <v>568</v>
      </c>
      <c r="F255" s="75">
        <v>1</v>
      </c>
      <c r="G255" s="75" t="s">
        <v>192</v>
      </c>
      <c r="H255" s="106" t="s">
        <v>380</v>
      </c>
      <c r="I255" s="107">
        <v>86000</v>
      </c>
      <c r="J255" s="96">
        <f t="shared" si="90"/>
        <v>16340</v>
      </c>
      <c r="K255" s="96">
        <f t="shared" si="84"/>
        <v>102340</v>
      </c>
      <c r="L255" s="96">
        <f t="shared" si="94"/>
        <v>86000</v>
      </c>
      <c r="M255" s="96">
        <f t="shared" si="95"/>
        <v>102340</v>
      </c>
      <c r="N255" s="108" t="s">
        <v>381</v>
      </c>
      <c r="O255" s="109">
        <v>85000</v>
      </c>
      <c r="P255" s="110">
        <f t="shared" si="83"/>
        <v>16150</v>
      </c>
      <c r="Q255" s="110">
        <f t="shared" si="85"/>
        <v>101150</v>
      </c>
      <c r="R255" s="110">
        <f t="shared" si="96"/>
        <v>85000</v>
      </c>
      <c r="S255" s="110">
        <f t="shared" si="97"/>
        <v>101150</v>
      </c>
      <c r="T255" s="97" t="s">
        <v>382</v>
      </c>
      <c r="U255" s="98">
        <v>84000</v>
      </c>
      <c r="V255" s="99">
        <f t="shared" si="91"/>
        <v>15960</v>
      </c>
      <c r="W255" s="99">
        <f t="shared" si="86"/>
        <v>99960</v>
      </c>
      <c r="X255" s="99">
        <f t="shared" si="98"/>
        <v>84000</v>
      </c>
      <c r="Y255" s="99">
        <f t="shared" si="99"/>
        <v>99960</v>
      </c>
      <c r="Z255" s="100">
        <f t="shared" si="92"/>
        <v>101150</v>
      </c>
      <c r="AA255" s="100">
        <f t="shared" si="100"/>
        <v>101150</v>
      </c>
      <c r="AB255" s="78">
        <f t="shared" si="93"/>
        <v>1190</v>
      </c>
      <c r="AC255" s="102">
        <f t="shared" si="79"/>
        <v>1.1764705882352941E-2</v>
      </c>
      <c r="AD255" s="5"/>
      <c r="AF255" s="7" t="s">
        <v>570</v>
      </c>
      <c r="AG255" s="7">
        <v>137</v>
      </c>
      <c r="AH255" s="7" t="s">
        <v>994</v>
      </c>
      <c r="BG255" s="7">
        <v>86</v>
      </c>
      <c r="DA255" s="7" t="e">
        <f>VLOOKUP(C255,listaBolsa!$D$2:$BA$248,1,0)</f>
        <v>#N/A</v>
      </c>
      <c r="DB255" s="7" t="e">
        <f>VLOOKUP(C255,listaBolsa!$D$2:$BA$248,2,0)</f>
        <v>#N/A</v>
      </c>
      <c r="DC255" s="7" t="e">
        <f>VLOOKUP(C255,listaBolsa!$D$2:$BA$248,10,0)</f>
        <v>#N/A</v>
      </c>
      <c r="DD255" s="7" t="e">
        <f>VLOOKUP(C255,listaBolsa!$D$2:$BA$248,14,0)</f>
        <v>#N/A</v>
      </c>
      <c r="DE255" s="7" t="e">
        <f>VLOOKUP(C255,listaBolsa!$D$2:$BA$248,23,0)</f>
        <v>#N/A</v>
      </c>
      <c r="DF255" s="7" t="e">
        <f>VLOOKUP(C255,listaBolsa!$D$2:$BA$248,29,0)</f>
        <v>#N/A</v>
      </c>
      <c r="DG255" s="7" t="e">
        <f>VLOOKUP(C255,listaBolsa!$D$2:$BA$248,36,0)</f>
        <v>#N/A</v>
      </c>
      <c r="DH255" s="7" t="e">
        <f>VLOOKUP(C255,listaBolsa!$D$2:$BA$248,40,0)</f>
        <v>#N/A</v>
      </c>
      <c r="DI255" s="7" t="e">
        <f>VLOOKUP(C255,listaBolsa!$D$2:$BA$248,48,0)</f>
        <v>#N/A</v>
      </c>
      <c r="DJ255" s="7" t="e">
        <f t="shared" si="88"/>
        <v>#N/A</v>
      </c>
      <c r="DK255" s="7" t="e">
        <f t="shared" si="89"/>
        <v>#N/A</v>
      </c>
      <c r="DL255" s="7" t="e">
        <f t="shared" si="80"/>
        <v>#N/A</v>
      </c>
      <c r="DM255" s="7" t="e">
        <f t="shared" si="80"/>
        <v>#N/A</v>
      </c>
      <c r="DN255" s="7" t="e">
        <f t="shared" si="81"/>
        <v>#N/A</v>
      </c>
      <c r="DO255" s="7" t="e">
        <f t="shared" si="81"/>
        <v>#N/A</v>
      </c>
      <c r="DP255" s="7" t="e">
        <f t="shared" si="82"/>
        <v>#N/A</v>
      </c>
      <c r="DQ255" s="7" t="e">
        <f t="shared" si="82"/>
        <v>#N/A</v>
      </c>
      <c r="DR255" s="7" t="e">
        <f t="shared" si="87"/>
        <v>#N/A</v>
      </c>
    </row>
    <row r="256" spans="1:122" s="7" customFormat="1" ht="42" customHeight="1">
      <c r="A256" s="75">
        <f t="shared" si="101"/>
        <v>242</v>
      </c>
      <c r="B256" s="538" t="s">
        <v>579</v>
      </c>
      <c r="C256" s="75" t="s">
        <v>995</v>
      </c>
      <c r="D256" s="75" t="s">
        <v>996</v>
      </c>
      <c r="E256" s="193" t="s">
        <v>568</v>
      </c>
      <c r="F256" s="75">
        <v>1</v>
      </c>
      <c r="G256" s="75" t="s">
        <v>192</v>
      </c>
      <c r="H256" s="106" t="s">
        <v>380</v>
      </c>
      <c r="I256" s="107">
        <v>4000</v>
      </c>
      <c r="J256" s="96">
        <f t="shared" si="90"/>
        <v>760</v>
      </c>
      <c r="K256" s="96">
        <f t="shared" si="84"/>
        <v>4760</v>
      </c>
      <c r="L256" s="96">
        <f t="shared" si="94"/>
        <v>4000</v>
      </c>
      <c r="M256" s="96">
        <f t="shared" si="95"/>
        <v>4760</v>
      </c>
      <c r="N256" s="108" t="s">
        <v>381</v>
      </c>
      <c r="O256" s="109">
        <v>3000</v>
      </c>
      <c r="P256" s="110">
        <f t="shared" si="83"/>
        <v>570</v>
      </c>
      <c r="Q256" s="110">
        <f t="shared" si="85"/>
        <v>3570</v>
      </c>
      <c r="R256" s="110">
        <f t="shared" si="96"/>
        <v>3000</v>
      </c>
      <c r="S256" s="110">
        <f t="shared" si="97"/>
        <v>3570</v>
      </c>
      <c r="T256" s="97" t="s">
        <v>382</v>
      </c>
      <c r="U256" s="98">
        <v>2800</v>
      </c>
      <c r="V256" s="99">
        <f t="shared" si="91"/>
        <v>532</v>
      </c>
      <c r="W256" s="99">
        <f t="shared" si="86"/>
        <v>3332</v>
      </c>
      <c r="X256" s="99">
        <f t="shared" si="98"/>
        <v>2800</v>
      </c>
      <c r="Y256" s="99">
        <f t="shared" si="99"/>
        <v>3332</v>
      </c>
      <c r="Z256" s="100">
        <f t="shared" si="92"/>
        <v>3887.3333333333335</v>
      </c>
      <c r="AA256" s="100">
        <f t="shared" si="100"/>
        <v>3887.3333333333335</v>
      </c>
      <c r="AB256" s="78">
        <f t="shared" si="93"/>
        <v>765.062960372107</v>
      </c>
      <c r="AC256" s="102">
        <f t="shared" si="79"/>
        <v>0.19680919920393766</v>
      </c>
      <c r="AD256" s="5"/>
      <c r="AF256" s="7" t="s">
        <v>570</v>
      </c>
      <c r="AG256" s="7">
        <v>138</v>
      </c>
      <c r="AH256" s="7" t="s">
        <v>997</v>
      </c>
      <c r="BG256" s="7">
        <v>87</v>
      </c>
      <c r="DA256" s="7" t="e">
        <f>VLOOKUP(C256,listaBolsa!$D$2:$BA$248,1,0)</f>
        <v>#N/A</v>
      </c>
      <c r="DB256" s="7" t="e">
        <f>VLOOKUP(C256,listaBolsa!$D$2:$BA$248,2,0)</f>
        <v>#N/A</v>
      </c>
      <c r="DC256" s="7" t="e">
        <f>VLOOKUP(C256,listaBolsa!$D$2:$BA$248,10,0)</f>
        <v>#N/A</v>
      </c>
      <c r="DD256" s="7" t="e">
        <f>VLOOKUP(C256,listaBolsa!$D$2:$BA$248,14,0)</f>
        <v>#N/A</v>
      </c>
      <c r="DE256" s="7" t="e">
        <f>VLOOKUP(C256,listaBolsa!$D$2:$BA$248,23,0)</f>
        <v>#N/A</v>
      </c>
      <c r="DF256" s="7" t="e">
        <f>VLOOKUP(C256,listaBolsa!$D$2:$BA$248,29,0)</f>
        <v>#N/A</v>
      </c>
      <c r="DG256" s="7" t="e">
        <f>VLOOKUP(C256,listaBolsa!$D$2:$BA$248,36,0)</f>
        <v>#N/A</v>
      </c>
      <c r="DH256" s="7" t="e">
        <f>VLOOKUP(C256,listaBolsa!$D$2:$BA$248,40,0)</f>
        <v>#N/A</v>
      </c>
      <c r="DI256" s="7" t="e">
        <f>VLOOKUP(C256,listaBolsa!$D$2:$BA$248,48,0)</f>
        <v>#N/A</v>
      </c>
      <c r="DJ256" s="7" t="e">
        <f t="shared" si="88"/>
        <v>#N/A</v>
      </c>
      <c r="DK256" s="7" t="e">
        <f t="shared" si="89"/>
        <v>#N/A</v>
      </c>
      <c r="DL256" s="7" t="e">
        <f t="shared" si="80"/>
        <v>#N/A</v>
      </c>
      <c r="DM256" s="7" t="e">
        <f t="shared" si="80"/>
        <v>#N/A</v>
      </c>
      <c r="DN256" s="7" t="e">
        <f t="shared" si="81"/>
        <v>#N/A</v>
      </c>
      <c r="DO256" s="7" t="e">
        <f t="shared" si="81"/>
        <v>#N/A</v>
      </c>
      <c r="DP256" s="7" t="e">
        <f t="shared" si="82"/>
        <v>#N/A</v>
      </c>
      <c r="DQ256" s="7" t="e">
        <f t="shared" si="82"/>
        <v>#N/A</v>
      </c>
      <c r="DR256" s="7" t="e">
        <f t="shared" si="87"/>
        <v>#N/A</v>
      </c>
    </row>
    <row r="257" spans="1:122" s="7" customFormat="1" ht="42" customHeight="1">
      <c r="A257" s="75">
        <f t="shared" si="101"/>
        <v>243</v>
      </c>
      <c r="B257" s="538" t="s">
        <v>579</v>
      </c>
      <c r="C257" s="75" t="s">
        <v>998</v>
      </c>
      <c r="D257" s="75" t="s">
        <v>996</v>
      </c>
      <c r="E257" s="193" t="s">
        <v>568</v>
      </c>
      <c r="F257" s="75">
        <v>1</v>
      </c>
      <c r="G257" s="75" t="s">
        <v>192</v>
      </c>
      <c r="H257" s="106" t="s">
        <v>380</v>
      </c>
      <c r="I257" s="107">
        <v>4500</v>
      </c>
      <c r="J257" s="96">
        <f t="shared" si="90"/>
        <v>855</v>
      </c>
      <c r="K257" s="96">
        <f t="shared" si="84"/>
        <v>5355</v>
      </c>
      <c r="L257" s="96">
        <f t="shared" si="94"/>
        <v>4500</v>
      </c>
      <c r="M257" s="96">
        <f t="shared" si="95"/>
        <v>5355</v>
      </c>
      <c r="N257" s="108" t="s">
        <v>381</v>
      </c>
      <c r="O257" s="109">
        <v>4300</v>
      </c>
      <c r="P257" s="110">
        <f t="shared" si="83"/>
        <v>817</v>
      </c>
      <c r="Q257" s="110">
        <f t="shared" si="85"/>
        <v>5117</v>
      </c>
      <c r="R257" s="110">
        <f t="shared" si="96"/>
        <v>4300</v>
      </c>
      <c r="S257" s="110">
        <f t="shared" si="97"/>
        <v>5117</v>
      </c>
      <c r="T257" s="97" t="s">
        <v>382</v>
      </c>
      <c r="U257" s="98">
        <v>4200</v>
      </c>
      <c r="V257" s="99">
        <f t="shared" si="91"/>
        <v>798</v>
      </c>
      <c r="W257" s="99">
        <f t="shared" si="86"/>
        <v>4998</v>
      </c>
      <c r="X257" s="99">
        <f t="shared" si="98"/>
        <v>4200</v>
      </c>
      <c r="Y257" s="99">
        <f t="shared" si="99"/>
        <v>4998</v>
      </c>
      <c r="Z257" s="100">
        <f t="shared" si="92"/>
        <v>5156.666666666667</v>
      </c>
      <c r="AA257" s="100">
        <f t="shared" si="100"/>
        <v>5156.666666666667</v>
      </c>
      <c r="AB257" s="78">
        <f t="shared" si="93"/>
        <v>181.77550256658165</v>
      </c>
      <c r="AC257" s="102">
        <f t="shared" si="79"/>
        <v>3.5250582268891072E-2</v>
      </c>
      <c r="AD257" s="5"/>
      <c r="AF257" s="7" t="s">
        <v>570</v>
      </c>
      <c r="AG257" s="7">
        <v>139</v>
      </c>
      <c r="AH257" s="7" t="s">
        <v>999</v>
      </c>
      <c r="BG257" s="7">
        <v>88</v>
      </c>
      <c r="DA257" s="7" t="e">
        <f>VLOOKUP(C257,listaBolsa!$D$2:$BA$248,1,0)</f>
        <v>#N/A</v>
      </c>
      <c r="DB257" s="7" t="e">
        <f>VLOOKUP(C257,listaBolsa!$D$2:$BA$248,2,0)</f>
        <v>#N/A</v>
      </c>
      <c r="DC257" s="7" t="e">
        <f>VLOOKUP(C257,listaBolsa!$D$2:$BA$248,10,0)</f>
        <v>#N/A</v>
      </c>
      <c r="DD257" s="7" t="e">
        <f>VLOOKUP(C257,listaBolsa!$D$2:$BA$248,14,0)</f>
        <v>#N/A</v>
      </c>
      <c r="DE257" s="7" t="e">
        <f>VLOOKUP(C257,listaBolsa!$D$2:$BA$248,23,0)</f>
        <v>#N/A</v>
      </c>
      <c r="DF257" s="7" t="e">
        <f>VLOOKUP(C257,listaBolsa!$D$2:$BA$248,29,0)</f>
        <v>#N/A</v>
      </c>
      <c r="DG257" s="7" t="e">
        <f>VLOOKUP(C257,listaBolsa!$D$2:$BA$248,36,0)</f>
        <v>#N/A</v>
      </c>
      <c r="DH257" s="7" t="e">
        <f>VLOOKUP(C257,listaBolsa!$D$2:$BA$248,40,0)</f>
        <v>#N/A</v>
      </c>
      <c r="DI257" s="7" t="e">
        <f>VLOOKUP(C257,listaBolsa!$D$2:$BA$248,48,0)</f>
        <v>#N/A</v>
      </c>
      <c r="DJ257" s="7" t="e">
        <f t="shared" si="88"/>
        <v>#N/A</v>
      </c>
      <c r="DK257" s="7" t="e">
        <f t="shared" si="89"/>
        <v>#N/A</v>
      </c>
      <c r="DL257" s="7" t="e">
        <f t="shared" si="80"/>
        <v>#N/A</v>
      </c>
      <c r="DM257" s="7" t="e">
        <f t="shared" si="80"/>
        <v>#N/A</v>
      </c>
      <c r="DN257" s="7" t="e">
        <f t="shared" si="81"/>
        <v>#N/A</v>
      </c>
      <c r="DO257" s="7" t="e">
        <f t="shared" si="81"/>
        <v>#N/A</v>
      </c>
      <c r="DP257" s="7" t="e">
        <f t="shared" si="82"/>
        <v>#N/A</v>
      </c>
      <c r="DQ257" s="7" t="e">
        <f t="shared" si="82"/>
        <v>#N/A</v>
      </c>
      <c r="DR257" s="7" t="e">
        <f t="shared" si="87"/>
        <v>#N/A</v>
      </c>
    </row>
    <row r="258" spans="1:122" s="7" customFormat="1" ht="42" customHeight="1">
      <c r="A258" s="75">
        <f t="shared" si="101"/>
        <v>244</v>
      </c>
      <c r="B258" s="538" t="s">
        <v>579</v>
      </c>
      <c r="C258" s="75" t="s">
        <v>1000</v>
      </c>
      <c r="D258" s="75" t="s">
        <v>996</v>
      </c>
      <c r="E258" s="193" t="s">
        <v>568</v>
      </c>
      <c r="F258" s="75">
        <v>1</v>
      </c>
      <c r="G258" s="75" t="s">
        <v>192</v>
      </c>
      <c r="H258" s="106" t="s">
        <v>380</v>
      </c>
      <c r="I258" s="107">
        <v>6200</v>
      </c>
      <c r="J258" s="96">
        <f t="shared" si="90"/>
        <v>1178</v>
      </c>
      <c r="K258" s="96">
        <f t="shared" si="84"/>
        <v>7378</v>
      </c>
      <c r="L258" s="96">
        <f t="shared" si="94"/>
        <v>6200</v>
      </c>
      <c r="M258" s="96">
        <f t="shared" si="95"/>
        <v>7378</v>
      </c>
      <c r="N258" s="108" t="s">
        <v>382</v>
      </c>
      <c r="O258" s="109">
        <v>5600</v>
      </c>
      <c r="P258" s="110">
        <f t="shared" si="83"/>
        <v>1064</v>
      </c>
      <c r="Q258" s="110">
        <f t="shared" si="85"/>
        <v>6664</v>
      </c>
      <c r="R258" s="110">
        <f t="shared" si="96"/>
        <v>5600</v>
      </c>
      <c r="S258" s="110">
        <f t="shared" si="97"/>
        <v>6664</v>
      </c>
      <c r="T258" s="97" t="s">
        <v>381</v>
      </c>
      <c r="U258" s="98">
        <v>5500</v>
      </c>
      <c r="V258" s="99">
        <f t="shared" si="91"/>
        <v>1045</v>
      </c>
      <c r="W258" s="99">
        <f t="shared" si="86"/>
        <v>6545</v>
      </c>
      <c r="X258" s="99">
        <f t="shared" si="98"/>
        <v>5500</v>
      </c>
      <c r="Y258" s="99">
        <f t="shared" si="99"/>
        <v>6545</v>
      </c>
      <c r="Z258" s="100">
        <f t="shared" si="92"/>
        <v>6862.333333333333</v>
      </c>
      <c r="AA258" s="100">
        <f t="shared" si="100"/>
        <v>6862.333333333333</v>
      </c>
      <c r="AB258" s="78">
        <f t="shared" si="93"/>
        <v>450.52672876682169</v>
      </c>
      <c r="AC258" s="102">
        <f t="shared" ref="AC258:AC264" si="102">IF(B258="","",(AB258/AA258))</f>
        <v>6.565211960462744E-2</v>
      </c>
      <c r="AD258" s="5"/>
      <c r="AF258" s="7" t="s">
        <v>570</v>
      </c>
      <c r="AG258" s="7">
        <v>140</v>
      </c>
      <c r="AH258" s="7" t="s">
        <v>1001</v>
      </c>
      <c r="BG258" s="7">
        <v>89</v>
      </c>
      <c r="DA258" s="7" t="e">
        <f>VLOOKUP(C258,listaBolsa!$D$2:$BA$248,1,0)</f>
        <v>#N/A</v>
      </c>
      <c r="DB258" s="7" t="e">
        <f>VLOOKUP(C258,listaBolsa!$D$2:$BA$248,2,0)</f>
        <v>#N/A</v>
      </c>
      <c r="DC258" s="7" t="e">
        <f>VLOOKUP(C258,listaBolsa!$D$2:$BA$248,10,0)</f>
        <v>#N/A</v>
      </c>
      <c r="DD258" s="7" t="e">
        <f>VLOOKUP(C258,listaBolsa!$D$2:$BA$248,14,0)</f>
        <v>#N/A</v>
      </c>
      <c r="DE258" s="7" t="e">
        <f>VLOOKUP(C258,listaBolsa!$D$2:$BA$248,23,0)</f>
        <v>#N/A</v>
      </c>
      <c r="DF258" s="7" t="e">
        <f>VLOOKUP(C258,listaBolsa!$D$2:$BA$248,29,0)</f>
        <v>#N/A</v>
      </c>
      <c r="DG258" s="7" t="e">
        <f>VLOOKUP(C258,listaBolsa!$D$2:$BA$248,36,0)</f>
        <v>#N/A</v>
      </c>
      <c r="DH258" s="7" t="e">
        <f>VLOOKUP(C258,listaBolsa!$D$2:$BA$248,40,0)</f>
        <v>#N/A</v>
      </c>
      <c r="DI258" s="7" t="e">
        <f>VLOOKUP(C258,listaBolsa!$D$2:$BA$248,48,0)</f>
        <v>#N/A</v>
      </c>
      <c r="DJ258" s="7" t="e">
        <f t="shared" si="88"/>
        <v>#N/A</v>
      </c>
      <c r="DK258" s="7" t="e">
        <f t="shared" si="89"/>
        <v>#N/A</v>
      </c>
      <c r="DL258" s="7" t="e">
        <f t="shared" ref="DL258:DM263" si="103">DC258=H258</f>
        <v>#N/A</v>
      </c>
      <c r="DM258" s="7" t="e">
        <f t="shared" si="103"/>
        <v>#N/A</v>
      </c>
      <c r="DN258" s="7" t="e">
        <f t="shared" ref="DN258:DO263" si="104">DE258=N258</f>
        <v>#N/A</v>
      </c>
      <c r="DO258" s="7" t="e">
        <f t="shared" si="104"/>
        <v>#N/A</v>
      </c>
      <c r="DP258" s="7" t="e">
        <f t="shared" ref="DP258:DQ263" si="105">DG258=T258</f>
        <v>#N/A</v>
      </c>
      <c r="DQ258" s="7" t="e">
        <f t="shared" si="105"/>
        <v>#N/A</v>
      </c>
      <c r="DR258" s="7" t="e">
        <f t="shared" si="87"/>
        <v>#N/A</v>
      </c>
    </row>
    <row r="259" spans="1:122" s="7" customFormat="1" ht="42" customHeight="1">
      <c r="A259" s="75">
        <f t="shared" si="101"/>
        <v>245</v>
      </c>
      <c r="B259" s="538" t="s">
        <v>579</v>
      </c>
      <c r="C259" s="75" t="s">
        <v>1002</v>
      </c>
      <c r="D259" s="75" t="s">
        <v>996</v>
      </c>
      <c r="E259" s="193" t="s">
        <v>568</v>
      </c>
      <c r="F259" s="75">
        <v>1</v>
      </c>
      <c r="G259" s="75" t="s">
        <v>192</v>
      </c>
      <c r="H259" s="106" t="s">
        <v>380</v>
      </c>
      <c r="I259" s="107">
        <v>10000</v>
      </c>
      <c r="J259" s="96">
        <f t="shared" si="90"/>
        <v>1900</v>
      </c>
      <c r="K259" s="96">
        <f t="shared" si="84"/>
        <v>11900</v>
      </c>
      <c r="L259" s="96">
        <f t="shared" si="94"/>
        <v>10000</v>
      </c>
      <c r="M259" s="96">
        <f t="shared" si="95"/>
        <v>11900</v>
      </c>
      <c r="N259" s="108" t="s">
        <v>381</v>
      </c>
      <c r="O259" s="109">
        <v>9200</v>
      </c>
      <c r="P259" s="110">
        <f t="shared" si="83"/>
        <v>1748</v>
      </c>
      <c r="Q259" s="110">
        <f t="shared" si="85"/>
        <v>10948</v>
      </c>
      <c r="R259" s="110">
        <f t="shared" si="96"/>
        <v>9200</v>
      </c>
      <c r="S259" s="110">
        <f t="shared" si="97"/>
        <v>10948</v>
      </c>
      <c r="T259" s="97" t="s">
        <v>382</v>
      </c>
      <c r="U259" s="98">
        <v>8400</v>
      </c>
      <c r="V259" s="99">
        <f t="shared" si="91"/>
        <v>1596</v>
      </c>
      <c r="W259" s="99">
        <f t="shared" si="86"/>
        <v>9996</v>
      </c>
      <c r="X259" s="99">
        <f t="shared" si="98"/>
        <v>8400</v>
      </c>
      <c r="Y259" s="99">
        <f t="shared" si="99"/>
        <v>9996</v>
      </c>
      <c r="Z259" s="100">
        <f t="shared" si="92"/>
        <v>10948</v>
      </c>
      <c r="AA259" s="100">
        <f t="shared" si="100"/>
        <v>10948</v>
      </c>
      <c r="AB259" s="78">
        <f t="shared" si="93"/>
        <v>952</v>
      </c>
      <c r="AC259" s="102">
        <f t="shared" si="102"/>
        <v>8.6956521739130432E-2</v>
      </c>
      <c r="AD259" s="5"/>
      <c r="AF259" s="7" t="s">
        <v>570</v>
      </c>
      <c r="AG259" s="7">
        <v>141</v>
      </c>
      <c r="AH259" s="7" t="s">
        <v>1003</v>
      </c>
      <c r="BG259" s="7">
        <v>90</v>
      </c>
      <c r="DA259" s="7" t="e">
        <f>VLOOKUP(C259,listaBolsa!$D$2:$BA$248,1,0)</f>
        <v>#N/A</v>
      </c>
      <c r="DB259" s="7" t="e">
        <f>VLOOKUP(C259,listaBolsa!$D$2:$BA$248,2,0)</f>
        <v>#N/A</v>
      </c>
      <c r="DC259" s="7" t="e">
        <f>VLOOKUP(C259,listaBolsa!$D$2:$BA$248,10,0)</f>
        <v>#N/A</v>
      </c>
      <c r="DD259" s="7" t="e">
        <f>VLOOKUP(C259,listaBolsa!$D$2:$BA$248,14,0)</f>
        <v>#N/A</v>
      </c>
      <c r="DE259" s="7" t="e">
        <f>VLOOKUP(C259,listaBolsa!$D$2:$BA$248,23,0)</f>
        <v>#N/A</v>
      </c>
      <c r="DF259" s="7" t="e">
        <f>VLOOKUP(C259,listaBolsa!$D$2:$BA$248,29,0)</f>
        <v>#N/A</v>
      </c>
      <c r="DG259" s="7" t="e">
        <f>VLOOKUP(C259,listaBolsa!$D$2:$BA$248,36,0)</f>
        <v>#N/A</v>
      </c>
      <c r="DH259" s="7" t="e">
        <f>VLOOKUP(C259,listaBolsa!$D$2:$BA$248,40,0)</f>
        <v>#N/A</v>
      </c>
      <c r="DI259" s="7" t="e">
        <f>VLOOKUP(C259,listaBolsa!$D$2:$BA$248,48,0)</f>
        <v>#N/A</v>
      </c>
      <c r="DJ259" s="7" t="e">
        <f t="shared" si="88"/>
        <v>#N/A</v>
      </c>
      <c r="DK259" s="7" t="e">
        <f t="shared" si="89"/>
        <v>#N/A</v>
      </c>
      <c r="DL259" s="7" t="e">
        <f t="shared" si="103"/>
        <v>#N/A</v>
      </c>
      <c r="DM259" s="7" t="e">
        <f t="shared" si="103"/>
        <v>#N/A</v>
      </c>
      <c r="DN259" s="7" t="e">
        <f t="shared" si="104"/>
        <v>#N/A</v>
      </c>
      <c r="DO259" s="7" t="e">
        <f t="shared" si="104"/>
        <v>#N/A</v>
      </c>
      <c r="DP259" s="7" t="e">
        <f t="shared" si="105"/>
        <v>#N/A</v>
      </c>
      <c r="DQ259" s="7" t="e">
        <f t="shared" si="105"/>
        <v>#N/A</v>
      </c>
      <c r="DR259" s="7" t="e">
        <f t="shared" si="87"/>
        <v>#N/A</v>
      </c>
    </row>
    <row r="260" spans="1:122" s="7" customFormat="1" ht="42" customHeight="1">
      <c r="A260" s="75">
        <f t="shared" si="101"/>
        <v>246</v>
      </c>
      <c r="B260" s="538" t="s">
        <v>1004</v>
      </c>
      <c r="C260" s="75" t="s">
        <v>299</v>
      </c>
      <c r="D260" s="75" t="s">
        <v>1005</v>
      </c>
      <c r="E260" s="336" t="s">
        <v>191</v>
      </c>
      <c r="F260" s="336">
        <v>1</v>
      </c>
      <c r="G260" s="75" t="str">
        <f>IF(B260="","",IFERROR(VLOOKUP(C260,[1]Base_General!$D$1:$H$192,5,0),"Colocar Descripción explícita del ítem"))</f>
        <v>Alquiler</v>
      </c>
      <c r="H260" s="106" t="s">
        <v>515</v>
      </c>
      <c r="I260" s="107">
        <v>3150000</v>
      </c>
      <c r="J260" s="96">
        <f t="shared" si="90"/>
        <v>598500</v>
      </c>
      <c r="K260" s="96">
        <f t="shared" si="84"/>
        <v>3748500</v>
      </c>
      <c r="L260" s="96">
        <f t="shared" si="94"/>
        <v>3150000</v>
      </c>
      <c r="M260" s="96">
        <f t="shared" si="95"/>
        <v>3748500</v>
      </c>
      <c r="N260" s="108" t="s">
        <v>1006</v>
      </c>
      <c r="O260" s="109">
        <v>3200000</v>
      </c>
      <c r="P260" s="110">
        <f t="shared" si="83"/>
        <v>608000</v>
      </c>
      <c r="Q260" s="110">
        <f t="shared" si="85"/>
        <v>3808000</v>
      </c>
      <c r="R260" s="110">
        <f t="shared" si="96"/>
        <v>3200000</v>
      </c>
      <c r="S260" s="110">
        <f t="shared" si="97"/>
        <v>3808000</v>
      </c>
      <c r="T260" s="97" t="str">
        <f>IF(C260="","",VLOOKUP(C260,listaBolsa!$D$2:$BB$276,36,0))</f>
        <v>AMCI INGENIERIAS SAS</v>
      </c>
      <c r="U260" s="98">
        <f>IF(C260="","",VLOOKUP(C260,listaBolsa!$D$2:$BB$276,40,0))</f>
        <v>2865546.22</v>
      </c>
      <c r="V260" s="99">
        <f t="shared" si="91"/>
        <v>544453.7818</v>
      </c>
      <c r="W260" s="99">
        <f t="shared" si="86"/>
        <v>3410000.0018000002</v>
      </c>
      <c r="X260" s="99">
        <f t="shared" si="98"/>
        <v>2865546.22</v>
      </c>
      <c r="Y260" s="99">
        <f t="shared" si="99"/>
        <v>3410000.0018000002</v>
      </c>
      <c r="Z260" s="100">
        <f>IF(A260="","",AVERAGE(K260,Q260))</f>
        <v>3778250</v>
      </c>
      <c r="AA260" s="100">
        <f t="shared" si="100"/>
        <v>3778250</v>
      </c>
      <c r="AB260" s="78">
        <f>IF(B260="","",STDEV(M260,S260))</f>
        <v>42072.853480599581</v>
      </c>
      <c r="AC260" s="102">
        <f t="shared" si="102"/>
        <v>1.1135539861205473E-2</v>
      </c>
      <c r="AD260" s="5"/>
      <c r="AF260" s="7" t="s">
        <v>570</v>
      </c>
      <c r="AG260" s="7">
        <v>142</v>
      </c>
      <c r="AH260" s="7" t="s">
        <v>1007</v>
      </c>
      <c r="BG260" s="7">
        <v>91</v>
      </c>
      <c r="DA260" s="7" t="str">
        <f>VLOOKUP(C260,listaBolsa!$D$2:$BA$248,1,0)</f>
        <v>Auditorio para 50 personas media jornada</v>
      </c>
      <c r="DB260" s="7" t="str">
        <f>VLOOKUP(C260,listaBolsa!$D$2:$BA$248,2,0)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C260" s="7" t="str">
        <f>VLOOKUP(C260,listaBolsa!$D$2:$BA$248,10,0)</f>
        <v>D&amp;R PRODUCCIONES SAS</v>
      </c>
      <c r="DD260" s="7">
        <f>VLOOKUP(C260,listaBolsa!$D$2:$BA$248,14,0)</f>
        <v>3150000</v>
      </c>
      <c r="DE260" s="7" t="str">
        <f>VLOOKUP(C260,listaBolsa!$D$2:$BA$248,23,0)</f>
        <v>EFECTO MASIVO</v>
      </c>
      <c r="DF260" s="7">
        <f>VLOOKUP(C260,listaBolsa!$D$2:$BA$248,29,0)</f>
        <v>3808000</v>
      </c>
      <c r="DG260" s="7" t="str">
        <f>VLOOKUP(C260,listaBolsa!$D$2:$BA$248,36,0)</f>
        <v>AMCI INGENIERIAS SAS</v>
      </c>
      <c r="DH260" s="7">
        <f>VLOOKUP(C260,listaBolsa!$D$2:$BA$248,40,0)</f>
        <v>2865546.22</v>
      </c>
      <c r="DI260" s="7">
        <f>VLOOKUP(C260,listaBolsa!$D$2:$BA$248,48,0)</f>
        <v>5.872810165696659E-2</v>
      </c>
      <c r="DJ260" s="7" t="b">
        <f t="shared" si="88"/>
        <v>1</v>
      </c>
      <c r="DK260" s="7" t="b">
        <f t="shared" si="89"/>
        <v>0</v>
      </c>
      <c r="DL260" s="7" t="b">
        <f t="shared" si="103"/>
        <v>1</v>
      </c>
      <c r="DM260" s="7" t="b">
        <f t="shared" si="103"/>
        <v>1</v>
      </c>
      <c r="DN260" s="7" t="b">
        <f t="shared" si="104"/>
        <v>1</v>
      </c>
      <c r="DO260" s="7" t="b">
        <f t="shared" si="104"/>
        <v>0</v>
      </c>
      <c r="DP260" s="7" t="b">
        <f t="shared" si="105"/>
        <v>1</v>
      </c>
      <c r="DQ260" s="7" t="b">
        <f t="shared" si="105"/>
        <v>1</v>
      </c>
      <c r="DR260" s="7" t="b">
        <f t="shared" si="87"/>
        <v>0</v>
      </c>
    </row>
    <row r="261" spans="1:122" s="7" customFormat="1" ht="42" customHeight="1">
      <c r="A261" s="75">
        <f t="shared" si="101"/>
        <v>247</v>
      </c>
      <c r="B261" s="336" t="s">
        <v>1008</v>
      </c>
      <c r="C261" s="336" t="s">
        <v>1009</v>
      </c>
      <c r="D261" s="75" t="s">
        <v>1010</v>
      </c>
      <c r="E261" s="336" t="s">
        <v>1011</v>
      </c>
      <c r="F261" s="336">
        <v>50</v>
      </c>
      <c r="G261" s="75" t="s">
        <v>209</v>
      </c>
      <c r="H261" s="106" t="str">
        <f>IF(C261="","",VLOOKUP(C261,listaBolsa!$D$2:$W$276,10,0))</f>
        <v>INVERSIONES BECORATI E Y O SAS</v>
      </c>
      <c r="I261" s="107">
        <f>IF(C261="","",VLOOKUP(C261,listaBolsa!$D$2:$W$276,14,0))</f>
        <v>37000</v>
      </c>
      <c r="J261" s="96">
        <f t="shared" si="90"/>
        <v>7030</v>
      </c>
      <c r="K261" s="96">
        <f t="shared" si="84"/>
        <v>44030</v>
      </c>
      <c r="L261" s="96">
        <f t="shared" si="94"/>
        <v>1850000</v>
      </c>
      <c r="M261" s="96">
        <f t="shared" si="95"/>
        <v>2201500</v>
      </c>
      <c r="N261" s="108" t="str">
        <f>IF(C261="","",VLOOKUP(C261,listaBolsa!$D$2:$AZ$276,23,0))</f>
        <v>Catering Depot</v>
      </c>
      <c r="O261" s="109">
        <f>IF(C261="","",VLOOKUP(C261,listaBolsa!$D$2:$AZ$276,27,0))</f>
        <v>45000</v>
      </c>
      <c r="P261" s="110">
        <f t="shared" si="83"/>
        <v>8550</v>
      </c>
      <c r="Q261" s="110">
        <f t="shared" si="85"/>
        <v>53550</v>
      </c>
      <c r="R261" s="110">
        <f t="shared" si="96"/>
        <v>2250000</v>
      </c>
      <c r="S261" s="110">
        <f t="shared" si="97"/>
        <v>2677500</v>
      </c>
      <c r="T261" s="97" t="str">
        <f>IF(C261="","",VLOOKUP(C261,listaBolsa!$D$2:$BB$276,36,0))</f>
        <v>D&amp;R PRODUCCIONES SAS</v>
      </c>
      <c r="U261" s="98">
        <f>IF(C261="","",VLOOKUP(C261,listaBolsa!$D$2:$BB$276,40,0))</f>
        <v>31512</v>
      </c>
      <c r="V261" s="99">
        <f t="shared" si="91"/>
        <v>5987.28</v>
      </c>
      <c r="W261" s="99">
        <f t="shared" si="86"/>
        <v>37499.279999999999</v>
      </c>
      <c r="X261" s="99">
        <f t="shared" si="98"/>
        <v>1575600</v>
      </c>
      <c r="Y261" s="99">
        <f t="shared" si="99"/>
        <v>1874964</v>
      </c>
      <c r="Z261" s="100">
        <f t="shared" si="92"/>
        <v>45026.426666666666</v>
      </c>
      <c r="AA261" s="100">
        <f t="shared" si="100"/>
        <v>2251321.3333333335</v>
      </c>
      <c r="AB261" s="78">
        <f t="shared" si="93"/>
        <v>403581.01016441919</v>
      </c>
      <c r="AC261" s="102">
        <f t="shared" si="102"/>
        <v>0.17926406336978662</v>
      </c>
      <c r="AD261" s="5"/>
      <c r="AF261" s="7" t="s">
        <v>570</v>
      </c>
      <c r="AG261" s="7">
        <v>143</v>
      </c>
      <c r="AH261" s="7" t="s">
        <v>1012</v>
      </c>
      <c r="BG261" s="7">
        <v>92</v>
      </c>
      <c r="DA261" s="7" t="str">
        <f>VLOOKUP(C261,listaBolsa!$D$2:$BA$248,1,0)</f>
        <v>Almuerzo Tipo 1</v>
      </c>
      <c r="DB261" s="7" t="str">
        <f>VLOOKUP(C261,listaBolsa!$D$2:$BA$248,2,0)</f>
        <v>Entrada, sopa o porción de fruta, 2 carnes (130 gr. c/u) + 1 carbohidrato 100 gramos + 1 ensalada 100 gramos + 1 acompañamiento 50 gramos postre 50 gramos + bebida 250 ml.Servicio de samovares y servido en cerámica</v>
      </c>
      <c r="DC261" s="7" t="str">
        <f>VLOOKUP(C261,listaBolsa!$D$2:$BA$248,10,0)</f>
        <v>INVERSIONES BECORATI E Y O SAS</v>
      </c>
      <c r="DD261" s="7">
        <f>VLOOKUP(C261,listaBolsa!$D$2:$BA$248,14,0)</f>
        <v>37000</v>
      </c>
      <c r="DE261" s="7" t="str">
        <f>VLOOKUP(C261,listaBolsa!$D$2:$BA$248,23,0)</f>
        <v>Catering Depot</v>
      </c>
      <c r="DF261" s="7">
        <f>VLOOKUP(C261,listaBolsa!$D$2:$BA$248,29,0)</f>
        <v>48600</v>
      </c>
      <c r="DG261" s="7" t="str">
        <f>VLOOKUP(C261,listaBolsa!$D$2:$BA$248,36,0)</f>
        <v>D&amp;R PRODUCCIONES SAS</v>
      </c>
      <c r="DH261" s="7">
        <f>VLOOKUP(C261,listaBolsa!$D$2:$BA$248,40,0)</f>
        <v>31512</v>
      </c>
      <c r="DI261" s="7">
        <f>VLOOKUP(C261,listaBolsa!$D$2:$BA$248,48,0)</f>
        <v>0.17926406336978706</v>
      </c>
      <c r="DJ261" s="7" t="b">
        <f t="shared" si="88"/>
        <v>1</v>
      </c>
      <c r="DK261" s="7" t="b">
        <f t="shared" si="89"/>
        <v>0</v>
      </c>
      <c r="DL261" s="7" t="b">
        <f t="shared" si="103"/>
        <v>1</v>
      </c>
      <c r="DM261" s="7" t="b">
        <f t="shared" si="103"/>
        <v>1</v>
      </c>
      <c r="DN261" s="7" t="b">
        <f t="shared" si="104"/>
        <v>1</v>
      </c>
      <c r="DO261" s="7" t="b">
        <f t="shared" si="104"/>
        <v>0</v>
      </c>
      <c r="DP261" s="7" t="b">
        <f t="shared" si="105"/>
        <v>1</v>
      </c>
      <c r="DQ261" s="7" t="b">
        <f t="shared" si="105"/>
        <v>1</v>
      </c>
      <c r="DR261" s="7" t="b">
        <f t="shared" si="87"/>
        <v>1</v>
      </c>
    </row>
    <row r="262" spans="1:122" s="7" customFormat="1" ht="42" customHeight="1">
      <c r="A262" s="75">
        <f t="shared" si="101"/>
        <v>248</v>
      </c>
      <c r="B262" s="336" t="s">
        <v>1008</v>
      </c>
      <c r="C262" s="336" t="s">
        <v>1013</v>
      </c>
      <c r="D262" s="75" t="s">
        <v>1014</v>
      </c>
      <c r="E262" s="336" t="s">
        <v>1011</v>
      </c>
      <c r="F262" s="75">
        <v>20</v>
      </c>
      <c r="G262" s="75" t="s">
        <v>209</v>
      </c>
      <c r="H262" s="106" t="str">
        <f>IF(C262="","",VLOOKUP(C262,listaBolsa!$D$2:$W$276,10,0))</f>
        <v>INVERSIONES BECORATI E Y O SAS</v>
      </c>
      <c r="I262" s="107">
        <f>IF(C262="","",VLOOKUP(C262,listaBolsa!$D$2:$W$276,14,0))</f>
        <v>34000</v>
      </c>
      <c r="J262" s="96">
        <f t="shared" si="90"/>
        <v>6460</v>
      </c>
      <c r="K262" s="96">
        <f t="shared" si="84"/>
        <v>40460</v>
      </c>
      <c r="L262" s="96">
        <f t="shared" si="94"/>
        <v>680000</v>
      </c>
      <c r="M262" s="96">
        <f t="shared" si="95"/>
        <v>809200</v>
      </c>
      <c r="N262" s="108" t="str">
        <f>IF(C262="","",VLOOKUP(C262,listaBolsa!$D$2:$AZ$276,23,0))</f>
        <v>Catering Depot</v>
      </c>
      <c r="O262" s="109">
        <f>IF(C262="","",VLOOKUP(C262,listaBolsa!$D$2:$AZ$276,27,0))</f>
        <v>45000</v>
      </c>
      <c r="P262" s="110">
        <f t="shared" si="83"/>
        <v>8550</v>
      </c>
      <c r="Q262" s="110">
        <f t="shared" si="85"/>
        <v>53550</v>
      </c>
      <c r="R262" s="110">
        <f t="shared" si="96"/>
        <v>900000</v>
      </c>
      <c r="S262" s="110">
        <f t="shared" si="97"/>
        <v>1071000</v>
      </c>
      <c r="T262" s="97" t="str">
        <f>IF(C262="","",VLOOKUP(C262,listaBolsa!$D$2:$BB$276,36,0))</f>
        <v>D&amp;R PRODUCCIONES SAS</v>
      </c>
      <c r="U262" s="98">
        <f>IF(C262="","",VLOOKUP(C262,listaBolsa!$D$2:$BB$276,40,0))</f>
        <v>33445</v>
      </c>
      <c r="V262" s="99">
        <f t="shared" si="91"/>
        <v>6354.55</v>
      </c>
      <c r="W262" s="99">
        <f t="shared" si="86"/>
        <v>39799.550000000003</v>
      </c>
      <c r="X262" s="99">
        <f t="shared" si="98"/>
        <v>668900</v>
      </c>
      <c r="Y262" s="99">
        <f t="shared" si="99"/>
        <v>795991</v>
      </c>
      <c r="Z262" s="100">
        <f t="shared" si="92"/>
        <v>44603.183333333327</v>
      </c>
      <c r="AA262" s="100">
        <f t="shared" si="100"/>
        <v>892063.66666666651</v>
      </c>
      <c r="AB262" s="78">
        <f t="shared" si="93"/>
        <v>155104.08750362851</v>
      </c>
      <c r="AC262" s="102">
        <f t="shared" si="102"/>
        <v>0.17387109608801674</v>
      </c>
      <c r="AD262" s="5"/>
      <c r="AF262" s="7" t="s">
        <v>570</v>
      </c>
      <c r="AG262" s="7">
        <v>144</v>
      </c>
      <c r="AH262" s="7" t="s">
        <v>1015</v>
      </c>
      <c r="BG262" s="7">
        <v>93</v>
      </c>
      <c r="DA262" s="7" t="str">
        <f>VLOOKUP(C262,listaBolsa!$D$2:$BA$248,1,0)</f>
        <v>Almuerzo Tipo 4 -Vegetariano</v>
      </c>
      <c r="DB262" s="7" t="str">
        <f>VLOOKUP(C262,listaBolsa!$D$2:$BA$248,2,0)</f>
        <v>Entrada, sopa o porción de fruta, Proteína vegetal + 1 carbohidrato 100 gramos + 1 ensalada 100 gramos + 1 acompañamiento 50 gramos + postre 50 gramos + bebida 250 ml. Servicio de samovares y servido en cerámica</v>
      </c>
      <c r="DC262" s="7" t="str">
        <f>VLOOKUP(C262,listaBolsa!$D$2:$BA$248,10,0)</f>
        <v>INVERSIONES BECORATI E Y O SAS</v>
      </c>
      <c r="DD262" s="7">
        <f>VLOOKUP(C262,listaBolsa!$D$2:$BA$248,14,0)</f>
        <v>34000</v>
      </c>
      <c r="DE262" s="7" t="str">
        <f>VLOOKUP(C262,listaBolsa!$D$2:$BA$248,23,0)</f>
        <v>Catering Depot</v>
      </c>
      <c r="DF262" s="7">
        <f>VLOOKUP(C262,listaBolsa!$D$2:$BA$248,29,0)</f>
        <v>48600</v>
      </c>
      <c r="DG262" s="7" t="str">
        <f>VLOOKUP(C262,listaBolsa!$D$2:$BA$248,36,0)</f>
        <v>D&amp;R PRODUCCIONES SAS</v>
      </c>
      <c r="DH262" s="7">
        <f>VLOOKUP(C262,listaBolsa!$D$2:$BA$248,40,0)</f>
        <v>33445</v>
      </c>
      <c r="DI262" s="7">
        <f>VLOOKUP(C262,listaBolsa!$D$2:$BA$248,48,0)</f>
        <v>0.17387109608801679</v>
      </c>
      <c r="DJ262" s="7" t="b">
        <f t="shared" si="88"/>
        <v>1</v>
      </c>
      <c r="DK262" s="7" t="b">
        <f t="shared" si="89"/>
        <v>0</v>
      </c>
      <c r="DL262" s="7" t="b">
        <f t="shared" si="103"/>
        <v>1</v>
      </c>
      <c r="DM262" s="7" t="b">
        <f t="shared" si="103"/>
        <v>1</v>
      </c>
      <c r="DN262" s="7" t="b">
        <f t="shared" si="104"/>
        <v>1</v>
      </c>
      <c r="DO262" s="7" t="b">
        <f t="shared" si="104"/>
        <v>0</v>
      </c>
      <c r="DP262" s="7" t="b">
        <f t="shared" si="105"/>
        <v>1</v>
      </c>
      <c r="DQ262" s="7" t="b">
        <f t="shared" si="105"/>
        <v>1</v>
      </c>
      <c r="DR262" s="7" t="b">
        <f t="shared" si="87"/>
        <v>1</v>
      </c>
    </row>
    <row r="263" spans="1:122" s="7" customFormat="1" ht="69.75" customHeight="1">
      <c r="A263" s="75">
        <v>249</v>
      </c>
      <c r="B263" s="634" t="s">
        <v>579</v>
      </c>
      <c r="C263" s="453" t="s">
        <v>874</v>
      </c>
      <c r="D263" s="395" t="s">
        <v>875</v>
      </c>
      <c r="E263" s="194" t="s">
        <v>568</v>
      </c>
      <c r="F263" s="395">
        <v>1</v>
      </c>
      <c r="G263" s="207" t="s">
        <v>1016</v>
      </c>
      <c r="H263" s="106" t="s">
        <v>380</v>
      </c>
      <c r="I263" s="107">
        <v>48000</v>
      </c>
      <c r="J263" s="96"/>
      <c r="K263" s="96">
        <f t="shared" si="84"/>
        <v>48000</v>
      </c>
      <c r="L263" s="96">
        <f t="shared" si="94"/>
        <v>48000</v>
      </c>
      <c r="M263" s="96">
        <f t="shared" si="95"/>
        <v>48000</v>
      </c>
      <c r="N263" s="108" t="s">
        <v>381</v>
      </c>
      <c r="O263" s="109">
        <v>46000</v>
      </c>
      <c r="P263" s="110"/>
      <c r="Q263" s="110">
        <f t="shared" si="85"/>
        <v>46000</v>
      </c>
      <c r="R263" s="110">
        <f t="shared" si="96"/>
        <v>46000</v>
      </c>
      <c r="S263" s="110">
        <f t="shared" si="97"/>
        <v>46000</v>
      </c>
      <c r="T263" s="97" t="s">
        <v>382</v>
      </c>
      <c r="U263" s="98">
        <v>44000</v>
      </c>
      <c r="V263" s="99"/>
      <c r="W263" s="99">
        <f t="shared" si="86"/>
        <v>44000</v>
      </c>
      <c r="X263" s="99">
        <f t="shared" si="98"/>
        <v>44000</v>
      </c>
      <c r="Y263" s="99">
        <f t="shared" si="99"/>
        <v>44000</v>
      </c>
      <c r="Z263" s="100">
        <f t="shared" si="92"/>
        <v>46000</v>
      </c>
      <c r="AA263" s="100">
        <f t="shared" si="100"/>
        <v>46000</v>
      </c>
      <c r="AB263" s="78">
        <f t="shared" si="93"/>
        <v>2000</v>
      </c>
      <c r="AC263" s="102">
        <f t="shared" si="102"/>
        <v>4.3478260869565216E-2</v>
      </c>
      <c r="AD263" s="99"/>
      <c r="AF263" s="7" t="s">
        <v>570</v>
      </c>
      <c r="AG263" s="7">
        <v>145</v>
      </c>
      <c r="AH263" s="7" t="s">
        <v>1017</v>
      </c>
      <c r="BG263" s="7">
        <v>95</v>
      </c>
      <c r="DA263" s="7" t="e">
        <f>VLOOKUP(C263,listaBolsa!$D$2:$BA$248,1,0)</f>
        <v>#N/A</v>
      </c>
      <c r="DB263" s="7" t="e">
        <f>VLOOKUP(C263,listaBolsa!$D$2:$BA$248,2,0)</f>
        <v>#N/A</v>
      </c>
      <c r="DC263" s="7" t="e">
        <f>VLOOKUP(C263,listaBolsa!$D$2:$BA$248,10,0)</f>
        <v>#N/A</v>
      </c>
      <c r="DD263" s="7" t="e">
        <f>VLOOKUP(C263,listaBolsa!$D$2:$BA$248,14,0)</f>
        <v>#N/A</v>
      </c>
      <c r="DE263" s="7" t="e">
        <f>VLOOKUP(C263,listaBolsa!$D$2:$BA$248,23,0)</f>
        <v>#N/A</v>
      </c>
      <c r="DF263" s="7" t="e">
        <f>VLOOKUP(C263,listaBolsa!$D$2:$BA$248,29,0)</f>
        <v>#N/A</v>
      </c>
      <c r="DG263" s="7" t="e">
        <f>VLOOKUP(C263,listaBolsa!$D$2:$BA$248,36,0)</f>
        <v>#N/A</v>
      </c>
      <c r="DH263" s="7" t="e">
        <f>VLOOKUP(C263,listaBolsa!$D$2:$BA$248,40,0)</f>
        <v>#N/A</v>
      </c>
      <c r="DI263" s="7" t="e">
        <f>VLOOKUP(C263,listaBolsa!$D$2:$BA$248,48,0)</f>
        <v>#N/A</v>
      </c>
      <c r="DJ263" s="7" t="e">
        <f t="shared" si="88"/>
        <v>#N/A</v>
      </c>
      <c r="DK263" s="7" t="e">
        <f>DB263=#REF!</f>
        <v>#N/A</v>
      </c>
      <c r="DL263" s="7" t="e">
        <f t="shared" si="103"/>
        <v>#N/A</v>
      </c>
      <c r="DM263" s="7" t="e">
        <f t="shared" si="103"/>
        <v>#N/A</v>
      </c>
      <c r="DN263" s="7" t="e">
        <f t="shared" si="104"/>
        <v>#N/A</v>
      </c>
      <c r="DO263" s="7" t="e">
        <f t="shared" si="104"/>
        <v>#N/A</v>
      </c>
      <c r="DP263" s="7" t="e">
        <f t="shared" si="105"/>
        <v>#N/A</v>
      </c>
      <c r="DQ263" s="7" t="e">
        <f t="shared" si="105"/>
        <v>#N/A</v>
      </c>
      <c r="DR263" s="7" t="e">
        <f t="shared" si="87"/>
        <v>#N/A</v>
      </c>
    </row>
    <row r="264" spans="1:122" s="247" customFormat="1" ht="105.75" customHeight="1">
      <c r="A264" s="238">
        <v>250</v>
      </c>
      <c r="B264" s="635" t="s">
        <v>579</v>
      </c>
      <c r="C264" s="636" t="s">
        <v>1018</v>
      </c>
      <c r="D264" s="637" t="s">
        <v>1019</v>
      </c>
      <c r="E264" s="239" t="s">
        <v>27</v>
      </c>
      <c r="F264" s="637">
        <v>1</v>
      </c>
      <c r="G264" s="240" t="s">
        <v>1016</v>
      </c>
      <c r="H264" s="241" t="s">
        <v>1020</v>
      </c>
      <c r="I264" s="242">
        <v>2600000</v>
      </c>
      <c r="J264" s="96">
        <f t="shared" ref="J264" si="106">I264*19%</f>
        <v>494000</v>
      </c>
      <c r="K264" s="96">
        <f t="shared" si="84"/>
        <v>3094000</v>
      </c>
      <c r="L264" s="96">
        <f t="shared" si="94"/>
        <v>2600000</v>
      </c>
      <c r="M264" s="96">
        <f t="shared" si="95"/>
        <v>3094000</v>
      </c>
      <c r="N264" s="243" t="s">
        <v>1021</v>
      </c>
      <c r="O264" s="244">
        <v>2576500</v>
      </c>
      <c r="P264" s="110">
        <f t="shared" ref="P264" si="107">O264*19%</f>
        <v>489535</v>
      </c>
      <c r="Q264" s="110">
        <f t="shared" si="85"/>
        <v>3066035</v>
      </c>
      <c r="R264" s="110">
        <f t="shared" si="96"/>
        <v>2576500</v>
      </c>
      <c r="S264" s="110">
        <f t="shared" si="97"/>
        <v>3066035</v>
      </c>
      <c r="T264" s="245" t="s">
        <v>1022</v>
      </c>
      <c r="U264" s="246">
        <v>2589000</v>
      </c>
      <c r="V264" s="99">
        <f t="shared" ref="V264" si="108">U264*19%</f>
        <v>491910</v>
      </c>
      <c r="W264" s="99">
        <f t="shared" si="86"/>
        <v>3080910</v>
      </c>
      <c r="X264" s="99">
        <f t="shared" si="98"/>
        <v>2589000</v>
      </c>
      <c r="Y264" s="99">
        <f t="shared" si="99"/>
        <v>3080910</v>
      </c>
      <c r="Z264" s="100">
        <f t="shared" si="92"/>
        <v>3080315</v>
      </c>
      <c r="AA264" s="100">
        <f t="shared" si="100"/>
        <v>3080315</v>
      </c>
      <c r="AB264" s="78">
        <f>IF(B264="","",STDEV(M264,S264,Y264))</f>
        <v>13991.991459402769</v>
      </c>
      <c r="AC264" s="102">
        <f t="shared" si="102"/>
        <v>4.5423898073420309E-3</v>
      </c>
      <c r="AF264" s="7" t="s">
        <v>570</v>
      </c>
      <c r="AG264" s="7">
        <v>146</v>
      </c>
      <c r="AH264" s="7" t="s">
        <v>1023</v>
      </c>
    </row>
    <row r="265" spans="1:122" s="7" customFormat="1" ht="21" customHeight="1">
      <c r="A265" s="596" t="s">
        <v>60</v>
      </c>
      <c r="B265" s="589"/>
      <c r="C265" s="589"/>
      <c r="D265" s="589"/>
      <c r="E265" s="589"/>
      <c r="F265" s="589"/>
      <c r="G265" s="589"/>
      <c r="H265" s="589"/>
      <c r="I265" s="589"/>
      <c r="J265" s="589"/>
      <c r="K265" s="589"/>
      <c r="L265" s="589"/>
      <c r="M265" s="589"/>
      <c r="N265" s="589"/>
      <c r="O265" s="589"/>
      <c r="P265" s="589"/>
      <c r="Q265" s="589"/>
      <c r="R265" s="589"/>
      <c r="S265" s="589"/>
      <c r="T265" s="589"/>
      <c r="U265" s="589"/>
      <c r="V265" s="589"/>
      <c r="W265" s="589"/>
      <c r="X265" s="589"/>
      <c r="Y265" s="589"/>
      <c r="Z265" s="589"/>
      <c r="AA265" s="79">
        <f>SUM(AA119:AA264)</f>
        <v>24217155.242997196</v>
      </c>
    </row>
    <row r="266" spans="1:122">
      <c r="L266" s="70"/>
      <c r="M266" s="70"/>
      <c r="O266" s="248"/>
      <c r="P266" s="248"/>
      <c r="U266" s="248"/>
      <c r="V266" s="248"/>
    </row>
    <row r="267" spans="1:122" s="7" customFormat="1" ht="28.9" customHeight="1">
      <c r="A267" s="597" t="s">
        <v>16</v>
      </c>
      <c r="B267" s="589"/>
      <c r="C267" s="589"/>
      <c r="D267" s="589"/>
      <c r="E267" s="589"/>
      <c r="F267" s="589"/>
      <c r="G267" s="589"/>
      <c r="H267" s="3"/>
      <c r="I267" s="3"/>
      <c r="J267" s="3"/>
      <c r="K267" s="3"/>
      <c r="L267" s="70"/>
      <c r="M267" s="70"/>
      <c r="N267" s="3"/>
      <c r="O267" s="3"/>
      <c r="P267" s="3"/>
      <c r="Q267" s="3"/>
      <c r="R267" s="3"/>
      <c r="S267" s="3"/>
      <c r="T267" s="3"/>
      <c r="U267" s="3"/>
      <c r="V267" s="3"/>
      <c r="W267" s="3"/>
      <c r="X267" s="3"/>
      <c r="Y267" s="3"/>
      <c r="Z267" s="3"/>
      <c r="AA267" s="3"/>
      <c r="AB267" s="3"/>
      <c r="AC267" s="3"/>
      <c r="AD267" s="3"/>
      <c r="AE267" s="3"/>
      <c r="AF267" s="3"/>
    </row>
    <row r="268" spans="1:122" s="7" customFormat="1">
      <c r="A268" s="101"/>
      <c r="B268" s="101"/>
      <c r="C268" s="101"/>
      <c r="D268" s="101"/>
      <c r="E268" s="101"/>
      <c r="F268" s="101"/>
      <c r="G268" s="208"/>
      <c r="H268" s="3"/>
      <c r="I268" s="3"/>
      <c r="J268" s="3"/>
      <c r="K268" s="3"/>
      <c r="L268" s="70"/>
      <c r="M268" s="70"/>
      <c r="N268" s="3"/>
      <c r="O268" s="3"/>
      <c r="P268" s="3"/>
      <c r="Q268" s="3"/>
      <c r="R268" s="3"/>
      <c r="S268" s="3"/>
      <c r="T268" s="3"/>
      <c r="U268" s="3"/>
      <c r="V268" s="3"/>
      <c r="W268" s="3"/>
      <c r="X268" s="3"/>
      <c r="Y268" s="3"/>
      <c r="Z268" s="3"/>
      <c r="AA268" s="3"/>
      <c r="AB268" s="3"/>
      <c r="AC268" s="3"/>
      <c r="AD268" s="3"/>
      <c r="AE268" s="3"/>
      <c r="AF268" s="3"/>
    </row>
    <row r="269" spans="1:122" s="10" customFormat="1" ht="70.5" customHeight="1">
      <c r="A269" s="80" t="s">
        <v>23</v>
      </c>
      <c r="B269" s="80" t="s">
        <v>24</v>
      </c>
      <c r="C269" s="80" t="s">
        <v>1024</v>
      </c>
      <c r="D269" s="80" t="s">
        <v>1025</v>
      </c>
      <c r="E269" s="80" t="s">
        <v>27</v>
      </c>
      <c r="F269" s="80" t="s">
        <v>28</v>
      </c>
      <c r="G269" s="209" t="s">
        <v>52</v>
      </c>
      <c r="H269" s="81" t="s">
        <v>50</v>
      </c>
      <c r="I269" s="81" t="s">
        <v>1026</v>
      </c>
      <c r="J269" s="81" t="s">
        <v>1027</v>
      </c>
      <c r="K269" s="598" t="s">
        <v>46</v>
      </c>
      <c r="L269" s="619"/>
      <c r="M269" s="619"/>
      <c r="N269" s="234" t="s">
        <v>1028</v>
      </c>
      <c r="O269" s="70"/>
      <c r="P269" s="70"/>
      <c r="Q269" s="70"/>
      <c r="R269" s="70"/>
      <c r="S269" s="70"/>
      <c r="T269" s="70"/>
      <c r="U269" s="70"/>
      <c r="V269" s="70"/>
      <c r="AR269" s="7"/>
    </row>
    <row r="270" spans="1:122" s="7" customFormat="1" ht="141" customHeight="1">
      <c r="A270" s="75">
        <v>1</v>
      </c>
      <c r="B270" s="111" t="s">
        <v>1029</v>
      </c>
      <c r="C270" s="75" t="s">
        <v>1030</v>
      </c>
      <c r="D270" s="75" t="s">
        <v>1031</v>
      </c>
      <c r="E270" s="111" t="s">
        <v>1032</v>
      </c>
      <c r="F270" s="112">
        <v>1</v>
      </c>
      <c r="G270" s="82">
        <v>8</v>
      </c>
      <c r="H270" s="76">
        <v>5860001</v>
      </c>
      <c r="I270" s="77">
        <f>H270*G270*F270</f>
        <v>46880008</v>
      </c>
      <c r="J270" s="77">
        <f t="shared" ref="J270:J274" si="109">I270*F270*G270</f>
        <v>375040064</v>
      </c>
      <c r="K270" s="594"/>
      <c r="L270" s="619"/>
      <c r="M270" s="619"/>
      <c r="N270" s="235" t="s">
        <v>1033</v>
      </c>
      <c r="O270" s="599"/>
      <c r="P270" s="70"/>
      <c r="Q270" s="70"/>
      <c r="R270" s="70"/>
      <c r="S270" s="70"/>
      <c r="T270" s="70"/>
      <c r="U270" s="70"/>
      <c r="V270" s="70"/>
      <c r="AR270" s="7">
        <v>1</v>
      </c>
    </row>
    <row r="271" spans="1:122" s="7" customFormat="1" ht="192.75" customHeight="1">
      <c r="A271" s="75">
        <v>2</v>
      </c>
      <c r="B271" s="111" t="s">
        <v>173</v>
      </c>
      <c r="C271" s="75" t="s">
        <v>1034</v>
      </c>
      <c r="D271" s="75" t="s">
        <v>1035</v>
      </c>
      <c r="E271" s="111" t="s">
        <v>1032</v>
      </c>
      <c r="F271" s="112">
        <v>1</v>
      </c>
      <c r="G271" s="82">
        <v>7</v>
      </c>
      <c r="H271" s="76">
        <v>5860001</v>
      </c>
      <c r="I271" s="77">
        <f>H271*G271</f>
        <v>41020007</v>
      </c>
      <c r="J271" s="77">
        <f t="shared" si="109"/>
        <v>287140049</v>
      </c>
      <c r="K271" s="594"/>
      <c r="L271" s="619"/>
      <c r="M271" s="619"/>
      <c r="N271" s="236" t="s">
        <v>1033</v>
      </c>
      <c r="O271" s="599"/>
      <c r="P271" s="70"/>
      <c r="Q271" s="70"/>
      <c r="R271" s="70"/>
      <c r="S271" s="70"/>
      <c r="T271" s="70"/>
      <c r="U271" s="70"/>
      <c r="V271" s="70"/>
      <c r="AR271" s="7">
        <v>2</v>
      </c>
    </row>
    <row r="272" spans="1:122" s="7" customFormat="1" ht="87.75" customHeight="1">
      <c r="A272" s="75"/>
      <c r="B272" s="111"/>
      <c r="C272" s="227"/>
      <c r="D272" s="227"/>
      <c r="E272" s="228"/>
      <c r="F272" s="229"/>
      <c r="G272" s="230"/>
      <c r="H272" s="232" t="s">
        <v>1036</v>
      </c>
      <c r="I272" s="231">
        <f>SUM(I270:I271)</f>
        <v>87900015</v>
      </c>
      <c r="J272" s="77"/>
      <c r="K272" s="63"/>
      <c r="L272" s="218"/>
      <c r="M272" s="218"/>
      <c r="N272" s="236"/>
      <c r="O272" s="219"/>
      <c r="P272" s="70"/>
      <c r="Q272" s="70"/>
      <c r="R272" s="70"/>
      <c r="S272" s="70"/>
      <c r="T272" s="70"/>
      <c r="U272" s="70"/>
      <c r="V272" s="70"/>
    </row>
    <row r="273" spans="1:27" s="7" customFormat="1" ht="218.25" customHeight="1">
      <c r="A273" s="75">
        <v>3</v>
      </c>
      <c r="B273" s="111" t="s">
        <v>1037</v>
      </c>
      <c r="C273" s="75" t="s">
        <v>1038</v>
      </c>
      <c r="D273" s="75" t="s">
        <v>1039</v>
      </c>
      <c r="E273" s="111" t="s">
        <v>1032</v>
      </c>
      <c r="F273" s="112">
        <v>1</v>
      </c>
      <c r="G273" s="82">
        <v>8</v>
      </c>
      <c r="H273" s="76">
        <v>5860001</v>
      </c>
      <c r="I273" s="77">
        <f>H273*G273*F273</f>
        <v>46880008</v>
      </c>
      <c r="J273" s="77">
        <f t="shared" si="109"/>
        <v>375040064</v>
      </c>
      <c r="K273" s="594"/>
      <c r="L273" s="619"/>
      <c r="M273" s="619"/>
      <c r="N273" s="236" t="s">
        <v>1033</v>
      </c>
      <c r="O273" s="70"/>
      <c r="P273" s="70"/>
      <c r="Q273" s="70"/>
      <c r="R273" s="70"/>
      <c r="S273" s="70"/>
      <c r="T273" s="70"/>
      <c r="U273" s="70"/>
      <c r="V273" s="70"/>
    </row>
    <row r="274" spans="1:27" s="7" customFormat="1" ht="150" customHeight="1">
      <c r="A274" s="75">
        <v>4</v>
      </c>
      <c r="B274" s="111" t="s">
        <v>1037</v>
      </c>
      <c r="C274" s="75" t="s">
        <v>1040</v>
      </c>
      <c r="D274" s="75" t="s">
        <v>1041</v>
      </c>
      <c r="E274" s="111" t="s">
        <v>1032</v>
      </c>
      <c r="F274" s="112">
        <v>1</v>
      </c>
      <c r="G274" s="82">
        <v>7</v>
      </c>
      <c r="H274" s="76">
        <v>5860001</v>
      </c>
      <c r="I274" s="77">
        <f>H274*G274*F274</f>
        <v>41020007</v>
      </c>
      <c r="J274" s="77">
        <f t="shared" si="109"/>
        <v>287140049</v>
      </c>
      <c r="K274" s="594"/>
      <c r="L274" s="619"/>
      <c r="M274" s="619"/>
      <c r="N274" s="236" t="s">
        <v>1033</v>
      </c>
      <c r="O274" s="70"/>
      <c r="P274" s="70"/>
      <c r="Q274" s="70"/>
      <c r="R274" s="70"/>
      <c r="S274" s="70"/>
      <c r="T274" s="70"/>
      <c r="U274" s="70"/>
      <c r="V274" s="70"/>
    </row>
    <row r="275" spans="1:27" s="7" customFormat="1" ht="63.75" customHeight="1">
      <c r="A275" s="220"/>
      <c r="B275" s="221"/>
      <c r="C275" s="220"/>
      <c r="D275" s="220"/>
      <c r="E275" s="221"/>
      <c r="F275" s="222"/>
      <c r="G275" s="223"/>
      <c r="H275" s="224" t="s">
        <v>1042</v>
      </c>
      <c r="I275" s="225">
        <f>SUM(I273:I274)</f>
        <v>87900015</v>
      </c>
      <c r="J275" s="225"/>
      <c r="K275" s="226"/>
      <c r="L275"/>
      <c r="M275"/>
      <c r="N275" s="70"/>
      <c r="O275" s="70"/>
      <c r="P275" s="70"/>
      <c r="Q275" s="70"/>
      <c r="R275" s="70"/>
      <c r="S275" s="70"/>
      <c r="T275" s="70"/>
      <c r="U275" s="70"/>
      <c r="V275" s="70"/>
    </row>
    <row r="276" spans="1:27" s="7" customFormat="1" ht="63" customHeight="1">
      <c r="A276" s="600" t="s">
        <v>1043</v>
      </c>
      <c r="B276" s="621"/>
      <c r="C276" s="621"/>
      <c r="D276" s="621"/>
      <c r="E276" s="621"/>
      <c r="F276" s="621"/>
      <c r="G276" s="621"/>
      <c r="H276" s="621"/>
      <c r="I276" s="233">
        <f>I275+I272</f>
        <v>175800030</v>
      </c>
      <c r="J276" s="79">
        <f>SUM(J270:J274)</f>
        <v>1324360226</v>
      </c>
      <c r="K276" s="70"/>
      <c r="L276" s="70"/>
    </row>
    <row r="277" spans="1:27">
      <c r="L277" s="70"/>
      <c r="M277" s="70"/>
    </row>
    <row r="278" spans="1:27">
      <c r="L278" s="70"/>
      <c r="M278" s="70"/>
    </row>
    <row r="279" spans="1:27">
      <c r="L279" s="70"/>
      <c r="M279" s="70"/>
      <c r="P279" s="113"/>
      <c r="Q279" s="113"/>
      <c r="R279" s="113"/>
    </row>
    <row r="280" spans="1:27" ht="14.65" customHeight="1">
      <c r="L280" s="70"/>
      <c r="M280" s="70"/>
      <c r="T280" s="592" t="s">
        <v>57</v>
      </c>
      <c r="U280" s="619"/>
      <c r="V280" s="619"/>
      <c r="W280" s="619"/>
      <c r="X280" s="619"/>
      <c r="Y280" s="620"/>
      <c r="Z280" s="586" t="s">
        <v>58</v>
      </c>
      <c r="AA280" s="593">
        <f>SUM(AA265,L276)</f>
        <v>24217155.242997196</v>
      </c>
    </row>
    <row r="281" spans="1:27" ht="14.65" customHeight="1">
      <c r="T281" s="594"/>
      <c r="U281" s="619"/>
      <c r="V281" s="619"/>
      <c r="W281" s="619"/>
      <c r="X281" s="619"/>
      <c r="Y281" s="620"/>
      <c r="Z281" s="630"/>
      <c r="AA281" s="630"/>
    </row>
    <row r="282" spans="1:27">
      <c r="N282" s="3" t="s">
        <v>1044</v>
      </c>
    </row>
  </sheetData>
  <autoFilter ref="A118:DR265" xr:uid="{A6A03D21-1EA3-4328-A441-5A69C9BDA90B}"/>
  <mergeCells count="33">
    <mergeCell ref="A3:M3"/>
    <mergeCell ref="N3:W6"/>
    <mergeCell ref="Z3:AA3"/>
    <mergeCell ref="A4:B6"/>
    <mergeCell ref="E4:F4"/>
    <mergeCell ref="H4:M4"/>
    <mergeCell ref="Z4:AA4"/>
    <mergeCell ref="D5:F5"/>
    <mergeCell ref="I5:J5"/>
    <mergeCell ref="L5:M5"/>
    <mergeCell ref="Z5:AA5"/>
    <mergeCell ref="D6:M6"/>
    <mergeCell ref="Z6:AA6"/>
    <mergeCell ref="H7:V7"/>
    <mergeCell ref="H9:M9"/>
    <mergeCell ref="N9:S9"/>
    <mergeCell ref="T9:Y9"/>
    <mergeCell ref="Z9:AC9"/>
    <mergeCell ref="AA280:AA281"/>
    <mergeCell ref="T281:Y281"/>
    <mergeCell ref="A10:AC10"/>
    <mergeCell ref="A117:AC117"/>
    <mergeCell ref="A265:Z265"/>
    <mergeCell ref="A267:G267"/>
    <mergeCell ref="K269:M269"/>
    <mergeCell ref="K270:M270"/>
    <mergeCell ref="O270:O271"/>
    <mergeCell ref="K271:M271"/>
    <mergeCell ref="K273:M273"/>
    <mergeCell ref="K274:M274"/>
    <mergeCell ref="A276:H276"/>
    <mergeCell ref="T280:Y280"/>
    <mergeCell ref="Z280:Z281"/>
  </mergeCells>
  <conditionalFormatting sqref="AC12:AC116 AC119:AC264">
    <cfRule type="cellIs" dxfId="26" priority="8" stopIfTrue="1" operator="greaterThan">
      <formula>0.2</formula>
    </cfRule>
  </conditionalFormatting>
  <conditionalFormatting sqref="C239:C245 C248 C250:C255">
    <cfRule type="duplicateValues" dxfId="25" priority="5"/>
  </conditionalFormatting>
  <conditionalFormatting sqref="D262 C119:C170 C172:C198 C200:C260">
    <cfRule type="duplicateValues" dxfId="24" priority="6"/>
  </conditionalFormatting>
  <conditionalFormatting sqref="D260">
    <cfRule type="duplicateValues" dxfId="23" priority="4"/>
  </conditionalFormatting>
  <conditionalFormatting sqref="D261">
    <cfRule type="duplicateValues" dxfId="22" priority="3"/>
  </conditionalFormatting>
  <conditionalFormatting sqref="C263:C264">
    <cfRule type="duplicateValues" dxfId="21" priority="7"/>
  </conditionalFormatting>
  <conditionalFormatting sqref="C119:C170 C172:C198 C200:C262">
    <cfRule type="duplicateValues" dxfId="20" priority="9"/>
  </conditionalFormatting>
  <conditionalFormatting sqref="C199">
    <cfRule type="duplicateValues" dxfId="19" priority="1"/>
  </conditionalFormatting>
  <conditionalFormatting sqref="C199">
    <cfRule type="duplicateValues" dxfId="18" priority="2"/>
  </conditionalFormatting>
  <dataValidations count="2">
    <dataValidation type="list" allowBlank="1" showInputMessage="1" showErrorMessage="1" sqref="E260:E262" xr:uid="{8C96AF40-DD16-4E3A-9B06-FD41AD9FEF80}">
      <formula1>"Bolsa,Nuevo Elemento"</formula1>
    </dataValidation>
    <dataValidation type="list" allowBlank="1" showInputMessage="1" showErrorMessage="1" sqref="G119:G262 G12:G116" xr:uid="{081D89F2-541E-4584-9694-079136476D92}">
      <formula1>"Compra,Alquiler,PrestaciónServicio"</formula1>
    </dataValidation>
  </dataValidations>
  <pageMargins left="0.25" right="0.25" top="0.75" bottom="0.75" header="0.3" footer="0.3"/>
  <pageSetup paperSize="3" scale="10" orientation="landscape" r:id="rId1"/>
  <rowBreaks count="1" manualBreakCount="1">
    <brk id="113" max="30" man="1"/>
  </rowBreaks>
  <colBreaks count="3" manualBreakCount="3">
    <brk id="3" max="314" man="1"/>
    <brk id="13" max="1048575" man="1"/>
    <brk id="25" max="176"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pageSetUpPr fitToPage="1"/>
  </sheetPr>
  <dimension ref="A3:DU278"/>
  <sheetViews>
    <sheetView view="pageBreakPreview" topLeftCell="A250" zoomScale="65" zoomScaleNormal="40" zoomScaleSheetLayoutView="65" workbookViewId="0">
      <selection activeCell="D258" sqref="D258"/>
    </sheetView>
  </sheetViews>
  <sheetFormatPr defaultColWidth="11.28515625" defaultRowHeight="21"/>
  <cols>
    <col min="1" max="1" width="17.28515625" style="3" customWidth="1"/>
    <col min="2" max="2" width="24.28515625" style="3" customWidth="1"/>
    <col min="3" max="3" width="33.28515625" style="3" customWidth="1"/>
    <col min="4" max="4" width="67.28515625" style="3" customWidth="1"/>
    <col min="5" max="5" width="18" style="3" customWidth="1"/>
    <col min="6" max="6" width="17.28515625" style="3" customWidth="1"/>
    <col min="7" max="7" width="28.28515625" style="204" customWidth="1"/>
    <col min="8" max="8" width="40.42578125" style="3" customWidth="1"/>
    <col min="9" max="9" width="29.7109375" style="3" customWidth="1"/>
    <col min="10" max="11" width="25.28515625" style="3" customWidth="1"/>
    <col min="12" max="12" width="32.5703125" style="3" customWidth="1"/>
    <col min="13" max="13" width="25.28515625" style="3" customWidth="1"/>
    <col min="14" max="14" width="22.28515625" style="3" customWidth="1"/>
    <col min="15" max="15" width="29.7109375" style="3" bestFit="1" customWidth="1"/>
    <col min="16" max="16" width="24.28515625" style="3" customWidth="1"/>
    <col min="17" max="17" width="29.7109375" style="3" customWidth="1"/>
    <col min="18" max="18" width="30.42578125" style="3" customWidth="1"/>
    <col min="19" max="19" width="31.28515625" style="3" customWidth="1"/>
    <col min="20" max="20" width="24.28515625" style="3" customWidth="1"/>
    <col min="21" max="21" width="29.7109375" style="3" bestFit="1" customWidth="1"/>
    <col min="22" max="22" width="23.7109375" style="3" bestFit="1" customWidth="1"/>
    <col min="23" max="23" width="29.7109375" style="3" customWidth="1"/>
    <col min="24" max="24" width="30.42578125" style="3" customWidth="1"/>
    <col min="25" max="25" width="31.28515625" style="3" customWidth="1"/>
    <col min="26" max="26" width="33" style="3" bestFit="1" customWidth="1"/>
    <col min="27" max="27" width="35.7109375" style="3" customWidth="1"/>
    <col min="28" max="29" width="24.28515625" style="3" customWidth="1"/>
    <col min="30" max="30" width="56.28515625" style="3" customWidth="1"/>
    <col min="31" max="31" width="67.28515625" style="3" customWidth="1"/>
    <col min="32" max="32" width="39.28515625" style="3" customWidth="1"/>
    <col min="33" max="55" width="11.28515625" style="3" customWidth="1"/>
    <col min="56" max="56" width="5.28515625" style="3" customWidth="1"/>
    <col min="57" max="104" width="11.28515625" style="3" customWidth="1"/>
    <col min="105" max="105" width="26.42578125" style="3" customWidth="1"/>
    <col min="106" max="106" width="40.28515625" style="3" customWidth="1"/>
    <col min="107" max="111" width="11.28515625" style="3" customWidth="1"/>
    <col min="112" max="112" width="11.28515625" style="3"/>
    <col min="113" max="113" width="11.28515625" style="252"/>
    <col min="114" max="114" width="24.28515625" style="3" customWidth="1"/>
    <col min="115" max="118" width="15.28515625" style="3" customWidth="1"/>
    <col min="119" max="119" width="11.28515625" style="3" customWidth="1"/>
    <col min="120" max="122" width="15.28515625" style="3" customWidth="1"/>
    <col min="123" max="123" width="11.28515625" style="3" customWidth="1"/>
    <col min="124" max="124" width="11.28515625" style="3"/>
    <col min="125" max="125" width="40.85546875" style="3" customWidth="1"/>
    <col min="126" max="16384" width="11.28515625" style="3"/>
  </cols>
  <sheetData>
    <row r="3" spans="1:122" s="1" customFormat="1" ht="93.6" customHeight="1">
      <c r="A3" s="360" t="s">
        <v>158</v>
      </c>
      <c r="B3" s="218"/>
      <c r="C3" s="218"/>
      <c r="D3" s="218"/>
      <c r="E3" s="218"/>
      <c r="F3" s="218"/>
      <c r="G3" s="218"/>
      <c r="H3" s="218"/>
      <c r="I3" s="218"/>
      <c r="J3" s="218"/>
      <c r="K3" s="218"/>
      <c r="L3" s="218"/>
      <c r="M3" s="346"/>
      <c r="N3" s="368" t="s">
        <v>9</v>
      </c>
      <c r="O3" s="342"/>
      <c r="P3" s="342"/>
      <c r="Q3" s="342"/>
      <c r="R3" s="342"/>
      <c r="S3" s="342"/>
      <c r="T3" s="342"/>
      <c r="U3" s="342"/>
      <c r="V3" s="342"/>
      <c r="W3" s="342"/>
      <c r="X3" s="33"/>
      <c r="Y3" s="33"/>
      <c r="Z3" s="353" t="s">
        <v>159</v>
      </c>
      <c r="AA3" s="354"/>
      <c r="AB3" s="237" t="e">
        <f>#REF!</f>
        <v>#REF!</v>
      </c>
      <c r="AC3" s="33"/>
      <c r="DI3" s="252"/>
    </row>
    <row r="4" spans="1:122" s="2" customFormat="1" ht="93.6" customHeight="1">
      <c r="A4" s="20"/>
      <c r="B4" s="349"/>
      <c r="C4" s="45" t="s">
        <v>160</v>
      </c>
      <c r="D4" s="182">
        <v>46182</v>
      </c>
      <c r="E4" s="45" t="s">
        <v>11</v>
      </c>
      <c r="F4" s="346"/>
      <c r="G4" s="201" t="s">
        <v>161</v>
      </c>
      <c r="H4" s="114"/>
      <c r="I4" s="218"/>
      <c r="J4" s="218"/>
      <c r="K4" s="218"/>
      <c r="L4" s="218"/>
      <c r="M4" s="346"/>
      <c r="N4" s="343"/>
      <c r="O4" s="354"/>
      <c r="P4" s="354"/>
      <c r="Q4" s="354"/>
      <c r="R4" s="354"/>
      <c r="S4" s="354"/>
      <c r="T4" s="354"/>
      <c r="U4" s="354"/>
      <c r="V4" s="354"/>
      <c r="W4" s="354"/>
      <c r="Z4" s="353" t="s">
        <v>162</v>
      </c>
      <c r="AA4" s="354"/>
      <c r="AB4" s="73">
        <f>IF(B12="","",AA261)</f>
        <v>217735290.46826354</v>
      </c>
      <c r="AC4" s="38"/>
      <c r="DI4" s="252"/>
    </row>
    <row r="5" spans="1:122" s="2" customFormat="1" ht="93.6" customHeight="1">
      <c r="A5" s="343"/>
      <c r="B5" s="350"/>
      <c r="C5" s="114" t="s">
        <v>12</v>
      </c>
      <c r="D5" s="20" t="s">
        <v>163</v>
      </c>
      <c r="E5" s="218"/>
      <c r="F5" s="346"/>
      <c r="G5" s="203"/>
      <c r="H5" s="114" t="s">
        <v>13</v>
      </c>
      <c r="I5" s="20"/>
      <c r="J5" s="346"/>
      <c r="K5" s="114" t="s">
        <v>14</v>
      </c>
      <c r="L5" s="20"/>
      <c r="M5" s="346"/>
      <c r="N5" s="343"/>
      <c r="O5" s="354"/>
      <c r="P5" s="354"/>
      <c r="Q5" s="354"/>
      <c r="R5" s="354"/>
      <c r="S5" s="354"/>
      <c r="T5" s="354"/>
      <c r="U5" s="354"/>
      <c r="V5" s="354"/>
      <c r="W5" s="354"/>
      <c r="Z5" s="353" t="s">
        <v>164</v>
      </c>
      <c r="AA5" s="354"/>
      <c r="AB5" s="73">
        <f>I272</f>
        <v>175800030</v>
      </c>
      <c r="AC5" s="38"/>
      <c r="AD5" s="105" t="s">
        <v>165</v>
      </c>
      <c r="AE5" s="2" t="s">
        <v>166</v>
      </c>
      <c r="DI5" s="252"/>
    </row>
    <row r="6" spans="1:122" s="2" customFormat="1" ht="47.65" customHeight="1">
      <c r="A6" s="344"/>
      <c r="B6" s="347"/>
      <c r="C6" s="115" t="s">
        <v>15</v>
      </c>
      <c r="D6" s="358" t="s">
        <v>167</v>
      </c>
      <c r="E6" s="218"/>
      <c r="F6" s="218"/>
      <c r="G6" s="218"/>
      <c r="H6" s="218"/>
      <c r="I6" s="218"/>
      <c r="J6" s="218"/>
      <c r="K6" s="218"/>
      <c r="L6" s="218"/>
      <c r="M6" s="346"/>
      <c r="N6" s="344"/>
      <c r="O6" s="345"/>
      <c r="P6" s="345"/>
      <c r="Q6" s="345"/>
      <c r="R6" s="345"/>
      <c r="S6" s="345"/>
      <c r="T6" s="345"/>
      <c r="U6" s="345"/>
      <c r="V6" s="345"/>
      <c r="W6" s="345"/>
      <c r="Z6" s="353" t="s">
        <v>168</v>
      </c>
      <c r="AA6" s="354"/>
      <c r="AB6" s="74" t="e">
        <f>IF(B12="","",(AB4+AB5+AB3))</f>
        <v>#REF!</v>
      </c>
      <c r="AD6" s="103"/>
      <c r="AE6" s="104"/>
      <c r="DA6">
        <v>1</v>
      </c>
      <c r="DB6">
        <v>2</v>
      </c>
      <c r="DC6">
        <v>10</v>
      </c>
      <c r="DD6">
        <v>14</v>
      </c>
      <c r="DE6">
        <v>23</v>
      </c>
      <c r="DF6">
        <v>29</v>
      </c>
      <c r="DG6">
        <v>36</v>
      </c>
      <c r="DH6">
        <v>40</v>
      </c>
      <c r="DI6" s="252"/>
      <c r="DJ6">
        <v>48</v>
      </c>
    </row>
    <row r="7" spans="1:122" ht="59.65" customHeight="1">
      <c r="H7" s="362"/>
      <c r="I7" s="342"/>
      <c r="J7" s="342"/>
      <c r="K7" s="342"/>
      <c r="L7" s="342"/>
      <c r="M7" s="342"/>
      <c r="N7" s="342"/>
      <c r="O7" s="342"/>
      <c r="P7" s="342"/>
      <c r="Q7" s="342"/>
      <c r="R7" s="342"/>
      <c r="S7" s="342"/>
      <c r="T7" s="342"/>
      <c r="U7" s="342"/>
      <c r="V7" s="342"/>
      <c r="DA7" t="s">
        <v>25</v>
      </c>
      <c r="DB7" t="s">
        <v>26</v>
      </c>
      <c r="DC7" t="s">
        <v>29</v>
      </c>
      <c r="DD7" t="s">
        <v>170</v>
      </c>
      <c r="DE7" t="s">
        <v>35</v>
      </c>
      <c r="DF7" t="s">
        <v>32</v>
      </c>
      <c r="DG7" t="s">
        <v>36</v>
      </c>
      <c r="DH7" t="s">
        <v>30</v>
      </c>
      <c r="DJ7" t="s">
        <v>41</v>
      </c>
    </row>
    <row r="8" spans="1:122">
      <c r="A8" s="4"/>
      <c r="J8" s="16"/>
      <c r="K8" s="16"/>
      <c r="L8" s="16"/>
      <c r="M8" s="16"/>
      <c r="P8" s="16"/>
      <c r="Q8" s="16"/>
      <c r="R8" s="16"/>
      <c r="S8" s="16"/>
      <c r="V8" s="16"/>
      <c r="W8" s="16"/>
      <c r="X8" s="16"/>
      <c r="Y8" s="16"/>
      <c r="Z8" s="16"/>
    </row>
    <row r="9" spans="1:122" s="18" customFormat="1" ht="23.65" customHeight="1">
      <c r="G9" s="205"/>
      <c r="H9" s="359" t="s">
        <v>17</v>
      </c>
      <c r="I9" s="345"/>
      <c r="J9" s="345"/>
      <c r="K9" s="345"/>
      <c r="L9" s="345"/>
      <c r="M9" s="347"/>
      <c r="N9" s="369" t="s">
        <v>18</v>
      </c>
      <c r="O9" s="345"/>
      <c r="P9" s="345"/>
      <c r="Q9" s="345"/>
      <c r="R9" s="345"/>
      <c r="S9" s="347"/>
      <c r="T9" s="355" t="s">
        <v>19</v>
      </c>
      <c r="U9" s="345"/>
      <c r="V9" s="345"/>
      <c r="W9" s="345"/>
      <c r="X9" s="345"/>
      <c r="Y9" s="347"/>
      <c r="Z9" s="357" t="s">
        <v>21</v>
      </c>
      <c r="AA9" s="345"/>
      <c r="AB9" s="345"/>
      <c r="AC9" s="345"/>
      <c r="AE9" s="334" t="s">
        <v>1045</v>
      </c>
      <c r="DA9" s="18" t="s">
        <v>171</v>
      </c>
      <c r="DI9" s="252"/>
      <c r="DJ9" s="18" t="s">
        <v>172</v>
      </c>
    </row>
    <row r="10" spans="1:122" s="18" customFormat="1" ht="42" customHeight="1">
      <c r="A10" s="361" t="s">
        <v>173</v>
      </c>
      <c r="B10" s="345"/>
      <c r="C10" s="345"/>
      <c r="D10" s="345"/>
      <c r="E10" s="345"/>
      <c r="F10" s="345"/>
      <c r="G10" s="345"/>
      <c r="H10" s="345"/>
      <c r="I10" s="345"/>
      <c r="J10" s="345"/>
      <c r="K10" s="345"/>
      <c r="L10" s="345"/>
      <c r="M10" s="345"/>
      <c r="N10" s="345"/>
      <c r="O10" s="345"/>
      <c r="P10" s="345"/>
      <c r="Q10" s="345"/>
      <c r="R10" s="345"/>
      <c r="S10" s="345"/>
      <c r="T10" s="345"/>
      <c r="U10" s="345"/>
      <c r="V10" s="345"/>
      <c r="W10" s="345"/>
      <c r="X10" s="345"/>
      <c r="Y10" s="345"/>
      <c r="Z10" s="345"/>
      <c r="AA10" s="345"/>
      <c r="AB10" s="345"/>
      <c r="AC10" s="345"/>
      <c r="AD10" s="7" t="s">
        <v>1046</v>
      </c>
      <c r="AE10" s="334" t="s">
        <v>1047</v>
      </c>
      <c r="DI10" s="252"/>
    </row>
    <row r="11" spans="1:122" s="177" customFormat="1" ht="103.15" customHeight="1">
      <c r="A11" s="178" t="s">
        <v>23</v>
      </c>
      <c r="B11" s="178" t="s">
        <v>24</v>
      </c>
      <c r="C11" s="178" t="s">
        <v>25</v>
      </c>
      <c r="D11" s="178" t="s">
        <v>26</v>
      </c>
      <c r="E11" s="178" t="s">
        <v>27</v>
      </c>
      <c r="F11" s="178" t="s">
        <v>28</v>
      </c>
      <c r="G11" s="206" t="s">
        <v>174</v>
      </c>
      <c r="H11" s="179" t="s">
        <v>29</v>
      </c>
      <c r="I11" s="179" t="s">
        <v>30</v>
      </c>
      <c r="J11" s="179" t="s">
        <v>175</v>
      </c>
      <c r="K11" s="179" t="s">
        <v>32</v>
      </c>
      <c r="L11" s="179" t="s">
        <v>33</v>
      </c>
      <c r="M11" s="179" t="s">
        <v>34</v>
      </c>
      <c r="N11" s="178" t="s">
        <v>35</v>
      </c>
      <c r="O11" s="178" t="s">
        <v>30</v>
      </c>
      <c r="P11" s="178" t="s">
        <v>176</v>
      </c>
      <c r="Q11" s="178" t="s">
        <v>32</v>
      </c>
      <c r="R11" s="178" t="s">
        <v>33</v>
      </c>
      <c r="S11" s="178" t="s">
        <v>34</v>
      </c>
      <c r="T11" s="180" t="s">
        <v>36</v>
      </c>
      <c r="U11" s="180" t="s">
        <v>30</v>
      </c>
      <c r="V11" s="180" t="s">
        <v>31</v>
      </c>
      <c r="W11" s="180" t="s">
        <v>32</v>
      </c>
      <c r="X11" s="180" t="s">
        <v>33</v>
      </c>
      <c r="Y11" s="180" t="s">
        <v>34</v>
      </c>
      <c r="Z11" s="179" t="s">
        <v>38</v>
      </c>
      <c r="AA11" s="179" t="s">
        <v>39</v>
      </c>
      <c r="AB11" s="179" t="s">
        <v>40</v>
      </c>
      <c r="AC11" s="179" t="s">
        <v>41</v>
      </c>
      <c r="AD11" s="181" t="s">
        <v>46</v>
      </c>
      <c r="AE11" s="177" t="s">
        <v>1048</v>
      </c>
      <c r="AF11" s="177" t="s">
        <v>1049</v>
      </c>
      <c r="DA11" s="177" t="s">
        <v>177</v>
      </c>
      <c r="DB11" s="177" t="s">
        <v>178</v>
      </c>
      <c r="DC11" s="177" t="s">
        <v>179</v>
      </c>
      <c r="DD11" s="177" t="s">
        <v>180</v>
      </c>
      <c r="DE11" s="177" t="s">
        <v>181</v>
      </c>
      <c r="DF11" s="177" t="s">
        <v>182</v>
      </c>
      <c r="DG11" s="177" t="s">
        <v>183</v>
      </c>
      <c r="DH11" s="177" t="s">
        <v>184</v>
      </c>
      <c r="DI11" s="252" t="s">
        <v>185</v>
      </c>
      <c r="DJ11" s="177" t="s">
        <v>177</v>
      </c>
      <c r="DK11" s="177" t="s">
        <v>178</v>
      </c>
      <c r="DL11" s="177" t="s">
        <v>179</v>
      </c>
      <c r="DM11" s="177" t="s">
        <v>180</v>
      </c>
      <c r="DN11" s="177" t="s">
        <v>181</v>
      </c>
      <c r="DO11" s="177" t="s">
        <v>182</v>
      </c>
      <c r="DP11" s="177" t="s">
        <v>183</v>
      </c>
      <c r="DQ11" s="177" t="s">
        <v>184</v>
      </c>
      <c r="DR11" s="177" t="s">
        <v>185</v>
      </c>
    </row>
    <row r="12" spans="1:122" s="7" customFormat="1" ht="100.9" customHeight="1">
      <c r="A12" s="75">
        <v>1</v>
      </c>
      <c r="B12" s="249" t="s">
        <v>186</v>
      </c>
      <c r="C12" s="95" t="s">
        <v>187</v>
      </c>
      <c r="D12" s="75" t="str">
        <f>IF(C12="","",VLOOKUP(C12,listaBolsa!$D$2:$H$276,2,0))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2" s="111" t="str">
        <f>IF(C12="","",VLOOKUP(C12,listaBolsa!$D$2:$H$276,3,0))</f>
        <v>Unidad</v>
      </c>
      <c r="F12" s="112">
        <v>400</v>
      </c>
      <c r="G12" s="200" t="str">
        <f>IF(C12="","",VLOOKUP(C12,listaBolsa!$D$2:$H$276,5,0))</f>
        <v>Compra</v>
      </c>
      <c r="H12" s="106" t="str">
        <f>IF(C12="","",VLOOKUP(C12,listaBolsa!$D$2:$W$276,10,0))</f>
        <v>INVERSIONES BECORATI E Y O SAS</v>
      </c>
      <c r="I12" s="107">
        <f>IF(C12="","",VLOOKUP(C12,listaBolsa!$D$2:$W$276,14,0))</f>
        <v>11700</v>
      </c>
      <c r="J12" s="96">
        <f t="shared" ref="J12:J19" si="0">I12*19%</f>
        <v>2223</v>
      </c>
      <c r="K12" s="96">
        <f t="shared" ref="K12:K45" si="1">I12+J12</f>
        <v>13923</v>
      </c>
      <c r="L12" s="96">
        <f t="shared" ref="L12:L45" si="2">IF(B12="","",(I12*F12))</f>
        <v>4680000</v>
      </c>
      <c r="M12" s="96">
        <f t="shared" ref="M12:M45" si="3">IF(B12="","",(K12*F12))</f>
        <v>5569200</v>
      </c>
      <c r="N12" s="108" t="str">
        <f>IF(C12="","",VLOOKUP(C12,listaBolsa!$D$2:$AZ$276,23,0))</f>
        <v>ENTERPRISE INVESTMENT DEVELOPMENT S.A.S.</v>
      </c>
      <c r="O12" s="109">
        <f>IF(C12="","",VLOOKUP(C12,listaBolsa!$D$2:$AZ$276,27,0))</f>
        <v>8570</v>
      </c>
      <c r="P12" s="110">
        <f t="shared" ref="P12:P18" si="4">O12*19%</f>
        <v>1628.3</v>
      </c>
      <c r="Q12" s="110">
        <f t="shared" ref="Q12:Q43" si="5">O12+P12</f>
        <v>10198.299999999999</v>
      </c>
      <c r="R12" s="110">
        <f t="shared" ref="R12:R43" si="6">IF(B12="","",(O12*F12))</f>
        <v>3428000</v>
      </c>
      <c r="S12" s="110">
        <f t="shared" ref="S12:S43" si="7">IF(B12="","",(Q12*F12))</f>
        <v>4079319.9999999995</v>
      </c>
      <c r="T12" s="97" t="str">
        <f>IF(C12="","",VLOOKUP(C12,listaBolsa!$D$2:$BB$276,36,0))</f>
        <v>Estimación de precios con base en el proceso FDLSUBA-LP-013-2025 (140689) – Contrato 1000 – 2025, indexando el incremento de precios en el mercado con base en el Índice de Precios al Consumidor (IPC) para el mes de marzo de 2026, el cual fue de 5,56%.</v>
      </c>
      <c r="U12" s="98">
        <f>IF(C12="","",VLOOKUP(C12,listaBolsa!$D$2:$BB$276,40,0))</f>
        <v>12843.518518518518</v>
      </c>
      <c r="V12" s="99">
        <f t="shared" ref="V12:V18" si="8">U12*19%</f>
        <v>2440.2685185185187</v>
      </c>
      <c r="W12" s="99">
        <f t="shared" ref="W12:W42" si="9">U12+V12</f>
        <v>15283.787037037036</v>
      </c>
      <c r="X12" s="99">
        <f t="shared" ref="X12:X42" si="10">IF(B12="","",(U12*F12))</f>
        <v>5137407.4074074076</v>
      </c>
      <c r="Y12" s="99">
        <f t="shared" ref="Y12:Y42" si="11">IF(B12="","",(W12*F12))</f>
        <v>6113514.8148148144</v>
      </c>
      <c r="Z12" s="100">
        <f>IF(A12="","",AVERAGE(K12,Q12,W12))</f>
        <v>13135.02901234568</v>
      </c>
      <c r="AA12" s="100">
        <f>IF(B12="","",Z12*F12)</f>
        <v>5254011.6049382724</v>
      </c>
      <c r="AB12" s="78">
        <f>IF(B12="","",STDEV(M12,S12,Y12))</f>
        <v>1053088.2818838458</v>
      </c>
      <c r="AC12" s="102">
        <f t="shared" ref="AC12:AC43" si="12">IF(B12="","",(AB12/AA12))</f>
        <v>0.20043508866521018</v>
      </c>
      <c r="AD12" s="5"/>
      <c r="AE12" s="7" t="s">
        <v>1050</v>
      </c>
      <c r="AF12" s="7" t="str">
        <f>VLOOKUP(C12,Estudio_Mercado_Ori!$C$12:$AH$1115,32,0)</f>
        <v>1PROCEDAS</v>
      </c>
      <c r="BG12" s="7">
        <v>1</v>
      </c>
      <c r="DA12" s="7" t="str">
        <f>VLOOKUP(C12,listaBolsa!$D$2:$BA$1248,1,0)</f>
        <v>Refrigerio Tipo 1</v>
      </c>
      <c r="DB12" s="7" t="str">
        <f>VLOOKUP(C12,listaBolsa!$D$2:$BA$1248,2,0)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C12" s="7" t="str">
        <f>VLOOKUP(C12,listaBolsa!$D$2:$BA$1248,10,0)</f>
        <v>INVERSIONES BECORATI E Y O SAS</v>
      </c>
      <c r="DD12" s="7">
        <f>VLOOKUP(C12,listaBolsa!$D$2:$BA$1248,14,0)</f>
        <v>11700</v>
      </c>
      <c r="DE12" s="7" t="str">
        <f>VLOOKUP(C12,listaBolsa!$D$2:$BA$1248,23,0)</f>
        <v>ENTERPRISE INVESTMENT DEVELOPMENT S.A.S.</v>
      </c>
      <c r="DF12" s="7">
        <f>VLOOKUP(C12,listaBolsa!$D$2:$BA$1248,29,0)</f>
        <v>9255.6</v>
      </c>
      <c r="DG12" s="7" t="str">
        <f>VLOOKUP(C12,listaBolsa!$D$2:$BA$1248,36,0)</f>
        <v>Estimación de precios con base en el proceso FDLSUBA-LP-013-2025 (140689) – Contrato 1000 – 2025, indexando el incremento de precios en el mercado con base en el Índice de Precios al Consumidor (IPC) para el mes de marzo de 2026, el cual fue de 5,56%.</v>
      </c>
      <c r="DH12" s="7">
        <f>VLOOKUP(C12,listaBolsa!$D$2:$BA$1248,40,0)</f>
        <v>12843.518518518518</v>
      </c>
      <c r="DI12" s="253">
        <f>VLOOKUP(C12,listaBolsa!$D$2:$BA$1248,48,0)</f>
        <v>0.20043508866520951</v>
      </c>
      <c r="DJ12" s="7" t="b">
        <f t="shared" ref="DJ12:DJ43" si="13">DA12=C12</f>
        <v>1</v>
      </c>
      <c r="DK12" s="7" t="b">
        <f t="shared" ref="DK12:DK43" si="14">DB12=D12</f>
        <v>1</v>
      </c>
      <c r="DL12" s="7" t="b">
        <f t="shared" ref="DL12:DL43" si="15">DC12=H12</f>
        <v>1</v>
      </c>
      <c r="DM12" s="7" t="b">
        <f t="shared" ref="DM12:DM43" si="16">DD12=I12</f>
        <v>1</v>
      </c>
      <c r="DN12" s="7" t="b">
        <f t="shared" ref="DN12:DN43" si="17">DE12=N12</f>
        <v>1</v>
      </c>
      <c r="DO12" s="7" t="b">
        <f t="shared" ref="DO12:DO43" si="18">DF12=O12</f>
        <v>0</v>
      </c>
      <c r="DP12" s="7" t="b">
        <f t="shared" ref="DP12:DP43" si="19">DG12=T12</f>
        <v>1</v>
      </c>
      <c r="DQ12" s="7" t="b">
        <f t="shared" ref="DQ12:DQ43" si="20">DH12=U12</f>
        <v>1</v>
      </c>
      <c r="DR12" s="7" t="b">
        <f t="shared" ref="DR12:DR43" si="21">DI12=AC12</f>
        <v>1</v>
      </c>
    </row>
    <row r="13" spans="1:122" s="7" customFormat="1" ht="85.5" customHeight="1">
      <c r="A13" s="75">
        <v>2</v>
      </c>
      <c r="B13" s="249" t="s">
        <v>186</v>
      </c>
      <c r="C13" s="95" t="s">
        <v>189</v>
      </c>
      <c r="D13" s="75" t="s">
        <v>190</v>
      </c>
      <c r="E13" s="111" t="s">
        <v>191</v>
      </c>
      <c r="F13" s="112">
        <v>1</v>
      </c>
      <c r="G13" s="200" t="s">
        <v>192</v>
      </c>
      <c r="H13" s="106" t="s">
        <v>193</v>
      </c>
      <c r="I13" s="107">
        <v>15000</v>
      </c>
      <c r="J13" s="96">
        <f t="shared" si="0"/>
        <v>2850</v>
      </c>
      <c r="K13" s="96">
        <f t="shared" si="1"/>
        <v>17850</v>
      </c>
      <c r="L13" s="96">
        <f t="shared" si="2"/>
        <v>15000</v>
      </c>
      <c r="M13" s="96">
        <f t="shared" si="3"/>
        <v>17850</v>
      </c>
      <c r="N13" s="195" t="s">
        <v>194</v>
      </c>
      <c r="O13" s="109">
        <v>16200</v>
      </c>
      <c r="P13" s="110">
        <f t="shared" si="4"/>
        <v>3078</v>
      </c>
      <c r="Q13" s="110">
        <f t="shared" si="5"/>
        <v>19278</v>
      </c>
      <c r="R13" s="110">
        <f t="shared" si="6"/>
        <v>16200</v>
      </c>
      <c r="S13" s="110">
        <f t="shared" si="7"/>
        <v>19278</v>
      </c>
      <c r="T13" s="97" t="s">
        <v>195</v>
      </c>
      <c r="U13" s="98">
        <v>13319.32773109244</v>
      </c>
      <c r="V13" s="99">
        <f t="shared" si="8"/>
        <v>2530.6722689075636</v>
      </c>
      <c r="W13" s="99">
        <f t="shared" si="9"/>
        <v>15850.000000000004</v>
      </c>
      <c r="X13" s="99">
        <f t="shared" si="10"/>
        <v>13319.32773109244</v>
      </c>
      <c r="Y13" s="99">
        <f t="shared" si="11"/>
        <v>15850.000000000004</v>
      </c>
      <c r="Z13" s="100">
        <f>IF(A13="","",AVERAGE(K13,Q13,W13))</f>
        <v>17659.333333333332</v>
      </c>
      <c r="AA13" s="100">
        <f>IF(B13="","",Z13*F13)</f>
        <v>17659.333333333332</v>
      </c>
      <c r="AB13" s="78">
        <f>IF(B13="","",STDEV(M13,S13,Y13))</f>
        <v>1721.9353452825478</v>
      </c>
      <c r="AC13" s="102">
        <f t="shared" si="12"/>
        <v>9.7508513644298453E-2</v>
      </c>
      <c r="AD13" s="5"/>
      <c r="AE13" s="7" t="s">
        <v>1051</v>
      </c>
      <c r="AF13" s="7" t="str">
        <f>VLOOKUP(C13,Estudio_Mercado_Ori!$C$12:$AH$1115,32,0)</f>
        <v>2PROCEDAS</v>
      </c>
      <c r="BG13" s="7">
        <v>2</v>
      </c>
      <c r="DA13" s="7" t="str">
        <f>VLOOKUP(C13,listaBolsa!$D$2:$BA$1248,1,0)</f>
        <v>Bolsas negras</v>
      </c>
      <c r="DB13" s="7">
        <f>VLOOKUP(C13,listaBolsa!$D$2:$BA$1248,2,0)</f>
        <v>0</v>
      </c>
      <c r="DC13" s="7" t="str">
        <f>VLOOKUP(C13,listaBolsa!$D$2:$BA$1248,10,0)</f>
        <v>AVANCE ORGANIZACIONAL CONSULTORES SAS</v>
      </c>
      <c r="DD13" s="7">
        <f>VLOOKUP(C13,listaBolsa!$D$2:$BA$1248,14,0)</f>
        <v>15000</v>
      </c>
      <c r="DE13" s="7" t="str">
        <f>VLOOKUP(C13,listaBolsa!$D$2:$BA$1248,23,0)</f>
        <v>SIDED</v>
      </c>
      <c r="DF13" s="7">
        <f>VLOOKUP(C13,listaBolsa!$D$2:$BA$1248,29,0)</f>
        <v>19278</v>
      </c>
      <c r="DG13" s="7" t="str">
        <f>VLOOKUP(C13,listaBolsa!$D$2:$BA$1248,36,0)</f>
        <v>SUPER DESECHABLES DEL NORTE</v>
      </c>
      <c r="DH13" s="7">
        <f>VLOOKUP(C13,listaBolsa!$D$2:$BA$1248,40,0)</f>
        <v>13319.33</v>
      </c>
      <c r="DI13" s="253">
        <f>VLOOKUP(C13,listaBolsa!$D$2:$BA$1248,48,0)</f>
        <v>9.7500000000000003E-2</v>
      </c>
      <c r="DJ13" s="7" t="b">
        <f t="shared" si="13"/>
        <v>1</v>
      </c>
      <c r="DK13" s="7" t="b">
        <f t="shared" si="14"/>
        <v>0</v>
      </c>
      <c r="DL13" s="7" t="b">
        <f t="shared" si="15"/>
        <v>1</v>
      </c>
      <c r="DM13" s="7" t="b">
        <f t="shared" si="16"/>
        <v>1</v>
      </c>
      <c r="DN13" s="7" t="b">
        <f t="shared" si="17"/>
        <v>1</v>
      </c>
      <c r="DO13" s="7" t="b">
        <f t="shared" si="18"/>
        <v>0</v>
      </c>
      <c r="DP13" s="7" t="b">
        <f t="shared" si="19"/>
        <v>1</v>
      </c>
      <c r="DQ13" s="7" t="b">
        <f t="shared" si="20"/>
        <v>0</v>
      </c>
      <c r="DR13" s="7" t="b">
        <f t="shared" si="21"/>
        <v>0</v>
      </c>
    </row>
    <row r="14" spans="1:122" s="7" customFormat="1" ht="85.5" customHeight="1">
      <c r="A14" s="75">
        <v>3</v>
      </c>
      <c r="B14" s="249" t="s">
        <v>186</v>
      </c>
      <c r="C14" s="95" t="s">
        <v>197</v>
      </c>
      <c r="D14" s="75" t="s">
        <v>198</v>
      </c>
      <c r="E14" s="111" t="s">
        <v>191</v>
      </c>
      <c r="F14" s="112">
        <v>1</v>
      </c>
      <c r="G14" s="200" t="s">
        <v>192</v>
      </c>
      <c r="H14" s="106" t="s">
        <v>193</v>
      </c>
      <c r="I14" s="107">
        <v>15000</v>
      </c>
      <c r="J14" s="96">
        <f t="shared" si="0"/>
        <v>2850</v>
      </c>
      <c r="K14" s="96">
        <f t="shared" si="1"/>
        <v>17850</v>
      </c>
      <c r="L14" s="96">
        <f t="shared" si="2"/>
        <v>15000</v>
      </c>
      <c r="M14" s="96">
        <f t="shared" si="3"/>
        <v>17850</v>
      </c>
      <c r="N14" s="195" t="s">
        <v>194</v>
      </c>
      <c r="O14" s="109">
        <v>16200</v>
      </c>
      <c r="P14" s="110">
        <f t="shared" si="4"/>
        <v>3078</v>
      </c>
      <c r="Q14" s="110">
        <f t="shared" si="5"/>
        <v>19278</v>
      </c>
      <c r="R14" s="110">
        <f t="shared" si="6"/>
        <v>16200</v>
      </c>
      <c r="S14" s="110">
        <f t="shared" si="7"/>
        <v>19278</v>
      </c>
      <c r="T14" s="97" t="s">
        <v>195</v>
      </c>
      <c r="U14" s="98">
        <v>15110.9243697479</v>
      </c>
      <c r="V14" s="99">
        <f t="shared" si="8"/>
        <v>2871.0756302521008</v>
      </c>
      <c r="W14" s="99">
        <f t="shared" si="9"/>
        <v>17982</v>
      </c>
      <c r="X14" s="99">
        <f t="shared" si="10"/>
        <v>15110.9243697479</v>
      </c>
      <c r="Y14" s="99">
        <f t="shared" si="11"/>
        <v>17982</v>
      </c>
      <c r="Z14" s="100">
        <f>IF(A14="","",AVERAGE(K14,Q14,W14))</f>
        <v>18370</v>
      </c>
      <c r="AA14" s="100">
        <f>IF(B14="","",Z14*F14)</f>
        <v>18370</v>
      </c>
      <c r="AB14" s="78">
        <f>IF(B14="","",STDEV(M14,S14,Y14))</f>
        <v>789.11596106022341</v>
      </c>
      <c r="AC14" s="102">
        <f t="shared" si="12"/>
        <v>4.2956775234633829E-2</v>
      </c>
      <c r="AD14" s="5"/>
      <c r="AF14" s="7" t="str">
        <f>VLOOKUP(C14,Estudio_Mercado_Ori!$C$12:$AH$1115,32,0)</f>
        <v>3PROCEDAS</v>
      </c>
      <c r="BG14" s="7">
        <v>3</v>
      </c>
      <c r="DA14" s="7" t="e">
        <f>VLOOKUP(C14,listaBolsa!$D$2:$BA$1248,1,0)</f>
        <v>#N/A</v>
      </c>
      <c r="DB14" s="7" t="e">
        <f>VLOOKUP(C14,listaBolsa!$D$2:$BA$1248,2,0)</f>
        <v>#N/A</v>
      </c>
      <c r="DC14" s="7" t="e">
        <f>VLOOKUP(C14,listaBolsa!$D$2:$BA$1248,10,0)</f>
        <v>#N/A</v>
      </c>
      <c r="DD14" s="7" t="e">
        <f>VLOOKUP(C14,listaBolsa!$D$2:$BA$1248,14,0)</f>
        <v>#N/A</v>
      </c>
      <c r="DE14" s="7" t="e">
        <f>VLOOKUP(C14,listaBolsa!$D$2:$BA$1248,23,0)</f>
        <v>#N/A</v>
      </c>
      <c r="DF14" s="7" t="e">
        <f>VLOOKUP(C14,listaBolsa!$D$2:$BA$1248,29,0)</f>
        <v>#N/A</v>
      </c>
      <c r="DG14" s="7" t="e">
        <f>VLOOKUP(C14,listaBolsa!$D$2:$BA$1248,36,0)</f>
        <v>#N/A</v>
      </c>
      <c r="DH14" s="7" t="e">
        <f>VLOOKUP(C14,listaBolsa!$D$2:$BA$1248,40,0)</f>
        <v>#N/A</v>
      </c>
      <c r="DI14" s="252" t="e">
        <f>VLOOKUP(C14,listaBolsa!$D$2:$BA$1248,48,0)</f>
        <v>#N/A</v>
      </c>
      <c r="DJ14" s="7" t="e">
        <f t="shared" si="13"/>
        <v>#N/A</v>
      </c>
      <c r="DK14" s="7" t="e">
        <f t="shared" si="14"/>
        <v>#N/A</v>
      </c>
      <c r="DL14" s="7" t="e">
        <f t="shared" si="15"/>
        <v>#N/A</v>
      </c>
      <c r="DM14" s="7" t="e">
        <f t="shared" si="16"/>
        <v>#N/A</v>
      </c>
      <c r="DN14" s="7" t="e">
        <f t="shared" si="17"/>
        <v>#N/A</v>
      </c>
      <c r="DO14" s="7" t="e">
        <f t="shared" si="18"/>
        <v>#N/A</v>
      </c>
      <c r="DP14" s="7" t="e">
        <f t="shared" si="19"/>
        <v>#N/A</v>
      </c>
      <c r="DQ14" s="7" t="e">
        <f t="shared" si="20"/>
        <v>#N/A</v>
      </c>
      <c r="DR14" s="7" t="e">
        <f t="shared" si="21"/>
        <v>#N/A</v>
      </c>
    </row>
    <row r="15" spans="1:122" s="7" customFormat="1" ht="79.5" customHeight="1">
      <c r="A15" s="75">
        <v>4</v>
      </c>
      <c r="B15" s="249" t="s">
        <v>186</v>
      </c>
      <c r="C15" s="95" t="s">
        <v>200</v>
      </c>
      <c r="D15" s="75" t="s">
        <v>201</v>
      </c>
      <c r="E15" s="111" t="s">
        <v>191</v>
      </c>
      <c r="F15" s="112">
        <v>1</v>
      </c>
      <c r="G15" s="200" t="s">
        <v>192</v>
      </c>
      <c r="H15" s="106" t="s">
        <v>193</v>
      </c>
      <c r="I15" s="107">
        <v>15000</v>
      </c>
      <c r="J15" s="96">
        <f t="shared" si="0"/>
        <v>2850</v>
      </c>
      <c r="K15" s="96">
        <f t="shared" si="1"/>
        <v>17850</v>
      </c>
      <c r="L15" s="96">
        <f t="shared" si="2"/>
        <v>15000</v>
      </c>
      <c r="M15" s="96">
        <f t="shared" si="3"/>
        <v>17850</v>
      </c>
      <c r="N15" s="195" t="s">
        <v>194</v>
      </c>
      <c r="O15" s="109">
        <v>16200</v>
      </c>
      <c r="P15" s="110">
        <f t="shared" si="4"/>
        <v>3078</v>
      </c>
      <c r="Q15" s="110">
        <f t="shared" si="5"/>
        <v>19278</v>
      </c>
      <c r="R15" s="110">
        <f t="shared" si="6"/>
        <v>16200</v>
      </c>
      <c r="S15" s="110">
        <f t="shared" si="7"/>
        <v>19278</v>
      </c>
      <c r="T15" s="97" t="s">
        <v>195</v>
      </c>
      <c r="U15" s="98">
        <v>15110.9243697479</v>
      </c>
      <c r="V15" s="99">
        <f t="shared" si="8"/>
        <v>2871.0756302521008</v>
      </c>
      <c r="W15" s="99">
        <f t="shared" si="9"/>
        <v>17982</v>
      </c>
      <c r="X15" s="99">
        <f t="shared" si="10"/>
        <v>15110.9243697479</v>
      </c>
      <c r="Y15" s="99">
        <f t="shared" si="11"/>
        <v>17982</v>
      </c>
      <c r="Z15" s="100">
        <f>IF(A15="","",AVERAGE(K15,Q15,W15))</f>
        <v>18370</v>
      </c>
      <c r="AA15" s="100">
        <f>IF(B15="","",Z15*F15)</f>
        <v>18370</v>
      </c>
      <c r="AB15" s="78">
        <f>IF(B15="","",STDEV(M15,S15,Y15))</f>
        <v>789.11596106022341</v>
      </c>
      <c r="AC15" s="102">
        <f t="shared" si="12"/>
        <v>4.2956775234633829E-2</v>
      </c>
      <c r="AD15" s="5"/>
      <c r="AF15" s="7" t="str">
        <f>VLOOKUP(C15,Estudio_Mercado_Ori!$C$12:$AH$1115,32,0)</f>
        <v>4PROCEDAS</v>
      </c>
      <c r="BG15" s="7">
        <v>4</v>
      </c>
      <c r="DA15" s="7" t="e">
        <f>VLOOKUP(C15,listaBolsa!$D$2:$BA$1248,1,0)</f>
        <v>#N/A</v>
      </c>
      <c r="DB15" s="7" t="e">
        <f>VLOOKUP(C15,listaBolsa!$D$2:$BA$1248,2,0)</f>
        <v>#N/A</v>
      </c>
      <c r="DC15" s="7" t="e">
        <f>VLOOKUP(C15,listaBolsa!$D$2:$BA$1248,10,0)</f>
        <v>#N/A</v>
      </c>
      <c r="DD15" s="7" t="e">
        <f>VLOOKUP(C15,listaBolsa!$D$2:$BA$1248,14,0)</f>
        <v>#N/A</v>
      </c>
      <c r="DE15" s="7" t="e">
        <f>VLOOKUP(C15,listaBolsa!$D$2:$BA$1248,23,0)</f>
        <v>#N/A</v>
      </c>
      <c r="DF15" s="7" t="e">
        <f>VLOOKUP(C15,listaBolsa!$D$2:$BA$1248,29,0)</f>
        <v>#N/A</v>
      </c>
      <c r="DG15" s="7" t="e">
        <f>VLOOKUP(C15,listaBolsa!$D$2:$BA$1248,36,0)</f>
        <v>#N/A</v>
      </c>
      <c r="DH15" s="7" t="e">
        <f>VLOOKUP(C15,listaBolsa!$D$2:$BA$1248,40,0)</f>
        <v>#N/A</v>
      </c>
      <c r="DI15" s="252" t="e">
        <f>VLOOKUP(C15,listaBolsa!$D$2:$BA$1248,48,0)</f>
        <v>#N/A</v>
      </c>
      <c r="DJ15" s="7" t="e">
        <f t="shared" si="13"/>
        <v>#N/A</v>
      </c>
      <c r="DK15" s="7" t="e">
        <f t="shared" si="14"/>
        <v>#N/A</v>
      </c>
      <c r="DL15" s="7" t="e">
        <f t="shared" si="15"/>
        <v>#N/A</v>
      </c>
      <c r="DM15" s="7" t="e">
        <f t="shared" si="16"/>
        <v>#N/A</v>
      </c>
      <c r="DN15" s="7" t="e">
        <f t="shared" si="17"/>
        <v>#N/A</v>
      </c>
      <c r="DO15" s="7" t="e">
        <f t="shared" si="18"/>
        <v>#N/A</v>
      </c>
      <c r="DP15" s="7" t="e">
        <f t="shared" si="19"/>
        <v>#N/A</v>
      </c>
      <c r="DQ15" s="7" t="e">
        <f t="shared" si="20"/>
        <v>#N/A</v>
      </c>
      <c r="DR15" s="7" t="e">
        <f t="shared" si="21"/>
        <v>#N/A</v>
      </c>
    </row>
    <row r="16" spans="1:122" s="7" customFormat="1" ht="148.15" customHeight="1">
      <c r="A16" s="75">
        <v>5</v>
      </c>
      <c r="B16" s="249" t="s">
        <v>186</v>
      </c>
      <c r="C16" s="95" t="s">
        <v>203</v>
      </c>
      <c r="D16" s="75" t="str">
        <f>IF(C16="","",VLOOKUP(C16,listaBolsa!$D$2:$H$276,2,0))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16" s="111" t="str">
        <f>IF(C16="","",VLOOKUP(C16,listaBolsa!$D$2:$H$276,3,0))</f>
        <v>Servicio</v>
      </c>
      <c r="F16" s="112">
        <v>5</v>
      </c>
      <c r="G16" s="200" t="str">
        <f>IF(C16="","",VLOOKUP(C16,listaBolsa!$D$2:$H$276,5,0))</f>
        <v>Alquiler</v>
      </c>
      <c r="H16" s="106" t="str">
        <f>IF(C16="","",VLOOKUP(C16,listaBolsa!$D$2:$W$276,10,0))</f>
        <v>RUTRASCOL</v>
      </c>
      <c r="I16" s="107">
        <f>IF(C16="","",VLOOKUP(C16,listaBolsa!$D$2:$W$276,14,0))</f>
        <v>850000</v>
      </c>
      <c r="J16" s="96">
        <f t="shared" si="0"/>
        <v>161500</v>
      </c>
      <c r="K16" s="96">
        <f t="shared" si="1"/>
        <v>1011500</v>
      </c>
      <c r="L16" s="96">
        <f t="shared" si="2"/>
        <v>4250000</v>
      </c>
      <c r="M16" s="96">
        <f t="shared" si="3"/>
        <v>5057500</v>
      </c>
      <c r="N16" s="108" t="str">
        <f>IF(C16="","",VLOOKUP(C16,listaBolsa!$D$2:$AZ$276,23,0))</f>
        <v>Destino Express</v>
      </c>
      <c r="O16" s="109">
        <f>IF(C16="","",VLOOKUP(C16,listaBolsa!$D$2:$AZ$276,27,0))</f>
        <v>790000</v>
      </c>
      <c r="P16" s="110">
        <f t="shared" si="4"/>
        <v>150100</v>
      </c>
      <c r="Q16" s="110">
        <f t="shared" si="5"/>
        <v>940100</v>
      </c>
      <c r="R16" s="110">
        <f t="shared" si="6"/>
        <v>3950000</v>
      </c>
      <c r="S16" s="110">
        <f t="shared" si="7"/>
        <v>4700500</v>
      </c>
      <c r="T16" s="97">
        <f>IF(C16="","",VLOOKUP(C16,listaBolsa!$D$2:$BB$276,36,0))</f>
        <v>0</v>
      </c>
      <c r="U16" s="98">
        <f>IF(C16="","",VLOOKUP(C16,listaBolsa!$D$2:$BB$276,40,0))</f>
        <v>0</v>
      </c>
      <c r="V16" s="99">
        <f t="shared" si="8"/>
        <v>0</v>
      </c>
      <c r="W16" s="99">
        <f t="shared" si="9"/>
        <v>0</v>
      </c>
      <c r="X16" s="99">
        <f t="shared" si="10"/>
        <v>0</v>
      </c>
      <c r="Y16" s="99">
        <f t="shared" si="11"/>
        <v>0</v>
      </c>
      <c r="Z16" s="100">
        <v>820000</v>
      </c>
      <c r="AA16" s="100">
        <v>820000</v>
      </c>
      <c r="AB16" s="78">
        <v>42426</v>
      </c>
      <c r="AC16" s="102">
        <f t="shared" si="12"/>
        <v>5.1739024390243901E-2</v>
      </c>
      <c r="AD16" s="5"/>
      <c r="AE16" s="7" t="s">
        <v>1050</v>
      </c>
      <c r="AF16" s="7" t="str">
        <f>VLOOKUP(C16,Estudio_Mercado_Ori!$C$12:$AH$1115,32,0)</f>
        <v>5PROCEDAS</v>
      </c>
      <c r="BG16" s="7">
        <v>5</v>
      </c>
      <c r="DA16" s="7" t="str">
        <f>VLOOKUP(C16,listaBolsa!$D$2:$BA$1248,1,0)</f>
        <v>Servicio de transporte zona Rural de la localidad de Suba para  40 personas por jornada</v>
      </c>
      <c r="DB16" s="7" t="str">
        <f>VLOOKUP(C16,listaBolsa!$D$2:$BA$1248,2,0)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C16" s="7" t="str">
        <f>VLOOKUP(C16,listaBolsa!$D$2:$BA$1248,10,0)</f>
        <v>RUTRASCOL</v>
      </c>
      <c r="DD16" s="7">
        <f>VLOOKUP(C16,listaBolsa!$D$2:$BA$1248,14,0)</f>
        <v>850000</v>
      </c>
      <c r="DE16" s="7" t="str">
        <f>VLOOKUP(C16,listaBolsa!$D$2:$BA$1248,23,0)</f>
        <v>Destino Express</v>
      </c>
      <c r="DF16" s="7">
        <f>VLOOKUP(C16,listaBolsa!$D$2:$BA$1248,29,0)</f>
        <v>790000</v>
      </c>
      <c r="DG16" s="7">
        <f>VLOOKUP(C16,listaBolsa!$D$2:$BA$1248,36,0)</f>
        <v>0</v>
      </c>
      <c r="DH16" s="7">
        <f>VLOOKUP(C16,listaBolsa!$D$2:$BA$1248,40,0)</f>
        <v>0</v>
      </c>
      <c r="DI16" s="253">
        <f>VLOOKUP(C16,listaBolsa!$D$2:$BA$1248,48,0)</f>
        <v>5.1739520574625428E-2</v>
      </c>
      <c r="DJ16" s="7" t="b">
        <f t="shared" si="13"/>
        <v>1</v>
      </c>
      <c r="DK16" s="7" t="b">
        <f t="shared" si="14"/>
        <v>1</v>
      </c>
      <c r="DL16" s="7" t="b">
        <f t="shared" si="15"/>
        <v>1</v>
      </c>
      <c r="DM16" s="7" t="b">
        <f t="shared" si="16"/>
        <v>1</v>
      </c>
      <c r="DN16" s="7" t="b">
        <f t="shared" si="17"/>
        <v>1</v>
      </c>
      <c r="DO16" s="7" t="b">
        <f t="shared" si="18"/>
        <v>1</v>
      </c>
      <c r="DP16" s="7" t="b">
        <f t="shared" si="19"/>
        <v>1</v>
      </c>
      <c r="DQ16" s="7" t="b">
        <f t="shared" si="20"/>
        <v>1</v>
      </c>
      <c r="DR16" s="7" t="b">
        <f t="shared" si="21"/>
        <v>0</v>
      </c>
    </row>
    <row r="17" spans="1:122" s="7" customFormat="1" ht="133.15" customHeight="1">
      <c r="A17" s="75">
        <v>6</v>
      </c>
      <c r="B17" s="249" t="s">
        <v>186</v>
      </c>
      <c r="C17" s="95" t="s">
        <v>205</v>
      </c>
      <c r="D17" s="75" t="str">
        <f>IF(C17="","",VLOOKUP(C17,listaBolsa!$D$2:$H$276,2,0))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17" s="111" t="str">
        <f>IF(C17="","",VLOOKUP(C17,listaBolsa!$D$2:$H$276,3,0))</f>
        <v>Servicio</v>
      </c>
      <c r="F17" s="112">
        <v>5</v>
      </c>
      <c r="G17" s="200" t="str">
        <f>IF(C17="","",VLOOKUP(C17,listaBolsa!$D$2:$H$276,5,0))</f>
        <v>Alquiler</v>
      </c>
      <c r="H17" s="106" t="str">
        <f>IF(C17="","",VLOOKUP(C17,listaBolsa!$D$2:$W$276,10,0))</f>
        <v>Destino Express</v>
      </c>
      <c r="I17" s="107">
        <f>IF(C17="","",VLOOKUP(C17,listaBolsa!$D$2:$W$276,14,0))</f>
        <v>385000</v>
      </c>
      <c r="J17" s="96">
        <f t="shared" si="0"/>
        <v>73150</v>
      </c>
      <c r="K17" s="96">
        <f t="shared" si="1"/>
        <v>458150</v>
      </c>
      <c r="L17" s="96">
        <f t="shared" si="2"/>
        <v>1925000</v>
      </c>
      <c r="M17" s="96">
        <f t="shared" si="3"/>
        <v>2290750</v>
      </c>
      <c r="N17" s="108" t="str">
        <f>IF(C17="","",VLOOKUP(C17,listaBolsa!$D$2:$AZ$276,23,0))</f>
        <v>RENETUR</v>
      </c>
      <c r="O17" s="109">
        <f>IF(C17="","",VLOOKUP(C17,listaBolsa!$D$2:$AZ$276,27,0))</f>
        <v>350000</v>
      </c>
      <c r="P17" s="110">
        <f t="shared" si="4"/>
        <v>66500</v>
      </c>
      <c r="Q17" s="110">
        <f t="shared" si="5"/>
        <v>416500</v>
      </c>
      <c r="R17" s="110">
        <f t="shared" si="6"/>
        <v>1750000</v>
      </c>
      <c r="S17" s="110">
        <f t="shared" si="7"/>
        <v>2082500</v>
      </c>
      <c r="T17" s="97" t="str">
        <f>IF(C17="","",VLOOKUP(C17,listaBolsa!$D$2:$BB$276,36,0))</f>
        <v>RUTRASCOL Transporte_Varios</v>
      </c>
      <c r="U17" s="98">
        <f>IF(C17="","",VLOOKUP(C17,listaBolsa!$D$2:$BB$276,40,0))</f>
        <v>285000</v>
      </c>
      <c r="V17" s="99">
        <f t="shared" si="8"/>
        <v>54150</v>
      </c>
      <c r="W17" s="99">
        <f t="shared" si="9"/>
        <v>339150</v>
      </c>
      <c r="X17" s="99">
        <f t="shared" si="10"/>
        <v>1425000</v>
      </c>
      <c r="Y17" s="99">
        <f t="shared" si="11"/>
        <v>1695750</v>
      </c>
      <c r="Z17" s="100">
        <f t="shared" ref="Z17:Z42" si="22">IF(A17="","",AVERAGE(K17,Q17,W17))</f>
        <v>404600</v>
      </c>
      <c r="AA17" s="100">
        <f t="shared" ref="AA17:AA48" si="23">IF(B17="","",Z17*F17)</f>
        <v>2023000</v>
      </c>
      <c r="AB17" s="78">
        <f t="shared" ref="AB17:AB42" si="24">IF(B17="","",STDEV(M17,S17,Y17))</f>
        <v>301929.52406149352</v>
      </c>
      <c r="AC17" s="102">
        <f t="shared" si="12"/>
        <v>0.14924840536900322</v>
      </c>
      <c r="AD17" s="5"/>
      <c r="AE17" s="7" t="s">
        <v>1050</v>
      </c>
      <c r="AF17" s="7" t="str">
        <f>VLOOKUP(C17,Estudio_Mercado_Ori!$C$12:$AH$1115,32,0)</f>
        <v>6PROCEDAS</v>
      </c>
      <c r="BG17" s="7">
        <v>6</v>
      </c>
      <c r="DA17" s="7" t="str">
        <f>VLOOKUP(C17,listaBolsa!$D$2:$BA$1248,1,0)</f>
        <v>Servicio de transporte zona Rural de la localidad de Suba para  10 personas por trayecto</v>
      </c>
      <c r="DB17" s="7" t="str">
        <f>VLOOKUP(C17,listaBolsa!$D$2:$BA$1248,2,0)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C17" s="7" t="str">
        <f>VLOOKUP(C17,listaBolsa!$D$2:$BA$1248,10,0)</f>
        <v>Destino Express</v>
      </c>
      <c r="DD17" s="7">
        <f>VLOOKUP(C17,listaBolsa!$D$2:$BA$1248,14,0)</f>
        <v>385000</v>
      </c>
      <c r="DE17" s="7" t="str">
        <f>VLOOKUP(C17,listaBolsa!$D$2:$BA$1248,23,0)</f>
        <v>RENETUR</v>
      </c>
      <c r="DF17" s="7">
        <f>VLOOKUP(C17,listaBolsa!$D$2:$BA$1248,29,0)</f>
        <v>350000</v>
      </c>
      <c r="DG17" s="7" t="str">
        <f>VLOOKUP(C17,listaBolsa!$D$2:$BA$1248,36,0)</f>
        <v>RUTRASCOL Transporte_Varios</v>
      </c>
      <c r="DH17" s="7">
        <f>VLOOKUP(C17,listaBolsa!$D$2:$BA$1248,40,0)</f>
        <v>285000</v>
      </c>
      <c r="DI17" s="253">
        <f>VLOOKUP(C17,listaBolsa!$D$2:$BA$1248,48,0)</f>
        <v>0.14924840536900322</v>
      </c>
      <c r="DJ17" s="7" t="b">
        <f t="shared" si="13"/>
        <v>1</v>
      </c>
      <c r="DK17" s="7" t="b">
        <f t="shared" si="14"/>
        <v>1</v>
      </c>
      <c r="DL17" s="7" t="b">
        <f t="shared" si="15"/>
        <v>1</v>
      </c>
      <c r="DM17" s="7" t="b">
        <f t="shared" si="16"/>
        <v>1</v>
      </c>
      <c r="DN17" s="7" t="b">
        <f t="shared" si="17"/>
        <v>1</v>
      </c>
      <c r="DO17" s="7" t="b">
        <f t="shared" si="18"/>
        <v>1</v>
      </c>
      <c r="DP17" s="7" t="b">
        <f t="shared" si="19"/>
        <v>1</v>
      </c>
      <c r="DQ17" s="7" t="b">
        <f t="shared" si="20"/>
        <v>1</v>
      </c>
      <c r="DR17" s="7" t="b">
        <f t="shared" si="21"/>
        <v>1</v>
      </c>
    </row>
    <row r="18" spans="1:122" s="7" customFormat="1" ht="83.25" customHeight="1">
      <c r="A18" s="75">
        <v>7</v>
      </c>
      <c r="B18" s="249" t="s">
        <v>186</v>
      </c>
      <c r="C18" s="183" t="s">
        <v>207</v>
      </c>
      <c r="D18" s="75" t="s">
        <v>208</v>
      </c>
      <c r="E18" s="111" t="s">
        <v>191</v>
      </c>
      <c r="F18" s="112">
        <v>5</v>
      </c>
      <c r="G18" s="75" t="s">
        <v>209</v>
      </c>
      <c r="H18" s="106" t="s">
        <v>194</v>
      </c>
      <c r="I18" s="107">
        <v>660000</v>
      </c>
      <c r="J18" s="96">
        <f t="shared" si="0"/>
        <v>125400</v>
      </c>
      <c r="K18" s="96">
        <f t="shared" si="1"/>
        <v>785400</v>
      </c>
      <c r="L18" s="96">
        <f t="shared" si="2"/>
        <v>3300000</v>
      </c>
      <c r="M18" s="96">
        <f t="shared" si="3"/>
        <v>3927000</v>
      </c>
      <c r="N18" s="108" t="s">
        <v>193</v>
      </c>
      <c r="O18" s="109">
        <v>620000</v>
      </c>
      <c r="P18" s="110">
        <f t="shared" si="4"/>
        <v>117800</v>
      </c>
      <c r="Q18" s="110">
        <f t="shared" si="5"/>
        <v>737800</v>
      </c>
      <c r="R18" s="110">
        <f t="shared" si="6"/>
        <v>3100000</v>
      </c>
      <c r="S18" s="110">
        <f t="shared" si="7"/>
        <v>3689000</v>
      </c>
      <c r="T18" s="97" t="s">
        <v>210</v>
      </c>
      <c r="U18" s="98">
        <v>850000</v>
      </c>
      <c r="V18" s="99">
        <f t="shared" si="8"/>
        <v>161500</v>
      </c>
      <c r="W18" s="99">
        <f t="shared" si="9"/>
        <v>1011500</v>
      </c>
      <c r="X18" s="99">
        <f t="shared" si="10"/>
        <v>4250000</v>
      </c>
      <c r="Y18" s="99">
        <f t="shared" si="11"/>
        <v>5057500</v>
      </c>
      <c r="Z18" s="100">
        <f t="shared" si="22"/>
        <v>844900</v>
      </c>
      <c r="AA18" s="100">
        <f t="shared" si="23"/>
        <v>4224500</v>
      </c>
      <c r="AB18" s="78">
        <f t="shared" si="24"/>
        <v>731148.24078294821</v>
      </c>
      <c r="AC18" s="102">
        <f t="shared" si="12"/>
        <v>0.17307332010485221</v>
      </c>
      <c r="AD18" s="5"/>
      <c r="AE18" s="7" t="s">
        <v>1046</v>
      </c>
      <c r="AF18" s="7" t="str">
        <f>VLOOKUP(C18,Estudio_Mercado_Ori!$C$12:$AH$1115,32,0)</f>
        <v>7PROCEDAS</v>
      </c>
      <c r="BG18" s="7">
        <v>7</v>
      </c>
      <c r="DA18" s="7" t="str">
        <f>VLOOKUP(C18,listaBolsa!$D$2:$BA$1248,1,0)</f>
        <v>Tallerista</v>
      </c>
      <c r="DB18" s="7">
        <f>VLOOKUP(C18,listaBolsa!$D$2:$BA$1248,2,0)</f>
        <v>0</v>
      </c>
      <c r="DC18" s="7" t="str">
        <f>VLOOKUP(C18,listaBolsa!$D$2:$BA$1248,10,0)</f>
        <v>SIDED</v>
      </c>
      <c r="DD18" s="7">
        <f>VLOOKUP(C18,listaBolsa!$D$2:$BA$1248,14,0)</f>
        <v>660000</v>
      </c>
      <c r="DE18" s="7" t="str">
        <f>VLOOKUP(C18,listaBolsa!$D$2:$BA$1248,23,0)</f>
        <v>AVANCE ORGANIZACIONAL CONSULTORES SAS</v>
      </c>
      <c r="DF18" s="7">
        <f>VLOOKUP(C18,listaBolsa!$D$2:$BA$1248,29,0)</f>
        <v>737800</v>
      </c>
      <c r="DG18" s="7" t="str">
        <f>VLOOKUP(C18,listaBolsa!$D$2:$BA$1248,36,0)</f>
        <v>CONANDES</v>
      </c>
      <c r="DH18" s="7">
        <f>VLOOKUP(C18,listaBolsa!$D$2:$BA$1248,40,0)</f>
        <v>850000</v>
      </c>
      <c r="DI18" s="253">
        <f>VLOOKUP(C18,listaBolsa!$D$2:$BA$1248,48,0)</f>
        <v>0.1731</v>
      </c>
      <c r="DJ18" s="7" t="b">
        <f t="shared" si="13"/>
        <v>1</v>
      </c>
      <c r="DK18" s="7" t="b">
        <f t="shared" si="14"/>
        <v>0</v>
      </c>
      <c r="DL18" s="7" t="b">
        <f t="shared" si="15"/>
        <v>1</v>
      </c>
      <c r="DM18" s="7" t="b">
        <f t="shared" si="16"/>
        <v>1</v>
      </c>
      <c r="DN18" s="7" t="b">
        <f t="shared" si="17"/>
        <v>1</v>
      </c>
      <c r="DO18" s="7" t="b">
        <f t="shared" si="18"/>
        <v>0</v>
      </c>
      <c r="DP18" s="7" t="b">
        <f t="shared" si="19"/>
        <v>1</v>
      </c>
      <c r="DQ18" s="7" t="b">
        <f t="shared" si="20"/>
        <v>1</v>
      </c>
      <c r="DR18" s="7" t="b">
        <f t="shared" si="21"/>
        <v>0</v>
      </c>
    </row>
    <row r="19" spans="1:122" s="7" customFormat="1" ht="130.5" customHeight="1">
      <c r="A19" s="75">
        <v>8</v>
      </c>
      <c r="B19" s="249" t="s">
        <v>186</v>
      </c>
      <c r="C19" s="95" t="s">
        <v>212</v>
      </c>
      <c r="D19" s="75" t="str">
        <f>IF(C19="","",VLOOKUP(C19,listaBolsa!$D$2:$H$276,2,0))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E19" s="111" t="str">
        <f>IF(C19="","",VLOOKUP(C19,listaBolsa!$D$2:$H$276,3,0))</f>
        <v>Unidad</v>
      </c>
      <c r="F19" s="112">
        <v>50</v>
      </c>
      <c r="G19" s="200" t="str">
        <f>IF(C19="","",VLOOKUP(C19,listaBolsa!$D$2:$H$276,5,0))</f>
        <v>Compra</v>
      </c>
      <c r="H19" s="106" t="str">
        <f>IF(C19="","",VLOOKUP(C19,listaBolsa!$D$2:$W$276,10,0))</f>
        <v>INVENTIVA</v>
      </c>
      <c r="I19" s="107">
        <f>IF(C19="","",VLOOKUP(C19,listaBolsa!$D$2:$W$276,14,0))</f>
        <v>26000</v>
      </c>
      <c r="J19" s="96">
        <f t="shared" si="0"/>
        <v>4940</v>
      </c>
      <c r="K19" s="96">
        <f t="shared" si="1"/>
        <v>30940</v>
      </c>
      <c r="L19" s="96">
        <f t="shared" si="2"/>
        <v>1300000</v>
      </c>
      <c r="M19" s="96">
        <f t="shared" si="3"/>
        <v>1547000</v>
      </c>
      <c r="N19" s="108" t="str">
        <f>IF(C19="","",VLOOKUP(C19,listaBolsa!$D$2:$AZ$276,23,0))</f>
        <v>Angie Pachon (personalizado INK)</v>
      </c>
      <c r="O19" s="109">
        <f>IF(C19="","",VLOOKUP(C19,listaBolsa!$D$2:$AZ$276,27,0))</f>
        <v>35000</v>
      </c>
      <c r="P19" s="110"/>
      <c r="Q19" s="110">
        <f t="shared" si="5"/>
        <v>35000</v>
      </c>
      <c r="R19" s="110">
        <f t="shared" si="6"/>
        <v>1750000</v>
      </c>
      <c r="S19" s="110">
        <f t="shared" si="7"/>
        <v>1750000</v>
      </c>
      <c r="T19" s="97" t="str">
        <f>IF(C19="","",VLOOKUP(C19,listaBolsa!$D$2:$BB$276,36,0))</f>
        <v>MARIA CONFLICTO</v>
      </c>
      <c r="U19" s="98">
        <f>IF(C19="","",VLOOKUP(C19,listaBolsa!$D$2:$BB$276,40,0))</f>
        <v>29000</v>
      </c>
      <c r="V19" s="99"/>
      <c r="W19" s="99">
        <f t="shared" si="9"/>
        <v>29000</v>
      </c>
      <c r="X19" s="99">
        <f t="shared" si="10"/>
        <v>1450000</v>
      </c>
      <c r="Y19" s="99">
        <f t="shared" si="11"/>
        <v>1450000</v>
      </c>
      <c r="Z19" s="100">
        <f t="shared" si="22"/>
        <v>31646.666666666668</v>
      </c>
      <c r="AA19" s="100">
        <f t="shared" si="23"/>
        <v>1582333.3333333335</v>
      </c>
      <c r="AB19" s="78">
        <f t="shared" si="24"/>
        <v>153089.29855915252</v>
      </c>
      <c r="AC19" s="102">
        <f t="shared" si="12"/>
        <v>9.6749082721183377E-2</v>
      </c>
      <c r="AD19" s="5"/>
      <c r="AE19" s="7" t="s">
        <v>1052</v>
      </c>
      <c r="AF19" s="7" t="str">
        <f>VLOOKUP(C19,Estudio_Mercado_Ori!$C$12:$AH$1115,32,0)</f>
        <v>8PROCEDAS</v>
      </c>
      <c r="BG19" s="7">
        <v>8</v>
      </c>
      <c r="DA19" s="7" t="str">
        <f>VLOOKUP(C19,listaBolsa!$D$2:$BA$1248,1,0)</f>
        <v>Agendas con esfero</v>
      </c>
      <c r="DB19" s="7" t="str">
        <f>VLOOKUP(C19,listaBolsa!$D$2:$BA$1248,2,0)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DC19" s="7" t="str">
        <f>VLOOKUP(C19,listaBolsa!$D$2:$BA$1248,10,0)</f>
        <v>INVENTIVA</v>
      </c>
      <c r="DD19" s="7">
        <f>VLOOKUP(C19,listaBolsa!$D$2:$BA$1248,14,0)</f>
        <v>26000</v>
      </c>
      <c r="DE19" s="7" t="str">
        <f>VLOOKUP(C19,listaBolsa!$D$2:$BA$1248,23,0)</f>
        <v>Angie Pachon (personalizado INK)</v>
      </c>
      <c r="DF19" s="7">
        <f>VLOOKUP(C19,listaBolsa!$D$2:$BA$1248,29,0)</f>
        <v>35000</v>
      </c>
      <c r="DG19" s="7" t="str">
        <f>VLOOKUP(C19,listaBolsa!$D$2:$BA$1248,36,0)</f>
        <v>MARIA CONFLICTO</v>
      </c>
      <c r="DH19" s="7">
        <f>VLOOKUP(C19,listaBolsa!$D$2:$BA$1248,40,0)</f>
        <v>29000</v>
      </c>
      <c r="DI19" s="252">
        <f>VLOOKUP(C19,listaBolsa!$D$2:$BA$1248,48,0)</f>
        <v>9.6749082721183377E-2</v>
      </c>
      <c r="DJ19" s="7" t="b">
        <f t="shared" si="13"/>
        <v>1</v>
      </c>
      <c r="DK19" s="7" t="b">
        <f t="shared" si="14"/>
        <v>1</v>
      </c>
      <c r="DL19" s="7" t="b">
        <f t="shared" si="15"/>
        <v>1</v>
      </c>
      <c r="DM19" s="7" t="b">
        <f t="shared" si="16"/>
        <v>1</v>
      </c>
      <c r="DN19" s="7" t="b">
        <f t="shared" si="17"/>
        <v>1</v>
      </c>
      <c r="DO19" s="7" t="b">
        <f t="shared" si="18"/>
        <v>1</v>
      </c>
      <c r="DP19" s="7" t="b">
        <f t="shared" si="19"/>
        <v>1</v>
      </c>
      <c r="DQ19" s="7" t="b">
        <f t="shared" si="20"/>
        <v>1</v>
      </c>
      <c r="DR19" s="7" t="b">
        <f t="shared" si="21"/>
        <v>1</v>
      </c>
    </row>
    <row r="20" spans="1:122" s="7" customFormat="1" ht="87" customHeight="1">
      <c r="A20" s="75">
        <v>9</v>
      </c>
      <c r="B20" s="249" t="s">
        <v>186</v>
      </c>
      <c r="C20" s="95" t="s">
        <v>214</v>
      </c>
      <c r="D20" s="75" t="str">
        <f>IF(C20="","",VLOOKUP(C20,listaBolsa!$D$2:$H$276,2,0))</f>
        <v>100% en algodón de 185 gr. cuello redondo y/o en v, de diferentes tallas, marcadas en screen 4 tintas. fabricación y materiales nacionales</v>
      </c>
      <c r="E20" s="111" t="str">
        <f>IF(C20="","",VLOOKUP(C20,listaBolsa!$D$2:$H$276,3,0))</f>
        <v>Unidad</v>
      </c>
      <c r="F20" s="112">
        <v>50</v>
      </c>
      <c r="G20" s="200" t="str">
        <f>IF(C20="","",VLOOKUP(C20,listaBolsa!$D$2:$H$276,5,0))</f>
        <v>Compra</v>
      </c>
      <c r="H20" s="106" t="str">
        <f>IF(C20="","",VLOOKUP(C20,listaBolsa!$D$2:$W$276,10,0))</f>
        <v>MARIA CONFLICTO</v>
      </c>
      <c r="I20" s="107">
        <f>IF(C20="","",VLOOKUP(C20,listaBolsa!$D$2:$W$276,14,0))</f>
        <v>22000</v>
      </c>
      <c r="J20" s="96"/>
      <c r="K20" s="96">
        <f t="shared" si="1"/>
        <v>22000</v>
      </c>
      <c r="L20" s="96">
        <f t="shared" si="2"/>
        <v>1100000</v>
      </c>
      <c r="M20" s="96">
        <f t="shared" si="3"/>
        <v>1100000</v>
      </c>
      <c r="N20" s="108" t="str">
        <f>IF(C20="","",VLOOKUP(C20,listaBolsa!$D$2:$AZ$276,23,0))</f>
        <v>Angie Pachon (personalizado INK)</v>
      </c>
      <c r="O20" s="109">
        <f>IF(C20="","",VLOOKUP(C20,listaBolsa!$D$2:$AZ$276,27,0))</f>
        <v>28000</v>
      </c>
      <c r="P20" s="110"/>
      <c r="Q20" s="110">
        <f t="shared" si="5"/>
        <v>28000</v>
      </c>
      <c r="R20" s="110">
        <f t="shared" si="6"/>
        <v>1400000</v>
      </c>
      <c r="S20" s="110">
        <f t="shared" si="7"/>
        <v>1400000</v>
      </c>
      <c r="T20" s="97" t="str">
        <f>IF(C20="","",VLOOKUP(C20,listaBolsa!$D$2:$BB$276,36,0))</f>
        <v>INVENTIVA</v>
      </c>
      <c r="U20" s="98">
        <f>IF(C20="","",VLOOKUP(C20,listaBolsa!$D$2:$BB$276,40,0))</f>
        <v>25000</v>
      </c>
      <c r="V20" s="99">
        <f t="shared" ref="V20:V42" si="25">U20*19%</f>
        <v>4750</v>
      </c>
      <c r="W20" s="99">
        <f t="shared" si="9"/>
        <v>29750</v>
      </c>
      <c r="X20" s="99">
        <f t="shared" si="10"/>
        <v>1250000</v>
      </c>
      <c r="Y20" s="99">
        <f t="shared" si="11"/>
        <v>1487500</v>
      </c>
      <c r="Z20" s="100">
        <f t="shared" si="22"/>
        <v>26583.333333333332</v>
      </c>
      <c r="AA20" s="100">
        <f t="shared" si="23"/>
        <v>1329166.6666666665</v>
      </c>
      <c r="AB20" s="78">
        <f t="shared" si="24"/>
        <v>203229.13997095372</v>
      </c>
      <c r="AC20" s="102">
        <f t="shared" si="12"/>
        <v>0.15289966643582728</v>
      </c>
      <c r="AD20" s="5"/>
      <c r="AE20" s="7" t="s">
        <v>1052</v>
      </c>
      <c r="AF20" s="7" t="str">
        <f>VLOOKUP(C20,Estudio_Mercado_Ori!$C$12:$AH$1115,32,0)</f>
        <v>9PROCEDAS</v>
      </c>
      <c r="BG20" s="7">
        <v>9</v>
      </c>
      <c r="DA20" s="7" t="str">
        <f>VLOOKUP(C20,listaBolsa!$D$2:$BA$1248,1,0)</f>
        <v>Camiseta t-shirt o Camiseta blanca</v>
      </c>
      <c r="DB20" s="7" t="str">
        <f>VLOOKUP(C20,listaBolsa!$D$2:$BA$1248,2,0)</f>
        <v>100% en algodón de 185 gr. cuello redondo y/o en v, de diferentes tallas, marcadas en screen 4 tintas. fabricación y materiales nacionales</v>
      </c>
      <c r="DC20" s="7" t="str">
        <f>VLOOKUP(C20,listaBolsa!$D$2:$BA$1248,10,0)</f>
        <v>MARIA CONFLICTO</v>
      </c>
      <c r="DD20" s="7">
        <f>VLOOKUP(C20,listaBolsa!$D$2:$BA$1248,14,0)</f>
        <v>22000</v>
      </c>
      <c r="DE20" s="7" t="str">
        <f>VLOOKUP(C20,listaBolsa!$D$2:$BA$1248,23,0)</f>
        <v>Angie Pachon (personalizado INK)</v>
      </c>
      <c r="DF20" s="7">
        <f>VLOOKUP(C20,listaBolsa!$D$2:$BA$1248,29,0)</f>
        <v>28000</v>
      </c>
      <c r="DG20" s="7" t="str">
        <f>VLOOKUP(C20,listaBolsa!$D$2:$BA$1248,36,0)</f>
        <v>INVENTIVA</v>
      </c>
      <c r="DH20" s="7">
        <f>VLOOKUP(C20,listaBolsa!$D$2:$BA$1248,40,0)</f>
        <v>25000</v>
      </c>
      <c r="DI20" s="252">
        <f>VLOOKUP(C20,listaBolsa!$D$2:$BA$1248,48,0)</f>
        <v>0.15289966643582714</v>
      </c>
      <c r="DJ20" s="7" t="b">
        <f t="shared" si="13"/>
        <v>1</v>
      </c>
      <c r="DK20" s="7" t="b">
        <f t="shared" si="14"/>
        <v>1</v>
      </c>
      <c r="DL20" s="7" t="b">
        <f t="shared" si="15"/>
        <v>1</v>
      </c>
      <c r="DM20" s="7" t="b">
        <f t="shared" si="16"/>
        <v>1</v>
      </c>
      <c r="DN20" s="7" t="b">
        <f t="shared" si="17"/>
        <v>1</v>
      </c>
      <c r="DO20" s="7" t="b">
        <f t="shared" si="18"/>
        <v>1</v>
      </c>
      <c r="DP20" s="7" t="b">
        <f t="shared" si="19"/>
        <v>1</v>
      </c>
      <c r="DQ20" s="7" t="b">
        <f t="shared" si="20"/>
        <v>1</v>
      </c>
      <c r="DR20" s="7" t="b">
        <f t="shared" si="21"/>
        <v>1</v>
      </c>
    </row>
    <row r="21" spans="1:122" s="7" customFormat="1" ht="70.5" customHeight="1">
      <c r="A21" s="75">
        <v>10</v>
      </c>
      <c r="B21" s="249" t="s">
        <v>186</v>
      </c>
      <c r="C21" s="183" t="s">
        <v>216</v>
      </c>
      <c r="D21" s="183" t="s">
        <v>217</v>
      </c>
      <c r="E21" s="111" t="s">
        <v>191</v>
      </c>
      <c r="F21" s="112">
        <v>24</v>
      </c>
      <c r="G21" s="75" t="s">
        <v>192</v>
      </c>
      <c r="H21" s="106" t="s">
        <v>193</v>
      </c>
      <c r="I21" s="107">
        <v>5500</v>
      </c>
      <c r="J21" s="96">
        <f t="shared" ref="J21:J41" si="26">I21*19%</f>
        <v>1045</v>
      </c>
      <c r="K21" s="96">
        <f t="shared" si="1"/>
        <v>6545</v>
      </c>
      <c r="L21" s="96">
        <f t="shared" si="2"/>
        <v>132000</v>
      </c>
      <c r="M21" s="96">
        <f t="shared" si="3"/>
        <v>157080</v>
      </c>
      <c r="N21" s="108" t="s">
        <v>218</v>
      </c>
      <c r="O21" s="109">
        <v>4210.93</v>
      </c>
      <c r="P21" s="197">
        <f>O21*0.19</f>
        <v>800.07670000000007</v>
      </c>
      <c r="Q21" s="110">
        <f t="shared" si="5"/>
        <v>5011.0066999999999</v>
      </c>
      <c r="R21" s="110">
        <f t="shared" si="6"/>
        <v>101062.32</v>
      </c>
      <c r="S21" s="110">
        <f t="shared" si="7"/>
        <v>120264.1608</v>
      </c>
      <c r="T21" s="97" t="s">
        <v>219</v>
      </c>
      <c r="U21" s="98">
        <v>5015.13</v>
      </c>
      <c r="V21" s="99">
        <f t="shared" si="25"/>
        <v>952.87470000000008</v>
      </c>
      <c r="W21" s="99">
        <f t="shared" si="9"/>
        <v>5968.0047000000004</v>
      </c>
      <c r="X21" s="99">
        <f t="shared" si="10"/>
        <v>120363.12</v>
      </c>
      <c r="Y21" s="99">
        <f t="shared" si="11"/>
        <v>143232.1128</v>
      </c>
      <c r="Z21" s="100">
        <f t="shared" si="22"/>
        <v>5841.3371333333334</v>
      </c>
      <c r="AA21" s="100">
        <f t="shared" si="23"/>
        <v>140192.0912</v>
      </c>
      <c r="AB21" s="78">
        <f t="shared" si="24"/>
        <v>18595.236016152474</v>
      </c>
      <c r="AC21" s="102">
        <f t="shared" si="12"/>
        <v>0.13264112017292223</v>
      </c>
      <c r="AD21" s="5"/>
      <c r="AE21" s="7" t="s">
        <v>1053</v>
      </c>
      <c r="AF21" s="7" t="str">
        <f>VLOOKUP(C21,Estudio_Mercado_Ori!$C$12:$AH$1115,32,0)</f>
        <v>10PROCEDAS</v>
      </c>
      <c r="BG21" s="7">
        <v>10</v>
      </c>
      <c r="DA21" s="7" t="str">
        <f>VLOOKUP(C21,listaBolsa!$D$2:$BA$1248,1,0)</f>
        <v>Codos</v>
      </c>
      <c r="DB21" s="7">
        <f>VLOOKUP(C21,listaBolsa!$D$2:$BA$1248,2,0)</f>
        <v>0</v>
      </c>
      <c r="DC21" s="7" t="str">
        <f>VLOOKUP(C21,listaBolsa!$D$2:$BA$1248,10,0)</f>
        <v>AVANCE ORGANIZACIONAL CONSULTORES SAS</v>
      </c>
      <c r="DD21" s="7">
        <f>VLOOKUP(C21,listaBolsa!$D$2:$BA$1248,14,0)</f>
        <v>5500</v>
      </c>
      <c r="DE21" s="7" t="str">
        <f>VLOOKUP(C21,listaBolsa!$D$2:$BA$1248,23,0)</f>
        <v>INVERSIONES PROIN</v>
      </c>
      <c r="DF21" s="7">
        <f>VLOOKUP(C21,listaBolsa!$D$2:$BA$1248,29,0)</f>
        <v>5011</v>
      </c>
      <c r="DG21" s="7" t="str">
        <f>VLOOKUP(C21,listaBolsa!$D$2:$BA$1248,36,0)</f>
        <v>FERRETERIA ALDIA</v>
      </c>
      <c r="DH21" s="7">
        <f>VLOOKUP(C21,listaBolsa!$D$2:$BA$1248,40,0)</f>
        <v>5015.13</v>
      </c>
      <c r="DI21" s="253">
        <f>VLOOKUP(C21,listaBolsa!$D$2:$BA$1248,48,0)</f>
        <v>0.1326</v>
      </c>
      <c r="DJ21" s="7" t="b">
        <f t="shared" si="13"/>
        <v>1</v>
      </c>
      <c r="DK21" s="7" t="b">
        <f t="shared" si="14"/>
        <v>0</v>
      </c>
      <c r="DL21" s="7" t="b">
        <f t="shared" si="15"/>
        <v>1</v>
      </c>
      <c r="DM21" s="7" t="b">
        <f t="shared" si="16"/>
        <v>1</v>
      </c>
      <c r="DN21" s="7" t="b">
        <f t="shared" si="17"/>
        <v>1</v>
      </c>
      <c r="DO21" s="7" t="b">
        <f t="shared" si="18"/>
        <v>0</v>
      </c>
      <c r="DP21" s="7" t="b">
        <f t="shared" si="19"/>
        <v>0</v>
      </c>
      <c r="DQ21" s="7" t="b">
        <f t="shared" si="20"/>
        <v>1</v>
      </c>
      <c r="DR21" s="7" t="b">
        <f t="shared" si="21"/>
        <v>0</v>
      </c>
    </row>
    <row r="22" spans="1:122" s="7" customFormat="1" ht="79.5" customHeight="1">
      <c r="A22" s="75">
        <v>11</v>
      </c>
      <c r="B22" s="249" t="s">
        <v>186</v>
      </c>
      <c r="C22" s="183" t="s">
        <v>221</v>
      </c>
      <c r="D22" s="183" t="s">
        <v>222</v>
      </c>
      <c r="E22" s="111" t="s">
        <v>191</v>
      </c>
      <c r="F22" s="210">
        <v>1</v>
      </c>
      <c r="G22" s="75" t="s">
        <v>192</v>
      </c>
      <c r="H22" s="106" t="s">
        <v>223</v>
      </c>
      <c r="I22" s="107">
        <v>26115.13</v>
      </c>
      <c r="J22" s="96">
        <f t="shared" si="26"/>
        <v>4961.8747000000003</v>
      </c>
      <c r="K22" s="96">
        <f t="shared" si="1"/>
        <v>31077.004700000001</v>
      </c>
      <c r="L22" s="96">
        <f t="shared" si="2"/>
        <v>26115.13</v>
      </c>
      <c r="M22" s="96">
        <f t="shared" si="3"/>
        <v>31077.004700000001</v>
      </c>
      <c r="N22" s="108" t="s">
        <v>224</v>
      </c>
      <c r="O22" s="109">
        <v>33529.410000000003</v>
      </c>
      <c r="P22" s="110">
        <f t="shared" ref="P22:P27" si="27">O22*19%</f>
        <v>6370.5879000000004</v>
      </c>
      <c r="Q22" s="110">
        <f t="shared" si="5"/>
        <v>39899.997900000002</v>
      </c>
      <c r="R22" s="110">
        <f t="shared" si="6"/>
        <v>33529.410000000003</v>
      </c>
      <c r="S22" s="110">
        <f t="shared" si="7"/>
        <v>39899.997900000002</v>
      </c>
      <c r="T22" s="97" t="s">
        <v>225</v>
      </c>
      <c r="U22" s="98">
        <v>27647.16</v>
      </c>
      <c r="V22" s="99">
        <f t="shared" si="25"/>
        <v>5252.9603999999999</v>
      </c>
      <c r="W22" s="99">
        <f t="shared" si="9"/>
        <v>32900.1204</v>
      </c>
      <c r="X22" s="99">
        <f t="shared" si="10"/>
        <v>27647.16</v>
      </c>
      <c r="Y22" s="99">
        <f t="shared" si="11"/>
        <v>32900.1204</v>
      </c>
      <c r="Z22" s="100">
        <f t="shared" si="22"/>
        <v>34625.707666666669</v>
      </c>
      <c r="AA22" s="100">
        <f t="shared" si="23"/>
        <v>34625.707666666669</v>
      </c>
      <c r="AB22" s="78">
        <f t="shared" si="24"/>
        <v>4657.7398824938155</v>
      </c>
      <c r="AC22" s="102">
        <f t="shared" si="12"/>
        <v>0.13451681413511468</v>
      </c>
      <c r="AD22" s="5"/>
      <c r="AE22" s="7" t="s">
        <v>1053</v>
      </c>
      <c r="AF22" s="7" t="str">
        <f>VLOOKUP(C22,Estudio_Mercado_Ori!$C$12:$AH$1115,32,0)</f>
        <v>11PROCEDAS</v>
      </c>
      <c r="BG22" s="7">
        <v>11</v>
      </c>
      <c r="DA22" s="7" t="str">
        <f>VLOOKUP(C22,listaBolsa!$D$2:$BA$1248,1,0)</f>
        <v>Tubos PVC</v>
      </c>
      <c r="DB22" s="7">
        <f>VLOOKUP(C22,listaBolsa!$D$2:$BA$1248,2,0)</f>
        <v>0</v>
      </c>
      <c r="DC22" s="7" t="str">
        <f>VLOOKUP(C22,listaBolsa!$D$2:$BA$1248,10,0)</f>
        <v>CENTRO DE LA CONSTRUCION</v>
      </c>
      <c r="DD22" s="7">
        <f>VLOOKUP(C22,listaBolsa!$D$2:$BA$1248,14,0)</f>
        <v>26115.13</v>
      </c>
      <c r="DE22" s="7" t="str">
        <f>VLOOKUP(C22,listaBolsa!$D$2:$BA$1248,23,0)</f>
        <v>COMADERAS</v>
      </c>
      <c r="DF22" s="7">
        <f>VLOOKUP(C22,listaBolsa!$D$2:$BA$1248,29,0)</f>
        <v>39900</v>
      </c>
      <c r="DG22" s="7" t="str">
        <f>VLOOKUP(C22,listaBolsa!$D$2:$BA$1248,36,0)</f>
        <v>FERRETITO</v>
      </c>
      <c r="DH22" s="7">
        <f>VLOOKUP(C22,listaBolsa!$D$2:$BA$1248,40,0)</f>
        <v>27647.06</v>
      </c>
      <c r="DI22" s="253">
        <f>VLOOKUP(C22,listaBolsa!$D$2:$BA$1248,48,0)</f>
        <v>0.13450000000000001</v>
      </c>
      <c r="DJ22" s="7" t="b">
        <f t="shared" si="13"/>
        <v>1</v>
      </c>
      <c r="DK22" s="7" t="b">
        <f t="shared" si="14"/>
        <v>0</v>
      </c>
      <c r="DL22" s="7" t="b">
        <f t="shared" si="15"/>
        <v>1</v>
      </c>
      <c r="DM22" s="7" t="b">
        <f t="shared" si="16"/>
        <v>1</v>
      </c>
      <c r="DN22" s="7" t="b">
        <f t="shared" si="17"/>
        <v>1</v>
      </c>
      <c r="DO22" s="7" t="b">
        <f t="shared" si="18"/>
        <v>0</v>
      </c>
      <c r="DP22" s="7" t="b">
        <f t="shared" si="19"/>
        <v>1</v>
      </c>
      <c r="DQ22" s="7" t="b">
        <f t="shared" si="20"/>
        <v>0</v>
      </c>
      <c r="DR22" s="7" t="b">
        <f t="shared" si="21"/>
        <v>0</v>
      </c>
    </row>
    <row r="23" spans="1:122" s="7" customFormat="1" ht="89.25" customHeight="1">
      <c r="A23" s="75">
        <v>12</v>
      </c>
      <c r="B23" s="249" t="s">
        <v>186</v>
      </c>
      <c r="C23" s="183" t="s">
        <v>227</v>
      </c>
      <c r="D23" s="183" t="s">
        <v>228</v>
      </c>
      <c r="E23" s="111" t="s">
        <v>191</v>
      </c>
      <c r="F23" s="112">
        <v>10</v>
      </c>
      <c r="G23" s="75" t="s">
        <v>192</v>
      </c>
      <c r="H23" s="106" t="s">
        <v>229</v>
      </c>
      <c r="I23" s="107">
        <v>43426.050420168067</v>
      </c>
      <c r="J23" s="96">
        <f t="shared" si="26"/>
        <v>8250.9495798319331</v>
      </c>
      <c r="K23" s="96">
        <f t="shared" si="1"/>
        <v>51677</v>
      </c>
      <c r="L23" s="96">
        <f t="shared" si="2"/>
        <v>434260.50420168065</v>
      </c>
      <c r="M23" s="96">
        <f t="shared" si="3"/>
        <v>516770</v>
      </c>
      <c r="N23" s="108" t="s">
        <v>230</v>
      </c>
      <c r="O23" s="109">
        <v>43613.445378151257</v>
      </c>
      <c r="P23" s="110">
        <f t="shared" si="27"/>
        <v>8286.554621848738</v>
      </c>
      <c r="Q23" s="110">
        <f t="shared" si="5"/>
        <v>51899.999999999993</v>
      </c>
      <c r="R23" s="110">
        <f t="shared" si="6"/>
        <v>436134.45378151257</v>
      </c>
      <c r="S23" s="110">
        <f t="shared" si="7"/>
        <v>518999.99999999994</v>
      </c>
      <c r="T23" s="97" t="s">
        <v>231</v>
      </c>
      <c r="U23" s="98">
        <v>54868.907563025212</v>
      </c>
      <c r="V23" s="99">
        <f t="shared" si="25"/>
        <v>10425.09243697479</v>
      </c>
      <c r="W23" s="99">
        <f t="shared" si="9"/>
        <v>65294</v>
      </c>
      <c r="X23" s="99">
        <f t="shared" si="10"/>
        <v>548689.07563025213</v>
      </c>
      <c r="Y23" s="99">
        <f t="shared" si="11"/>
        <v>652940</v>
      </c>
      <c r="Z23" s="100">
        <f t="shared" si="22"/>
        <v>56290.333333333336</v>
      </c>
      <c r="AA23" s="100">
        <f t="shared" si="23"/>
        <v>562903.33333333337</v>
      </c>
      <c r="AB23" s="78">
        <f t="shared" si="24"/>
        <v>77982.012242140263</v>
      </c>
      <c r="AC23" s="102">
        <f t="shared" si="12"/>
        <v>0.1385353534511081</v>
      </c>
      <c r="AD23" s="5"/>
      <c r="AE23" s="7" t="s">
        <v>1053</v>
      </c>
      <c r="AF23" s="7" t="str">
        <f>VLOOKUP(C23,Estudio_Mercado_Ori!$C$12:$AH$1115,32,0)</f>
        <v>12PROCEDAS</v>
      </c>
      <c r="BG23" s="7">
        <v>12</v>
      </c>
      <c r="DA23" s="7" t="str">
        <f>VLOOKUP(C23,listaBolsa!$D$2:$BA$1248,1,0)</f>
        <v>Pegamento</v>
      </c>
      <c r="DB23" s="7">
        <f>VLOOKUP(C23,listaBolsa!$D$2:$BA$1248,2,0)</f>
        <v>0</v>
      </c>
      <c r="DC23" s="7" t="str">
        <f>VLOOKUP(C23,listaBolsa!$D$2:$BA$1248,10,0)</f>
        <v>GRUPO SAN PIO</v>
      </c>
      <c r="DD23" s="7">
        <f>VLOOKUP(C23,listaBolsa!$D$2:$BA$1248,14,0)</f>
        <v>43426.05</v>
      </c>
      <c r="DE23" s="7" t="str">
        <f>VLOOKUP(C23,listaBolsa!$D$2:$BA$1248,23,0)</f>
        <v>HOMCENTER</v>
      </c>
      <c r="DF23" s="7">
        <f>VLOOKUP(C23,listaBolsa!$D$2:$BA$1248,29,0)</f>
        <v>51900</v>
      </c>
      <c r="DG23" s="7" t="str">
        <f>VLOOKUP(C23,listaBolsa!$D$2:$BA$1248,36,0)</f>
        <v>FERRETERIA FORERO</v>
      </c>
      <c r="DH23" s="7">
        <f>VLOOKUP(C23,listaBolsa!$D$2:$BA$1248,40,0)</f>
        <v>54868.91</v>
      </c>
      <c r="DI23" s="253">
        <f>VLOOKUP(C23,listaBolsa!$D$2:$BA$1248,48,0)</f>
        <v>0.13850000000000001</v>
      </c>
      <c r="DJ23" s="7" t="b">
        <f t="shared" si="13"/>
        <v>1</v>
      </c>
      <c r="DK23" s="7" t="b">
        <f t="shared" si="14"/>
        <v>0</v>
      </c>
      <c r="DL23" s="7" t="b">
        <f t="shared" si="15"/>
        <v>1</v>
      </c>
      <c r="DM23" s="7" t="b">
        <f t="shared" si="16"/>
        <v>0</v>
      </c>
      <c r="DN23" s="7" t="b">
        <f t="shared" si="17"/>
        <v>0</v>
      </c>
      <c r="DO23" s="7" t="b">
        <f t="shared" si="18"/>
        <v>0</v>
      </c>
      <c r="DP23" s="7" t="b">
        <f t="shared" si="19"/>
        <v>1</v>
      </c>
      <c r="DQ23" s="7" t="b">
        <f t="shared" si="20"/>
        <v>0</v>
      </c>
      <c r="DR23" s="7" t="b">
        <f t="shared" si="21"/>
        <v>0</v>
      </c>
    </row>
    <row r="24" spans="1:122" s="7" customFormat="1" ht="145.15" customHeight="1">
      <c r="A24" s="75">
        <v>13</v>
      </c>
      <c r="B24" s="249" t="s">
        <v>186</v>
      </c>
      <c r="C24" s="95" t="s">
        <v>233</v>
      </c>
      <c r="D24" s="75" t="str">
        <f>IF(C24="","",VLOOKUP(C24,listaBolsa!$D$2:$H$276,2,0))</f>
        <v>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v>
      </c>
      <c r="E24" s="111" t="str">
        <f>IF(C24="","",VLOOKUP(C24,listaBolsa!$D$2:$H$276,3,0))</f>
        <v>Unidad</v>
      </c>
      <c r="F24" s="112">
        <v>25</v>
      </c>
      <c r="G24" s="200" t="str">
        <f>IF(C24="","",VLOOKUP(C24,listaBolsa!$D$2:$H$276,5,0))</f>
        <v>Compra</v>
      </c>
      <c r="H24" s="106" t="str">
        <f>IF(C24="","",VLOOKUP(C24,listaBolsa!$D$2:$W$276,10,0))</f>
        <v>JEN SA</v>
      </c>
      <c r="I24" s="107">
        <f>IF(C24="","",VLOOKUP(C24,listaBolsa!$D$2:$W$276,14,0))</f>
        <v>9235.2941176470595</v>
      </c>
      <c r="J24" s="96">
        <f t="shared" si="26"/>
        <v>1754.7058823529412</v>
      </c>
      <c r="K24" s="96">
        <f t="shared" si="1"/>
        <v>10990</v>
      </c>
      <c r="L24" s="96">
        <f t="shared" si="2"/>
        <v>230882.35294117648</v>
      </c>
      <c r="M24" s="96">
        <f t="shared" si="3"/>
        <v>274750</v>
      </c>
      <c r="N24" s="108" t="str">
        <f>IF(C24="","",VLOOKUP(C24,listaBolsa!$D$2:$AZ$276,23,0))</f>
        <v>ADH PAPELES ADHESIVOS</v>
      </c>
      <c r="O24" s="109">
        <f>IF(C24="","",VLOOKUP(C24,listaBolsa!$D$2:$AZ$276,27,0))</f>
        <v>9012.6050420168067</v>
      </c>
      <c r="P24" s="110">
        <f t="shared" si="27"/>
        <v>1712.3949579831933</v>
      </c>
      <c r="Q24" s="110">
        <f t="shared" si="5"/>
        <v>10725</v>
      </c>
      <c r="R24" s="110">
        <f t="shared" si="6"/>
        <v>225315.12605042016</v>
      </c>
      <c r="S24" s="110">
        <f t="shared" si="7"/>
        <v>268125</v>
      </c>
      <c r="T24" s="97" t="str">
        <f>IF(C24="","",VLOOKUP(C24,listaBolsa!$D$2:$BB$276,36,0))</f>
        <v>EASY COLOMBIA</v>
      </c>
      <c r="U24" s="98">
        <f>IF(C24="","",VLOOKUP(C24,listaBolsa!$D$2:$BB$276,40,0))</f>
        <v>8394.957983193277</v>
      </c>
      <c r="V24" s="99">
        <f t="shared" si="25"/>
        <v>1595.0420168067226</v>
      </c>
      <c r="W24" s="99">
        <f t="shared" si="9"/>
        <v>9990</v>
      </c>
      <c r="X24" s="99">
        <f t="shared" si="10"/>
        <v>209873.94957983191</v>
      </c>
      <c r="Y24" s="99">
        <f t="shared" si="11"/>
        <v>249750</v>
      </c>
      <c r="Z24" s="100">
        <f t="shared" si="22"/>
        <v>10568.333333333334</v>
      </c>
      <c r="AA24" s="100">
        <f t="shared" si="23"/>
        <v>264208.33333333337</v>
      </c>
      <c r="AB24" s="78">
        <f t="shared" si="24"/>
        <v>12952.034910906214</v>
      </c>
      <c r="AC24" s="102">
        <f t="shared" si="12"/>
        <v>4.9022052966684923E-2</v>
      </c>
      <c r="AD24" s="5"/>
      <c r="AE24" s="7" t="s">
        <v>1050</v>
      </c>
      <c r="AF24" s="7" t="str">
        <f>VLOOKUP(C24,Estudio_Mercado_Ori!$C$12:$AH$1115,32,0)</f>
        <v>13PROCEDAS</v>
      </c>
      <c r="BG24" s="7">
        <v>13</v>
      </c>
      <c r="DA24" s="7" t="str">
        <f>VLOOKUP(C24,listaBolsa!$D$2:$BA$1248,1,0)</f>
        <v>Bisturí mediano</v>
      </c>
      <c r="DB24" s="7" t="str">
        <f>VLOOKUP(C24,listaBolsa!$D$2:$BA$1248,2,0)</f>
        <v>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v>
      </c>
      <c r="DC24" s="7" t="str">
        <f>VLOOKUP(C24,listaBolsa!$D$2:$BA$1248,10,0)</f>
        <v>JEN SA</v>
      </c>
      <c r="DD24" s="7">
        <f>VLOOKUP(C24,listaBolsa!$D$2:$BA$1248,14,0)</f>
        <v>9235.2941176470595</v>
      </c>
      <c r="DE24" s="7" t="str">
        <f>VLOOKUP(C24,listaBolsa!$D$2:$BA$1248,23,0)</f>
        <v>ADH PAPELES ADHESIVOS</v>
      </c>
      <c r="DF24" s="7">
        <f>VLOOKUP(C24,listaBolsa!$D$2:$BA$1248,29,0)</f>
        <v>10725</v>
      </c>
      <c r="DG24" s="7" t="str">
        <f>VLOOKUP(C24,listaBolsa!$D$2:$BA$1248,36,0)</f>
        <v>EASY COLOMBIA</v>
      </c>
      <c r="DH24" s="7">
        <f>VLOOKUP(C24,listaBolsa!$D$2:$BA$1248,40,0)</f>
        <v>8394.957983193277</v>
      </c>
      <c r="DI24" s="253">
        <f>VLOOKUP(C24,listaBolsa!$D$2:$BA$1248,48,0)</f>
        <v>4.9022052966684923E-2</v>
      </c>
      <c r="DJ24" s="7" t="b">
        <f t="shared" si="13"/>
        <v>1</v>
      </c>
      <c r="DK24" s="7" t="b">
        <f t="shared" si="14"/>
        <v>1</v>
      </c>
      <c r="DL24" s="7" t="b">
        <f t="shared" si="15"/>
        <v>1</v>
      </c>
      <c r="DM24" s="7" t="b">
        <f t="shared" si="16"/>
        <v>1</v>
      </c>
      <c r="DN24" s="7" t="b">
        <f t="shared" si="17"/>
        <v>1</v>
      </c>
      <c r="DO24" s="7" t="b">
        <f t="shared" si="18"/>
        <v>0</v>
      </c>
      <c r="DP24" s="7" t="b">
        <f t="shared" si="19"/>
        <v>1</v>
      </c>
      <c r="DQ24" s="7" t="b">
        <f t="shared" si="20"/>
        <v>1</v>
      </c>
      <c r="DR24" s="7" t="b">
        <f t="shared" si="21"/>
        <v>1</v>
      </c>
    </row>
    <row r="25" spans="1:122" s="7" customFormat="1" ht="89.25" customHeight="1">
      <c r="A25" s="75">
        <v>14</v>
      </c>
      <c r="B25" s="249" t="s">
        <v>186</v>
      </c>
      <c r="C25" s="183" t="s">
        <v>235</v>
      </c>
      <c r="D25" s="183" t="s">
        <v>236</v>
      </c>
      <c r="E25" s="111" t="s">
        <v>191</v>
      </c>
      <c r="F25" s="112">
        <v>3</v>
      </c>
      <c r="G25" s="75" t="s">
        <v>192</v>
      </c>
      <c r="H25" s="106" t="s">
        <v>237</v>
      </c>
      <c r="I25" s="107">
        <v>5882.3529411764712</v>
      </c>
      <c r="J25" s="96">
        <f t="shared" si="26"/>
        <v>1117.6470588235295</v>
      </c>
      <c r="K25" s="96">
        <f t="shared" si="1"/>
        <v>7000.0000000000009</v>
      </c>
      <c r="L25" s="96">
        <f t="shared" si="2"/>
        <v>17647.058823529413</v>
      </c>
      <c r="M25" s="96">
        <f t="shared" si="3"/>
        <v>21000.000000000004</v>
      </c>
      <c r="N25" s="108" t="s">
        <v>238</v>
      </c>
      <c r="O25" s="109">
        <v>7445.3781512605046</v>
      </c>
      <c r="P25" s="110">
        <f t="shared" si="27"/>
        <v>1414.6218487394958</v>
      </c>
      <c r="Q25" s="110">
        <f t="shared" si="5"/>
        <v>8860</v>
      </c>
      <c r="R25" s="110">
        <f t="shared" si="6"/>
        <v>22336.134453781513</v>
      </c>
      <c r="S25" s="110">
        <f t="shared" si="7"/>
        <v>26580</v>
      </c>
      <c r="T25" s="97" t="s">
        <v>239</v>
      </c>
      <c r="U25" s="98">
        <v>8571.4285714285725</v>
      </c>
      <c r="V25" s="99">
        <f t="shared" si="25"/>
        <v>1628.5714285714289</v>
      </c>
      <c r="W25" s="99">
        <f t="shared" si="9"/>
        <v>10200.000000000002</v>
      </c>
      <c r="X25" s="99">
        <f t="shared" si="10"/>
        <v>25714.285714285717</v>
      </c>
      <c r="Y25" s="99">
        <f t="shared" si="11"/>
        <v>30600.000000000007</v>
      </c>
      <c r="Z25" s="100">
        <f t="shared" si="22"/>
        <v>8686.6666666666661</v>
      </c>
      <c r="AA25" s="100">
        <f t="shared" si="23"/>
        <v>26060</v>
      </c>
      <c r="AB25" s="78">
        <f t="shared" si="24"/>
        <v>4821.0787174656625</v>
      </c>
      <c r="AC25" s="102">
        <f t="shared" si="12"/>
        <v>0.18499918332562021</v>
      </c>
      <c r="AD25" s="5" t="s">
        <v>240</v>
      </c>
      <c r="AE25" s="7" t="s">
        <v>1053</v>
      </c>
      <c r="AF25" s="7" t="str">
        <f>VLOOKUP(C25,Estudio_Mercado_Ori!$C$12:$AH$1115,32,0)</f>
        <v>14PROCEDAS</v>
      </c>
      <c r="BG25" s="7">
        <v>14</v>
      </c>
      <c r="DA25" s="7" t="str">
        <f>VLOOKUP(C25,listaBolsa!$D$2:$BA$1248,1,0)</f>
        <v>Amarres plásticos</v>
      </c>
      <c r="DB25" s="7">
        <f>VLOOKUP(C25,listaBolsa!$D$2:$BA$1248,2,0)</f>
        <v>0</v>
      </c>
      <c r="DC25" s="7" t="str">
        <f>VLOOKUP(C25,listaBolsa!$D$2:$BA$1248,10,0)</f>
        <v>C&amp;C GRUPO EMPRESARIAL SAS</v>
      </c>
      <c r="DD25" s="7">
        <f>VLOOKUP(C25,listaBolsa!$D$2:$BA$1248,14,0)</f>
        <v>5882.35</v>
      </c>
      <c r="DE25" s="7" t="str">
        <f>VLOOKUP(C25,listaBolsa!$D$2:$BA$1248,23,0)</f>
        <v>FERRETERIA DE MARCA</v>
      </c>
      <c r="DF25" s="7">
        <f>VLOOKUP(C25,listaBolsa!$D$2:$BA$1248,29,0)</f>
        <v>8860</v>
      </c>
      <c r="DG25" s="7" t="str">
        <f>VLOOKUP(C25,listaBolsa!$D$2:$BA$1248,36,0)</f>
        <v>EXITO</v>
      </c>
      <c r="DH25" s="7">
        <f>VLOOKUP(C25,listaBolsa!$D$2:$BA$1248,40,0)</f>
        <v>8571.43</v>
      </c>
      <c r="DI25" s="253">
        <f>VLOOKUP(C25,listaBolsa!$D$2:$BA$1248,48,0)</f>
        <v>0.185</v>
      </c>
      <c r="DJ25" s="7" t="b">
        <f t="shared" si="13"/>
        <v>1</v>
      </c>
      <c r="DK25" s="7" t="b">
        <f t="shared" si="14"/>
        <v>0</v>
      </c>
      <c r="DL25" s="7" t="b">
        <f t="shared" si="15"/>
        <v>1</v>
      </c>
      <c r="DM25" s="7" t="b">
        <f t="shared" si="16"/>
        <v>0</v>
      </c>
      <c r="DN25" s="7" t="b">
        <f t="shared" si="17"/>
        <v>1</v>
      </c>
      <c r="DO25" s="7" t="b">
        <f t="shared" si="18"/>
        <v>0</v>
      </c>
      <c r="DP25" s="7" t="b">
        <f t="shared" si="19"/>
        <v>1</v>
      </c>
      <c r="DQ25" s="7" t="b">
        <f t="shared" si="20"/>
        <v>0</v>
      </c>
      <c r="DR25" s="7" t="b">
        <f t="shared" si="21"/>
        <v>0</v>
      </c>
    </row>
    <row r="26" spans="1:122" s="7" customFormat="1" ht="79.5" customHeight="1">
      <c r="A26" s="75">
        <v>15</v>
      </c>
      <c r="B26" s="249" t="s">
        <v>186</v>
      </c>
      <c r="C26" s="183" t="s">
        <v>242</v>
      </c>
      <c r="D26" s="183" t="s">
        <v>243</v>
      </c>
      <c r="E26" s="184" t="s">
        <v>244</v>
      </c>
      <c r="F26" s="112">
        <v>2</v>
      </c>
      <c r="G26" s="75" t="s">
        <v>192</v>
      </c>
      <c r="H26" s="106" t="s">
        <v>193</v>
      </c>
      <c r="I26" s="107">
        <v>18000</v>
      </c>
      <c r="J26" s="96">
        <f t="shared" si="26"/>
        <v>3420</v>
      </c>
      <c r="K26" s="96">
        <f t="shared" si="1"/>
        <v>21420</v>
      </c>
      <c r="L26" s="96">
        <f t="shared" si="2"/>
        <v>36000</v>
      </c>
      <c r="M26" s="96">
        <f t="shared" si="3"/>
        <v>42840</v>
      </c>
      <c r="N26" s="108" t="s">
        <v>245</v>
      </c>
      <c r="O26" s="109">
        <v>16000</v>
      </c>
      <c r="P26" s="110">
        <f t="shared" si="27"/>
        <v>3040</v>
      </c>
      <c r="Q26" s="110">
        <f t="shared" si="5"/>
        <v>19040</v>
      </c>
      <c r="R26" s="110">
        <f t="shared" si="6"/>
        <v>32000</v>
      </c>
      <c r="S26" s="110">
        <f t="shared" si="7"/>
        <v>38080</v>
      </c>
      <c r="T26" s="97" t="s">
        <v>194</v>
      </c>
      <c r="U26" s="98">
        <v>20000</v>
      </c>
      <c r="V26" s="99">
        <f t="shared" si="25"/>
        <v>3800</v>
      </c>
      <c r="W26" s="99">
        <f t="shared" si="9"/>
        <v>23800</v>
      </c>
      <c r="X26" s="99">
        <f t="shared" si="10"/>
        <v>40000</v>
      </c>
      <c r="Y26" s="99">
        <f t="shared" si="11"/>
        <v>47600</v>
      </c>
      <c r="Z26" s="100">
        <f t="shared" si="22"/>
        <v>21420</v>
      </c>
      <c r="AA26" s="100">
        <f t="shared" si="23"/>
        <v>42840</v>
      </c>
      <c r="AB26" s="78">
        <f t="shared" si="24"/>
        <v>4760</v>
      </c>
      <c r="AC26" s="102">
        <f t="shared" si="12"/>
        <v>0.1111111111111111</v>
      </c>
      <c r="AD26" s="5"/>
      <c r="AE26" s="7" t="s">
        <v>1053</v>
      </c>
      <c r="AF26" s="7" t="str">
        <f>VLOOKUP(C26,Estudio_Mercado_Ori!$C$12:$AH$1115,32,0)</f>
        <v>15PROCEDAS</v>
      </c>
      <c r="BG26" s="7">
        <v>15</v>
      </c>
      <c r="DA26" s="7" t="str">
        <f>VLOOKUP(C26,listaBolsa!$D$2:$BA$1248,1,0)</f>
        <v>Alambre</v>
      </c>
      <c r="DB26" s="7">
        <f>VLOOKUP(C26,listaBolsa!$D$2:$BA$1248,2,0)</f>
        <v>0</v>
      </c>
      <c r="DC26" s="7" t="str">
        <f>VLOOKUP(C26,listaBolsa!$D$2:$BA$1248,10,0)</f>
        <v>AVANCE ORGANIZACIONAL CONSULTORES SAS</v>
      </c>
      <c r="DD26" s="7">
        <f>VLOOKUP(C26,listaBolsa!$D$2:$BA$1248,14,0)</f>
        <v>18000</v>
      </c>
      <c r="DE26" s="7" t="str">
        <f>VLOOKUP(C26,listaBolsa!$D$2:$BA$1248,23,0)</f>
        <v>CONADES</v>
      </c>
      <c r="DF26" s="7">
        <f>VLOOKUP(C26,listaBolsa!$D$2:$BA$1248,29,0)</f>
        <v>19040</v>
      </c>
      <c r="DG26" s="7" t="str">
        <f>VLOOKUP(C26,listaBolsa!$D$2:$BA$1248,36,0)</f>
        <v>SIDED</v>
      </c>
      <c r="DH26" s="7">
        <f>VLOOKUP(C26,listaBolsa!$D$2:$BA$1248,40,0)</f>
        <v>20000</v>
      </c>
      <c r="DI26" s="253">
        <f>VLOOKUP(C26,listaBolsa!$D$2:$BA$1248,48,0)</f>
        <v>0.1111</v>
      </c>
      <c r="DJ26" s="7" t="b">
        <f t="shared" si="13"/>
        <v>1</v>
      </c>
      <c r="DK26" s="7" t="b">
        <f t="shared" si="14"/>
        <v>0</v>
      </c>
      <c r="DL26" s="7" t="b">
        <f t="shared" si="15"/>
        <v>1</v>
      </c>
      <c r="DM26" s="7" t="b">
        <f t="shared" si="16"/>
        <v>1</v>
      </c>
      <c r="DN26" s="7" t="b">
        <f t="shared" si="17"/>
        <v>1</v>
      </c>
      <c r="DO26" s="7" t="b">
        <f t="shared" si="18"/>
        <v>0</v>
      </c>
      <c r="DP26" s="7" t="b">
        <f t="shared" si="19"/>
        <v>1</v>
      </c>
      <c r="DQ26" s="7" t="b">
        <f t="shared" si="20"/>
        <v>1</v>
      </c>
      <c r="DR26" s="7" t="b">
        <f t="shared" si="21"/>
        <v>0</v>
      </c>
    </row>
    <row r="27" spans="1:122" s="7" customFormat="1" ht="79.5" customHeight="1">
      <c r="A27" s="75">
        <v>16</v>
      </c>
      <c r="B27" s="249" t="s">
        <v>186</v>
      </c>
      <c r="C27" s="183" t="s">
        <v>247</v>
      </c>
      <c r="D27" s="183" t="s">
        <v>248</v>
      </c>
      <c r="E27" s="184" t="s">
        <v>191</v>
      </c>
      <c r="F27" s="112">
        <v>4</v>
      </c>
      <c r="G27" s="75" t="s">
        <v>192</v>
      </c>
      <c r="H27" s="106" t="s">
        <v>193</v>
      </c>
      <c r="I27" s="107">
        <v>24000</v>
      </c>
      <c r="J27" s="96">
        <f t="shared" si="26"/>
        <v>4560</v>
      </c>
      <c r="K27" s="96">
        <f t="shared" si="1"/>
        <v>28560</v>
      </c>
      <c r="L27" s="96">
        <f t="shared" si="2"/>
        <v>96000</v>
      </c>
      <c r="M27" s="96">
        <f t="shared" si="3"/>
        <v>114240</v>
      </c>
      <c r="N27" s="108" t="s">
        <v>194</v>
      </c>
      <c r="O27" s="109">
        <v>25000</v>
      </c>
      <c r="P27" s="110">
        <f t="shared" si="27"/>
        <v>4750</v>
      </c>
      <c r="Q27" s="110">
        <f t="shared" si="5"/>
        <v>29750</v>
      </c>
      <c r="R27" s="110">
        <f t="shared" si="6"/>
        <v>100000</v>
      </c>
      <c r="S27" s="110">
        <f t="shared" si="7"/>
        <v>119000</v>
      </c>
      <c r="T27" s="97" t="s">
        <v>245</v>
      </c>
      <c r="U27" s="98">
        <v>22000</v>
      </c>
      <c r="V27" s="99">
        <f t="shared" si="25"/>
        <v>4180</v>
      </c>
      <c r="W27" s="99">
        <f t="shared" si="9"/>
        <v>26180</v>
      </c>
      <c r="X27" s="99">
        <f t="shared" si="10"/>
        <v>88000</v>
      </c>
      <c r="Y27" s="99">
        <f t="shared" si="11"/>
        <v>104720</v>
      </c>
      <c r="Z27" s="100">
        <f t="shared" si="22"/>
        <v>28163.333333333332</v>
      </c>
      <c r="AA27" s="100">
        <f t="shared" si="23"/>
        <v>112653.33333333333</v>
      </c>
      <c r="AB27" s="78">
        <f t="shared" si="24"/>
        <v>7271.0201026632658</v>
      </c>
      <c r="AC27" s="102">
        <f t="shared" si="12"/>
        <v>6.4543319647265354E-2</v>
      </c>
      <c r="AD27" s="5"/>
      <c r="AE27" s="7" t="s">
        <v>1053</v>
      </c>
      <c r="AF27" s="7" t="str">
        <f>VLOOKUP(C27,Estudio_Mercado_Ori!$C$12:$AH$1115,32,0)</f>
        <v>16PROCEDAS</v>
      </c>
      <c r="BG27" s="7">
        <v>16</v>
      </c>
      <c r="DA27" s="7" t="str">
        <f>VLOOKUP(C27,listaBolsa!$D$2:$BA$1248,1,0)</f>
        <v>Silicona ácida</v>
      </c>
      <c r="DB27" s="7">
        <f>VLOOKUP(C27,listaBolsa!$D$2:$BA$1248,2,0)</f>
        <v>0</v>
      </c>
      <c r="DC27" s="7" t="str">
        <f>VLOOKUP(C27,listaBolsa!$D$2:$BA$1248,10,0)</f>
        <v>AVANCE ORGANIZACIONAL CONSULTORES SAS</v>
      </c>
      <c r="DD27" s="7">
        <f>VLOOKUP(C27,listaBolsa!$D$2:$BA$1248,14,0)</f>
        <v>24000</v>
      </c>
      <c r="DE27" s="7" t="str">
        <f>VLOOKUP(C27,listaBolsa!$D$2:$BA$1248,23,0)</f>
        <v>CONADES</v>
      </c>
      <c r="DF27" s="7">
        <f>VLOOKUP(C27,listaBolsa!$D$2:$BA$1248,29,0)</f>
        <v>26180</v>
      </c>
      <c r="DG27" s="7" t="str">
        <f>VLOOKUP(C27,listaBolsa!$D$2:$BA$1248,36,0)</f>
        <v>SIDED</v>
      </c>
      <c r="DH27" s="7">
        <f>VLOOKUP(C27,listaBolsa!$D$2:$BA$1248,40,0)</f>
        <v>25000</v>
      </c>
      <c r="DI27" s="253">
        <f>VLOOKUP(C27,listaBolsa!$D$2:$BA$1248,48,0)</f>
        <v>6.4500000000000002E-2</v>
      </c>
      <c r="DJ27" s="7" t="b">
        <f t="shared" si="13"/>
        <v>1</v>
      </c>
      <c r="DK27" s="7" t="b">
        <f t="shared" si="14"/>
        <v>0</v>
      </c>
      <c r="DL27" s="7" t="b">
        <f t="shared" si="15"/>
        <v>1</v>
      </c>
      <c r="DM27" s="7" t="b">
        <f t="shared" si="16"/>
        <v>1</v>
      </c>
      <c r="DN27" s="7" t="b">
        <f t="shared" si="17"/>
        <v>0</v>
      </c>
      <c r="DO27" s="7" t="b">
        <f t="shared" si="18"/>
        <v>0</v>
      </c>
      <c r="DP27" s="7" t="b">
        <f t="shared" si="19"/>
        <v>0</v>
      </c>
      <c r="DQ27" s="7" t="b">
        <f t="shared" si="20"/>
        <v>0</v>
      </c>
      <c r="DR27" s="7" t="b">
        <f t="shared" si="21"/>
        <v>0</v>
      </c>
    </row>
    <row r="28" spans="1:122" s="7" customFormat="1" ht="85.5" customHeight="1">
      <c r="A28" s="75">
        <v>17</v>
      </c>
      <c r="B28" s="249" t="s">
        <v>186</v>
      </c>
      <c r="C28" s="217" t="s">
        <v>250</v>
      </c>
      <c r="D28" s="217" t="s">
        <v>251</v>
      </c>
      <c r="E28" s="184" t="s">
        <v>191</v>
      </c>
      <c r="F28" s="112">
        <v>1</v>
      </c>
      <c r="G28" s="75" t="s">
        <v>192</v>
      </c>
      <c r="H28" s="106" t="s">
        <v>193</v>
      </c>
      <c r="I28" s="107">
        <v>42000</v>
      </c>
      <c r="J28" s="96">
        <f t="shared" si="26"/>
        <v>7980</v>
      </c>
      <c r="K28" s="96">
        <f t="shared" si="1"/>
        <v>49980</v>
      </c>
      <c r="L28" s="96">
        <f t="shared" si="2"/>
        <v>42000</v>
      </c>
      <c r="M28" s="96">
        <f t="shared" si="3"/>
        <v>49980</v>
      </c>
      <c r="N28" s="108" t="s">
        <v>194</v>
      </c>
      <c r="O28" s="109">
        <v>45000</v>
      </c>
      <c r="P28" s="110"/>
      <c r="Q28" s="110">
        <f t="shared" si="5"/>
        <v>45000</v>
      </c>
      <c r="R28" s="110">
        <f t="shared" si="6"/>
        <v>45000</v>
      </c>
      <c r="S28" s="110">
        <f t="shared" si="7"/>
        <v>45000</v>
      </c>
      <c r="T28" s="97" t="s">
        <v>252</v>
      </c>
      <c r="U28" s="98">
        <v>41302.521008403361</v>
      </c>
      <c r="V28" s="99">
        <f t="shared" si="25"/>
        <v>7847.4789915966385</v>
      </c>
      <c r="W28" s="99">
        <f t="shared" si="9"/>
        <v>49150</v>
      </c>
      <c r="X28" s="99">
        <f t="shared" si="10"/>
        <v>41302.521008403361</v>
      </c>
      <c r="Y28" s="99">
        <f t="shared" si="11"/>
        <v>49150</v>
      </c>
      <c r="Z28" s="100">
        <f t="shared" si="22"/>
        <v>48043.333333333336</v>
      </c>
      <c r="AA28" s="100">
        <f t="shared" si="23"/>
        <v>48043.333333333336</v>
      </c>
      <c r="AB28" s="78">
        <f t="shared" si="24"/>
        <v>2668.0767105413843</v>
      </c>
      <c r="AC28" s="102">
        <f t="shared" si="12"/>
        <v>5.5534795889989261E-2</v>
      </c>
      <c r="AD28" s="5"/>
      <c r="AE28" s="7" t="s">
        <v>1054</v>
      </c>
      <c r="AF28" s="7" t="str">
        <f>VLOOKUP(C28,Estudio_Mercado_Ori!$C$12:$AH$1115,32,0)</f>
        <v>17PROCEDAS</v>
      </c>
      <c r="BG28" s="7">
        <v>17</v>
      </c>
      <c r="DA28" s="7" t="str">
        <f>VLOOKUP(C28,listaBolsa!$D$2:$BA$1248,1,0)</f>
        <v>Zuncho plástico</v>
      </c>
      <c r="DB28" s="7">
        <f>VLOOKUP(C28,listaBolsa!$D$2:$BA$1248,2,0)</f>
        <v>0</v>
      </c>
      <c r="DC28" s="7" t="str">
        <f>VLOOKUP(C28,listaBolsa!$D$2:$BA$1248,10,0)</f>
        <v>AVANCE ORGANIZACIONAL CONSULTORES SAS</v>
      </c>
      <c r="DD28" s="7">
        <f>VLOOKUP(C28,listaBolsa!$D$2:$BA$1248,14,0)</f>
        <v>42000</v>
      </c>
      <c r="DE28" s="7" t="str">
        <f>VLOOKUP(C28,listaBolsa!$D$2:$BA$1248,23,0)</f>
        <v>SIDED</v>
      </c>
      <c r="DF28" s="7">
        <f>VLOOKUP(C28,listaBolsa!$D$2:$BA$1248,29,0)</f>
        <v>45000</v>
      </c>
      <c r="DG28" s="7" t="str">
        <f>VLOOKUP(C28,listaBolsa!$D$2:$BA$1248,36,0)</f>
        <v>CASA FERRETERIA</v>
      </c>
      <c r="DH28" s="7">
        <f>VLOOKUP(C28,listaBolsa!$D$2:$BA$1248,40,0)</f>
        <v>41302.519999999997</v>
      </c>
      <c r="DI28" s="253">
        <f>VLOOKUP(C28,listaBolsa!$D$2:$BA$1248,48,0)</f>
        <v>5.5500000000000001E-2</v>
      </c>
      <c r="DJ28" s="7" t="b">
        <f t="shared" si="13"/>
        <v>1</v>
      </c>
      <c r="DK28" s="7" t="b">
        <f t="shared" si="14"/>
        <v>0</v>
      </c>
      <c r="DL28" s="7" t="b">
        <f t="shared" si="15"/>
        <v>1</v>
      </c>
      <c r="DM28" s="7" t="b">
        <f t="shared" si="16"/>
        <v>1</v>
      </c>
      <c r="DN28" s="7" t="b">
        <f t="shared" si="17"/>
        <v>1</v>
      </c>
      <c r="DO28" s="7" t="b">
        <f t="shared" si="18"/>
        <v>1</v>
      </c>
      <c r="DP28" s="7" t="b">
        <f t="shared" si="19"/>
        <v>1</v>
      </c>
      <c r="DQ28" s="7" t="b">
        <f t="shared" si="20"/>
        <v>0</v>
      </c>
      <c r="DR28" s="7" t="b">
        <f t="shared" si="21"/>
        <v>0</v>
      </c>
    </row>
    <row r="29" spans="1:122" s="7" customFormat="1" ht="105.6" customHeight="1">
      <c r="A29" s="75">
        <v>18</v>
      </c>
      <c r="B29" s="249" t="s">
        <v>186</v>
      </c>
      <c r="C29" s="183" t="s">
        <v>254</v>
      </c>
      <c r="D29" s="183" t="s">
        <v>255</v>
      </c>
      <c r="E29" s="184" t="s">
        <v>191</v>
      </c>
      <c r="F29" s="112">
        <v>10</v>
      </c>
      <c r="G29" s="75" t="s">
        <v>192</v>
      </c>
      <c r="H29" s="106" t="s">
        <v>256</v>
      </c>
      <c r="I29" s="107">
        <v>150.42016806722691</v>
      </c>
      <c r="J29" s="96">
        <f t="shared" si="26"/>
        <v>28.579831932773114</v>
      </c>
      <c r="K29" s="96">
        <f t="shared" si="1"/>
        <v>179.00000000000003</v>
      </c>
      <c r="L29" s="96">
        <f t="shared" si="2"/>
        <v>1504.201680672269</v>
      </c>
      <c r="M29" s="96">
        <f t="shared" si="3"/>
        <v>1790.0000000000002</v>
      </c>
      <c r="N29" s="108" t="s">
        <v>257</v>
      </c>
      <c r="O29" s="109">
        <v>117.64705882352941</v>
      </c>
      <c r="P29" s="110">
        <f t="shared" ref="P29:P41" si="28">O29*19%</f>
        <v>22.352941176470587</v>
      </c>
      <c r="Q29" s="110">
        <f t="shared" si="5"/>
        <v>140</v>
      </c>
      <c r="R29" s="110">
        <f t="shared" si="6"/>
        <v>1176.4705882352941</v>
      </c>
      <c r="S29" s="110">
        <f t="shared" si="7"/>
        <v>1400</v>
      </c>
      <c r="T29" s="97" t="s">
        <v>258</v>
      </c>
      <c r="U29" s="98">
        <v>168.0672268907563</v>
      </c>
      <c r="V29" s="99">
        <f t="shared" si="25"/>
        <v>31.932773109243698</v>
      </c>
      <c r="W29" s="99">
        <f t="shared" si="9"/>
        <v>200</v>
      </c>
      <c r="X29" s="99">
        <f t="shared" si="10"/>
        <v>1680.672268907563</v>
      </c>
      <c r="Y29" s="99">
        <f t="shared" si="11"/>
        <v>2000</v>
      </c>
      <c r="Z29" s="100">
        <f t="shared" si="22"/>
        <v>173</v>
      </c>
      <c r="AA29" s="100">
        <f t="shared" si="23"/>
        <v>1730</v>
      </c>
      <c r="AB29" s="78">
        <f t="shared" si="24"/>
        <v>304.46674695276658</v>
      </c>
      <c r="AC29" s="102">
        <f t="shared" si="12"/>
        <v>0.17599233927905583</v>
      </c>
      <c r="AD29" s="5"/>
      <c r="AE29" s="7" t="s">
        <v>1053</v>
      </c>
      <c r="AF29" s="7" t="str">
        <f>VLOOKUP(C29,Estudio_Mercado_Ori!$C$12:$AH$1115,32,0)</f>
        <v>18PROCEDAS</v>
      </c>
      <c r="BG29" s="7">
        <v>18</v>
      </c>
      <c r="DA29" s="7" t="str">
        <f>VLOOKUP(C29,listaBolsa!$D$2:$BA$1248,1,0)</f>
        <v>Grapas</v>
      </c>
      <c r="DB29" s="7">
        <f>VLOOKUP(C29,listaBolsa!$D$2:$BA$1248,2,0)</f>
        <v>0</v>
      </c>
      <c r="DC29" s="7" t="str">
        <f>VLOOKUP(C29,listaBolsa!$D$2:$BA$1248,10,0)</f>
        <v>NACIONAL DE ELECTRICOS</v>
      </c>
      <c r="DD29" s="7">
        <f>VLOOKUP(C29,listaBolsa!$D$2:$BA$1248,14,0)</f>
        <v>150.41999999999999</v>
      </c>
      <c r="DE29" s="7" t="str">
        <f>VLOOKUP(C29,listaBolsa!$D$2:$BA$1248,23,0)</f>
        <v>INTER ELECTRICAS</v>
      </c>
      <c r="DF29" s="7">
        <f>VLOOKUP(C29,listaBolsa!$D$2:$BA$1248,29,0)</f>
        <v>140</v>
      </c>
      <c r="DG29" s="7" t="str">
        <f>VLOOKUP(C29,listaBolsa!$D$2:$BA$1248,36,0)</f>
        <v>PRODUCABOS</v>
      </c>
      <c r="DH29" s="7">
        <f>VLOOKUP(C29,listaBolsa!$D$2:$BA$1248,40,0)</f>
        <v>168.07</v>
      </c>
      <c r="DI29" s="253">
        <f>VLOOKUP(C29,listaBolsa!$D$2:$BA$1248,48,0)</f>
        <v>0.17599999999999999</v>
      </c>
      <c r="DJ29" s="7" t="b">
        <f t="shared" si="13"/>
        <v>1</v>
      </c>
      <c r="DK29" s="7" t="b">
        <f t="shared" si="14"/>
        <v>0</v>
      </c>
      <c r="DL29" s="7" t="b">
        <f t="shared" si="15"/>
        <v>1</v>
      </c>
      <c r="DM29" s="7" t="b">
        <f t="shared" si="16"/>
        <v>0</v>
      </c>
      <c r="DN29" s="7" t="b">
        <f t="shared" si="17"/>
        <v>1</v>
      </c>
      <c r="DO29" s="7" t="b">
        <f t="shared" si="18"/>
        <v>0</v>
      </c>
      <c r="DP29" s="7" t="b">
        <f t="shared" si="19"/>
        <v>1</v>
      </c>
      <c r="DQ29" s="7" t="b">
        <f t="shared" si="20"/>
        <v>0</v>
      </c>
      <c r="DR29" s="7" t="b">
        <f t="shared" si="21"/>
        <v>0</v>
      </c>
    </row>
    <row r="30" spans="1:122" s="7" customFormat="1" ht="75.75" customHeight="1">
      <c r="A30" s="75">
        <v>19</v>
      </c>
      <c r="B30" s="249" t="s">
        <v>186</v>
      </c>
      <c r="C30" s="186" t="s">
        <v>260</v>
      </c>
      <c r="D30" s="186" t="s">
        <v>261</v>
      </c>
      <c r="E30" s="111" t="s">
        <v>262</v>
      </c>
      <c r="F30" s="112">
        <v>1</v>
      </c>
      <c r="G30" s="75" t="s">
        <v>192</v>
      </c>
      <c r="H30" s="106" t="s">
        <v>193</v>
      </c>
      <c r="I30" s="107">
        <v>180000</v>
      </c>
      <c r="J30" s="96">
        <f t="shared" si="26"/>
        <v>34200</v>
      </c>
      <c r="K30" s="96">
        <f t="shared" si="1"/>
        <v>214200</v>
      </c>
      <c r="L30" s="96">
        <f t="shared" si="2"/>
        <v>180000</v>
      </c>
      <c r="M30" s="96">
        <f t="shared" si="3"/>
        <v>214200</v>
      </c>
      <c r="N30" s="108" t="s">
        <v>194</v>
      </c>
      <c r="O30" s="109">
        <v>200000</v>
      </c>
      <c r="P30" s="110">
        <f t="shared" si="28"/>
        <v>38000</v>
      </c>
      <c r="Q30" s="110">
        <f t="shared" si="5"/>
        <v>238000</v>
      </c>
      <c r="R30" s="110">
        <f t="shared" si="6"/>
        <v>200000</v>
      </c>
      <c r="S30" s="110">
        <f t="shared" si="7"/>
        <v>238000</v>
      </c>
      <c r="T30" s="97" t="s">
        <v>263</v>
      </c>
      <c r="U30" s="98">
        <v>173865.5462184874</v>
      </c>
      <c r="V30" s="99">
        <f t="shared" si="25"/>
        <v>33034.45378151261</v>
      </c>
      <c r="W30" s="99">
        <f t="shared" si="9"/>
        <v>206900</v>
      </c>
      <c r="X30" s="99">
        <f t="shared" si="10"/>
        <v>173865.5462184874</v>
      </c>
      <c r="Y30" s="99">
        <f t="shared" si="11"/>
        <v>206900</v>
      </c>
      <c r="Z30" s="100">
        <f t="shared" si="22"/>
        <v>219700</v>
      </c>
      <c r="AA30" s="100">
        <f t="shared" si="23"/>
        <v>219700</v>
      </c>
      <c r="AB30" s="78">
        <f t="shared" si="24"/>
        <v>16263.148526653749</v>
      </c>
      <c r="AC30" s="102">
        <f t="shared" si="12"/>
        <v>7.402434468208352E-2</v>
      </c>
      <c r="AD30" s="5"/>
      <c r="AE30" s="7" t="s">
        <v>1046</v>
      </c>
      <c r="AF30" s="7" t="str">
        <f>VLOOKUP(C30,Estudio_Mercado_Ori!$C$12:$AH$1115,32,0)</f>
        <v>19PROCEDAS</v>
      </c>
      <c r="BG30" s="7">
        <v>20</v>
      </c>
      <c r="DA30" s="7" t="str">
        <f>VLOOKUP(C30,listaBolsa!$D$2:$BA$1248,1,0)</f>
        <v>Pintura acrílica base (fondo)</v>
      </c>
      <c r="DB30" s="7">
        <f>VLOOKUP(C30,listaBolsa!$D$2:$BA$1248,2,0)</f>
        <v>0</v>
      </c>
      <c r="DC30" s="7" t="str">
        <f>VLOOKUP(C30,listaBolsa!$D$2:$BA$1248,10,0)</f>
        <v>AVANCE ORGANIZACIONAL CONSULTORES SAS</v>
      </c>
      <c r="DD30" s="7">
        <f>VLOOKUP(C30,listaBolsa!$D$2:$BA$1248,14,0)</f>
        <v>180000</v>
      </c>
      <c r="DE30" s="7" t="str">
        <f>VLOOKUP(C30,listaBolsa!$D$2:$BA$1248,23,0)</f>
        <v>SIDED</v>
      </c>
      <c r="DF30" s="7">
        <f>VLOOKUP(C30,listaBolsa!$D$2:$BA$1248,29,0)</f>
        <v>238000</v>
      </c>
      <c r="DG30" s="7" t="str">
        <f>VLOOKUP(C30,listaBolsa!$D$2:$BA$1248,36,0)</f>
        <v>HOMCENTER</v>
      </c>
      <c r="DH30" s="7">
        <f>VLOOKUP(C30,listaBolsa!$D$2:$BA$1248,40,0)</f>
        <v>173865.55</v>
      </c>
      <c r="DI30" s="253">
        <f>VLOOKUP(C30,listaBolsa!$D$2:$BA$1248,48,0)</f>
        <v>7.3999999999999996E-2</v>
      </c>
      <c r="DJ30" s="7" t="b">
        <f t="shared" si="13"/>
        <v>1</v>
      </c>
      <c r="DK30" s="7" t="b">
        <f t="shared" si="14"/>
        <v>0</v>
      </c>
      <c r="DL30" s="7" t="b">
        <f t="shared" si="15"/>
        <v>1</v>
      </c>
      <c r="DM30" s="7" t="b">
        <f t="shared" si="16"/>
        <v>1</v>
      </c>
      <c r="DN30" s="7" t="b">
        <f t="shared" si="17"/>
        <v>1</v>
      </c>
      <c r="DO30" s="7" t="b">
        <f t="shared" si="18"/>
        <v>0</v>
      </c>
      <c r="DP30" s="7" t="b">
        <f t="shared" si="19"/>
        <v>1</v>
      </c>
      <c r="DQ30" s="7" t="b">
        <f t="shared" si="20"/>
        <v>0</v>
      </c>
      <c r="DR30" s="7" t="b">
        <f t="shared" si="21"/>
        <v>0</v>
      </c>
    </row>
    <row r="31" spans="1:122" s="7" customFormat="1" ht="81.75" customHeight="1">
      <c r="A31" s="75">
        <v>20</v>
      </c>
      <c r="B31" s="249" t="s">
        <v>186</v>
      </c>
      <c r="C31" s="394" t="s">
        <v>265</v>
      </c>
      <c r="D31" s="186" t="s">
        <v>266</v>
      </c>
      <c r="E31" s="111" t="s">
        <v>267</v>
      </c>
      <c r="F31" s="112">
        <v>1</v>
      </c>
      <c r="G31" s="75" t="s">
        <v>192</v>
      </c>
      <c r="H31" s="106" t="s">
        <v>193</v>
      </c>
      <c r="I31" s="107">
        <v>180000</v>
      </c>
      <c r="J31" s="96">
        <f t="shared" si="26"/>
        <v>34200</v>
      </c>
      <c r="K31" s="96">
        <f t="shared" si="1"/>
        <v>214200</v>
      </c>
      <c r="L31" s="96">
        <f t="shared" si="2"/>
        <v>180000</v>
      </c>
      <c r="M31" s="96">
        <f t="shared" si="3"/>
        <v>214200</v>
      </c>
      <c r="N31" s="108" t="s">
        <v>245</v>
      </c>
      <c r="O31" s="109">
        <v>150000</v>
      </c>
      <c r="P31" s="110">
        <f t="shared" si="28"/>
        <v>28500</v>
      </c>
      <c r="Q31" s="110">
        <f t="shared" si="5"/>
        <v>178500</v>
      </c>
      <c r="R31" s="110">
        <f t="shared" si="6"/>
        <v>150000</v>
      </c>
      <c r="S31" s="110">
        <f t="shared" si="7"/>
        <v>178500</v>
      </c>
      <c r="T31" s="97" t="s">
        <v>194</v>
      </c>
      <c r="U31" s="98">
        <v>200000</v>
      </c>
      <c r="V31" s="99">
        <f t="shared" si="25"/>
        <v>38000</v>
      </c>
      <c r="W31" s="99">
        <f t="shared" si="9"/>
        <v>238000</v>
      </c>
      <c r="X31" s="99">
        <f t="shared" si="10"/>
        <v>200000</v>
      </c>
      <c r="Y31" s="99">
        <f t="shared" si="11"/>
        <v>238000</v>
      </c>
      <c r="Z31" s="100">
        <f t="shared" si="22"/>
        <v>210233.33333333334</v>
      </c>
      <c r="AA31" s="100">
        <f t="shared" si="23"/>
        <v>210233.33333333334</v>
      </c>
      <c r="AB31" s="78">
        <f t="shared" si="24"/>
        <v>29947.676593240682</v>
      </c>
      <c r="AC31" s="102">
        <f t="shared" si="12"/>
        <v>0.1424497063258634</v>
      </c>
      <c r="AD31" s="5"/>
      <c r="AE31" s="7" t="s">
        <v>1055</v>
      </c>
      <c r="AF31" s="7" t="str">
        <f>VLOOKUP(C31,Estudio_Mercado_Ori!$C$12:$AH$1115,32,0)</f>
        <v>20PROCEDAS</v>
      </c>
      <c r="BG31" s="7">
        <v>21</v>
      </c>
      <c r="DA31" s="7" t="str">
        <f>VLOOKUP(C31,listaBolsa!$D$2:$BA$1248,1,0)</f>
        <v>Pintura acrílica amarilla</v>
      </c>
      <c r="DB31" s="7">
        <f>VLOOKUP(C31,listaBolsa!$D$2:$BA$1248,2,0)</f>
        <v>0</v>
      </c>
      <c r="DC31" s="7" t="str">
        <f>VLOOKUP(C31,listaBolsa!$D$2:$BA$1248,10,0)</f>
        <v>AVANCE ORGANIZACIONAL CONSULTORES SAS</v>
      </c>
      <c r="DD31" s="7">
        <f>VLOOKUP(C31,listaBolsa!$D$2:$BA$1248,14,0)</f>
        <v>180000</v>
      </c>
      <c r="DE31" s="7" t="str">
        <f>VLOOKUP(C31,listaBolsa!$D$2:$BA$1248,23,0)</f>
        <v>CONADES</v>
      </c>
      <c r="DF31" s="7">
        <f>VLOOKUP(C31,listaBolsa!$D$2:$BA$1248,29,0)</f>
        <v>178500</v>
      </c>
      <c r="DG31" s="7" t="str">
        <f>VLOOKUP(C31,listaBolsa!$D$2:$BA$1248,36,0)</f>
        <v>SIDED</v>
      </c>
      <c r="DH31" s="7">
        <f>VLOOKUP(C31,listaBolsa!$D$2:$BA$1248,40,0)</f>
        <v>200000</v>
      </c>
      <c r="DI31" s="253">
        <f>VLOOKUP(C31,listaBolsa!$D$2:$BA$1248,48,0)</f>
        <v>0.1424</v>
      </c>
      <c r="DJ31" s="7" t="b">
        <f t="shared" si="13"/>
        <v>1</v>
      </c>
      <c r="DK31" s="7" t="b">
        <f t="shared" si="14"/>
        <v>0</v>
      </c>
      <c r="DL31" s="7" t="b">
        <f t="shared" si="15"/>
        <v>1</v>
      </c>
      <c r="DM31" s="7" t="b">
        <f t="shared" si="16"/>
        <v>1</v>
      </c>
      <c r="DN31" s="7" t="b">
        <f t="shared" si="17"/>
        <v>1</v>
      </c>
      <c r="DO31" s="7" t="b">
        <f t="shared" si="18"/>
        <v>0</v>
      </c>
      <c r="DP31" s="7" t="b">
        <f t="shared" si="19"/>
        <v>1</v>
      </c>
      <c r="DQ31" s="7" t="b">
        <f t="shared" si="20"/>
        <v>1</v>
      </c>
      <c r="DR31" s="7" t="b">
        <f t="shared" si="21"/>
        <v>0</v>
      </c>
    </row>
    <row r="32" spans="1:122" s="7" customFormat="1" ht="83.25" customHeight="1">
      <c r="A32" s="75">
        <v>21</v>
      </c>
      <c r="B32" s="249" t="s">
        <v>186</v>
      </c>
      <c r="C32" s="394" t="s">
        <v>269</v>
      </c>
      <c r="D32" s="186" t="s">
        <v>270</v>
      </c>
      <c r="E32" s="111" t="s">
        <v>271</v>
      </c>
      <c r="F32" s="112">
        <v>1</v>
      </c>
      <c r="G32" s="75" t="s">
        <v>192</v>
      </c>
      <c r="H32" s="106" t="s">
        <v>193</v>
      </c>
      <c r="I32" s="107">
        <v>180000</v>
      </c>
      <c r="J32" s="96">
        <f t="shared" si="26"/>
        <v>34200</v>
      </c>
      <c r="K32" s="96">
        <f t="shared" si="1"/>
        <v>214200</v>
      </c>
      <c r="L32" s="96">
        <f t="shared" si="2"/>
        <v>180000</v>
      </c>
      <c r="M32" s="96">
        <f t="shared" si="3"/>
        <v>214200</v>
      </c>
      <c r="N32" s="108" t="s">
        <v>245</v>
      </c>
      <c r="O32" s="109">
        <v>150000</v>
      </c>
      <c r="P32" s="110">
        <f t="shared" si="28"/>
        <v>28500</v>
      </c>
      <c r="Q32" s="110">
        <f t="shared" si="5"/>
        <v>178500</v>
      </c>
      <c r="R32" s="110">
        <f t="shared" si="6"/>
        <v>150000</v>
      </c>
      <c r="S32" s="110">
        <f t="shared" si="7"/>
        <v>178500</v>
      </c>
      <c r="T32" s="97" t="s">
        <v>194</v>
      </c>
      <c r="U32" s="98">
        <v>200000</v>
      </c>
      <c r="V32" s="99">
        <f t="shared" si="25"/>
        <v>38000</v>
      </c>
      <c r="W32" s="99">
        <f t="shared" si="9"/>
        <v>238000</v>
      </c>
      <c r="X32" s="99">
        <f t="shared" si="10"/>
        <v>200000</v>
      </c>
      <c r="Y32" s="99">
        <f t="shared" si="11"/>
        <v>238000</v>
      </c>
      <c r="Z32" s="100">
        <f t="shared" si="22"/>
        <v>210233.33333333334</v>
      </c>
      <c r="AA32" s="100">
        <f t="shared" si="23"/>
        <v>210233.33333333334</v>
      </c>
      <c r="AB32" s="78">
        <f t="shared" si="24"/>
        <v>29947.676593240682</v>
      </c>
      <c r="AC32" s="102">
        <f t="shared" si="12"/>
        <v>0.1424497063258634</v>
      </c>
      <c r="AD32" s="5"/>
      <c r="AE32" s="7" t="s">
        <v>1055</v>
      </c>
      <c r="AF32" s="7" t="str">
        <f>VLOOKUP(C32,Estudio_Mercado_Ori!$C$12:$AH$1115,32,0)</f>
        <v>21PROCEDAS</v>
      </c>
      <c r="BG32" s="7">
        <v>22</v>
      </c>
      <c r="DA32" s="7" t="str">
        <f>VLOOKUP(C32,listaBolsa!$D$2:$BA$1248,1,0)</f>
        <v>Pintura acrílica azul</v>
      </c>
      <c r="DB32" s="7">
        <f>VLOOKUP(C32,listaBolsa!$D$2:$BA$1248,2,0)</f>
        <v>0</v>
      </c>
      <c r="DC32" s="7" t="str">
        <f>VLOOKUP(C32,listaBolsa!$D$2:$BA$1248,10,0)</f>
        <v>AVANCE ORGANIZACIONAL CONSULTORES SAS</v>
      </c>
      <c r="DD32" s="7">
        <f>VLOOKUP(C32,listaBolsa!$D$2:$BA$1248,14,0)</f>
        <v>180000</v>
      </c>
      <c r="DE32" s="7" t="str">
        <f>VLOOKUP(C32,listaBolsa!$D$2:$BA$1248,23,0)</f>
        <v>CONADES</v>
      </c>
      <c r="DF32" s="7">
        <f>VLOOKUP(C32,listaBolsa!$D$2:$BA$1248,29,0)</f>
        <v>178500</v>
      </c>
      <c r="DG32" s="7" t="str">
        <f>VLOOKUP(C32,listaBolsa!$D$2:$BA$1248,36,0)</f>
        <v>SIDED</v>
      </c>
      <c r="DH32" s="7">
        <f>VLOOKUP(C32,listaBolsa!$D$2:$BA$1248,40,0)</f>
        <v>200000</v>
      </c>
      <c r="DI32" s="253">
        <f>VLOOKUP(C32,listaBolsa!$D$2:$BA$1248,48,0)</f>
        <v>0.1424</v>
      </c>
      <c r="DJ32" s="7" t="b">
        <f t="shared" si="13"/>
        <v>1</v>
      </c>
      <c r="DK32" s="7" t="b">
        <f t="shared" si="14"/>
        <v>0</v>
      </c>
      <c r="DL32" s="7" t="b">
        <f t="shared" si="15"/>
        <v>1</v>
      </c>
      <c r="DM32" s="7" t="b">
        <f t="shared" si="16"/>
        <v>1</v>
      </c>
      <c r="DN32" s="7" t="b">
        <f t="shared" si="17"/>
        <v>1</v>
      </c>
      <c r="DO32" s="7" t="b">
        <f t="shared" si="18"/>
        <v>0</v>
      </c>
      <c r="DP32" s="7" t="b">
        <f t="shared" si="19"/>
        <v>1</v>
      </c>
      <c r="DQ32" s="7" t="b">
        <f t="shared" si="20"/>
        <v>1</v>
      </c>
      <c r="DR32" s="7" t="b">
        <f t="shared" si="21"/>
        <v>0</v>
      </c>
    </row>
    <row r="33" spans="1:122" s="7" customFormat="1" ht="78" customHeight="1">
      <c r="A33" s="75">
        <v>22</v>
      </c>
      <c r="B33" s="249" t="s">
        <v>186</v>
      </c>
      <c r="C33" s="394" t="s">
        <v>273</v>
      </c>
      <c r="D33" s="186" t="s">
        <v>274</v>
      </c>
      <c r="E33" s="111" t="s">
        <v>267</v>
      </c>
      <c r="F33" s="112">
        <v>1</v>
      </c>
      <c r="G33" s="75" t="s">
        <v>192</v>
      </c>
      <c r="H33" s="106" t="s">
        <v>193</v>
      </c>
      <c r="I33" s="107">
        <v>180000</v>
      </c>
      <c r="J33" s="96">
        <f t="shared" si="26"/>
        <v>34200</v>
      </c>
      <c r="K33" s="96">
        <f t="shared" si="1"/>
        <v>214200</v>
      </c>
      <c r="L33" s="96">
        <f t="shared" si="2"/>
        <v>180000</v>
      </c>
      <c r="M33" s="96">
        <f t="shared" si="3"/>
        <v>214200</v>
      </c>
      <c r="N33" s="108" t="s">
        <v>245</v>
      </c>
      <c r="O33" s="109">
        <v>150000</v>
      </c>
      <c r="P33" s="110">
        <f t="shared" si="28"/>
        <v>28500</v>
      </c>
      <c r="Q33" s="110">
        <f t="shared" si="5"/>
        <v>178500</v>
      </c>
      <c r="R33" s="110">
        <f t="shared" si="6"/>
        <v>150000</v>
      </c>
      <c r="S33" s="110">
        <f t="shared" si="7"/>
        <v>178500</v>
      </c>
      <c r="T33" s="97" t="s">
        <v>194</v>
      </c>
      <c r="U33" s="98">
        <v>200000</v>
      </c>
      <c r="V33" s="99">
        <f t="shared" si="25"/>
        <v>38000</v>
      </c>
      <c r="W33" s="99">
        <f t="shared" si="9"/>
        <v>238000</v>
      </c>
      <c r="X33" s="99">
        <f t="shared" si="10"/>
        <v>200000</v>
      </c>
      <c r="Y33" s="99">
        <f t="shared" si="11"/>
        <v>238000</v>
      </c>
      <c r="Z33" s="100">
        <f t="shared" si="22"/>
        <v>210233.33333333334</v>
      </c>
      <c r="AA33" s="100">
        <f t="shared" si="23"/>
        <v>210233.33333333334</v>
      </c>
      <c r="AB33" s="78">
        <f t="shared" si="24"/>
        <v>29947.676593240682</v>
      </c>
      <c r="AC33" s="102">
        <f t="shared" si="12"/>
        <v>0.1424497063258634</v>
      </c>
      <c r="AD33" s="5"/>
      <c r="AE33" s="7" t="s">
        <v>1055</v>
      </c>
      <c r="AF33" s="7" t="str">
        <f>VLOOKUP(C33,Estudio_Mercado_Ori!$C$12:$AH$1115,32,0)</f>
        <v>22PROCEDAS</v>
      </c>
      <c r="BG33" s="7">
        <v>23</v>
      </c>
      <c r="DA33" s="7" t="str">
        <f>VLOOKUP(C33,listaBolsa!$D$2:$BA$1248,1,0)</f>
        <v>Pintura acrílica roja</v>
      </c>
      <c r="DB33" s="7">
        <f>VLOOKUP(C33,listaBolsa!$D$2:$BA$1248,2,0)</f>
        <v>0</v>
      </c>
      <c r="DC33" s="7" t="str">
        <f>VLOOKUP(C33,listaBolsa!$D$2:$BA$1248,10,0)</f>
        <v>AVANCE ORGANIZACIONAL CONSULTORES SAS</v>
      </c>
      <c r="DD33" s="7">
        <f>VLOOKUP(C33,listaBolsa!$D$2:$BA$1248,14,0)</f>
        <v>180000</v>
      </c>
      <c r="DE33" s="7" t="str">
        <f>VLOOKUP(C33,listaBolsa!$D$2:$BA$1248,23,0)</f>
        <v>CONADES</v>
      </c>
      <c r="DF33" s="7">
        <f>VLOOKUP(C33,listaBolsa!$D$2:$BA$1248,29,0)</f>
        <v>178500</v>
      </c>
      <c r="DG33" s="7" t="str">
        <f>VLOOKUP(C33,listaBolsa!$D$2:$BA$1248,36,0)</f>
        <v>SIDED</v>
      </c>
      <c r="DH33" s="7">
        <f>VLOOKUP(C33,listaBolsa!$D$2:$BA$1248,40,0)</f>
        <v>200000</v>
      </c>
      <c r="DI33" s="253">
        <f>VLOOKUP(C33,listaBolsa!$D$2:$BA$1248,48,0)</f>
        <v>0.1424</v>
      </c>
      <c r="DJ33" s="7" t="b">
        <f t="shared" si="13"/>
        <v>1</v>
      </c>
      <c r="DK33" s="7" t="b">
        <f t="shared" si="14"/>
        <v>0</v>
      </c>
      <c r="DL33" s="7" t="b">
        <f t="shared" si="15"/>
        <v>1</v>
      </c>
      <c r="DM33" s="7" t="b">
        <f t="shared" si="16"/>
        <v>1</v>
      </c>
      <c r="DN33" s="7" t="b">
        <f t="shared" si="17"/>
        <v>1</v>
      </c>
      <c r="DO33" s="7" t="b">
        <f t="shared" si="18"/>
        <v>0</v>
      </c>
      <c r="DP33" s="7" t="b">
        <f t="shared" si="19"/>
        <v>1</v>
      </c>
      <c r="DQ33" s="7" t="b">
        <f t="shared" si="20"/>
        <v>1</v>
      </c>
      <c r="DR33" s="7" t="b">
        <f t="shared" si="21"/>
        <v>0</v>
      </c>
    </row>
    <row r="34" spans="1:122" s="7" customFormat="1" ht="87" customHeight="1">
      <c r="A34" s="75">
        <v>23</v>
      </c>
      <c r="B34" s="249" t="s">
        <v>186</v>
      </c>
      <c r="C34" s="394" t="s">
        <v>276</v>
      </c>
      <c r="D34" s="186" t="s">
        <v>277</v>
      </c>
      <c r="E34" s="111" t="s">
        <v>267</v>
      </c>
      <c r="F34" s="112">
        <v>1</v>
      </c>
      <c r="G34" s="75" t="s">
        <v>192</v>
      </c>
      <c r="H34" s="106" t="s">
        <v>193</v>
      </c>
      <c r="I34" s="107">
        <v>180000</v>
      </c>
      <c r="J34" s="96">
        <f t="shared" si="26"/>
        <v>34200</v>
      </c>
      <c r="K34" s="96">
        <f t="shared" si="1"/>
        <v>214200</v>
      </c>
      <c r="L34" s="96">
        <f t="shared" si="2"/>
        <v>180000</v>
      </c>
      <c r="M34" s="96">
        <f t="shared" si="3"/>
        <v>214200</v>
      </c>
      <c r="N34" s="108" t="s">
        <v>245</v>
      </c>
      <c r="O34" s="109">
        <v>150000</v>
      </c>
      <c r="P34" s="110">
        <f t="shared" si="28"/>
        <v>28500</v>
      </c>
      <c r="Q34" s="110">
        <f t="shared" si="5"/>
        <v>178500</v>
      </c>
      <c r="R34" s="110">
        <f t="shared" si="6"/>
        <v>150000</v>
      </c>
      <c r="S34" s="110">
        <f t="shared" si="7"/>
        <v>178500</v>
      </c>
      <c r="T34" s="97" t="s">
        <v>194</v>
      </c>
      <c r="U34" s="98">
        <v>200000</v>
      </c>
      <c r="V34" s="99">
        <f t="shared" si="25"/>
        <v>38000</v>
      </c>
      <c r="W34" s="99">
        <f t="shared" si="9"/>
        <v>238000</v>
      </c>
      <c r="X34" s="99">
        <f t="shared" si="10"/>
        <v>200000</v>
      </c>
      <c r="Y34" s="99">
        <f t="shared" si="11"/>
        <v>238000</v>
      </c>
      <c r="Z34" s="100">
        <f t="shared" si="22"/>
        <v>210233.33333333334</v>
      </c>
      <c r="AA34" s="100">
        <f t="shared" si="23"/>
        <v>210233.33333333334</v>
      </c>
      <c r="AB34" s="78">
        <f t="shared" si="24"/>
        <v>29947.676593240682</v>
      </c>
      <c r="AC34" s="102">
        <f t="shared" si="12"/>
        <v>0.1424497063258634</v>
      </c>
      <c r="AD34" s="5"/>
      <c r="AE34" s="7" t="s">
        <v>1055</v>
      </c>
      <c r="AF34" s="7" t="str">
        <f>VLOOKUP(C34,Estudio_Mercado_Ori!$C$12:$AH$1115,32,0)</f>
        <v>23PROCEDAS</v>
      </c>
      <c r="BG34" s="7">
        <v>24</v>
      </c>
      <c r="DA34" s="7" t="str">
        <f>VLOOKUP(C34,listaBolsa!$D$2:$BA$1248,1,0)</f>
        <v>Pintura acrílica negra</v>
      </c>
      <c r="DB34" s="7">
        <f>VLOOKUP(C34,listaBolsa!$D$2:$BA$1248,2,0)</f>
        <v>0</v>
      </c>
      <c r="DC34" s="7" t="str">
        <f>VLOOKUP(C34,listaBolsa!$D$2:$BA$1248,10,0)</f>
        <v>AVANCE ORGANIZACIONAL CONSULTORES SAS</v>
      </c>
      <c r="DD34" s="7">
        <f>VLOOKUP(C34,listaBolsa!$D$2:$BA$1248,14,0)</f>
        <v>180000</v>
      </c>
      <c r="DE34" s="7" t="str">
        <f>VLOOKUP(C34,listaBolsa!$D$2:$BA$1248,23,0)</f>
        <v>CONADES</v>
      </c>
      <c r="DF34" s="7">
        <f>VLOOKUP(C34,listaBolsa!$D$2:$BA$1248,29,0)</f>
        <v>178500</v>
      </c>
      <c r="DG34" s="7" t="str">
        <f>VLOOKUP(C34,listaBolsa!$D$2:$BA$1248,36,0)</f>
        <v>SIDED</v>
      </c>
      <c r="DH34" s="7">
        <f>VLOOKUP(C34,listaBolsa!$D$2:$BA$1248,40,0)</f>
        <v>200000</v>
      </c>
      <c r="DI34" s="253">
        <f>VLOOKUP(C34,listaBolsa!$D$2:$BA$1248,48,0)</f>
        <v>0.1424</v>
      </c>
      <c r="DJ34" s="7" t="b">
        <f t="shared" si="13"/>
        <v>1</v>
      </c>
      <c r="DK34" s="7" t="b">
        <f t="shared" si="14"/>
        <v>0</v>
      </c>
      <c r="DL34" s="7" t="b">
        <f t="shared" si="15"/>
        <v>1</v>
      </c>
      <c r="DM34" s="7" t="b">
        <f t="shared" si="16"/>
        <v>1</v>
      </c>
      <c r="DN34" s="7" t="b">
        <f t="shared" si="17"/>
        <v>1</v>
      </c>
      <c r="DO34" s="7" t="b">
        <f t="shared" si="18"/>
        <v>0</v>
      </c>
      <c r="DP34" s="7" t="b">
        <f t="shared" si="19"/>
        <v>1</v>
      </c>
      <c r="DQ34" s="7" t="b">
        <f t="shared" si="20"/>
        <v>1</v>
      </c>
      <c r="DR34" s="7" t="b">
        <f t="shared" si="21"/>
        <v>0</v>
      </c>
    </row>
    <row r="35" spans="1:122" s="7" customFormat="1" ht="81.75" customHeight="1">
      <c r="A35" s="75">
        <v>24</v>
      </c>
      <c r="B35" s="249" t="s">
        <v>186</v>
      </c>
      <c r="C35" s="186" t="s">
        <v>279</v>
      </c>
      <c r="D35" s="186" t="s">
        <v>280</v>
      </c>
      <c r="E35" s="111" t="s">
        <v>191</v>
      </c>
      <c r="F35" s="112">
        <v>3</v>
      </c>
      <c r="G35" s="75" t="s">
        <v>192</v>
      </c>
      <c r="H35" s="106" t="s">
        <v>193</v>
      </c>
      <c r="I35" s="107">
        <v>13000</v>
      </c>
      <c r="J35" s="96">
        <f t="shared" si="26"/>
        <v>2470</v>
      </c>
      <c r="K35" s="96">
        <f t="shared" si="1"/>
        <v>15470</v>
      </c>
      <c r="L35" s="96">
        <f t="shared" si="2"/>
        <v>39000</v>
      </c>
      <c r="M35" s="96">
        <f t="shared" si="3"/>
        <v>46410</v>
      </c>
      <c r="N35" s="108" t="s">
        <v>245</v>
      </c>
      <c r="O35" s="109">
        <v>12000</v>
      </c>
      <c r="P35" s="110">
        <f t="shared" si="28"/>
        <v>2280</v>
      </c>
      <c r="Q35" s="110">
        <f t="shared" si="5"/>
        <v>14280</v>
      </c>
      <c r="R35" s="110">
        <f t="shared" si="6"/>
        <v>36000</v>
      </c>
      <c r="S35" s="110">
        <f t="shared" si="7"/>
        <v>42840</v>
      </c>
      <c r="T35" s="97" t="s">
        <v>194</v>
      </c>
      <c r="U35" s="98">
        <v>15000</v>
      </c>
      <c r="V35" s="99">
        <f t="shared" si="25"/>
        <v>2850</v>
      </c>
      <c r="W35" s="99">
        <f t="shared" si="9"/>
        <v>17850</v>
      </c>
      <c r="X35" s="99">
        <f t="shared" si="10"/>
        <v>45000</v>
      </c>
      <c r="Y35" s="99">
        <f t="shared" si="11"/>
        <v>53550</v>
      </c>
      <c r="Z35" s="100">
        <f t="shared" si="22"/>
        <v>15866.666666666666</v>
      </c>
      <c r="AA35" s="100">
        <f t="shared" si="23"/>
        <v>47600</v>
      </c>
      <c r="AB35" s="78">
        <f t="shared" si="24"/>
        <v>5453.2650769974498</v>
      </c>
      <c r="AC35" s="102">
        <f t="shared" si="12"/>
        <v>0.114564392373896</v>
      </c>
      <c r="AD35" s="5"/>
      <c r="AE35" s="7" t="s">
        <v>1053</v>
      </c>
      <c r="AF35" s="7" t="str">
        <f>VLOOKUP(C35,Estudio_Mercado_Ori!$C$12:$AH$1115,32,0)</f>
        <v>24PROCEDAS</v>
      </c>
      <c r="BG35" s="7">
        <v>25</v>
      </c>
      <c r="DA35" s="7" t="str">
        <f>VLOOKUP(C35,listaBolsa!$D$2:$BA$1248,1,0)</f>
        <v>Rodillos</v>
      </c>
      <c r="DB35" s="7">
        <f>VLOOKUP(C35,listaBolsa!$D$2:$BA$1248,2,0)</f>
        <v>0</v>
      </c>
      <c r="DC35" s="7" t="str">
        <f>VLOOKUP(C35,listaBolsa!$D$2:$BA$1248,10,0)</f>
        <v>AVANCE ORGANIZACIONAL CONSULTORES SAS</v>
      </c>
      <c r="DD35" s="7">
        <f>VLOOKUP(C35,listaBolsa!$D$2:$BA$1248,14,0)</f>
        <v>13000</v>
      </c>
      <c r="DE35" s="7" t="str">
        <f>VLOOKUP(C35,listaBolsa!$D$2:$BA$1248,23,0)</f>
        <v>CONADES</v>
      </c>
      <c r="DF35" s="7">
        <f>VLOOKUP(C35,listaBolsa!$D$2:$BA$1248,29,0)</f>
        <v>14280</v>
      </c>
      <c r="DG35" s="7" t="str">
        <f>VLOOKUP(C35,listaBolsa!$D$2:$BA$1248,36,0)</f>
        <v>SIDED</v>
      </c>
      <c r="DH35" s="7">
        <f>VLOOKUP(C35,listaBolsa!$D$2:$BA$1248,40,0)</f>
        <v>15000</v>
      </c>
      <c r="DI35" s="253">
        <f>VLOOKUP(C35,listaBolsa!$D$2:$BA$1248,48,0)</f>
        <v>0.11459999999999999</v>
      </c>
      <c r="DJ35" s="7" t="b">
        <f t="shared" si="13"/>
        <v>1</v>
      </c>
      <c r="DK35" s="7" t="b">
        <f t="shared" si="14"/>
        <v>0</v>
      </c>
      <c r="DL35" s="7" t="b">
        <f t="shared" si="15"/>
        <v>1</v>
      </c>
      <c r="DM35" s="7" t="b">
        <f t="shared" si="16"/>
        <v>1</v>
      </c>
      <c r="DN35" s="7" t="b">
        <f t="shared" si="17"/>
        <v>1</v>
      </c>
      <c r="DO35" s="7" t="b">
        <f t="shared" si="18"/>
        <v>0</v>
      </c>
      <c r="DP35" s="7" t="b">
        <f t="shared" si="19"/>
        <v>1</v>
      </c>
      <c r="DQ35" s="7" t="b">
        <f t="shared" si="20"/>
        <v>1</v>
      </c>
      <c r="DR35" s="7" t="b">
        <f t="shared" si="21"/>
        <v>0</v>
      </c>
    </row>
    <row r="36" spans="1:122" s="7" customFormat="1" ht="90.75" customHeight="1">
      <c r="A36" s="75">
        <v>25</v>
      </c>
      <c r="B36" s="249" t="s">
        <v>186</v>
      </c>
      <c r="C36" s="200" t="s">
        <v>282</v>
      </c>
      <c r="D36" s="200" t="s">
        <v>283</v>
      </c>
      <c r="E36" s="111" t="s">
        <v>191</v>
      </c>
      <c r="F36" s="112">
        <v>6</v>
      </c>
      <c r="G36" s="75" t="s">
        <v>192</v>
      </c>
      <c r="H36" s="106" t="s">
        <v>284</v>
      </c>
      <c r="I36" s="107">
        <v>4117.6470588235297</v>
      </c>
      <c r="J36" s="96">
        <f t="shared" si="26"/>
        <v>782.35294117647061</v>
      </c>
      <c r="K36" s="96">
        <f t="shared" si="1"/>
        <v>4900</v>
      </c>
      <c r="L36" s="96">
        <f t="shared" si="2"/>
        <v>24705.882352941178</v>
      </c>
      <c r="M36" s="96">
        <f t="shared" si="3"/>
        <v>29400</v>
      </c>
      <c r="N36" s="108" t="s">
        <v>285</v>
      </c>
      <c r="O36" s="109">
        <v>4117.6470588235297</v>
      </c>
      <c r="P36" s="110">
        <f t="shared" si="28"/>
        <v>782.35294117647061</v>
      </c>
      <c r="Q36" s="110">
        <f t="shared" si="5"/>
        <v>4900</v>
      </c>
      <c r="R36" s="110">
        <f t="shared" si="6"/>
        <v>24705.882352941178</v>
      </c>
      <c r="S36" s="110">
        <f t="shared" si="7"/>
        <v>29400</v>
      </c>
      <c r="T36" s="97" t="s">
        <v>286</v>
      </c>
      <c r="U36" s="98">
        <v>3500</v>
      </c>
      <c r="V36" s="99">
        <f t="shared" si="25"/>
        <v>665</v>
      </c>
      <c r="W36" s="99">
        <f t="shared" si="9"/>
        <v>4165</v>
      </c>
      <c r="X36" s="99">
        <f t="shared" si="10"/>
        <v>21000</v>
      </c>
      <c r="Y36" s="99">
        <f t="shared" si="11"/>
        <v>24990</v>
      </c>
      <c r="Z36" s="100">
        <f t="shared" si="22"/>
        <v>4655</v>
      </c>
      <c r="AA36" s="100">
        <f t="shared" si="23"/>
        <v>27930</v>
      </c>
      <c r="AB36" s="78">
        <f t="shared" si="24"/>
        <v>2546.1146871262495</v>
      </c>
      <c r="AC36" s="102">
        <f t="shared" si="12"/>
        <v>9.1160568819414589E-2</v>
      </c>
      <c r="AD36" s="5"/>
      <c r="AE36" s="7" t="s">
        <v>1053</v>
      </c>
      <c r="AF36" s="7" t="str">
        <f>VLOOKUP(C36,Estudio_Mercado_Ori!$C$12:$AH$1115,32,0)</f>
        <v>25PROCEDAS</v>
      </c>
      <c r="BG36" s="7">
        <v>26</v>
      </c>
      <c r="DA36" s="7" t="str">
        <f>VLOOKUP(C36,listaBolsa!$D$2:$BA$1248,1,0)</f>
        <v>Brochas</v>
      </c>
      <c r="DB36" s="7">
        <f>VLOOKUP(C36,listaBolsa!$D$2:$BA$1248,2,0)</f>
        <v>0</v>
      </c>
      <c r="DC36" s="7" t="str">
        <f>VLOOKUP(C36,listaBolsa!$D$2:$BA$1248,10,0)</f>
        <v>HOMMECENTER</v>
      </c>
      <c r="DD36" s="7">
        <f>VLOOKUP(C36,listaBolsa!$D$2:$BA$1248,14,0)</f>
        <v>4117.6499999999996</v>
      </c>
      <c r="DE36" s="7" t="str">
        <f>VLOOKUP(C36,listaBolsa!$D$2:$BA$1248,23,0)</f>
        <v>FALABELLA COLOMBIA</v>
      </c>
      <c r="DF36" s="7">
        <f>VLOOKUP(C36,listaBolsa!$D$2:$BA$1248,29,0)</f>
        <v>4900</v>
      </c>
      <c r="DG36" s="7" t="str">
        <f>VLOOKUP(C36,listaBolsa!$D$2:$BA$1248,36,0)</f>
        <v>FERRICENTRO</v>
      </c>
      <c r="DH36" s="7">
        <f>VLOOKUP(C36,listaBolsa!$D$2:$BA$1248,40,0)</f>
        <v>3500</v>
      </c>
      <c r="DI36" s="253">
        <f>VLOOKUP(C36,listaBolsa!$D$2:$BA$1248,48,0)</f>
        <v>9.1200000000000003E-2</v>
      </c>
      <c r="DJ36" s="7" t="b">
        <f t="shared" si="13"/>
        <v>1</v>
      </c>
      <c r="DK36" s="7" t="b">
        <f t="shared" si="14"/>
        <v>0</v>
      </c>
      <c r="DL36" s="7" t="b">
        <f t="shared" si="15"/>
        <v>1</v>
      </c>
      <c r="DM36" s="7" t="b">
        <f t="shared" si="16"/>
        <v>0</v>
      </c>
      <c r="DN36" s="7" t="b">
        <f t="shared" si="17"/>
        <v>1</v>
      </c>
      <c r="DO36" s="7" t="b">
        <f t="shared" si="18"/>
        <v>0</v>
      </c>
      <c r="DP36" s="7" t="b">
        <f t="shared" si="19"/>
        <v>1</v>
      </c>
      <c r="DQ36" s="7" t="b">
        <f t="shared" si="20"/>
        <v>1</v>
      </c>
      <c r="DR36" s="7" t="b">
        <f t="shared" si="21"/>
        <v>0</v>
      </c>
    </row>
    <row r="37" spans="1:122" s="7" customFormat="1" ht="83.25" customHeight="1">
      <c r="A37" s="75">
        <v>26</v>
      </c>
      <c r="B37" s="249" t="s">
        <v>186</v>
      </c>
      <c r="C37" s="200" t="s">
        <v>282</v>
      </c>
      <c r="D37" s="200" t="s">
        <v>288</v>
      </c>
      <c r="E37" s="111" t="s">
        <v>191</v>
      </c>
      <c r="F37" s="112">
        <v>4</v>
      </c>
      <c r="G37" s="75" t="s">
        <v>192</v>
      </c>
      <c r="H37" s="106" t="s">
        <v>285</v>
      </c>
      <c r="I37" s="107">
        <v>9707.5630252100837</v>
      </c>
      <c r="J37" s="96">
        <f t="shared" si="26"/>
        <v>1844.4369747899159</v>
      </c>
      <c r="K37" s="96">
        <f t="shared" si="1"/>
        <v>11552</v>
      </c>
      <c r="L37" s="96">
        <f t="shared" si="2"/>
        <v>38830.252100840335</v>
      </c>
      <c r="M37" s="96">
        <f t="shared" si="3"/>
        <v>46208</v>
      </c>
      <c r="N37" s="108" t="s">
        <v>239</v>
      </c>
      <c r="O37" s="109">
        <v>10672.268907563026</v>
      </c>
      <c r="P37" s="110">
        <f t="shared" si="28"/>
        <v>2027.7310924369749</v>
      </c>
      <c r="Q37" s="110">
        <f t="shared" si="5"/>
        <v>12700</v>
      </c>
      <c r="R37" s="110">
        <f t="shared" si="6"/>
        <v>42689.075630252104</v>
      </c>
      <c r="S37" s="110">
        <f t="shared" si="7"/>
        <v>50800</v>
      </c>
      <c r="T37" s="97" t="s">
        <v>289</v>
      </c>
      <c r="U37" s="98">
        <v>10671.428571428572</v>
      </c>
      <c r="V37" s="99">
        <f t="shared" si="25"/>
        <v>2027.5714285714289</v>
      </c>
      <c r="W37" s="99">
        <f t="shared" si="9"/>
        <v>12699.000000000002</v>
      </c>
      <c r="X37" s="99">
        <f t="shared" si="10"/>
        <v>42685.71428571429</v>
      </c>
      <c r="Y37" s="99">
        <f t="shared" si="11"/>
        <v>50796.000000000007</v>
      </c>
      <c r="Z37" s="100">
        <f t="shared" si="22"/>
        <v>12317</v>
      </c>
      <c r="AA37" s="100">
        <f t="shared" si="23"/>
        <v>49268</v>
      </c>
      <c r="AB37" s="78">
        <f t="shared" si="24"/>
        <v>2650.0384902865112</v>
      </c>
      <c r="AC37" s="102">
        <f t="shared" si="12"/>
        <v>5.3788229485396424E-2</v>
      </c>
      <c r="AD37" s="5"/>
      <c r="AE37" s="7" t="s">
        <v>1053</v>
      </c>
      <c r="AF37" s="7" t="str">
        <f>VLOOKUP(C37,Estudio_Mercado_Ori!$C$12:$AH$1115,32,0)</f>
        <v>25PROCEDAS</v>
      </c>
      <c r="BG37" s="7">
        <v>27</v>
      </c>
      <c r="DA37" s="7" t="str">
        <f>VLOOKUP(C37,listaBolsa!$D$2:$BA$1248,1,0)</f>
        <v>Brochas</v>
      </c>
      <c r="DB37" s="7">
        <f>VLOOKUP(C37,listaBolsa!$D$2:$BA$1248,2,0)</f>
        <v>0</v>
      </c>
      <c r="DC37" s="7" t="str">
        <f>VLOOKUP(C37,listaBolsa!$D$2:$BA$1248,10,0)</f>
        <v>HOMMECENTER</v>
      </c>
      <c r="DD37" s="7">
        <f>VLOOKUP(C37,listaBolsa!$D$2:$BA$1248,14,0)</f>
        <v>4117.6499999999996</v>
      </c>
      <c r="DE37" s="7" t="str">
        <f>VLOOKUP(C37,listaBolsa!$D$2:$BA$1248,23,0)</f>
        <v>FALABELLA COLOMBIA</v>
      </c>
      <c r="DF37" s="7">
        <f>VLOOKUP(C37,listaBolsa!$D$2:$BA$1248,29,0)</f>
        <v>4900</v>
      </c>
      <c r="DG37" s="7" t="str">
        <f>VLOOKUP(C37,listaBolsa!$D$2:$BA$1248,36,0)</f>
        <v>FERRICENTRO</v>
      </c>
      <c r="DH37" s="7">
        <f>VLOOKUP(C37,listaBolsa!$D$2:$BA$1248,40,0)</f>
        <v>3500</v>
      </c>
      <c r="DI37" s="253">
        <f>VLOOKUP(C37,listaBolsa!$D$2:$BA$1248,48,0)</f>
        <v>9.1200000000000003E-2</v>
      </c>
      <c r="DJ37" s="7" t="b">
        <f t="shared" si="13"/>
        <v>1</v>
      </c>
      <c r="DK37" s="7" t="b">
        <f t="shared" si="14"/>
        <v>0</v>
      </c>
      <c r="DL37" s="7" t="b">
        <f t="shared" si="15"/>
        <v>0</v>
      </c>
      <c r="DM37" s="7" t="b">
        <f t="shared" si="16"/>
        <v>0</v>
      </c>
      <c r="DN37" s="7" t="b">
        <f t="shared" si="17"/>
        <v>0</v>
      </c>
      <c r="DO37" s="7" t="b">
        <f t="shared" si="18"/>
        <v>0</v>
      </c>
      <c r="DP37" s="7" t="b">
        <f t="shared" si="19"/>
        <v>0</v>
      </c>
      <c r="DQ37" s="7" t="b">
        <f t="shared" si="20"/>
        <v>0</v>
      </c>
      <c r="DR37" s="7" t="b">
        <f t="shared" si="21"/>
        <v>0</v>
      </c>
    </row>
    <row r="38" spans="1:122" s="7" customFormat="1" ht="348" customHeight="1">
      <c r="A38" s="75">
        <v>27</v>
      </c>
      <c r="B38" s="250" t="s">
        <v>291</v>
      </c>
      <c r="C38" s="95" t="s">
        <v>187</v>
      </c>
      <c r="D38" s="75" t="str">
        <f>IF(C38="","",VLOOKUP(C38,listaBolsa!$D$2:$H$276,2,0))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38" s="111" t="str">
        <f>IF(C38="","",VLOOKUP(C38,listaBolsa!$D$2:$H$276,3,0))</f>
        <v>Unidad</v>
      </c>
      <c r="F38" s="112">
        <v>580</v>
      </c>
      <c r="G38" s="200" t="str">
        <f>IF(C38="","",VLOOKUP(C38,listaBolsa!$D$2:$H$276,5,0))</f>
        <v>Compra</v>
      </c>
      <c r="H38" s="106" t="str">
        <f>IF(C38="","",VLOOKUP(C38,listaBolsa!$D$2:$W$276,10,0))</f>
        <v>INVERSIONES BECORATI E Y O SAS</v>
      </c>
      <c r="I38" s="107">
        <f>IF(C38="","",VLOOKUP(C38,listaBolsa!$D$2:$W$276,14,0))</f>
        <v>11700</v>
      </c>
      <c r="J38" s="96">
        <f t="shared" si="26"/>
        <v>2223</v>
      </c>
      <c r="K38" s="96">
        <f t="shared" si="1"/>
        <v>13923</v>
      </c>
      <c r="L38" s="96">
        <f t="shared" si="2"/>
        <v>6786000</v>
      </c>
      <c r="M38" s="96">
        <f t="shared" si="3"/>
        <v>8075340</v>
      </c>
      <c r="N38" s="108" t="str">
        <f>IF(C38="","",VLOOKUP(C38,listaBolsa!$D$2:$AZ$276,23,0))</f>
        <v>ENTERPRISE INVESTMENT DEVELOPMENT S.A.S.</v>
      </c>
      <c r="O38" s="109">
        <f>IF(C38="","",VLOOKUP(C38,listaBolsa!$D$2:$AZ$276,27,0))</f>
        <v>8570</v>
      </c>
      <c r="P38" s="110">
        <f t="shared" si="28"/>
        <v>1628.3</v>
      </c>
      <c r="Q38" s="110">
        <f t="shared" si="5"/>
        <v>10198.299999999999</v>
      </c>
      <c r="R38" s="110">
        <f t="shared" si="6"/>
        <v>4970600</v>
      </c>
      <c r="S38" s="110">
        <f t="shared" si="7"/>
        <v>5915014</v>
      </c>
      <c r="T38" s="97" t="str">
        <f>IF(C38="","",VLOOKUP(C38,listaBolsa!$D$2:$BB$276,36,0))</f>
        <v>Estimación de precios con base en el proceso FDLSUBA-LP-013-2025 (140689) – Contrato 1000 – 2025, indexando el incremento de precios en el mercado con base en el Índice de Precios al Consumidor (IPC) para el mes de marzo de 2026, el cual fue de 5,56%.</v>
      </c>
      <c r="U38" s="98">
        <f>IF(C38="","",VLOOKUP(C38,listaBolsa!$D$2:$BB$276,40,0))</f>
        <v>12843.518518518518</v>
      </c>
      <c r="V38" s="99">
        <f t="shared" si="25"/>
        <v>2440.2685185185187</v>
      </c>
      <c r="W38" s="99">
        <f t="shared" si="9"/>
        <v>15283.787037037036</v>
      </c>
      <c r="X38" s="99">
        <f t="shared" si="10"/>
        <v>7449240.7407407407</v>
      </c>
      <c r="Y38" s="99">
        <f t="shared" si="11"/>
        <v>8864596.4814814813</v>
      </c>
      <c r="Z38" s="100">
        <f t="shared" si="22"/>
        <v>13135.02901234568</v>
      </c>
      <c r="AA38" s="100">
        <f t="shared" si="23"/>
        <v>7618316.8271604944</v>
      </c>
      <c r="AB38" s="78">
        <f t="shared" si="24"/>
        <v>1526978.0087315692</v>
      </c>
      <c r="AC38" s="102">
        <f t="shared" si="12"/>
        <v>0.20043508866520923</v>
      </c>
      <c r="AD38" s="5"/>
      <c r="AE38" s="7" t="s">
        <v>1050</v>
      </c>
      <c r="AF38" s="7" t="str">
        <f>VLOOKUP(C38,Estudio_Mercado_Ori!$C$12:$AH$1115,32,0)</f>
        <v>1PROCEDAS</v>
      </c>
      <c r="BG38" s="7">
        <v>28</v>
      </c>
      <c r="DA38" s="7" t="str">
        <f>VLOOKUP(C38,listaBolsa!$D$2:$BA$1248,1,0)</f>
        <v>Refrigerio Tipo 1</v>
      </c>
      <c r="DB38" s="7" t="str">
        <f>VLOOKUP(C38,listaBolsa!$D$2:$BA$1248,2,0)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C38" s="7" t="str">
        <f>VLOOKUP(C38,listaBolsa!$D$2:$BA$1248,10,0)</f>
        <v>INVERSIONES BECORATI E Y O SAS</v>
      </c>
      <c r="DD38" s="7">
        <f>VLOOKUP(C38,listaBolsa!$D$2:$BA$1248,14,0)</f>
        <v>11700</v>
      </c>
      <c r="DE38" s="7" t="str">
        <f>VLOOKUP(C38,listaBolsa!$D$2:$BA$1248,23,0)</f>
        <v>ENTERPRISE INVESTMENT DEVELOPMENT S.A.S.</v>
      </c>
      <c r="DF38" s="7">
        <f>VLOOKUP(C38,listaBolsa!$D$2:$BA$1248,29,0)</f>
        <v>9255.6</v>
      </c>
      <c r="DG38" s="7" t="str">
        <f>VLOOKUP(C38,listaBolsa!$D$2:$BA$1248,36,0)</f>
        <v>Estimación de precios con base en el proceso FDLSUBA-LP-013-2025 (140689) – Contrato 1000 – 2025, indexando el incremento de precios en el mercado con base en el Índice de Precios al Consumidor (IPC) para el mes de marzo de 2026, el cual fue de 5,56%.</v>
      </c>
      <c r="DH38" s="7">
        <f>VLOOKUP(C38,listaBolsa!$D$2:$BA$1248,40,0)</f>
        <v>12843.518518518518</v>
      </c>
      <c r="DI38" s="253">
        <f>VLOOKUP(C38,listaBolsa!$D$2:$BA$1248,48,0)</f>
        <v>0.20043508866520951</v>
      </c>
      <c r="DJ38" s="7" t="b">
        <f t="shared" si="13"/>
        <v>1</v>
      </c>
      <c r="DK38" s="7" t="b">
        <f t="shared" si="14"/>
        <v>1</v>
      </c>
      <c r="DL38" s="7" t="b">
        <f t="shared" si="15"/>
        <v>1</v>
      </c>
      <c r="DM38" s="7" t="b">
        <f t="shared" si="16"/>
        <v>1</v>
      </c>
      <c r="DN38" s="7" t="b">
        <f t="shared" si="17"/>
        <v>1</v>
      </c>
      <c r="DO38" s="7" t="b">
        <f t="shared" si="18"/>
        <v>0</v>
      </c>
      <c r="DP38" s="7" t="b">
        <f t="shared" si="19"/>
        <v>1</v>
      </c>
      <c r="DQ38" s="7" t="b">
        <f t="shared" si="20"/>
        <v>1</v>
      </c>
      <c r="DR38" s="7" t="b">
        <f t="shared" si="21"/>
        <v>0</v>
      </c>
    </row>
    <row r="39" spans="1:122" s="7" customFormat="1" ht="84" customHeight="1">
      <c r="A39" s="75">
        <v>28</v>
      </c>
      <c r="B39" s="250" t="s">
        <v>291</v>
      </c>
      <c r="C39" s="95" t="s">
        <v>189</v>
      </c>
      <c r="D39" s="75" t="s">
        <v>190</v>
      </c>
      <c r="E39" s="111" t="s">
        <v>191</v>
      </c>
      <c r="F39" s="112">
        <v>1</v>
      </c>
      <c r="G39" s="200" t="s">
        <v>192</v>
      </c>
      <c r="H39" s="106" t="s">
        <v>193</v>
      </c>
      <c r="I39" s="107">
        <v>15000</v>
      </c>
      <c r="J39" s="96">
        <f t="shared" si="26"/>
        <v>2850</v>
      </c>
      <c r="K39" s="96">
        <f t="shared" si="1"/>
        <v>17850</v>
      </c>
      <c r="L39" s="96">
        <f t="shared" si="2"/>
        <v>15000</v>
      </c>
      <c r="M39" s="96">
        <f t="shared" si="3"/>
        <v>17850</v>
      </c>
      <c r="N39" s="195" t="s">
        <v>194</v>
      </c>
      <c r="O39" s="109">
        <v>16200</v>
      </c>
      <c r="P39" s="110">
        <f t="shared" si="28"/>
        <v>3078</v>
      </c>
      <c r="Q39" s="110">
        <f t="shared" si="5"/>
        <v>19278</v>
      </c>
      <c r="R39" s="110">
        <f t="shared" si="6"/>
        <v>16200</v>
      </c>
      <c r="S39" s="110">
        <f t="shared" si="7"/>
        <v>19278</v>
      </c>
      <c r="T39" s="97" t="s">
        <v>195</v>
      </c>
      <c r="U39" s="98">
        <v>13319.32773109244</v>
      </c>
      <c r="V39" s="99">
        <f t="shared" si="25"/>
        <v>2530.6722689075636</v>
      </c>
      <c r="W39" s="99">
        <f t="shared" si="9"/>
        <v>15850.000000000004</v>
      </c>
      <c r="X39" s="99">
        <f t="shared" si="10"/>
        <v>13319.32773109244</v>
      </c>
      <c r="Y39" s="99">
        <f t="shared" si="11"/>
        <v>15850.000000000004</v>
      </c>
      <c r="Z39" s="100">
        <f t="shared" si="22"/>
        <v>17659.333333333332</v>
      </c>
      <c r="AA39" s="100">
        <f t="shared" si="23"/>
        <v>17659.333333333332</v>
      </c>
      <c r="AB39" s="78">
        <f t="shared" si="24"/>
        <v>1721.9353452825478</v>
      </c>
      <c r="AC39" s="102">
        <f t="shared" si="12"/>
        <v>9.7508513644298453E-2</v>
      </c>
      <c r="AD39" s="5"/>
      <c r="AE39" s="7" t="s">
        <v>1053</v>
      </c>
      <c r="AF39" s="7" t="str">
        <f>VLOOKUP(C39,Estudio_Mercado_Ori!$C$12:$AH$1115,32,0)</f>
        <v>2PROCEDAS</v>
      </c>
      <c r="BG39" s="7">
        <v>29</v>
      </c>
      <c r="DA39" s="7" t="str">
        <f>VLOOKUP(C39,listaBolsa!$D$2:$BA$1248,1,0)</f>
        <v>Bolsas negras</v>
      </c>
      <c r="DB39" s="7">
        <f>VLOOKUP(C39,listaBolsa!$D$2:$BA$1248,2,0)</f>
        <v>0</v>
      </c>
      <c r="DC39" s="7" t="str">
        <f>VLOOKUP(C39,listaBolsa!$D$2:$BA$1248,10,0)</f>
        <v>AVANCE ORGANIZACIONAL CONSULTORES SAS</v>
      </c>
      <c r="DD39" s="7">
        <f>VLOOKUP(C39,listaBolsa!$D$2:$BA$1248,14,0)</f>
        <v>15000</v>
      </c>
      <c r="DE39" s="7" t="str">
        <f>VLOOKUP(C39,listaBolsa!$D$2:$BA$1248,23,0)</f>
        <v>SIDED</v>
      </c>
      <c r="DF39" s="7">
        <f>VLOOKUP(C39,listaBolsa!$D$2:$BA$1248,29,0)</f>
        <v>19278</v>
      </c>
      <c r="DG39" s="7" t="str">
        <f>VLOOKUP(C39,listaBolsa!$D$2:$BA$1248,36,0)</f>
        <v>SUPER DESECHABLES DEL NORTE</v>
      </c>
      <c r="DH39" s="7">
        <f>VLOOKUP(C39,listaBolsa!$D$2:$BA$1248,40,0)</f>
        <v>13319.33</v>
      </c>
      <c r="DI39" s="253">
        <f>VLOOKUP(C39,listaBolsa!$D$2:$BA$1248,48,0)</f>
        <v>9.7500000000000003E-2</v>
      </c>
      <c r="DJ39" s="7" t="b">
        <f t="shared" si="13"/>
        <v>1</v>
      </c>
      <c r="DK39" s="7" t="b">
        <f t="shared" si="14"/>
        <v>0</v>
      </c>
      <c r="DL39" s="7" t="b">
        <f t="shared" si="15"/>
        <v>1</v>
      </c>
      <c r="DM39" s="7" t="b">
        <f t="shared" si="16"/>
        <v>1</v>
      </c>
      <c r="DN39" s="7" t="b">
        <f t="shared" si="17"/>
        <v>1</v>
      </c>
      <c r="DO39" s="7" t="b">
        <f t="shared" si="18"/>
        <v>0</v>
      </c>
      <c r="DP39" s="7" t="b">
        <f t="shared" si="19"/>
        <v>1</v>
      </c>
      <c r="DQ39" s="7" t="b">
        <f t="shared" si="20"/>
        <v>0</v>
      </c>
      <c r="DR39" s="7" t="b">
        <f t="shared" si="21"/>
        <v>0</v>
      </c>
    </row>
    <row r="40" spans="1:122" s="7" customFormat="1" ht="84" customHeight="1">
      <c r="A40" s="75">
        <v>29</v>
      </c>
      <c r="B40" s="250" t="s">
        <v>291</v>
      </c>
      <c r="C40" s="95" t="s">
        <v>197</v>
      </c>
      <c r="D40" s="75" t="s">
        <v>198</v>
      </c>
      <c r="E40" s="111" t="s">
        <v>191</v>
      </c>
      <c r="F40" s="112">
        <v>1</v>
      </c>
      <c r="G40" s="200" t="s">
        <v>192</v>
      </c>
      <c r="H40" s="106" t="s">
        <v>193</v>
      </c>
      <c r="I40" s="107">
        <v>15000</v>
      </c>
      <c r="J40" s="96">
        <f t="shared" si="26"/>
        <v>2850</v>
      </c>
      <c r="K40" s="96">
        <f t="shared" si="1"/>
        <v>17850</v>
      </c>
      <c r="L40" s="96">
        <f t="shared" si="2"/>
        <v>15000</v>
      </c>
      <c r="M40" s="96">
        <f t="shared" si="3"/>
        <v>17850</v>
      </c>
      <c r="N40" s="195" t="s">
        <v>194</v>
      </c>
      <c r="O40" s="109">
        <v>16200</v>
      </c>
      <c r="P40" s="110">
        <f t="shared" si="28"/>
        <v>3078</v>
      </c>
      <c r="Q40" s="110">
        <f t="shared" si="5"/>
        <v>19278</v>
      </c>
      <c r="R40" s="110">
        <f t="shared" si="6"/>
        <v>16200</v>
      </c>
      <c r="S40" s="110">
        <f t="shared" si="7"/>
        <v>19278</v>
      </c>
      <c r="T40" s="97" t="s">
        <v>195</v>
      </c>
      <c r="U40" s="98">
        <v>15110.9243697479</v>
      </c>
      <c r="V40" s="99">
        <f t="shared" si="25"/>
        <v>2871.0756302521008</v>
      </c>
      <c r="W40" s="99">
        <f t="shared" si="9"/>
        <v>17982</v>
      </c>
      <c r="X40" s="99">
        <f t="shared" si="10"/>
        <v>15110.9243697479</v>
      </c>
      <c r="Y40" s="99">
        <f t="shared" si="11"/>
        <v>17982</v>
      </c>
      <c r="Z40" s="100">
        <f t="shared" si="22"/>
        <v>18370</v>
      </c>
      <c r="AA40" s="100">
        <f t="shared" si="23"/>
        <v>18370</v>
      </c>
      <c r="AB40" s="78">
        <f t="shared" si="24"/>
        <v>789.11596106022341</v>
      </c>
      <c r="AC40" s="102">
        <f t="shared" si="12"/>
        <v>4.2956775234633829E-2</v>
      </c>
      <c r="AD40" s="5"/>
      <c r="AF40" s="7" t="str">
        <f>VLOOKUP(C40,Estudio_Mercado_Ori!$C$12:$AH$1115,32,0)</f>
        <v>3PROCEDAS</v>
      </c>
      <c r="BG40" s="7">
        <v>30</v>
      </c>
      <c r="DA40" s="7" t="e">
        <f>VLOOKUP(C40,listaBolsa!$D$2:$BA$1248,1,0)</f>
        <v>#N/A</v>
      </c>
      <c r="DB40" s="7" t="e">
        <f>VLOOKUP(C40,listaBolsa!$D$2:$BA$1248,2,0)</f>
        <v>#N/A</v>
      </c>
      <c r="DC40" s="7" t="e">
        <f>VLOOKUP(C40,listaBolsa!$D$2:$BA$1248,10,0)</f>
        <v>#N/A</v>
      </c>
      <c r="DD40" s="7" t="e">
        <f>VLOOKUP(C40,listaBolsa!$D$2:$BA$1248,14,0)</f>
        <v>#N/A</v>
      </c>
      <c r="DE40" s="7" t="e">
        <f>VLOOKUP(C40,listaBolsa!$D$2:$BA$1248,23,0)</f>
        <v>#N/A</v>
      </c>
      <c r="DF40" s="7" t="e">
        <f>VLOOKUP(C40,listaBolsa!$D$2:$BA$1248,29,0)</f>
        <v>#N/A</v>
      </c>
      <c r="DG40" s="7" t="e">
        <f>VLOOKUP(C40,listaBolsa!$D$2:$BA$1248,36,0)</f>
        <v>#N/A</v>
      </c>
      <c r="DH40" s="7" t="e">
        <f>VLOOKUP(C40,listaBolsa!$D$2:$BA$1248,40,0)</f>
        <v>#N/A</v>
      </c>
      <c r="DI40" s="252" t="e">
        <f>VLOOKUP(C40,listaBolsa!$D$2:$BA$1248,48,0)</f>
        <v>#N/A</v>
      </c>
      <c r="DJ40" s="7" t="e">
        <f t="shared" si="13"/>
        <v>#N/A</v>
      </c>
      <c r="DK40" s="7" t="e">
        <f t="shared" si="14"/>
        <v>#N/A</v>
      </c>
      <c r="DL40" s="7" t="e">
        <f t="shared" si="15"/>
        <v>#N/A</v>
      </c>
      <c r="DM40" s="7" t="e">
        <f t="shared" si="16"/>
        <v>#N/A</v>
      </c>
      <c r="DN40" s="7" t="e">
        <f t="shared" si="17"/>
        <v>#N/A</v>
      </c>
      <c r="DO40" s="7" t="e">
        <f t="shared" si="18"/>
        <v>#N/A</v>
      </c>
      <c r="DP40" s="7" t="e">
        <f t="shared" si="19"/>
        <v>#N/A</v>
      </c>
      <c r="DQ40" s="7" t="e">
        <f t="shared" si="20"/>
        <v>#N/A</v>
      </c>
      <c r="DR40" s="7" t="e">
        <f t="shared" si="21"/>
        <v>#N/A</v>
      </c>
    </row>
    <row r="41" spans="1:122" s="7" customFormat="1" ht="84" customHeight="1">
      <c r="A41" s="75">
        <v>30</v>
      </c>
      <c r="B41" s="250" t="s">
        <v>291</v>
      </c>
      <c r="C41" s="95" t="s">
        <v>200</v>
      </c>
      <c r="D41" s="75" t="s">
        <v>201</v>
      </c>
      <c r="E41" s="111" t="s">
        <v>191</v>
      </c>
      <c r="F41" s="112">
        <v>1</v>
      </c>
      <c r="G41" s="200" t="s">
        <v>192</v>
      </c>
      <c r="H41" s="106" t="s">
        <v>193</v>
      </c>
      <c r="I41" s="107">
        <v>15000</v>
      </c>
      <c r="J41" s="96">
        <f t="shared" si="26"/>
        <v>2850</v>
      </c>
      <c r="K41" s="96">
        <f t="shared" si="1"/>
        <v>17850</v>
      </c>
      <c r="L41" s="96">
        <f t="shared" si="2"/>
        <v>15000</v>
      </c>
      <c r="M41" s="96">
        <f t="shared" si="3"/>
        <v>17850</v>
      </c>
      <c r="N41" s="195" t="s">
        <v>194</v>
      </c>
      <c r="O41" s="109">
        <v>16200</v>
      </c>
      <c r="P41" s="110">
        <f t="shared" si="28"/>
        <v>3078</v>
      </c>
      <c r="Q41" s="110">
        <f t="shared" si="5"/>
        <v>19278</v>
      </c>
      <c r="R41" s="110">
        <f t="shared" si="6"/>
        <v>16200</v>
      </c>
      <c r="S41" s="110">
        <f t="shared" si="7"/>
        <v>19278</v>
      </c>
      <c r="T41" s="97" t="s">
        <v>195</v>
      </c>
      <c r="U41" s="98">
        <v>15110.9243697479</v>
      </c>
      <c r="V41" s="99">
        <f t="shared" si="25"/>
        <v>2871.0756302521008</v>
      </c>
      <c r="W41" s="99">
        <f t="shared" si="9"/>
        <v>17982</v>
      </c>
      <c r="X41" s="99">
        <f t="shared" si="10"/>
        <v>15110.9243697479</v>
      </c>
      <c r="Y41" s="99">
        <f t="shared" si="11"/>
        <v>17982</v>
      </c>
      <c r="Z41" s="100">
        <f t="shared" si="22"/>
        <v>18370</v>
      </c>
      <c r="AA41" s="100">
        <f t="shared" si="23"/>
        <v>18370</v>
      </c>
      <c r="AB41" s="78">
        <f t="shared" si="24"/>
        <v>789.11596106022341</v>
      </c>
      <c r="AC41" s="102">
        <f t="shared" si="12"/>
        <v>4.2956775234633829E-2</v>
      </c>
      <c r="AD41" s="5"/>
      <c r="AF41" s="7" t="str">
        <f>VLOOKUP(C41,Estudio_Mercado_Ori!$C$12:$AH$1115,32,0)</f>
        <v>4PROCEDAS</v>
      </c>
      <c r="BG41" s="7">
        <v>31</v>
      </c>
      <c r="DA41" s="7" t="e">
        <f>VLOOKUP(C41,listaBolsa!$D$2:$BA$1248,1,0)</f>
        <v>#N/A</v>
      </c>
      <c r="DB41" s="7" t="e">
        <f>VLOOKUP(C41,listaBolsa!$D$2:$BA$1248,2,0)</f>
        <v>#N/A</v>
      </c>
      <c r="DC41" s="7" t="e">
        <f>VLOOKUP(C41,listaBolsa!$D$2:$BA$1248,10,0)</f>
        <v>#N/A</v>
      </c>
      <c r="DD41" s="7" t="e">
        <f>VLOOKUP(C41,listaBolsa!$D$2:$BA$1248,14,0)</f>
        <v>#N/A</v>
      </c>
      <c r="DE41" s="7" t="e">
        <f>VLOOKUP(C41,listaBolsa!$D$2:$BA$1248,23,0)</f>
        <v>#N/A</v>
      </c>
      <c r="DF41" s="7" t="e">
        <f>VLOOKUP(C41,listaBolsa!$D$2:$BA$1248,29,0)</f>
        <v>#N/A</v>
      </c>
      <c r="DG41" s="7" t="e">
        <f>VLOOKUP(C41,listaBolsa!$D$2:$BA$1248,36,0)</f>
        <v>#N/A</v>
      </c>
      <c r="DH41" s="7" t="e">
        <f>VLOOKUP(C41,listaBolsa!$D$2:$BA$1248,40,0)</f>
        <v>#N/A</v>
      </c>
      <c r="DI41" s="252" t="e">
        <f>VLOOKUP(C41,listaBolsa!$D$2:$BA$1248,48,0)</f>
        <v>#N/A</v>
      </c>
      <c r="DJ41" s="7" t="e">
        <f t="shared" si="13"/>
        <v>#N/A</v>
      </c>
      <c r="DK41" s="7" t="e">
        <f t="shared" si="14"/>
        <v>#N/A</v>
      </c>
      <c r="DL41" s="7" t="e">
        <f t="shared" si="15"/>
        <v>#N/A</v>
      </c>
      <c r="DM41" s="7" t="e">
        <f t="shared" si="16"/>
        <v>#N/A</v>
      </c>
      <c r="DN41" s="7" t="e">
        <f t="shared" si="17"/>
        <v>#N/A</v>
      </c>
      <c r="DO41" s="7" t="e">
        <f t="shared" si="18"/>
        <v>#N/A</v>
      </c>
      <c r="DP41" s="7" t="e">
        <f t="shared" si="19"/>
        <v>#N/A</v>
      </c>
      <c r="DQ41" s="7" t="e">
        <f t="shared" si="20"/>
        <v>#N/A</v>
      </c>
      <c r="DR41" s="7" t="e">
        <f t="shared" si="21"/>
        <v>#N/A</v>
      </c>
    </row>
    <row r="42" spans="1:122" s="7" customFormat="1" ht="84" customHeight="1">
      <c r="A42" s="75">
        <v>31</v>
      </c>
      <c r="B42" s="250" t="s">
        <v>291</v>
      </c>
      <c r="C42" s="95" t="s">
        <v>214</v>
      </c>
      <c r="D42" s="75" t="str">
        <f>IF(C42="","",VLOOKUP(C42,listaBolsa!$D$2:$H$276,2,0))</f>
        <v>100% en algodón de 185 gr. cuello redondo y/o en v, de diferentes tallas, marcadas en screen 4 tintas. fabricación y materiales nacionales</v>
      </c>
      <c r="E42" s="111" t="str">
        <f>IF(C42="","",VLOOKUP(C42,listaBolsa!$D$2:$H$276,3,0))</f>
        <v>Unidad</v>
      </c>
      <c r="F42" s="112">
        <v>50</v>
      </c>
      <c r="G42" s="200" t="str">
        <f>IF(C42="","",VLOOKUP(C42,listaBolsa!$D$2:$H$276,5,0))</f>
        <v>Compra</v>
      </c>
      <c r="H42" s="106" t="str">
        <f>IF(C42="","",VLOOKUP(C42,listaBolsa!$D$2:$W$276,10,0))</f>
        <v>MARIA CONFLICTO</v>
      </c>
      <c r="I42" s="107">
        <f>IF(C42="","",VLOOKUP(C42,listaBolsa!$D$2:$W$276,14,0))</f>
        <v>22000</v>
      </c>
      <c r="J42" s="96"/>
      <c r="K42" s="96">
        <f t="shared" si="1"/>
        <v>22000</v>
      </c>
      <c r="L42" s="96">
        <f t="shared" si="2"/>
        <v>1100000</v>
      </c>
      <c r="M42" s="96">
        <f t="shared" si="3"/>
        <v>1100000</v>
      </c>
      <c r="N42" s="108" t="str">
        <f>IF(C42="","",VLOOKUP(C42,listaBolsa!$D$2:$AZ$276,23,0))</f>
        <v>Angie Pachon (personalizado INK)</v>
      </c>
      <c r="O42" s="109">
        <f>IF(C42="","",VLOOKUP(C42,listaBolsa!$D$2:$AZ$276,27,0))</f>
        <v>28000</v>
      </c>
      <c r="P42" s="110"/>
      <c r="Q42" s="110">
        <f t="shared" si="5"/>
        <v>28000</v>
      </c>
      <c r="R42" s="110">
        <f t="shared" si="6"/>
        <v>1400000</v>
      </c>
      <c r="S42" s="110">
        <f t="shared" si="7"/>
        <v>1400000</v>
      </c>
      <c r="T42" s="97" t="str">
        <f>IF(C42="","",VLOOKUP(C42,listaBolsa!$D$2:$BB$276,36,0))</f>
        <v>INVENTIVA</v>
      </c>
      <c r="U42" s="98">
        <f>IF(C42="","",VLOOKUP(C42,listaBolsa!$D$2:$BB$276,40,0))</f>
        <v>25000</v>
      </c>
      <c r="V42" s="99">
        <f t="shared" si="25"/>
        <v>4750</v>
      </c>
      <c r="W42" s="99">
        <f t="shared" si="9"/>
        <v>29750</v>
      </c>
      <c r="X42" s="99">
        <f t="shared" si="10"/>
        <v>1250000</v>
      </c>
      <c r="Y42" s="99">
        <f t="shared" si="11"/>
        <v>1487500</v>
      </c>
      <c r="Z42" s="100">
        <f t="shared" si="22"/>
        <v>26583.333333333332</v>
      </c>
      <c r="AA42" s="100">
        <f t="shared" si="23"/>
        <v>1329166.6666666665</v>
      </c>
      <c r="AB42" s="78">
        <f t="shared" si="24"/>
        <v>203229.13997095372</v>
      </c>
      <c r="AC42" s="102">
        <f t="shared" si="12"/>
        <v>0.15289966643582728</v>
      </c>
      <c r="AD42" s="5"/>
      <c r="AE42" s="7" t="s">
        <v>1052</v>
      </c>
      <c r="AF42" s="7" t="str">
        <f>VLOOKUP(C42,Estudio_Mercado_Ori!$C$12:$AH$1115,32,0)</f>
        <v>9PROCEDAS</v>
      </c>
      <c r="BG42" s="7">
        <v>32</v>
      </c>
      <c r="DA42" s="7" t="str">
        <f>VLOOKUP(C42,listaBolsa!$D$2:$BA$1248,1,0)</f>
        <v>Camiseta t-shirt o Camiseta blanca</v>
      </c>
      <c r="DB42" s="7" t="str">
        <f>VLOOKUP(C42,listaBolsa!$D$2:$BA$1248,2,0)</f>
        <v>100% en algodón de 185 gr. cuello redondo y/o en v, de diferentes tallas, marcadas en screen 4 tintas. fabricación y materiales nacionales</v>
      </c>
      <c r="DC42" s="7" t="str">
        <f>VLOOKUP(C42,listaBolsa!$D$2:$BA$1248,10,0)</f>
        <v>MARIA CONFLICTO</v>
      </c>
      <c r="DD42" s="7">
        <f>VLOOKUP(C42,listaBolsa!$D$2:$BA$1248,14,0)</f>
        <v>22000</v>
      </c>
      <c r="DE42" s="7" t="str">
        <f>VLOOKUP(C42,listaBolsa!$D$2:$BA$1248,23,0)</f>
        <v>Angie Pachon (personalizado INK)</v>
      </c>
      <c r="DF42" s="7">
        <f>VLOOKUP(C42,listaBolsa!$D$2:$BA$1248,29,0)</f>
        <v>28000</v>
      </c>
      <c r="DG42" s="7" t="str">
        <f>VLOOKUP(C42,listaBolsa!$D$2:$BA$1248,36,0)</f>
        <v>INVENTIVA</v>
      </c>
      <c r="DH42" s="7">
        <f>VLOOKUP(C42,listaBolsa!$D$2:$BA$1248,40,0)</f>
        <v>25000</v>
      </c>
      <c r="DI42" s="252">
        <f>VLOOKUP(C42,listaBolsa!$D$2:$BA$1248,48,0)</f>
        <v>0.15289966643582714</v>
      </c>
      <c r="DJ42" s="7" t="b">
        <f t="shared" si="13"/>
        <v>1</v>
      </c>
      <c r="DK42" s="7" t="b">
        <f t="shared" si="14"/>
        <v>1</v>
      </c>
      <c r="DL42" s="7" t="b">
        <f t="shared" si="15"/>
        <v>1</v>
      </c>
      <c r="DM42" s="7" t="b">
        <f t="shared" si="16"/>
        <v>1</v>
      </c>
      <c r="DN42" s="7" t="b">
        <f t="shared" si="17"/>
        <v>1</v>
      </c>
      <c r="DO42" s="7" t="b">
        <f t="shared" si="18"/>
        <v>1</v>
      </c>
      <c r="DP42" s="7" t="b">
        <f t="shared" si="19"/>
        <v>1</v>
      </c>
      <c r="DQ42" s="7" t="b">
        <f t="shared" si="20"/>
        <v>1</v>
      </c>
      <c r="DR42" s="7" t="b">
        <f t="shared" si="21"/>
        <v>1</v>
      </c>
    </row>
    <row r="43" spans="1:122" s="7" customFormat="1" ht="409.5" customHeight="1">
      <c r="A43" s="75">
        <v>32</v>
      </c>
      <c r="B43" s="250" t="s">
        <v>291</v>
      </c>
      <c r="C43" s="95" t="s">
        <v>203</v>
      </c>
      <c r="D43" s="75" t="str">
        <f>IF(C43="","",VLOOKUP(C43,listaBolsa!$D$2:$H$276,2,0))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43" s="111" t="str">
        <f>IF(C43="","",VLOOKUP(C43,listaBolsa!$D$2:$H$276,3,0))</f>
        <v>Servicio</v>
      </c>
      <c r="F43" s="112">
        <v>8</v>
      </c>
      <c r="G43" s="200" t="str">
        <f>IF(C43="","",VLOOKUP(C43,listaBolsa!$D$2:$H$276,5,0))</f>
        <v>Alquiler</v>
      </c>
      <c r="H43" s="106" t="str">
        <f>IF(C43="","",VLOOKUP(C43,listaBolsa!$D$2:$W$276,10,0))</f>
        <v>RUTRASCOL</v>
      </c>
      <c r="I43" s="107">
        <f>IF(C43="","",VLOOKUP(C43,listaBolsa!$D$2:$W$276,14,0))</f>
        <v>850000</v>
      </c>
      <c r="J43" s="96"/>
      <c r="K43" s="96">
        <f t="shared" si="1"/>
        <v>850000</v>
      </c>
      <c r="L43" s="96">
        <f t="shared" si="2"/>
        <v>6800000</v>
      </c>
      <c r="M43" s="96">
        <f t="shared" si="3"/>
        <v>6800000</v>
      </c>
      <c r="N43" s="108" t="str">
        <f>IF(C43="","",VLOOKUP(C43,listaBolsa!$D$2:$AZ$276,23,0))</f>
        <v>Destino Express</v>
      </c>
      <c r="O43" s="109">
        <f>IF(C43="","",VLOOKUP(C43,listaBolsa!$D$2:$AZ$276,27,0))</f>
        <v>790000</v>
      </c>
      <c r="P43" s="110"/>
      <c r="Q43" s="110">
        <f t="shared" si="5"/>
        <v>790000</v>
      </c>
      <c r="R43" s="110">
        <f t="shared" si="6"/>
        <v>6320000</v>
      </c>
      <c r="S43" s="110">
        <f t="shared" si="7"/>
        <v>6320000</v>
      </c>
      <c r="T43" s="97"/>
      <c r="U43" s="98"/>
      <c r="V43" s="99"/>
      <c r="W43" s="99"/>
      <c r="X43" s="99"/>
      <c r="Y43" s="99"/>
      <c r="Z43" s="100">
        <f>IF(A43="","",AVERAGE(K43,Q43))</f>
        <v>820000</v>
      </c>
      <c r="AA43" s="100">
        <f t="shared" si="23"/>
        <v>6560000</v>
      </c>
      <c r="AB43" s="78">
        <f>IF(B43="","",STDEV(M43,S43))</f>
        <v>339411.25496954279</v>
      </c>
      <c r="AC43" s="102">
        <f t="shared" si="12"/>
        <v>5.1739520574625428E-2</v>
      </c>
      <c r="AD43" s="5"/>
      <c r="AE43" s="7" t="s">
        <v>1052</v>
      </c>
      <c r="AF43" s="7" t="str">
        <f>VLOOKUP(C43,Estudio_Mercado_Ori!$C$12:$AH$1115,32,0)</f>
        <v>5PROCEDAS</v>
      </c>
      <c r="BG43" s="7">
        <v>33</v>
      </c>
      <c r="DA43" s="7" t="str">
        <f>VLOOKUP(C43,listaBolsa!$D$2:$BA$1248,1,0)</f>
        <v>Servicio de transporte zona Rural de la localidad de Suba para  40 personas por jornada</v>
      </c>
      <c r="DB43" s="7" t="str">
        <f>VLOOKUP(C43,listaBolsa!$D$2:$BA$1248,2,0)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C43" s="7" t="str">
        <f>VLOOKUP(C43,listaBolsa!$D$2:$BA$1248,10,0)</f>
        <v>RUTRASCOL</v>
      </c>
      <c r="DD43" s="7">
        <f>VLOOKUP(C43,listaBolsa!$D$2:$BA$1248,14,0)</f>
        <v>850000</v>
      </c>
      <c r="DE43" s="7" t="str">
        <f>VLOOKUP(C43,listaBolsa!$D$2:$BA$1248,23,0)</f>
        <v>Destino Express</v>
      </c>
      <c r="DF43" s="7">
        <f>VLOOKUP(C43,listaBolsa!$D$2:$BA$1248,29,0)</f>
        <v>790000</v>
      </c>
      <c r="DG43" s="7">
        <f>VLOOKUP(C43,listaBolsa!$D$2:$BA$1248,36,0)</f>
        <v>0</v>
      </c>
      <c r="DH43" s="7">
        <f>VLOOKUP(C43,listaBolsa!$D$2:$BA$1248,40,0)</f>
        <v>0</v>
      </c>
      <c r="DI43" s="252">
        <f>VLOOKUP(C43,listaBolsa!$D$2:$BA$1248,48,0)</f>
        <v>5.1739520574625428E-2</v>
      </c>
      <c r="DJ43" s="7" t="b">
        <f t="shared" si="13"/>
        <v>1</v>
      </c>
      <c r="DK43" s="7" t="b">
        <f t="shared" si="14"/>
        <v>1</v>
      </c>
      <c r="DL43" s="7" t="b">
        <f t="shared" si="15"/>
        <v>1</v>
      </c>
      <c r="DM43" s="7" t="b">
        <f t="shared" si="16"/>
        <v>1</v>
      </c>
      <c r="DN43" s="7" t="b">
        <f t="shared" si="17"/>
        <v>1</v>
      </c>
      <c r="DO43" s="7" t="b">
        <f t="shared" si="18"/>
        <v>1</v>
      </c>
      <c r="DP43" s="7" t="b">
        <f t="shared" si="19"/>
        <v>1</v>
      </c>
      <c r="DQ43" s="7" t="b">
        <f t="shared" si="20"/>
        <v>1</v>
      </c>
      <c r="DR43" s="7" t="b">
        <f t="shared" si="21"/>
        <v>1</v>
      </c>
    </row>
    <row r="44" spans="1:122" s="7" customFormat="1" ht="409.5" customHeight="1">
      <c r="A44" s="75">
        <v>33</v>
      </c>
      <c r="B44" s="250" t="s">
        <v>291</v>
      </c>
      <c r="C44" s="95" t="s">
        <v>205</v>
      </c>
      <c r="D44" s="95" t="str">
        <f>IF(C44="","",VLOOKUP(C44,listaBolsa!$D$2:$H$276,2,0))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44" s="111" t="str">
        <f>IF(C44="","",VLOOKUP(C44,listaBolsa!$D$2:$H$276,3,0))</f>
        <v>Servicio</v>
      </c>
      <c r="F44" s="112">
        <v>8</v>
      </c>
      <c r="G44" s="200" t="str">
        <f>IF(C44="","",VLOOKUP(C44,listaBolsa!$D$2:$H$276,5,0))</f>
        <v>Alquiler</v>
      </c>
      <c r="H44" s="106" t="str">
        <f>IF(C44="","",VLOOKUP(C44,listaBolsa!$D$2:$W$276,10,0))</f>
        <v>Destino Express</v>
      </c>
      <c r="I44" s="107">
        <f>IF(C44="","",VLOOKUP(C44,listaBolsa!$D$2:$W$276,14,0))</f>
        <v>385000</v>
      </c>
      <c r="J44" s="96">
        <f>I44*19%</f>
        <v>73150</v>
      </c>
      <c r="K44" s="96">
        <f t="shared" si="1"/>
        <v>458150</v>
      </c>
      <c r="L44" s="96">
        <f t="shared" si="2"/>
        <v>3080000</v>
      </c>
      <c r="M44" s="96">
        <f t="shared" si="3"/>
        <v>3665200</v>
      </c>
      <c r="N44" s="108" t="str">
        <f>IF(C44="","",VLOOKUP(C44,listaBolsa!$D$2:$AZ$276,23,0))</f>
        <v>RENETUR</v>
      </c>
      <c r="O44" s="109">
        <f>IF(C44="","",VLOOKUP(C44,listaBolsa!$D$2:$AZ$276,27,0))</f>
        <v>350000</v>
      </c>
      <c r="P44" s="110">
        <f t="shared" ref="P44:P75" si="29">O44*19%</f>
        <v>66500</v>
      </c>
      <c r="Q44" s="110">
        <f t="shared" ref="Q44:Q75" si="30">O44+P44</f>
        <v>416500</v>
      </c>
      <c r="R44" s="110">
        <f t="shared" ref="R44:R75" si="31">IF(B44="","",(O44*F44))</f>
        <v>2800000</v>
      </c>
      <c r="S44" s="110">
        <f t="shared" ref="S44:S75" si="32">IF(B44="","",(Q44*F44))</f>
        <v>3332000</v>
      </c>
      <c r="T44" s="97" t="str">
        <f>IF(C44="","",VLOOKUP(C44,listaBolsa!$D$2:$BB$276,36,0))</f>
        <v>RUTRASCOL Transporte_Varios</v>
      </c>
      <c r="U44" s="98">
        <f>IF(C44="","",VLOOKUP(C44,listaBolsa!$D$2:$BB$276,40,0))</f>
        <v>285000</v>
      </c>
      <c r="V44" s="99">
        <f>U44*19%</f>
        <v>54150</v>
      </c>
      <c r="W44" s="99">
        <f>U44+V44</f>
        <v>339150</v>
      </c>
      <c r="X44" s="99">
        <f>IF(B44="","",(U44*F44))</f>
        <v>2280000</v>
      </c>
      <c r="Y44" s="99">
        <f>IF(B44="","",(W44*F44))</f>
        <v>2713200</v>
      </c>
      <c r="Z44" s="100">
        <f>IF(A44="","",AVERAGE(K44,Q44,W44))</f>
        <v>404600</v>
      </c>
      <c r="AA44" s="100">
        <f t="shared" si="23"/>
        <v>3236800</v>
      </c>
      <c r="AB44" s="78">
        <f>IF(B44="","",STDEV(M44,S44,Y44))</f>
        <v>483087.23849838966</v>
      </c>
      <c r="AC44" s="102">
        <f t="shared" ref="AC44:AC75" si="33">IF(B44="","",(AB44/AA44))</f>
        <v>0.14924840536900325</v>
      </c>
      <c r="AD44" s="5"/>
      <c r="AE44" s="7" t="s">
        <v>1050</v>
      </c>
      <c r="AF44" s="7" t="str">
        <f>VLOOKUP(C44,Estudio_Mercado_Ori!$C$12:$AH$1115,32,0)</f>
        <v>6PROCEDAS</v>
      </c>
      <c r="BG44" s="7">
        <v>34</v>
      </c>
      <c r="DA44" s="7" t="str">
        <f>VLOOKUP(C44,listaBolsa!$D$2:$BA$1248,1,0)</f>
        <v>Servicio de transporte zona Rural de la localidad de Suba para  10 personas por trayecto</v>
      </c>
      <c r="DB44" s="7" t="str">
        <f>VLOOKUP(C44,listaBolsa!$D$2:$BA$1248,2,0)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C44" s="7" t="str">
        <f>VLOOKUP(C44,listaBolsa!$D$2:$BA$1248,10,0)</f>
        <v>Destino Express</v>
      </c>
      <c r="DD44" s="7">
        <f>VLOOKUP(C44,listaBolsa!$D$2:$BA$1248,14,0)</f>
        <v>385000</v>
      </c>
      <c r="DE44" s="7" t="str">
        <f>VLOOKUP(C44,listaBolsa!$D$2:$BA$1248,23,0)</f>
        <v>RENETUR</v>
      </c>
      <c r="DF44" s="7">
        <f>VLOOKUP(C44,listaBolsa!$D$2:$BA$1248,29,0)</f>
        <v>350000</v>
      </c>
      <c r="DG44" s="7" t="str">
        <f>VLOOKUP(C44,listaBolsa!$D$2:$BA$1248,36,0)</f>
        <v>RUTRASCOL Transporte_Varios</v>
      </c>
      <c r="DH44" s="7">
        <f>VLOOKUP(C44,listaBolsa!$D$2:$BA$1248,40,0)</f>
        <v>285000</v>
      </c>
      <c r="DI44" s="253">
        <f>VLOOKUP(C44,listaBolsa!$D$2:$BA$1248,48,0)</f>
        <v>0.14924840536900322</v>
      </c>
      <c r="DJ44" s="7" t="b">
        <f t="shared" ref="DJ44:DJ75" si="34">DA44=C44</f>
        <v>1</v>
      </c>
      <c r="DK44" s="7" t="b">
        <f t="shared" ref="DK44:DK75" si="35">DB44=D44</f>
        <v>1</v>
      </c>
      <c r="DL44" s="7" t="b">
        <f t="shared" ref="DL44:DL75" si="36">DC44=H44</f>
        <v>1</v>
      </c>
      <c r="DM44" s="7" t="b">
        <f t="shared" ref="DM44:DM75" si="37">DD44=I44</f>
        <v>1</v>
      </c>
      <c r="DN44" s="7" t="b">
        <f t="shared" ref="DN44:DN75" si="38">DE44=N44</f>
        <v>1</v>
      </c>
      <c r="DO44" s="7" t="b">
        <f t="shared" ref="DO44:DO75" si="39">DF44=O44</f>
        <v>1</v>
      </c>
      <c r="DP44" s="7" t="b">
        <f t="shared" ref="DP44:DP75" si="40">DG44=T44</f>
        <v>1</v>
      </c>
      <c r="DQ44" s="7" t="b">
        <f t="shared" ref="DQ44:DQ75" si="41">DH44=U44</f>
        <v>1</v>
      </c>
      <c r="DR44" s="7" t="b">
        <f t="shared" ref="DR44:DR75" si="42">DI44=AC44</f>
        <v>1</v>
      </c>
    </row>
    <row r="45" spans="1:122" s="7" customFormat="1" ht="210" customHeight="1">
      <c r="A45" s="75">
        <v>34</v>
      </c>
      <c r="B45" s="250" t="s">
        <v>291</v>
      </c>
      <c r="C45" s="200" t="s">
        <v>299</v>
      </c>
      <c r="D45" s="95" t="str">
        <f>IF(C45="","",VLOOKUP(C45,listaBolsa!$D$2:$H$276,2,0))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E45" s="111" t="str">
        <f>IF(C45="","",VLOOKUP(C45,listaBolsa!$D$2:$H$276,3,0))</f>
        <v>Unidad</v>
      </c>
      <c r="F45" s="112">
        <v>9</v>
      </c>
      <c r="G45" s="200" t="str">
        <f>IF(C44="","",VLOOKUP(C44,listaBolsa!$D$2:$H$276,5,0))</f>
        <v>Alquiler</v>
      </c>
      <c r="H45" s="106" t="str">
        <f>IF(C45="","",VLOOKUP(C45,listaBolsa!$D$2:$W$276,10,0))</f>
        <v>D&amp;R PRODUCCIONES SAS</v>
      </c>
      <c r="I45" s="107">
        <f>IF(C45="","",VLOOKUP(C45,listaBolsa!$D$2:$W$276,14,0))</f>
        <v>3150000</v>
      </c>
      <c r="J45" s="96">
        <f>I45*19%</f>
        <v>598500</v>
      </c>
      <c r="K45" s="96">
        <f t="shared" si="1"/>
        <v>3748500</v>
      </c>
      <c r="L45" s="96">
        <f t="shared" si="2"/>
        <v>28350000</v>
      </c>
      <c r="M45" s="96">
        <f t="shared" si="3"/>
        <v>33736500</v>
      </c>
      <c r="N45" s="108" t="str">
        <f>IF(C45="","",VLOOKUP(C45,listaBolsa!$D$2:$AZ$276,23,0))</f>
        <v>EFECTO MASIVO</v>
      </c>
      <c r="O45" s="109">
        <f>IF(C45="","",VLOOKUP(C45,listaBolsa!$D$2:$AZ$276,27,0))</f>
        <v>3200000</v>
      </c>
      <c r="P45" s="110">
        <f t="shared" si="29"/>
        <v>608000</v>
      </c>
      <c r="Q45" s="110">
        <f t="shared" si="30"/>
        <v>3808000</v>
      </c>
      <c r="R45" s="110">
        <f t="shared" si="31"/>
        <v>28800000</v>
      </c>
      <c r="S45" s="110">
        <f t="shared" si="32"/>
        <v>34272000</v>
      </c>
      <c r="T45" s="97" t="str">
        <f>IF(C45="","",VLOOKUP(C45,listaBolsa!$D$2:$BB$276,36,0))</f>
        <v>AMCI INGENIERIAS SAS</v>
      </c>
      <c r="U45" s="98">
        <f>IF(C45="","",VLOOKUP(C45,listaBolsa!$D$2:$BB$276,40,0))</f>
        <v>2865546.22</v>
      </c>
      <c r="V45" s="99">
        <f>U45*19%</f>
        <v>544453.7818</v>
      </c>
      <c r="W45" s="99">
        <f>U45+V45</f>
        <v>3410000.0018000002</v>
      </c>
      <c r="X45" s="99">
        <f>IF(B45="","",(U45*F45))</f>
        <v>25789915.98</v>
      </c>
      <c r="Y45" s="99">
        <f>IF(B45="","",(W45*F45))</f>
        <v>30690000.016200002</v>
      </c>
      <c r="Z45" s="100">
        <f>IF(A45="","",AVERAGE(K45,Q45,W45))</f>
        <v>3655500.0006000004</v>
      </c>
      <c r="AA45" s="100">
        <f t="shared" si="23"/>
        <v>32899500.005400002</v>
      </c>
      <c r="AB45" s="78">
        <f>IF(B45="","",STDEV(M45,S45,Y45))</f>
        <v>1932125.1807805039</v>
      </c>
      <c r="AC45" s="102">
        <f t="shared" si="33"/>
        <v>5.8728101656966583E-2</v>
      </c>
      <c r="AD45" s="5"/>
      <c r="AE45" s="7" t="s">
        <v>1050</v>
      </c>
      <c r="AF45" s="7" t="str">
        <f>VLOOKUP(C45,Estudio_Mercado_Ori!$C$12:$AH$1115,32,0)</f>
        <v>34PROCEDAS</v>
      </c>
      <c r="BG45" s="7">
        <v>35</v>
      </c>
      <c r="DA45" s="7" t="str">
        <f>VLOOKUP(C45,listaBolsa!$D$2:$BA$1248,1,0)</f>
        <v>Auditorio para 50 personas media jornada</v>
      </c>
      <c r="DB45" s="7" t="str">
        <f>VLOOKUP(C45,listaBolsa!$D$2:$BA$1248,2,0)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C45" s="7" t="str">
        <f>VLOOKUP(C45,listaBolsa!$D$2:$BA$1248,10,0)</f>
        <v>D&amp;R PRODUCCIONES SAS</v>
      </c>
      <c r="DD45" s="7">
        <f>VLOOKUP(C45,listaBolsa!$D$2:$BA$1248,14,0)</f>
        <v>3150000</v>
      </c>
      <c r="DE45" s="7" t="str">
        <f>VLOOKUP(C45,listaBolsa!$D$2:$BA$1248,23,0)</f>
        <v>EFECTO MASIVO</v>
      </c>
      <c r="DF45" s="7">
        <f>VLOOKUP(C45,listaBolsa!$D$2:$BA$1248,29,0)</f>
        <v>3808000</v>
      </c>
      <c r="DG45" s="7" t="str">
        <f>VLOOKUP(C45,listaBolsa!$D$2:$BA$1248,36,0)</f>
        <v>AMCI INGENIERIAS SAS</v>
      </c>
      <c r="DH45" s="7">
        <f>VLOOKUP(C45,listaBolsa!$D$2:$BA$1248,40,0)</f>
        <v>2865546.22</v>
      </c>
      <c r="DI45" s="253">
        <f>VLOOKUP(C45,listaBolsa!$D$2:$BA$1248,48,0)</f>
        <v>5.872810165696659E-2</v>
      </c>
      <c r="DJ45" s="7" t="b">
        <f t="shared" si="34"/>
        <v>1</v>
      </c>
      <c r="DK45" s="7" t="b">
        <f t="shared" si="35"/>
        <v>1</v>
      </c>
      <c r="DL45" s="7" t="b">
        <f t="shared" si="36"/>
        <v>1</v>
      </c>
      <c r="DM45" s="7" t="b">
        <f t="shared" si="37"/>
        <v>1</v>
      </c>
      <c r="DN45" s="7" t="b">
        <f t="shared" si="38"/>
        <v>1</v>
      </c>
      <c r="DO45" s="7" t="b">
        <f t="shared" si="39"/>
        <v>0</v>
      </c>
      <c r="DP45" s="7" t="b">
        <f t="shared" si="40"/>
        <v>1</v>
      </c>
      <c r="DQ45" s="7" t="b">
        <f t="shared" si="41"/>
        <v>1</v>
      </c>
      <c r="DR45" s="7" t="b">
        <f t="shared" si="42"/>
        <v>1</v>
      </c>
    </row>
    <row r="46" spans="1:122" s="7" customFormat="1" ht="348" customHeight="1">
      <c r="A46" s="75">
        <v>35</v>
      </c>
      <c r="B46" s="250" t="s">
        <v>291</v>
      </c>
      <c r="C46" s="95" t="s">
        <v>301</v>
      </c>
      <c r="D46" s="95" t="str">
        <f>IF(C46="","",VLOOKUP(C46,listaBolsa!$D$2:$H$276,2,0))</f>
        <v>CARPA PAGODA DE 4X4 CON LATERALES  INCLUYE INSTALACIÓN, TRASPORTE Y ENTREGA EN EL LUGAR REQUERIDO, MONTAJE Y DESMONTAJE DE LA MISMA (JORNADA POR EVENTO O DÍA)</v>
      </c>
      <c r="E46" s="111" t="str">
        <f>IF(C46="","",VLOOKUP(C46,listaBolsa!$D$2:$H$276,3,0))</f>
        <v>SERVICIO</v>
      </c>
      <c r="F46" s="210">
        <v>20</v>
      </c>
      <c r="G46" s="200" t="str">
        <f>IF(C45="","",VLOOKUP(C45,listaBolsa!$D$2:$H$276,5,0))</f>
        <v>Alquiler</v>
      </c>
      <c r="H46" s="106"/>
      <c r="I46" s="107"/>
      <c r="J46" s="96"/>
      <c r="K46" s="96"/>
      <c r="L46" s="96"/>
      <c r="M46" s="96"/>
      <c r="N46" s="108" t="str">
        <f>IF(C46="","",VLOOKUP(C46,listaBolsa!$D$2:$AZ$276,23,0))</f>
        <v>Estimación de precios con base en el proceso FDLSUBA-LP-013-2025 (140689) – Contrato 1000 – 2025, indexando el incremento de precios en el mercado con base en el Índice de Precios al Consumidor (IPC) para el mes de marzo de 2026, el cual fue de 5,56%.</v>
      </c>
      <c r="O46" s="109">
        <f>535717/1.19</f>
        <v>450182.3529411765</v>
      </c>
      <c r="P46" s="110">
        <f t="shared" si="29"/>
        <v>85534.647058823539</v>
      </c>
      <c r="Q46" s="110">
        <f t="shared" si="30"/>
        <v>535717</v>
      </c>
      <c r="R46" s="110">
        <f t="shared" si="31"/>
        <v>9003647.0588235296</v>
      </c>
      <c r="S46" s="110">
        <f t="shared" si="32"/>
        <v>10714340</v>
      </c>
      <c r="T46" s="97" t="str">
        <f>IF(C46="","",VLOOKUP(C46,listaBolsa!$D$2:$BB$276,36,0))</f>
        <v>FUNCAS</v>
      </c>
      <c r="U46" s="98">
        <f>IF(C46="","",VLOOKUP(C46,listaBolsa!$D$2:$BB$276,40,0))</f>
        <v>443529</v>
      </c>
      <c r="V46" s="99">
        <f>U46*19%</f>
        <v>84270.51</v>
      </c>
      <c r="W46" s="99">
        <f>U46+V46</f>
        <v>527799.51</v>
      </c>
      <c r="X46" s="99">
        <f>IF(B46="","",(U46*F46))</f>
        <v>8870580</v>
      </c>
      <c r="Y46" s="99">
        <f>IF(B46="","",(W46*F46))</f>
        <v>10555990.199999999</v>
      </c>
      <c r="Z46" s="100">
        <v>531759</v>
      </c>
      <c r="AA46" s="100">
        <f t="shared" si="23"/>
        <v>10635180</v>
      </c>
      <c r="AB46" s="78">
        <v>5598.16</v>
      </c>
      <c r="AC46" s="102">
        <f t="shared" si="33"/>
        <v>5.2638131183487251E-4</v>
      </c>
      <c r="AD46" s="5"/>
      <c r="AE46" s="255" t="s">
        <v>1056</v>
      </c>
      <c r="AF46" s="7" t="str">
        <f>VLOOKUP(C46,Estudio_Mercado_Ori!$C$12:$AH$1115,32,0)</f>
        <v>35PROCEDAS</v>
      </c>
      <c r="BG46" s="7">
        <v>36</v>
      </c>
      <c r="DA46" s="7" t="str">
        <f>VLOOKUP(C46,listaBolsa!$D$2:$BA$1248,1,0)</f>
        <v>Alquiler Carpa Pagoda 4 x 4</v>
      </c>
      <c r="DB46" s="7" t="str">
        <f>VLOOKUP(C46,listaBolsa!$D$2:$BA$1248,2,0)</f>
        <v>CARPA PAGODA DE 4X4 CON LATERALES  INCLUYE INSTALACIÓN, TRASPORTE Y ENTREGA EN EL LUGAR REQUERIDO, MONTAJE Y DESMONTAJE DE LA MISMA (JORNADA POR EVENTO O DÍA)</v>
      </c>
      <c r="DC46" s="7" t="str">
        <f>VLOOKUP(C46,listaBolsa!$D$2:$BA$1248,10,0)</f>
        <v>OPERADOR LOGÍSTICO</v>
      </c>
      <c r="DD46" s="7" t="str">
        <f>VLOOKUP(C46,listaBolsa!$D$2:$BA$1248,14,0)</f>
        <v> </v>
      </c>
      <c r="DE46" s="7" t="str">
        <f>VLOOKUP(C46,listaBolsa!$D$2:$BA$1248,23,0)</f>
        <v>Estimación de precios con base en el proceso FDLSUBA-LP-013-2025 (140689) – Contrato 1000 – 2025, indexando el incremento de precios en el mercado con base en el Índice de Precios al Consumidor (IPC) para el mes de marzo de 2026, el cual fue de 5,56%.</v>
      </c>
      <c r="DF46" s="7">
        <f>VLOOKUP(C46,listaBolsa!$D$2:$BA$1248,29,0)</f>
        <v>507500</v>
      </c>
      <c r="DG46" s="7" t="str">
        <f>VLOOKUP(C46,listaBolsa!$D$2:$BA$1248,36,0)</f>
        <v>FUNCAS</v>
      </c>
      <c r="DH46" s="7">
        <f>VLOOKUP(C46,listaBolsa!$D$2:$BA$1248,40,0)</f>
        <v>443529</v>
      </c>
      <c r="DI46" s="252">
        <f>VLOOKUP(C46,listaBolsa!$D$2:$BA$1248,48,0)</f>
        <v>1.0500000000000001E-2</v>
      </c>
      <c r="DJ46" s="7" t="b">
        <f t="shared" si="34"/>
        <v>1</v>
      </c>
      <c r="DK46" s="7" t="b">
        <f t="shared" si="35"/>
        <v>1</v>
      </c>
      <c r="DL46" s="7" t="b">
        <f t="shared" si="36"/>
        <v>0</v>
      </c>
      <c r="DM46" s="7" t="b">
        <f t="shared" si="37"/>
        <v>0</v>
      </c>
      <c r="DN46" s="7" t="b">
        <f t="shared" si="38"/>
        <v>1</v>
      </c>
      <c r="DO46" s="7" t="b">
        <f t="shared" si="39"/>
        <v>0</v>
      </c>
      <c r="DP46" s="7" t="b">
        <f t="shared" si="40"/>
        <v>1</v>
      </c>
      <c r="DQ46" s="7" t="b">
        <f t="shared" si="41"/>
        <v>1</v>
      </c>
      <c r="DR46" s="7" t="b">
        <f t="shared" si="42"/>
        <v>0</v>
      </c>
    </row>
    <row r="47" spans="1:122" s="7" customFormat="1" ht="84" customHeight="1">
      <c r="A47" s="75">
        <v>36</v>
      </c>
      <c r="B47" s="250" t="s">
        <v>291</v>
      </c>
      <c r="C47" s="95" t="s">
        <v>303</v>
      </c>
      <c r="D47" s="75" t="s">
        <v>304</v>
      </c>
      <c r="E47" s="111" t="s">
        <v>191</v>
      </c>
      <c r="F47" s="112">
        <v>80</v>
      </c>
      <c r="G47" s="200" t="s">
        <v>305</v>
      </c>
      <c r="H47" s="106" t="s">
        <v>193</v>
      </c>
      <c r="I47" s="107">
        <v>3400</v>
      </c>
      <c r="J47" s="96">
        <f t="shared" ref="J47:J93" si="43">I47*19%</f>
        <v>646</v>
      </c>
      <c r="K47" s="96">
        <f t="shared" ref="K47:K93" si="44">I47+J47</f>
        <v>4046</v>
      </c>
      <c r="L47" s="96">
        <f t="shared" ref="L47:L89" si="45">IF(B47="","",(I47*F47))</f>
        <v>272000</v>
      </c>
      <c r="M47" s="96">
        <f t="shared" ref="M47:M89" si="46">IF(B47="","",(K47*F47))</f>
        <v>323680</v>
      </c>
      <c r="N47" s="108" t="s">
        <v>245</v>
      </c>
      <c r="O47" s="109">
        <v>3000</v>
      </c>
      <c r="P47" s="110">
        <f t="shared" si="29"/>
        <v>570</v>
      </c>
      <c r="Q47" s="110">
        <f t="shared" si="30"/>
        <v>3570</v>
      </c>
      <c r="R47" s="110">
        <f t="shared" si="31"/>
        <v>240000</v>
      </c>
      <c r="S47" s="110">
        <f t="shared" si="32"/>
        <v>285600</v>
      </c>
      <c r="T47" s="97" t="s">
        <v>194</v>
      </c>
      <c r="U47" s="98">
        <v>3400</v>
      </c>
      <c r="V47" s="99">
        <f>U47*19%</f>
        <v>646</v>
      </c>
      <c r="W47" s="99">
        <f>U47+V47</f>
        <v>4046</v>
      </c>
      <c r="X47" s="99">
        <f>IF(B47="","",(U47*F47))</f>
        <v>272000</v>
      </c>
      <c r="Y47" s="99">
        <f>IF(B47="","",(W47*F47))</f>
        <v>323680</v>
      </c>
      <c r="Z47" s="100">
        <f>IF(A47="","",AVERAGE(K47,Q47,W47))</f>
        <v>3887.3333333333335</v>
      </c>
      <c r="AA47" s="100">
        <f t="shared" si="23"/>
        <v>310986.66666666669</v>
      </c>
      <c r="AB47" s="78">
        <f>IF(B47="","",STDEV(M47,S47,Y47))</f>
        <v>21985.498250740951</v>
      </c>
      <c r="AC47" s="102">
        <f t="shared" si="33"/>
        <v>7.0695951329341936E-2</v>
      </c>
      <c r="AD47" s="5"/>
      <c r="AE47" s="7" t="s">
        <v>1053</v>
      </c>
      <c r="AF47" s="7" t="str">
        <f>VLOOKUP(C47,Estudio_Mercado_Ori!$C$12:$AH$1115,32,0)</f>
        <v>36PROCEDAS</v>
      </c>
      <c r="BG47" s="7">
        <v>37</v>
      </c>
      <c r="DA47" s="7" t="str">
        <f>VLOOKUP(C47,listaBolsa!$D$2:$BA$1248,1,0)</f>
        <v>Sillas</v>
      </c>
      <c r="DB47" s="7">
        <f>VLOOKUP(C47,listaBolsa!$D$2:$BA$1248,2,0)</f>
        <v>0</v>
      </c>
      <c r="DC47" s="7" t="str">
        <f>VLOOKUP(C47,listaBolsa!$D$2:$BA$1248,10,0)</f>
        <v>AVANCE ORGANIZACIONAL CONSULTORES SAS</v>
      </c>
      <c r="DD47" s="7">
        <f>VLOOKUP(C47,listaBolsa!$D$2:$BA$1248,14,0)</f>
        <v>3400</v>
      </c>
      <c r="DE47" s="7" t="str">
        <f>VLOOKUP(C47,listaBolsa!$D$2:$BA$1248,23,0)</f>
        <v>CONADES</v>
      </c>
      <c r="DF47" s="7">
        <f>VLOOKUP(C47,listaBolsa!$D$2:$BA$1248,29,0)</f>
        <v>3570</v>
      </c>
      <c r="DG47" s="7" t="str">
        <f>VLOOKUP(C47,listaBolsa!$D$2:$BA$1248,36,0)</f>
        <v>SIDED</v>
      </c>
      <c r="DH47" s="7">
        <f>VLOOKUP(C47,listaBolsa!$D$2:$BA$1248,40,0)</f>
        <v>3400</v>
      </c>
      <c r="DI47" s="253">
        <f>VLOOKUP(C47,listaBolsa!$D$2:$BA$1248,48,0)</f>
        <v>7.0699999999999999E-2</v>
      </c>
      <c r="DJ47" s="7" t="b">
        <f t="shared" si="34"/>
        <v>1</v>
      </c>
      <c r="DK47" s="7" t="b">
        <f t="shared" si="35"/>
        <v>0</v>
      </c>
      <c r="DL47" s="7" t="b">
        <f t="shared" si="36"/>
        <v>1</v>
      </c>
      <c r="DM47" s="7" t="b">
        <f t="shared" si="37"/>
        <v>1</v>
      </c>
      <c r="DN47" s="7" t="b">
        <f t="shared" si="38"/>
        <v>1</v>
      </c>
      <c r="DO47" s="7" t="b">
        <f t="shared" si="39"/>
        <v>0</v>
      </c>
      <c r="DP47" s="7" t="b">
        <f t="shared" si="40"/>
        <v>1</v>
      </c>
      <c r="DQ47" s="7" t="b">
        <f t="shared" si="41"/>
        <v>1</v>
      </c>
      <c r="DR47" s="7" t="b">
        <f t="shared" si="42"/>
        <v>0</v>
      </c>
    </row>
    <row r="48" spans="1:122" s="7" customFormat="1" ht="348" customHeight="1">
      <c r="A48" s="75">
        <v>37</v>
      </c>
      <c r="B48" s="250" t="s">
        <v>291</v>
      </c>
      <c r="C48" s="95" t="s">
        <v>307</v>
      </c>
      <c r="D48" s="95" t="str">
        <f>IF(C48="","",VLOOKUP(C48,listaBolsa!$D$2:$H$276,2,0))</f>
        <v>Alquiler de Mesas plásticas blancas, cuadrada de 75 cms de largo X 75 cms de ancho X 70,5 cms de alto Incluye transporte, instalación y entrega en el lugar requerido.</v>
      </c>
      <c r="E48" s="111" t="str">
        <f>IF(C48="","",VLOOKUP(C48,listaBolsa!$D$2:$H$276,3,0))</f>
        <v>Unidad</v>
      </c>
      <c r="F48" s="112">
        <v>40</v>
      </c>
      <c r="G48" s="200" t="str">
        <f>IF(C48="","",VLOOKUP(C48,listaBolsa!$D$2:$H$276,5,0))</f>
        <v>Alquiler</v>
      </c>
      <c r="H48" s="106" t="str">
        <f>IF(C48="","",VLOOKUP(C48,listaBolsa!$D$2:$W$276,10,0))</f>
        <v>Estimación de precios con base en el proceso FDLSUBA-LP-013-2025 (140689) – Contrato 1000 – 2025, indexando el incremento de precios en el mercado con base en el Índice de Precios al Consumidor (IPC) para el mes de marzo de 2026, el cual fue de 5,56%.</v>
      </c>
      <c r="I48" s="107">
        <f>11508/1.19</f>
        <v>9670.5882352941189</v>
      </c>
      <c r="J48" s="96">
        <f t="shared" si="43"/>
        <v>1837.4117647058827</v>
      </c>
      <c r="K48" s="96">
        <f t="shared" si="44"/>
        <v>11508.000000000002</v>
      </c>
      <c r="L48" s="96">
        <f t="shared" si="45"/>
        <v>386823.52941176476</v>
      </c>
      <c r="M48" s="96">
        <f t="shared" si="46"/>
        <v>460320.00000000006</v>
      </c>
      <c r="N48" s="108" t="str">
        <f>IF(C48="","",VLOOKUP(C48,listaBolsa!$D$2:$AZ$276,23,0))</f>
        <v>FUNCAS</v>
      </c>
      <c r="O48" s="109">
        <f>IF(C48="","",VLOOKUP(C48,listaBolsa!$D$2:$AZ$276,27,0))</f>
        <v>9528</v>
      </c>
      <c r="P48" s="110">
        <f t="shared" si="29"/>
        <v>1810.32</v>
      </c>
      <c r="Q48" s="110">
        <f t="shared" si="30"/>
        <v>11338.32</v>
      </c>
      <c r="R48" s="110">
        <f t="shared" si="31"/>
        <v>381120</v>
      </c>
      <c r="S48" s="110">
        <f t="shared" si="32"/>
        <v>453532.8</v>
      </c>
      <c r="T48" s="97"/>
      <c r="U48" s="98"/>
      <c r="V48" s="99"/>
      <c r="W48" s="99"/>
      <c r="X48" s="99"/>
      <c r="Y48" s="99"/>
      <c r="Z48" s="100">
        <f>IF(A48="","",AVERAGE(K48,Q48))</f>
        <v>11423.16</v>
      </c>
      <c r="AA48" s="100">
        <f t="shared" si="23"/>
        <v>456926.4</v>
      </c>
      <c r="AB48" s="78">
        <f>IF(B48="","",STDEV(M48,S48))</f>
        <v>4799.2751452693847</v>
      </c>
      <c r="AC48" s="102">
        <f t="shared" si="33"/>
        <v>1.0503387734369003E-2</v>
      </c>
      <c r="AD48" s="5"/>
      <c r="AE48" s="7" t="s">
        <v>1057</v>
      </c>
      <c r="AF48" s="7" t="str">
        <f>VLOOKUP(C48,Estudio_Mercado_Ori!$C$12:$AH$1115,32,0)</f>
        <v>37PROCEDAS</v>
      </c>
      <c r="BG48" s="7">
        <v>38</v>
      </c>
      <c r="DA48" s="7" t="str">
        <f>VLOOKUP(C48,listaBolsa!$D$2:$BA$1248,1,0)</f>
        <v>Mesas cuadradas</v>
      </c>
      <c r="DB48" s="7" t="str">
        <f>VLOOKUP(C48,listaBolsa!$D$2:$BA$1248,2,0)</f>
        <v>Alquiler de Mesas plásticas blancas, cuadrada de 75 cms de largo X 75 cms de ancho X 70,5 cms de alto Incluye transporte, instalación y entrega en el lugar requerido.</v>
      </c>
      <c r="DC48" s="7" t="str">
        <f>VLOOKUP(C48,listaBolsa!$D$2:$BA$1248,10,0)</f>
        <v>Estimación de precios con base en el proceso FDLSUBA-LP-013-2025 (140689) – Contrato 1000 – 2025, indexando el incremento de precios en el mercado con base en el Índice de Precios al Consumidor (IPC) para el mes de marzo de 2026, el cual fue de 5,56%.</v>
      </c>
      <c r="DD48" s="7">
        <f>VLOOKUP(C48,listaBolsa!$D$2:$BA$1248,14,0)</f>
        <v>11508</v>
      </c>
      <c r="DE48" s="7" t="str">
        <f>VLOOKUP(C48,listaBolsa!$D$2:$BA$1248,23,0)</f>
        <v>FUNCAS</v>
      </c>
      <c r="DF48" s="7">
        <f>VLOOKUP(C48,listaBolsa!$D$2:$BA$1248,29,0)</f>
        <v>11338.32</v>
      </c>
      <c r="DG48" s="7">
        <f>VLOOKUP(C48,listaBolsa!$D$2:$BA$1248,36,0)</f>
        <v>0</v>
      </c>
      <c r="DH48" s="7">
        <f>VLOOKUP(C48,listaBolsa!$D$2:$BA$1248,40,0)</f>
        <v>0</v>
      </c>
      <c r="DI48" s="252">
        <f>VLOOKUP(C48,listaBolsa!$D$2:$BA$1248,48,0)</f>
        <v>1.0503387734368914E-2</v>
      </c>
      <c r="DJ48" s="7" t="b">
        <f t="shared" si="34"/>
        <v>1</v>
      </c>
      <c r="DK48" s="7" t="b">
        <f t="shared" si="35"/>
        <v>1</v>
      </c>
      <c r="DL48" s="7" t="b">
        <f t="shared" si="36"/>
        <v>1</v>
      </c>
      <c r="DM48" s="7" t="b">
        <f t="shared" si="37"/>
        <v>0</v>
      </c>
      <c r="DN48" s="7" t="b">
        <f t="shared" si="38"/>
        <v>1</v>
      </c>
      <c r="DO48" s="7" t="b">
        <f t="shared" si="39"/>
        <v>0</v>
      </c>
      <c r="DP48" s="7" t="b">
        <f t="shared" si="40"/>
        <v>1</v>
      </c>
      <c r="DQ48" s="7" t="b">
        <f t="shared" si="41"/>
        <v>1</v>
      </c>
      <c r="DR48" s="7" t="b">
        <f t="shared" si="42"/>
        <v>0</v>
      </c>
    </row>
    <row r="49" spans="1:122" s="7" customFormat="1" ht="210" customHeight="1">
      <c r="A49" s="75">
        <v>38</v>
      </c>
      <c r="B49" s="251" t="s">
        <v>309</v>
      </c>
      <c r="C49" s="95" t="s">
        <v>299</v>
      </c>
      <c r="D49" s="75" t="str">
        <f>IF(C49="","",VLOOKUP(C49,listaBolsa!$D$2:$H$276,2,0))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E49" s="111" t="str">
        <f>IF(C49="","",VLOOKUP(C49,listaBolsa!$D$2:$H$276,3,0))</f>
        <v>Unidad</v>
      </c>
      <c r="F49" s="112">
        <v>12</v>
      </c>
      <c r="G49" s="200" t="str">
        <f>IF(C49="","",VLOOKUP(C49,listaBolsa!$D$2:$H$276,5,0))</f>
        <v>Alquiler</v>
      </c>
      <c r="H49" s="106" t="str">
        <f>IF(C49="","",VLOOKUP(C49,listaBolsa!$D$2:$W$276,10,0))</f>
        <v>D&amp;R PRODUCCIONES SAS</v>
      </c>
      <c r="I49" s="107">
        <f>IF(C49="","",VLOOKUP(C49,listaBolsa!$D$2:$W$276,14,0))</f>
        <v>3150000</v>
      </c>
      <c r="J49" s="96">
        <f t="shared" si="43"/>
        <v>598500</v>
      </c>
      <c r="K49" s="96">
        <f t="shared" si="44"/>
        <v>3748500</v>
      </c>
      <c r="L49" s="96">
        <f t="shared" si="45"/>
        <v>37800000</v>
      </c>
      <c r="M49" s="96">
        <f t="shared" si="46"/>
        <v>44982000</v>
      </c>
      <c r="N49" s="108" t="str">
        <f>IF(C49="","",VLOOKUP(C49,listaBolsa!$D$2:$AZ$276,23,0))</f>
        <v>EFECTO MASIVO</v>
      </c>
      <c r="O49" s="109">
        <f>IF(C49="","",VLOOKUP(C49,listaBolsa!$D$2:$AZ$276,27,0))</f>
        <v>3200000</v>
      </c>
      <c r="P49" s="110">
        <f t="shared" si="29"/>
        <v>608000</v>
      </c>
      <c r="Q49" s="110">
        <f t="shared" si="30"/>
        <v>3808000</v>
      </c>
      <c r="R49" s="110">
        <f t="shared" si="31"/>
        <v>38400000</v>
      </c>
      <c r="S49" s="110">
        <f t="shared" si="32"/>
        <v>45696000</v>
      </c>
      <c r="T49" s="97" t="str">
        <f>IF(C49="","",VLOOKUP(C49,listaBolsa!$D$2:$BB$276,36,0))</f>
        <v>AMCI INGENIERIAS SAS</v>
      </c>
      <c r="U49" s="98">
        <f>IF(C49="","",VLOOKUP(C49,listaBolsa!$D$2:$BB$276,40,0))</f>
        <v>2865546.22</v>
      </c>
      <c r="V49" s="99">
        <f t="shared" ref="V49:V60" si="47">U49*19%</f>
        <v>544453.7818</v>
      </c>
      <c r="W49" s="99">
        <f t="shared" ref="W49:W60" si="48">U49+V49</f>
        <v>3410000.0018000002</v>
      </c>
      <c r="X49" s="99">
        <f t="shared" ref="X49:X60" si="49">IF(B49="","",(U49*F49))</f>
        <v>34386554.640000001</v>
      </c>
      <c r="Y49" s="99">
        <f t="shared" ref="Y49:Y60" si="50">IF(B49="","",(W49*F49))</f>
        <v>40920000.021600001</v>
      </c>
      <c r="Z49" s="100">
        <f t="shared" ref="Z49:Z60" si="51">IF(A49="","",AVERAGE(K49,Q49,W49))</f>
        <v>3655500.0006000004</v>
      </c>
      <c r="AA49" s="100">
        <f t="shared" ref="AA49:AA80" si="52">IF(B49="","",Z49*F49)</f>
        <v>43866000.007200003</v>
      </c>
      <c r="AB49" s="78">
        <f t="shared" ref="AB49:AB60" si="53">IF(B49="","",STDEV(M49,S49,Y49))</f>
        <v>2576166.9077073401</v>
      </c>
      <c r="AC49" s="102">
        <f t="shared" si="33"/>
        <v>5.8728101656966618E-2</v>
      </c>
      <c r="AD49" s="5"/>
      <c r="AE49" s="7" t="s">
        <v>1050</v>
      </c>
      <c r="AF49" s="7" t="str">
        <f>VLOOKUP(C49,Estudio_Mercado_Ori!$C$12:$AH$1115,32,0)</f>
        <v>34PROCEDAS</v>
      </c>
      <c r="BG49" s="7">
        <v>39</v>
      </c>
      <c r="DA49" s="7" t="str">
        <f>VLOOKUP(C49,listaBolsa!$D$2:$BA$1248,1,0)</f>
        <v>Auditorio para 50 personas media jornada</v>
      </c>
      <c r="DB49" s="7" t="str">
        <f>VLOOKUP(C49,listaBolsa!$D$2:$BA$1248,2,0)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C49" s="7" t="str">
        <f>VLOOKUP(C49,listaBolsa!$D$2:$BA$1248,10,0)</f>
        <v>D&amp;R PRODUCCIONES SAS</v>
      </c>
      <c r="DD49" s="7">
        <f>VLOOKUP(C49,listaBolsa!$D$2:$BA$1248,14,0)</f>
        <v>3150000</v>
      </c>
      <c r="DE49" s="7" t="str">
        <f>VLOOKUP(C49,listaBolsa!$D$2:$BA$1248,23,0)</f>
        <v>EFECTO MASIVO</v>
      </c>
      <c r="DF49" s="7">
        <f>VLOOKUP(C49,listaBolsa!$D$2:$BA$1248,29,0)</f>
        <v>3808000</v>
      </c>
      <c r="DG49" s="7" t="str">
        <f>VLOOKUP(C49,listaBolsa!$D$2:$BA$1248,36,0)</f>
        <v>AMCI INGENIERIAS SAS</v>
      </c>
      <c r="DH49" s="7">
        <f>VLOOKUP(C49,listaBolsa!$D$2:$BA$1248,40,0)</f>
        <v>2865546.22</v>
      </c>
      <c r="DI49" s="253">
        <f>VLOOKUP(C49,listaBolsa!$D$2:$BA$1248,48,0)</f>
        <v>5.872810165696659E-2</v>
      </c>
      <c r="DJ49" s="7" t="b">
        <f t="shared" si="34"/>
        <v>1</v>
      </c>
      <c r="DK49" s="7" t="b">
        <f t="shared" si="35"/>
        <v>1</v>
      </c>
      <c r="DL49" s="7" t="b">
        <f t="shared" si="36"/>
        <v>1</v>
      </c>
      <c r="DM49" s="7" t="b">
        <f t="shared" si="37"/>
        <v>1</v>
      </c>
      <c r="DN49" s="7" t="b">
        <f t="shared" si="38"/>
        <v>1</v>
      </c>
      <c r="DO49" s="7" t="b">
        <f t="shared" si="39"/>
        <v>0</v>
      </c>
      <c r="DP49" s="7" t="b">
        <f t="shared" si="40"/>
        <v>1</v>
      </c>
      <c r="DQ49" s="7" t="b">
        <f t="shared" si="41"/>
        <v>1</v>
      </c>
      <c r="DR49" s="7" t="b">
        <f t="shared" si="42"/>
        <v>1</v>
      </c>
    </row>
    <row r="50" spans="1:122" s="7" customFormat="1" ht="105" customHeight="1">
      <c r="A50" s="75">
        <v>39</v>
      </c>
      <c r="B50" s="251" t="s">
        <v>309</v>
      </c>
      <c r="C50" s="95" t="s">
        <v>311</v>
      </c>
      <c r="D50" s="75" t="s">
        <v>312</v>
      </c>
      <c r="E50" s="111" t="s">
        <v>191</v>
      </c>
      <c r="F50" s="112">
        <v>27</v>
      </c>
      <c r="G50" s="75" t="s">
        <v>192</v>
      </c>
      <c r="H50" s="106" t="s">
        <v>193</v>
      </c>
      <c r="I50" s="107">
        <v>19000</v>
      </c>
      <c r="J50" s="96">
        <f t="shared" si="43"/>
        <v>3610</v>
      </c>
      <c r="K50" s="96">
        <f t="shared" si="44"/>
        <v>22610</v>
      </c>
      <c r="L50" s="96">
        <f t="shared" si="45"/>
        <v>513000</v>
      </c>
      <c r="M50" s="96">
        <f t="shared" si="46"/>
        <v>610470</v>
      </c>
      <c r="N50" s="108" t="s">
        <v>194</v>
      </c>
      <c r="O50" s="109">
        <v>19000</v>
      </c>
      <c r="P50" s="110">
        <f t="shared" si="29"/>
        <v>3610</v>
      </c>
      <c r="Q50" s="110">
        <f t="shared" si="30"/>
        <v>22610</v>
      </c>
      <c r="R50" s="110">
        <f t="shared" si="31"/>
        <v>513000</v>
      </c>
      <c r="S50" s="110">
        <f t="shared" si="32"/>
        <v>610470</v>
      </c>
      <c r="T50" s="97" t="s">
        <v>313</v>
      </c>
      <c r="U50" s="98">
        <v>13445.378151260509</v>
      </c>
      <c r="V50" s="99">
        <f t="shared" si="47"/>
        <v>2554.6218487394967</v>
      </c>
      <c r="W50" s="99">
        <f t="shared" si="48"/>
        <v>16000.000000000005</v>
      </c>
      <c r="X50" s="99">
        <f t="shared" si="49"/>
        <v>363025.21008403372</v>
      </c>
      <c r="Y50" s="99">
        <f t="shared" si="50"/>
        <v>432000.00000000017</v>
      </c>
      <c r="Z50" s="100">
        <f t="shared" si="51"/>
        <v>20406.666666666668</v>
      </c>
      <c r="AA50" s="100">
        <f t="shared" si="52"/>
        <v>550980</v>
      </c>
      <c r="AB50" s="78">
        <f t="shared" si="53"/>
        <v>103039.70254227192</v>
      </c>
      <c r="AC50" s="102">
        <f t="shared" si="33"/>
        <v>0.18701169287863792</v>
      </c>
      <c r="AD50" s="5"/>
      <c r="AE50" s="7" t="s">
        <v>1053</v>
      </c>
      <c r="AF50" s="7" t="str">
        <f>VLOOKUP(C50,Estudio_Mercado_Ori!$C$12:$AH$1115,32,0)</f>
        <v>39PROCEDAS</v>
      </c>
      <c r="BG50" s="7">
        <v>43</v>
      </c>
      <c r="DA50" s="7" t="str">
        <f>VLOOKUP(C50,listaBolsa!$D$2:$BA$1248,1,0)</f>
        <v>Moldes</v>
      </c>
      <c r="DB50" s="7">
        <f>VLOOKUP(C50,listaBolsa!$D$2:$BA$1248,2,0)</f>
        <v>0</v>
      </c>
      <c r="DC50" s="7" t="str">
        <f>VLOOKUP(C50,listaBolsa!$D$2:$BA$1248,10,0)</f>
        <v>AVANCE ORGANIZACIONAL CONSULTORES SAS</v>
      </c>
      <c r="DD50" s="7">
        <f>VLOOKUP(C50,listaBolsa!$D$2:$BA$1248,14,0)</f>
        <v>19000</v>
      </c>
      <c r="DE50" s="7" t="str">
        <f>VLOOKUP(C50,listaBolsa!$D$2:$BA$1248,23,0)</f>
        <v>SIDED</v>
      </c>
      <c r="DF50" s="7">
        <f>VLOOKUP(C50,listaBolsa!$D$2:$BA$1248,29,0)</f>
        <v>22610</v>
      </c>
      <c r="DG50" s="7" t="str">
        <f>VLOOKUP(C50,listaBolsa!$D$2:$BA$1248,36,0)</f>
        <v>VELAS E INSUMOS LEON</v>
      </c>
      <c r="DH50" s="7">
        <f>VLOOKUP(C50,listaBolsa!$D$2:$BA$1248,40,0)</f>
        <v>13445.38</v>
      </c>
      <c r="DI50" s="253">
        <f>VLOOKUP(C50,listaBolsa!$D$2:$BA$1248,48,0)</f>
        <v>0.187</v>
      </c>
      <c r="DJ50" s="7" t="b">
        <f t="shared" si="34"/>
        <v>1</v>
      </c>
      <c r="DK50" s="7" t="b">
        <f t="shared" si="35"/>
        <v>0</v>
      </c>
      <c r="DL50" s="7" t="b">
        <f t="shared" si="36"/>
        <v>1</v>
      </c>
      <c r="DM50" s="7" t="b">
        <f t="shared" si="37"/>
        <v>1</v>
      </c>
      <c r="DN50" s="7" t="b">
        <f t="shared" si="38"/>
        <v>1</v>
      </c>
      <c r="DO50" s="7" t="b">
        <f t="shared" si="39"/>
        <v>0</v>
      </c>
      <c r="DP50" s="7" t="b">
        <f t="shared" si="40"/>
        <v>1</v>
      </c>
      <c r="DQ50" s="7" t="b">
        <f t="shared" si="41"/>
        <v>0</v>
      </c>
      <c r="DR50" s="7" t="b">
        <f t="shared" si="42"/>
        <v>0</v>
      </c>
    </row>
    <row r="51" spans="1:122" s="7" customFormat="1" ht="105" customHeight="1">
      <c r="A51" s="75">
        <v>40</v>
      </c>
      <c r="B51" s="251" t="s">
        <v>309</v>
      </c>
      <c r="C51" s="95" t="s">
        <v>315</v>
      </c>
      <c r="D51" s="186" t="s">
        <v>316</v>
      </c>
      <c r="E51" s="111" t="s">
        <v>191</v>
      </c>
      <c r="F51" s="112">
        <v>1</v>
      </c>
      <c r="G51" s="75" t="s">
        <v>192</v>
      </c>
      <c r="H51" s="106" t="s">
        <v>317</v>
      </c>
      <c r="I51" s="107">
        <v>19663.865546218491</v>
      </c>
      <c r="J51" s="96">
        <f t="shared" si="43"/>
        <v>3736.1344537815135</v>
      </c>
      <c r="K51" s="96">
        <f t="shared" si="44"/>
        <v>23400.000000000004</v>
      </c>
      <c r="L51" s="96">
        <f t="shared" si="45"/>
        <v>19663.865546218491</v>
      </c>
      <c r="M51" s="96">
        <f t="shared" si="46"/>
        <v>23400.000000000004</v>
      </c>
      <c r="N51" s="108" t="s">
        <v>318</v>
      </c>
      <c r="O51" s="109">
        <v>20557.142857142859</v>
      </c>
      <c r="P51" s="110">
        <f t="shared" si="29"/>
        <v>3905.8571428571431</v>
      </c>
      <c r="Q51" s="110">
        <f t="shared" si="30"/>
        <v>24463</v>
      </c>
      <c r="R51" s="110">
        <f t="shared" si="31"/>
        <v>20557.142857142859</v>
      </c>
      <c r="S51" s="110">
        <f t="shared" si="32"/>
        <v>24463</v>
      </c>
      <c r="T51" s="97" t="s">
        <v>319</v>
      </c>
      <c r="U51" s="98">
        <v>18487.39495798319</v>
      </c>
      <c r="V51" s="99">
        <f t="shared" si="47"/>
        <v>3512.6050420168062</v>
      </c>
      <c r="W51" s="99">
        <f t="shared" si="48"/>
        <v>21999.999999999996</v>
      </c>
      <c r="X51" s="99">
        <f t="shared" si="49"/>
        <v>18487.39495798319</v>
      </c>
      <c r="Y51" s="99">
        <f t="shared" si="50"/>
        <v>21999.999999999996</v>
      </c>
      <c r="Z51" s="100">
        <f t="shared" si="51"/>
        <v>23287.666666666668</v>
      </c>
      <c r="AA51" s="100">
        <f t="shared" si="52"/>
        <v>23287.666666666668</v>
      </c>
      <c r="AB51" s="78">
        <f t="shared" si="53"/>
        <v>1235.3365263495361</v>
      </c>
      <c r="AC51" s="102">
        <f t="shared" si="33"/>
        <v>5.3046814179875015E-2</v>
      </c>
      <c r="AD51" s="5"/>
      <c r="AE51" s="7" t="s">
        <v>1053</v>
      </c>
      <c r="AF51" s="7" t="str">
        <f>VLOOKUP(C51,Estudio_Mercado_Ori!$C$12:$AH$1115,32,0)</f>
        <v>40PROCEDAS</v>
      </c>
      <c r="BG51" s="7">
        <v>46</v>
      </c>
      <c r="DA51" s="7" t="str">
        <f>VLOOKUP(C51,listaBolsa!$D$2:$BA$1248,1,0)</f>
        <v>Desmoldante</v>
      </c>
      <c r="DB51" s="7">
        <f>VLOOKUP(C51,listaBolsa!$D$2:$BA$1248,2,0)</f>
        <v>0</v>
      </c>
      <c r="DC51" s="7" t="str">
        <f>VLOOKUP(C51,listaBolsa!$D$2:$BA$1248,10,0)</f>
        <v>MUNDO HUEVO</v>
      </c>
      <c r="DD51" s="7">
        <f>VLOOKUP(C51,listaBolsa!$D$2:$BA$1248,14,0)</f>
        <v>19663.87</v>
      </c>
      <c r="DE51" s="7" t="str">
        <f>VLOOKUP(C51,listaBolsa!$D$2:$BA$1248,23,0)</f>
        <v>TALSA</v>
      </c>
      <c r="DF51" s="7">
        <f>VLOOKUP(C51,listaBolsa!$D$2:$BA$1248,29,0)</f>
        <v>24463</v>
      </c>
      <c r="DG51" s="7" t="str">
        <f>VLOOKUP(C51,listaBolsa!$D$2:$BA$1248,36,0)</f>
        <v>TECNOLOGIA Y SUMINSTROS TESUMA</v>
      </c>
      <c r="DH51" s="7">
        <f>VLOOKUP(C51,listaBolsa!$D$2:$BA$1248,40,0)</f>
        <v>18487.39</v>
      </c>
      <c r="DI51" s="253">
        <f>VLOOKUP(C51,listaBolsa!$D$2:$BA$1248,48,0)</f>
        <v>5.2999999999999999E-2</v>
      </c>
      <c r="DJ51" s="7" t="b">
        <f t="shared" si="34"/>
        <v>1</v>
      </c>
      <c r="DK51" s="7" t="b">
        <f t="shared" si="35"/>
        <v>0</v>
      </c>
      <c r="DL51" s="7" t="b">
        <f t="shared" si="36"/>
        <v>1</v>
      </c>
      <c r="DM51" s="7" t="b">
        <f t="shared" si="37"/>
        <v>0</v>
      </c>
      <c r="DN51" s="7" t="b">
        <f t="shared" si="38"/>
        <v>1</v>
      </c>
      <c r="DO51" s="7" t="b">
        <f t="shared" si="39"/>
        <v>0</v>
      </c>
      <c r="DP51" s="7" t="b">
        <f t="shared" si="40"/>
        <v>1</v>
      </c>
      <c r="DQ51" s="7" t="b">
        <f t="shared" si="41"/>
        <v>0</v>
      </c>
      <c r="DR51" s="7" t="b">
        <f t="shared" si="42"/>
        <v>0</v>
      </c>
    </row>
    <row r="52" spans="1:122" s="7" customFormat="1" ht="105" customHeight="1">
      <c r="A52" s="75">
        <v>41</v>
      </c>
      <c r="B52" s="251" t="s">
        <v>309</v>
      </c>
      <c r="C52" s="95" t="s">
        <v>321</v>
      </c>
      <c r="D52" s="186" t="s">
        <v>322</v>
      </c>
      <c r="E52" s="111" t="s">
        <v>191</v>
      </c>
      <c r="F52" s="112">
        <v>6</v>
      </c>
      <c r="G52" s="75" t="s">
        <v>192</v>
      </c>
      <c r="H52" s="106" t="s">
        <v>323</v>
      </c>
      <c r="I52" s="107">
        <v>16806.722689075628</v>
      </c>
      <c r="J52" s="96">
        <f t="shared" si="43"/>
        <v>3193.2773109243694</v>
      </c>
      <c r="K52" s="96">
        <f t="shared" si="44"/>
        <v>19999.999999999996</v>
      </c>
      <c r="L52" s="96">
        <f t="shared" si="45"/>
        <v>100840.33613445377</v>
      </c>
      <c r="M52" s="96">
        <f t="shared" si="46"/>
        <v>119999.99999999997</v>
      </c>
      <c r="N52" s="108" t="s">
        <v>324</v>
      </c>
      <c r="O52" s="109">
        <v>17647.058823529409</v>
      </c>
      <c r="P52" s="110">
        <f t="shared" si="29"/>
        <v>3352.9411764705878</v>
      </c>
      <c r="Q52" s="110">
        <f t="shared" si="30"/>
        <v>20999.999999999996</v>
      </c>
      <c r="R52" s="110">
        <f t="shared" si="31"/>
        <v>105882.35294117645</v>
      </c>
      <c r="S52" s="110">
        <f t="shared" si="32"/>
        <v>125999.99999999997</v>
      </c>
      <c r="T52" s="97" t="s">
        <v>317</v>
      </c>
      <c r="U52" s="98">
        <v>17647.058823529409</v>
      </c>
      <c r="V52" s="99">
        <f t="shared" si="47"/>
        <v>3352.9411764705878</v>
      </c>
      <c r="W52" s="99">
        <f t="shared" si="48"/>
        <v>20999.999999999996</v>
      </c>
      <c r="X52" s="99">
        <f t="shared" si="49"/>
        <v>105882.35294117645</v>
      </c>
      <c r="Y52" s="99">
        <f t="shared" si="50"/>
        <v>125999.99999999997</v>
      </c>
      <c r="Z52" s="100">
        <f t="shared" si="51"/>
        <v>20666.666666666661</v>
      </c>
      <c r="AA52" s="100">
        <f t="shared" si="52"/>
        <v>123999.99999999997</v>
      </c>
      <c r="AB52" s="78">
        <f t="shared" si="53"/>
        <v>3464.1016151377548</v>
      </c>
      <c r="AC52" s="102">
        <f t="shared" si="33"/>
        <v>2.7936303347885126E-2</v>
      </c>
      <c r="AD52" s="5"/>
      <c r="AE52" s="7" t="s">
        <v>1053</v>
      </c>
      <c r="AF52" s="7" t="str">
        <f>VLOOKUP(C52,Estudio_Mercado_Ori!$C$12:$AH$1115,32,0)</f>
        <v>41PROCEDAS</v>
      </c>
      <c r="BG52" s="7">
        <v>54</v>
      </c>
      <c r="DA52" s="7" t="str">
        <f>VLOOKUP(C52,listaBolsa!$D$2:$BA$1248,1,0)</f>
        <v>Colorantes</v>
      </c>
      <c r="DB52" s="7">
        <f>VLOOKUP(C52,listaBolsa!$D$2:$BA$1248,2,0)</f>
        <v>0</v>
      </c>
      <c r="DC52" s="7" t="str">
        <f>VLOOKUP(C52,listaBolsa!$D$2:$BA$1248,10,0)</f>
        <v>DEW GENIAL</v>
      </c>
      <c r="DD52" s="7">
        <f>VLOOKUP(C52,listaBolsa!$D$2:$BA$1248,14,0)</f>
        <v>16806.72</v>
      </c>
      <c r="DE52" s="7" t="str">
        <f>VLOOKUP(C52,listaBolsa!$D$2:$BA$1248,23,0)</f>
        <v>TIENDA DEL CHOCOLATE</v>
      </c>
      <c r="DF52" s="7">
        <f>VLOOKUP(C52,listaBolsa!$D$2:$BA$1248,29,0)</f>
        <v>21000</v>
      </c>
      <c r="DG52" s="7" t="str">
        <f>VLOOKUP(C52,listaBolsa!$D$2:$BA$1248,36,0)</f>
        <v>MUNDO HUEVO</v>
      </c>
      <c r="DH52" s="7">
        <f>VLOOKUP(C52,listaBolsa!$D$2:$BA$1248,40,0)</f>
        <v>17647.060000000001</v>
      </c>
      <c r="DI52" s="253">
        <f>VLOOKUP(C52,listaBolsa!$D$2:$BA$1248,48,0)</f>
        <v>2.7900000000000001E-2</v>
      </c>
      <c r="DJ52" s="7" t="b">
        <f t="shared" si="34"/>
        <v>1</v>
      </c>
      <c r="DK52" s="7" t="b">
        <f t="shared" si="35"/>
        <v>0</v>
      </c>
      <c r="DL52" s="7" t="b">
        <f t="shared" si="36"/>
        <v>1</v>
      </c>
      <c r="DM52" s="7" t="b">
        <f t="shared" si="37"/>
        <v>0</v>
      </c>
      <c r="DN52" s="7" t="b">
        <f t="shared" si="38"/>
        <v>1</v>
      </c>
      <c r="DO52" s="7" t="b">
        <f t="shared" si="39"/>
        <v>0</v>
      </c>
      <c r="DP52" s="7" t="b">
        <f t="shared" si="40"/>
        <v>1</v>
      </c>
      <c r="DQ52" s="7" t="b">
        <f t="shared" si="41"/>
        <v>0</v>
      </c>
      <c r="DR52" s="7" t="b">
        <f t="shared" si="42"/>
        <v>0</v>
      </c>
    </row>
    <row r="53" spans="1:122" s="7" customFormat="1" ht="105" customHeight="1">
      <c r="A53" s="75">
        <v>42</v>
      </c>
      <c r="B53" s="251" t="s">
        <v>309</v>
      </c>
      <c r="C53" s="95" t="s">
        <v>326</v>
      </c>
      <c r="D53" s="186" t="s">
        <v>327</v>
      </c>
      <c r="E53" s="111" t="s">
        <v>191</v>
      </c>
      <c r="F53" s="112">
        <v>60</v>
      </c>
      <c r="G53" s="75" t="s">
        <v>192</v>
      </c>
      <c r="H53" s="106" t="s">
        <v>328</v>
      </c>
      <c r="I53" s="107">
        <v>10084.033613445379</v>
      </c>
      <c r="J53" s="96">
        <f t="shared" si="43"/>
        <v>1915.966386554622</v>
      </c>
      <c r="K53" s="96">
        <f t="shared" si="44"/>
        <v>12000.000000000002</v>
      </c>
      <c r="L53" s="96">
        <f t="shared" si="45"/>
        <v>605042.01680672274</v>
      </c>
      <c r="M53" s="96">
        <f t="shared" si="46"/>
        <v>720000.00000000012</v>
      </c>
      <c r="N53" s="108" t="s">
        <v>245</v>
      </c>
      <c r="O53" s="109">
        <v>10000</v>
      </c>
      <c r="P53" s="110">
        <f t="shared" si="29"/>
        <v>1900</v>
      </c>
      <c r="Q53" s="110">
        <f t="shared" si="30"/>
        <v>11900</v>
      </c>
      <c r="R53" s="110">
        <f t="shared" si="31"/>
        <v>600000</v>
      </c>
      <c r="S53" s="110">
        <f t="shared" si="32"/>
        <v>714000</v>
      </c>
      <c r="T53" s="97" t="s">
        <v>329</v>
      </c>
      <c r="U53" s="98">
        <v>10924.36974789916</v>
      </c>
      <c r="V53" s="99">
        <f t="shared" si="47"/>
        <v>2075.6302521008406</v>
      </c>
      <c r="W53" s="99">
        <f t="shared" si="48"/>
        <v>13000</v>
      </c>
      <c r="X53" s="99">
        <f t="shared" si="49"/>
        <v>655462.18487394962</v>
      </c>
      <c r="Y53" s="99">
        <f t="shared" si="50"/>
        <v>780000</v>
      </c>
      <c r="Z53" s="100">
        <f t="shared" si="51"/>
        <v>12300</v>
      </c>
      <c r="AA53" s="100">
        <f t="shared" si="52"/>
        <v>738000</v>
      </c>
      <c r="AB53" s="78">
        <f t="shared" si="53"/>
        <v>36496.575181789289</v>
      </c>
      <c r="AC53" s="102">
        <f t="shared" si="33"/>
        <v>4.9453353904863537E-2</v>
      </c>
      <c r="AD53" s="5"/>
      <c r="AE53" s="7" t="s">
        <v>1053</v>
      </c>
      <c r="AF53" s="7" t="str">
        <f>VLOOKUP(C53,Estudio_Mercado_Ori!$C$12:$AH$1115,32,0)</f>
        <v>42PROCEDAS</v>
      </c>
      <c r="BG53" s="7">
        <v>56</v>
      </c>
      <c r="DA53" s="7" t="str">
        <f>VLOOKUP(C53,listaBolsa!$D$2:$BA$1248,1,0)</f>
        <v>Agua destilada</v>
      </c>
      <c r="DB53" s="7">
        <f>VLOOKUP(C53,listaBolsa!$D$2:$BA$1248,2,0)</f>
        <v>0</v>
      </c>
      <c r="DC53" s="7" t="str">
        <f>VLOOKUP(C53,listaBolsa!$D$2:$BA$1248,10,0)</f>
        <v>LA CASA DEL CIENTIFICO</v>
      </c>
      <c r="DD53" s="7">
        <f>VLOOKUP(C53,listaBolsa!$D$2:$BA$1248,14,0)</f>
        <v>10084.030000000001</v>
      </c>
      <c r="DE53" s="7" t="str">
        <f>VLOOKUP(C53,listaBolsa!$D$2:$BA$1248,23,0)</f>
        <v>CONADES</v>
      </c>
      <c r="DF53" s="7">
        <f>VLOOKUP(C53,listaBolsa!$D$2:$BA$1248,29,0)</f>
        <v>11900</v>
      </c>
      <c r="DG53" s="7" t="str">
        <f>VLOOKUP(C53,listaBolsa!$D$2:$BA$1248,36,0)</f>
        <v>ASENIX</v>
      </c>
      <c r="DH53" s="7">
        <f>VLOOKUP(C53,listaBolsa!$D$2:$BA$1248,40,0)</f>
        <v>10924.37</v>
      </c>
      <c r="DI53" s="253">
        <f>VLOOKUP(C53,listaBolsa!$D$2:$BA$1248,48,0)</f>
        <v>4.9500000000000002E-2</v>
      </c>
      <c r="DJ53" s="7" t="b">
        <f t="shared" si="34"/>
        <v>1</v>
      </c>
      <c r="DK53" s="7" t="b">
        <f t="shared" si="35"/>
        <v>0</v>
      </c>
      <c r="DL53" s="7" t="b">
        <f t="shared" si="36"/>
        <v>1</v>
      </c>
      <c r="DM53" s="7" t="b">
        <f t="shared" si="37"/>
        <v>0</v>
      </c>
      <c r="DN53" s="7" t="b">
        <f t="shared" si="38"/>
        <v>1</v>
      </c>
      <c r="DO53" s="7" t="b">
        <f t="shared" si="39"/>
        <v>0</v>
      </c>
      <c r="DP53" s="7" t="b">
        <f t="shared" si="40"/>
        <v>1</v>
      </c>
      <c r="DQ53" s="7" t="b">
        <f t="shared" si="41"/>
        <v>0</v>
      </c>
      <c r="DR53" s="7" t="b">
        <f t="shared" si="42"/>
        <v>0</v>
      </c>
    </row>
    <row r="54" spans="1:122" s="7" customFormat="1" ht="105" customHeight="1">
      <c r="A54" s="75">
        <v>43</v>
      </c>
      <c r="B54" s="251" t="s">
        <v>309</v>
      </c>
      <c r="C54" s="95" t="s">
        <v>331</v>
      </c>
      <c r="D54" s="186" t="s">
        <v>332</v>
      </c>
      <c r="E54" s="111" t="s">
        <v>191</v>
      </c>
      <c r="F54" s="112">
        <v>2</v>
      </c>
      <c r="G54" s="75" t="s">
        <v>192</v>
      </c>
      <c r="H54" s="391" t="s">
        <v>1058</v>
      </c>
      <c r="I54" s="331">
        <v>27731.09</v>
      </c>
      <c r="J54" s="96">
        <f t="shared" si="43"/>
        <v>5268.9071000000004</v>
      </c>
      <c r="K54" s="96">
        <f t="shared" si="44"/>
        <v>32999.997100000001</v>
      </c>
      <c r="L54" s="96">
        <f t="shared" si="45"/>
        <v>55462.18</v>
      </c>
      <c r="M54" s="96">
        <f t="shared" si="46"/>
        <v>65999.994200000001</v>
      </c>
      <c r="N54" s="277" t="s">
        <v>1059</v>
      </c>
      <c r="O54" s="332">
        <v>23529.41</v>
      </c>
      <c r="P54" s="110">
        <f t="shared" si="29"/>
        <v>4470.5879000000004</v>
      </c>
      <c r="Q54" s="110">
        <f t="shared" si="30"/>
        <v>27999.997900000002</v>
      </c>
      <c r="R54" s="110">
        <f t="shared" si="31"/>
        <v>47058.82</v>
      </c>
      <c r="S54" s="110">
        <f t="shared" si="32"/>
        <v>55999.995800000004</v>
      </c>
      <c r="T54" s="412" t="s">
        <v>1060</v>
      </c>
      <c r="U54" s="333">
        <v>23949.58</v>
      </c>
      <c r="V54" s="99">
        <f t="shared" si="47"/>
        <v>4550.4202000000005</v>
      </c>
      <c r="W54" s="99">
        <f t="shared" si="48"/>
        <v>28500.000200000002</v>
      </c>
      <c r="X54" s="99">
        <f t="shared" si="49"/>
        <v>47899.16</v>
      </c>
      <c r="Y54" s="99">
        <f t="shared" si="50"/>
        <v>57000.000400000004</v>
      </c>
      <c r="Z54" s="100">
        <f t="shared" si="51"/>
        <v>29833.331733333336</v>
      </c>
      <c r="AA54" s="100">
        <f t="shared" si="52"/>
        <v>59666.663466666672</v>
      </c>
      <c r="AB54" s="78">
        <f t="shared" si="53"/>
        <v>5507.5685137221553</v>
      </c>
      <c r="AC54" s="102">
        <f t="shared" si="33"/>
        <v>9.2305622498885145E-2</v>
      </c>
      <c r="AD54" s="5"/>
      <c r="AE54" s="334" t="s">
        <v>1047</v>
      </c>
      <c r="AF54" s="7" t="str">
        <f>VLOOKUP(C54,Estudio_Mercado_Ori!$C$12:$AH$1115,32,0)</f>
        <v>43PROCEDAS</v>
      </c>
      <c r="BG54" s="7">
        <v>57</v>
      </c>
      <c r="DA54" s="7" t="str">
        <f>VLOOKUP(C54,listaBolsa!$D$2:$BA$1248,1,0)</f>
        <v>Jabón biodegradable</v>
      </c>
      <c r="DB54" s="7">
        <f>VLOOKUP(C54,listaBolsa!$D$2:$BA$1248,2,0)</f>
        <v>0</v>
      </c>
      <c r="DC54" s="7" t="str">
        <f>VLOOKUP(C54,listaBolsa!$D$2:$BA$1248,10,0)</f>
        <v>AVANCE ORGANIZACIONAL CONSULTORES SAS</v>
      </c>
      <c r="DD54" s="7">
        <f>VLOOKUP(C54,listaBolsa!$D$2:$BA$1248,14,0)</f>
        <v>82000</v>
      </c>
      <c r="DE54" s="7" t="str">
        <f>VLOOKUP(C54,listaBolsa!$D$2:$BA$1248,23,0)</f>
        <v>SIDED</v>
      </c>
      <c r="DF54" s="7">
        <f>VLOOKUP(C54,listaBolsa!$D$2:$BA$1248,29,0)</f>
        <v>97580</v>
      </c>
      <c r="DG54" s="7" t="str">
        <f>VLOOKUP(C54,listaBolsa!$D$2:$BA$1248,36,0)</f>
        <v>HOMECENTER</v>
      </c>
      <c r="DH54" s="7">
        <f>VLOOKUP(C54,listaBolsa!$D$2:$BA$1248,40,0)</f>
        <v>83949.58</v>
      </c>
      <c r="DI54" s="253">
        <f>VLOOKUP(C54,listaBolsa!$D$2:$BA$1248,48,0)</f>
        <v>1.3599999999999999E-2</v>
      </c>
      <c r="DJ54" s="7" t="b">
        <f t="shared" si="34"/>
        <v>1</v>
      </c>
      <c r="DK54" s="7" t="b">
        <f t="shared" si="35"/>
        <v>0</v>
      </c>
      <c r="DL54" s="7" t="b">
        <f t="shared" si="36"/>
        <v>0</v>
      </c>
      <c r="DM54" s="7" t="b">
        <f t="shared" si="37"/>
        <v>0</v>
      </c>
      <c r="DN54" s="7" t="b">
        <f t="shared" si="38"/>
        <v>0</v>
      </c>
      <c r="DO54" s="7" t="b">
        <f t="shared" si="39"/>
        <v>0</v>
      </c>
      <c r="DP54" s="7" t="b">
        <f t="shared" si="40"/>
        <v>0</v>
      </c>
      <c r="DQ54" s="7" t="b">
        <f t="shared" si="41"/>
        <v>0</v>
      </c>
      <c r="DR54" s="7" t="b">
        <f t="shared" si="42"/>
        <v>0</v>
      </c>
    </row>
    <row r="55" spans="1:122" s="7" customFormat="1" ht="105" customHeight="1">
      <c r="A55" s="75">
        <v>44</v>
      </c>
      <c r="B55" s="251" t="s">
        <v>309</v>
      </c>
      <c r="C55" s="95" t="s">
        <v>334</v>
      </c>
      <c r="D55" s="186" t="s">
        <v>335</v>
      </c>
      <c r="E55" s="111" t="s">
        <v>191</v>
      </c>
      <c r="F55" s="112">
        <v>15</v>
      </c>
      <c r="G55" s="75" t="s">
        <v>192</v>
      </c>
      <c r="H55" s="106" t="s">
        <v>336</v>
      </c>
      <c r="I55" s="107">
        <v>5000</v>
      </c>
      <c r="J55" s="96">
        <f t="shared" si="43"/>
        <v>950</v>
      </c>
      <c r="K55" s="96">
        <f t="shared" si="44"/>
        <v>5950</v>
      </c>
      <c r="L55" s="96">
        <f t="shared" si="45"/>
        <v>75000</v>
      </c>
      <c r="M55" s="96">
        <f t="shared" si="46"/>
        <v>89250</v>
      </c>
      <c r="N55" s="108" t="s">
        <v>337</v>
      </c>
      <c r="O55" s="109">
        <v>4697.4789915966376</v>
      </c>
      <c r="P55" s="110">
        <f t="shared" si="29"/>
        <v>892.52100840336118</v>
      </c>
      <c r="Q55" s="110">
        <f t="shared" si="30"/>
        <v>5589.9999999999991</v>
      </c>
      <c r="R55" s="110">
        <f t="shared" si="31"/>
        <v>70462.184873949562</v>
      </c>
      <c r="S55" s="110">
        <f t="shared" si="32"/>
        <v>83849.999999999985</v>
      </c>
      <c r="T55" s="97" t="s">
        <v>338</v>
      </c>
      <c r="U55" s="98">
        <v>6090</v>
      </c>
      <c r="V55" s="99">
        <f t="shared" si="47"/>
        <v>1157.0999999999999</v>
      </c>
      <c r="W55" s="99">
        <f t="shared" si="48"/>
        <v>7247.1</v>
      </c>
      <c r="X55" s="99">
        <f t="shared" si="49"/>
        <v>91350</v>
      </c>
      <c r="Y55" s="99">
        <f t="shared" si="50"/>
        <v>108706.5</v>
      </c>
      <c r="Z55" s="100">
        <f t="shared" si="51"/>
        <v>6262.3666666666659</v>
      </c>
      <c r="AA55" s="100">
        <f t="shared" si="52"/>
        <v>93935.499999999985</v>
      </c>
      <c r="AB55" s="78">
        <f t="shared" si="53"/>
        <v>13073.898835083515</v>
      </c>
      <c r="AC55" s="102">
        <f t="shared" si="33"/>
        <v>0.13917953100886796</v>
      </c>
      <c r="AD55" s="5"/>
      <c r="AE55" s="7" t="s">
        <v>1053</v>
      </c>
      <c r="AF55" s="7" t="str">
        <f>VLOOKUP(C55,Estudio_Mercado_Ori!$C$12:$AH$1115,32,0)</f>
        <v>44PROCEDAS</v>
      </c>
      <c r="BG55" s="7">
        <v>58</v>
      </c>
      <c r="DA55" s="7" t="str">
        <f>VLOOKUP(C55,listaBolsa!$D$2:$BA$1248,1,0)</f>
        <v>Vinagre blanco</v>
      </c>
      <c r="DB55" s="7">
        <f>VLOOKUP(C55,listaBolsa!$D$2:$BA$1248,2,0)</f>
        <v>0</v>
      </c>
      <c r="DC55" s="7" t="str">
        <f>VLOOKUP(C55,listaBolsa!$D$2:$BA$1248,10,0)</f>
        <v>MERCADONCASA</v>
      </c>
      <c r="DD55" s="7">
        <f>VLOOKUP(C55,listaBolsa!$D$2:$BA$1248,14,0)</f>
        <v>5000</v>
      </c>
      <c r="DE55" s="7" t="str">
        <f>VLOOKUP(C55,listaBolsa!$D$2:$BA$1248,23,0)</f>
        <v>CARULLA</v>
      </c>
      <c r="DF55" s="7">
        <f>VLOOKUP(C55,listaBolsa!$D$2:$BA$1248,29,0)</f>
        <v>5590</v>
      </c>
      <c r="DG55" s="7" t="str">
        <f>VLOOKUP(C55,listaBolsa!$D$2:$BA$1248,36,0)</f>
        <v>SUPERMERCADOEURO</v>
      </c>
      <c r="DH55" s="7">
        <f>VLOOKUP(C55,listaBolsa!$D$2:$BA$1248,40,0)</f>
        <v>6090</v>
      </c>
      <c r="DI55" s="253">
        <f>VLOOKUP(C55,listaBolsa!$D$2:$BA$1248,48,0)</f>
        <v>0.13919999999999999</v>
      </c>
      <c r="DJ55" s="7" t="b">
        <f t="shared" si="34"/>
        <v>1</v>
      </c>
      <c r="DK55" s="7" t="b">
        <f t="shared" si="35"/>
        <v>0</v>
      </c>
      <c r="DL55" s="7" t="b">
        <f t="shared" si="36"/>
        <v>1</v>
      </c>
      <c r="DM55" s="7" t="b">
        <f t="shared" si="37"/>
        <v>1</v>
      </c>
      <c r="DN55" s="7" t="b">
        <f t="shared" si="38"/>
        <v>1</v>
      </c>
      <c r="DO55" s="7" t="b">
        <f t="shared" si="39"/>
        <v>0</v>
      </c>
      <c r="DP55" s="7" t="b">
        <f t="shared" si="40"/>
        <v>1</v>
      </c>
      <c r="DQ55" s="7" t="b">
        <f t="shared" si="41"/>
        <v>1</v>
      </c>
      <c r="DR55" s="7" t="b">
        <f t="shared" si="42"/>
        <v>0</v>
      </c>
    </row>
    <row r="56" spans="1:122" s="7" customFormat="1" ht="105" customHeight="1">
      <c r="A56" s="75">
        <v>45</v>
      </c>
      <c r="B56" s="251" t="s">
        <v>309</v>
      </c>
      <c r="C56" s="186" t="s">
        <v>340</v>
      </c>
      <c r="D56" s="186" t="s">
        <v>340</v>
      </c>
      <c r="E56" s="111" t="s">
        <v>191</v>
      </c>
      <c r="F56" s="112">
        <v>81</v>
      </c>
      <c r="G56" s="75" t="s">
        <v>192</v>
      </c>
      <c r="H56" s="106" t="s">
        <v>341</v>
      </c>
      <c r="I56" s="107">
        <v>15966.386554621849</v>
      </c>
      <c r="J56" s="96">
        <f t="shared" si="43"/>
        <v>3033.6134453781515</v>
      </c>
      <c r="K56" s="96">
        <f t="shared" si="44"/>
        <v>19000</v>
      </c>
      <c r="L56" s="96">
        <f t="shared" si="45"/>
        <v>1293277.3109243698</v>
      </c>
      <c r="M56" s="96">
        <f t="shared" si="46"/>
        <v>1539000</v>
      </c>
      <c r="N56" s="108" t="s">
        <v>194</v>
      </c>
      <c r="O56" s="109">
        <v>15000</v>
      </c>
      <c r="P56" s="110">
        <f t="shared" si="29"/>
        <v>2850</v>
      </c>
      <c r="Q56" s="110">
        <f t="shared" si="30"/>
        <v>17850</v>
      </c>
      <c r="R56" s="110">
        <f t="shared" si="31"/>
        <v>1215000</v>
      </c>
      <c r="S56" s="110">
        <f t="shared" si="32"/>
        <v>1445850</v>
      </c>
      <c r="T56" s="97" t="s">
        <v>342</v>
      </c>
      <c r="U56" s="98">
        <v>13361.344537815126</v>
      </c>
      <c r="V56" s="99">
        <f t="shared" si="47"/>
        <v>2538.6554621848741</v>
      </c>
      <c r="W56" s="99">
        <f t="shared" si="48"/>
        <v>15900</v>
      </c>
      <c r="X56" s="99">
        <f t="shared" si="49"/>
        <v>1082268.9075630251</v>
      </c>
      <c r="Y56" s="99">
        <f t="shared" si="50"/>
        <v>1287900</v>
      </c>
      <c r="Z56" s="100">
        <f t="shared" si="51"/>
        <v>17583.333333333332</v>
      </c>
      <c r="AA56" s="100">
        <f t="shared" si="52"/>
        <v>1424250</v>
      </c>
      <c r="AB56" s="78">
        <f t="shared" si="53"/>
        <v>126935.89917749824</v>
      </c>
      <c r="AC56" s="102">
        <f t="shared" si="33"/>
        <v>8.912473173775548E-2</v>
      </c>
      <c r="AD56" s="5"/>
      <c r="AF56" s="7" t="str">
        <f>VLOOKUP(C56,Estudio_Mercado_Ori!$C$12:$AH$1115,32,0)</f>
        <v>45PROCEDAS</v>
      </c>
      <c r="BG56" s="7">
        <v>59</v>
      </c>
      <c r="DA56" s="7" t="e">
        <f>VLOOKUP(C56,listaBolsa!$D$2:$BA$1248,1,0)</f>
        <v>#N/A</v>
      </c>
      <c r="DB56" s="7" t="e">
        <f>VLOOKUP(C56,listaBolsa!$D$2:$BA$1248,2,0)</f>
        <v>#N/A</v>
      </c>
      <c r="DC56" s="7" t="e">
        <f>VLOOKUP(C56,listaBolsa!$D$2:$BA$1248,10,0)</f>
        <v>#N/A</v>
      </c>
      <c r="DD56" s="7" t="e">
        <f>VLOOKUP(C56,listaBolsa!$D$2:$BA$1248,14,0)</f>
        <v>#N/A</v>
      </c>
      <c r="DE56" s="7" t="e">
        <f>VLOOKUP(C56,listaBolsa!$D$2:$BA$1248,23,0)</f>
        <v>#N/A</v>
      </c>
      <c r="DF56" s="7" t="e">
        <f>VLOOKUP(C56,listaBolsa!$D$2:$BA$1248,29,0)</f>
        <v>#N/A</v>
      </c>
      <c r="DG56" s="7" t="e">
        <f>VLOOKUP(C56,listaBolsa!$D$2:$BA$1248,36,0)</f>
        <v>#N/A</v>
      </c>
      <c r="DH56" s="7" t="e">
        <f>VLOOKUP(C56,listaBolsa!$D$2:$BA$1248,40,0)</f>
        <v>#N/A</v>
      </c>
      <c r="DI56" s="252" t="e">
        <f>VLOOKUP(C56,listaBolsa!$D$2:$BA$1248,48,0)</f>
        <v>#N/A</v>
      </c>
      <c r="DJ56" s="7" t="e">
        <f t="shared" si="34"/>
        <v>#N/A</v>
      </c>
      <c r="DK56" s="7" t="e">
        <f t="shared" si="35"/>
        <v>#N/A</v>
      </c>
      <c r="DL56" s="7" t="e">
        <f t="shared" si="36"/>
        <v>#N/A</v>
      </c>
      <c r="DM56" s="7" t="e">
        <f t="shared" si="37"/>
        <v>#N/A</v>
      </c>
      <c r="DN56" s="7" t="e">
        <f t="shared" si="38"/>
        <v>#N/A</v>
      </c>
      <c r="DO56" s="7" t="e">
        <f t="shared" si="39"/>
        <v>#N/A</v>
      </c>
      <c r="DP56" s="7" t="e">
        <f t="shared" si="40"/>
        <v>#N/A</v>
      </c>
      <c r="DQ56" s="7" t="e">
        <f t="shared" si="41"/>
        <v>#N/A</v>
      </c>
      <c r="DR56" s="7" t="e">
        <f t="shared" si="42"/>
        <v>#N/A</v>
      </c>
    </row>
    <row r="57" spans="1:122" s="7" customFormat="1" ht="105" customHeight="1">
      <c r="A57" s="75">
        <v>46</v>
      </c>
      <c r="B57" s="251" t="s">
        <v>309</v>
      </c>
      <c r="C57" s="95" t="s">
        <v>344</v>
      </c>
      <c r="D57" s="186" t="s">
        <v>345</v>
      </c>
      <c r="E57" s="111" t="s">
        <v>191</v>
      </c>
      <c r="F57" s="112">
        <v>3</v>
      </c>
      <c r="G57" s="75" t="s">
        <v>192</v>
      </c>
      <c r="H57" s="106" t="s">
        <v>193</v>
      </c>
      <c r="I57" s="107">
        <v>15000</v>
      </c>
      <c r="J57" s="96">
        <f t="shared" si="43"/>
        <v>2850</v>
      </c>
      <c r="K57" s="96">
        <f t="shared" si="44"/>
        <v>17850</v>
      </c>
      <c r="L57" s="96">
        <f t="shared" si="45"/>
        <v>45000</v>
      </c>
      <c r="M57" s="96">
        <f t="shared" si="46"/>
        <v>53550</v>
      </c>
      <c r="N57" s="108" t="s">
        <v>194</v>
      </c>
      <c r="O57" s="109">
        <v>15000</v>
      </c>
      <c r="P57" s="110">
        <f t="shared" si="29"/>
        <v>2850</v>
      </c>
      <c r="Q57" s="110">
        <f t="shared" si="30"/>
        <v>17850</v>
      </c>
      <c r="R57" s="110">
        <f t="shared" si="31"/>
        <v>45000</v>
      </c>
      <c r="S57" s="110">
        <f t="shared" si="32"/>
        <v>53550</v>
      </c>
      <c r="T57" s="97" t="s">
        <v>346</v>
      </c>
      <c r="U57" s="98">
        <v>11893.27731092437</v>
      </c>
      <c r="V57" s="99">
        <f t="shared" si="47"/>
        <v>2259.7226890756301</v>
      </c>
      <c r="W57" s="99">
        <f t="shared" si="48"/>
        <v>14153</v>
      </c>
      <c r="X57" s="99">
        <f t="shared" si="49"/>
        <v>35679.831932773108</v>
      </c>
      <c r="Y57" s="99">
        <f t="shared" si="50"/>
        <v>42459</v>
      </c>
      <c r="Z57" s="100">
        <f t="shared" si="51"/>
        <v>16617.666666666668</v>
      </c>
      <c r="AA57" s="100">
        <f t="shared" si="52"/>
        <v>49853</v>
      </c>
      <c r="AB57" s="78">
        <f t="shared" si="53"/>
        <v>6403.3918355821397</v>
      </c>
      <c r="AC57" s="102">
        <f t="shared" si="33"/>
        <v>0.12844546638280824</v>
      </c>
      <c r="AD57" s="5"/>
      <c r="AE57" s="7" t="s">
        <v>1053</v>
      </c>
      <c r="AF57" s="7" t="str">
        <f>VLOOKUP(C57,Estudio_Mercado_Ori!$C$12:$AH$1115,32,0)</f>
        <v>46PROCEDAS</v>
      </c>
      <c r="BG57" s="7">
        <v>60</v>
      </c>
      <c r="DA57" s="7" t="str">
        <f>VLOOKUP(C57,listaBolsa!$D$2:$BA$1248,1,0)</f>
        <v>Alcohol</v>
      </c>
      <c r="DB57" s="7">
        <f>VLOOKUP(C57,listaBolsa!$D$2:$BA$1248,2,0)</f>
        <v>0</v>
      </c>
      <c r="DC57" s="7" t="str">
        <f>VLOOKUP(C57,listaBolsa!$D$2:$BA$1248,10,0)</f>
        <v>AVANCE ORGANIZACIONAL CONSULTORES SAS</v>
      </c>
      <c r="DD57" s="7">
        <f>VLOOKUP(C57,listaBolsa!$D$2:$BA$1248,14,0)</f>
        <v>15000</v>
      </c>
      <c r="DE57" s="7" t="str">
        <f>VLOOKUP(C57,listaBolsa!$D$2:$BA$1248,23,0)</f>
        <v>SIDED</v>
      </c>
      <c r="DF57" s="7">
        <f>VLOOKUP(C57,listaBolsa!$D$2:$BA$1248,29,0)</f>
        <v>17850</v>
      </c>
      <c r="DG57" s="7" t="str">
        <f>VLOOKUP(C57,listaBolsa!$D$2:$BA$1248,36,0)</f>
        <v>DROGUERIA PASTEUR</v>
      </c>
      <c r="DH57" s="7">
        <f>VLOOKUP(C57,listaBolsa!$D$2:$BA$1248,40,0)</f>
        <v>11893.28</v>
      </c>
      <c r="DI57" s="253">
        <f>VLOOKUP(C57,listaBolsa!$D$2:$BA$1248,48,0)</f>
        <v>0.12839999999999999</v>
      </c>
      <c r="DJ57" s="7" t="b">
        <f t="shared" si="34"/>
        <v>1</v>
      </c>
      <c r="DK57" s="7" t="b">
        <f t="shared" si="35"/>
        <v>0</v>
      </c>
      <c r="DL57" s="7" t="b">
        <f t="shared" si="36"/>
        <v>1</v>
      </c>
      <c r="DM57" s="7" t="b">
        <f t="shared" si="37"/>
        <v>1</v>
      </c>
      <c r="DN57" s="7" t="b">
        <f t="shared" si="38"/>
        <v>1</v>
      </c>
      <c r="DO57" s="7" t="b">
        <f t="shared" si="39"/>
        <v>0</v>
      </c>
      <c r="DP57" s="7" t="b">
        <f t="shared" si="40"/>
        <v>1</v>
      </c>
      <c r="DQ57" s="7" t="b">
        <f t="shared" si="41"/>
        <v>0</v>
      </c>
      <c r="DR57" s="7" t="b">
        <f t="shared" si="42"/>
        <v>0</v>
      </c>
    </row>
    <row r="58" spans="1:122" s="7" customFormat="1" ht="105" customHeight="1">
      <c r="A58" s="75">
        <v>47</v>
      </c>
      <c r="B58" s="251" t="s">
        <v>309</v>
      </c>
      <c r="C58" s="95" t="s">
        <v>348</v>
      </c>
      <c r="D58" s="186" t="s">
        <v>349</v>
      </c>
      <c r="E58" s="111" t="s">
        <v>191</v>
      </c>
      <c r="F58" s="112">
        <v>150</v>
      </c>
      <c r="G58" s="75" t="s">
        <v>192</v>
      </c>
      <c r="H58" s="106" t="s">
        <v>350</v>
      </c>
      <c r="I58" s="107">
        <v>469</v>
      </c>
      <c r="J58" s="96">
        <f t="shared" si="43"/>
        <v>89.11</v>
      </c>
      <c r="K58" s="96">
        <f t="shared" si="44"/>
        <v>558.11</v>
      </c>
      <c r="L58" s="96">
        <f t="shared" si="45"/>
        <v>70350</v>
      </c>
      <c r="M58" s="96">
        <f t="shared" si="46"/>
        <v>83716.5</v>
      </c>
      <c r="N58" s="108" t="s">
        <v>351</v>
      </c>
      <c r="O58" s="109">
        <v>364.70588235294122</v>
      </c>
      <c r="P58" s="110">
        <f t="shared" si="29"/>
        <v>69.294117647058826</v>
      </c>
      <c r="Q58" s="110">
        <f t="shared" si="30"/>
        <v>434.00000000000006</v>
      </c>
      <c r="R58" s="110">
        <f t="shared" si="31"/>
        <v>54705.882352941182</v>
      </c>
      <c r="S58" s="110">
        <f t="shared" si="32"/>
        <v>65100.000000000007</v>
      </c>
      <c r="T58" s="97" t="s">
        <v>352</v>
      </c>
      <c r="U58" s="98">
        <v>461</v>
      </c>
      <c r="V58" s="99">
        <f t="shared" si="47"/>
        <v>87.59</v>
      </c>
      <c r="W58" s="99">
        <f t="shared" si="48"/>
        <v>548.59</v>
      </c>
      <c r="X58" s="99">
        <f t="shared" si="49"/>
        <v>69150</v>
      </c>
      <c r="Y58" s="99">
        <f t="shared" si="50"/>
        <v>82288.5</v>
      </c>
      <c r="Z58" s="100">
        <f t="shared" si="51"/>
        <v>513.56666666666672</v>
      </c>
      <c r="AA58" s="100">
        <f t="shared" si="52"/>
        <v>77035.000000000015</v>
      </c>
      <c r="AB58" s="78">
        <f t="shared" si="53"/>
        <v>10360.644996813664</v>
      </c>
      <c r="AC58" s="102">
        <f t="shared" si="33"/>
        <v>0.13449269808286704</v>
      </c>
      <c r="AD58" s="5"/>
      <c r="AF58" s="7" t="str">
        <f>VLOOKUP(C58,Estudio_Mercado_Ori!$C$12:$AH$1115,32,0)</f>
        <v>47PROCEDAS</v>
      </c>
      <c r="BG58" s="7">
        <v>61</v>
      </c>
      <c r="DA58" s="7" t="e">
        <f>VLOOKUP(C58,listaBolsa!$D$2:$BA$1248,1,0)</f>
        <v>#N/A</v>
      </c>
      <c r="DB58" s="7" t="e">
        <f>VLOOKUP(C58,listaBolsa!$D$2:$BA$1248,2,0)</f>
        <v>#N/A</v>
      </c>
      <c r="DC58" s="7" t="e">
        <f>VLOOKUP(C58,listaBolsa!$D$2:$BA$1248,10,0)</f>
        <v>#N/A</v>
      </c>
      <c r="DD58" s="7" t="e">
        <f>VLOOKUP(C58,listaBolsa!$D$2:$BA$1248,14,0)</f>
        <v>#N/A</v>
      </c>
      <c r="DE58" s="7" t="e">
        <f>VLOOKUP(C58,listaBolsa!$D$2:$BA$1248,23,0)</f>
        <v>#N/A</v>
      </c>
      <c r="DF58" s="7" t="e">
        <f>VLOOKUP(C58,listaBolsa!$D$2:$BA$1248,29,0)</f>
        <v>#N/A</v>
      </c>
      <c r="DG58" s="7" t="e">
        <f>VLOOKUP(C58,listaBolsa!$D$2:$BA$1248,36,0)</f>
        <v>#N/A</v>
      </c>
      <c r="DH58" s="7" t="e">
        <f>VLOOKUP(C58,listaBolsa!$D$2:$BA$1248,40,0)</f>
        <v>#N/A</v>
      </c>
      <c r="DI58" s="252" t="e">
        <f>VLOOKUP(C58,listaBolsa!$D$2:$BA$1248,48,0)</f>
        <v>#N/A</v>
      </c>
      <c r="DJ58" s="7" t="e">
        <f t="shared" si="34"/>
        <v>#N/A</v>
      </c>
      <c r="DK58" s="7" t="e">
        <f t="shared" si="35"/>
        <v>#N/A</v>
      </c>
      <c r="DL58" s="7" t="e">
        <f t="shared" si="36"/>
        <v>#N/A</v>
      </c>
      <c r="DM58" s="7" t="e">
        <f t="shared" si="37"/>
        <v>#N/A</v>
      </c>
      <c r="DN58" s="7" t="e">
        <f t="shared" si="38"/>
        <v>#N/A</v>
      </c>
      <c r="DO58" s="7" t="e">
        <f t="shared" si="39"/>
        <v>#N/A</v>
      </c>
      <c r="DP58" s="7" t="e">
        <f t="shared" si="40"/>
        <v>#N/A</v>
      </c>
      <c r="DQ58" s="7" t="e">
        <f t="shared" si="41"/>
        <v>#N/A</v>
      </c>
      <c r="DR58" s="7" t="e">
        <f t="shared" si="42"/>
        <v>#N/A</v>
      </c>
    </row>
    <row r="59" spans="1:122" s="7" customFormat="1" ht="105" customHeight="1">
      <c r="A59" s="75">
        <v>48</v>
      </c>
      <c r="B59" s="251" t="s">
        <v>309</v>
      </c>
      <c r="C59" s="95" t="s">
        <v>354</v>
      </c>
      <c r="D59" s="186" t="s">
        <v>355</v>
      </c>
      <c r="E59" s="111" t="s">
        <v>191</v>
      </c>
      <c r="F59" s="112">
        <v>150</v>
      </c>
      <c r="G59" s="75" t="s">
        <v>192</v>
      </c>
      <c r="H59" s="106" t="s">
        <v>356</v>
      </c>
      <c r="I59" s="107">
        <v>67.226890756302524</v>
      </c>
      <c r="J59" s="96">
        <f t="shared" si="43"/>
        <v>12.77310924369748</v>
      </c>
      <c r="K59" s="96">
        <f t="shared" si="44"/>
        <v>80</v>
      </c>
      <c r="L59" s="96">
        <f t="shared" si="45"/>
        <v>10084.033613445379</v>
      </c>
      <c r="M59" s="96">
        <f t="shared" si="46"/>
        <v>12000</v>
      </c>
      <c r="N59" s="108" t="s">
        <v>357</v>
      </c>
      <c r="O59" s="109">
        <v>88</v>
      </c>
      <c r="P59" s="110">
        <f t="shared" si="29"/>
        <v>16.72</v>
      </c>
      <c r="Q59" s="110">
        <f t="shared" si="30"/>
        <v>104.72</v>
      </c>
      <c r="R59" s="110">
        <f t="shared" si="31"/>
        <v>13200</v>
      </c>
      <c r="S59" s="110">
        <f t="shared" si="32"/>
        <v>15708</v>
      </c>
      <c r="T59" s="97" t="s">
        <v>358</v>
      </c>
      <c r="U59" s="98">
        <v>85</v>
      </c>
      <c r="V59" s="99">
        <f t="shared" si="47"/>
        <v>16.149999999999999</v>
      </c>
      <c r="W59" s="99">
        <f t="shared" si="48"/>
        <v>101.15</v>
      </c>
      <c r="X59" s="99">
        <f t="shared" si="49"/>
        <v>12750</v>
      </c>
      <c r="Y59" s="99">
        <f t="shared" si="50"/>
        <v>15172.5</v>
      </c>
      <c r="Z59" s="100">
        <f t="shared" si="51"/>
        <v>95.29</v>
      </c>
      <c r="AA59" s="100">
        <f t="shared" si="52"/>
        <v>14293.500000000002</v>
      </c>
      <c r="AB59" s="78">
        <f t="shared" si="53"/>
        <v>2004.1947884374911</v>
      </c>
      <c r="AC59" s="102">
        <f t="shared" si="33"/>
        <v>0.1402172168074643</v>
      </c>
      <c r="AD59" s="5" t="s">
        <v>359</v>
      </c>
      <c r="AE59" s="7" t="s">
        <v>1053</v>
      </c>
      <c r="AF59" s="7" t="str">
        <f>VLOOKUP(C59,Estudio_Mercado_Ori!$C$12:$AH$1115,32,0)</f>
        <v>48PROCEDAS</v>
      </c>
      <c r="BG59" s="7">
        <v>62</v>
      </c>
      <c r="DA59" s="7" t="str">
        <f>VLOOKUP(C59,listaBolsa!$D$2:$BA$1248,1,0)</f>
        <v>Tapas para botella</v>
      </c>
      <c r="DB59" s="7">
        <f>VLOOKUP(C59,listaBolsa!$D$2:$BA$1248,2,0)</f>
        <v>0</v>
      </c>
      <c r="DC59" s="7" t="str">
        <f>VLOOKUP(C59,listaBolsa!$D$2:$BA$1248,10,0)</f>
        <v>SOLOENVASES</v>
      </c>
      <c r="DD59" s="7">
        <f>VLOOKUP(C59,listaBolsa!$D$2:$BA$1248,14,0)</f>
        <v>67.23</v>
      </c>
      <c r="DE59" s="7" t="str">
        <f>VLOOKUP(C59,listaBolsa!$D$2:$BA$1248,23,0)</f>
        <v>UNICORSA S.A</v>
      </c>
      <c r="DF59" s="7">
        <f>VLOOKUP(C59,listaBolsa!$D$2:$BA$1248,29,0)</f>
        <v>105</v>
      </c>
      <c r="DG59" s="7" t="str">
        <f>VLOOKUP(C59,listaBolsa!$D$2:$BA$1248,36,0)</f>
        <v>TECNOPRES GRAFICA S.A</v>
      </c>
      <c r="DH59" s="7">
        <f>VLOOKUP(C59,listaBolsa!$D$2:$BA$1248,40,0)</f>
        <v>85</v>
      </c>
      <c r="DI59" s="253">
        <f>VLOOKUP(C59,listaBolsa!$D$2:$BA$1248,48,0)</f>
        <v>0.14019999999999999</v>
      </c>
      <c r="DJ59" s="7" t="b">
        <f t="shared" si="34"/>
        <v>1</v>
      </c>
      <c r="DK59" s="7" t="b">
        <f t="shared" si="35"/>
        <v>0</v>
      </c>
      <c r="DL59" s="7" t="b">
        <f t="shared" si="36"/>
        <v>1</v>
      </c>
      <c r="DM59" s="7" t="b">
        <f t="shared" si="37"/>
        <v>0</v>
      </c>
      <c r="DN59" s="7" t="b">
        <f t="shared" si="38"/>
        <v>1</v>
      </c>
      <c r="DO59" s="7" t="b">
        <f t="shared" si="39"/>
        <v>0</v>
      </c>
      <c r="DP59" s="7" t="b">
        <f t="shared" si="40"/>
        <v>1</v>
      </c>
      <c r="DQ59" s="7" t="b">
        <f t="shared" si="41"/>
        <v>1</v>
      </c>
      <c r="DR59" s="7" t="b">
        <f t="shared" si="42"/>
        <v>0</v>
      </c>
    </row>
    <row r="60" spans="1:122" s="7" customFormat="1" ht="105" customHeight="1">
      <c r="A60" s="75">
        <v>49</v>
      </c>
      <c r="B60" s="251" t="s">
        <v>309</v>
      </c>
      <c r="C60" s="186" t="s">
        <v>361</v>
      </c>
      <c r="D60" s="186" t="s">
        <v>362</v>
      </c>
      <c r="E60" s="111" t="s">
        <v>191</v>
      </c>
      <c r="F60" s="112">
        <v>5</v>
      </c>
      <c r="G60" s="75" t="s">
        <v>192</v>
      </c>
      <c r="H60" s="106" t="s">
        <v>363</v>
      </c>
      <c r="I60" s="107">
        <v>3949.5798319327728</v>
      </c>
      <c r="J60" s="96">
        <f t="shared" si="43"/>
        <v>750.42016806722688</v>
      </c>
      <c r="K60" s="96">
        <f t="shared" si="44"/>
        <v>4700</v>
      </c>
      <c r="L60" s="96">
        <f t="shared" si="45"/>
        <v>19747.899159663863</v>
      </c>
      <c r="M60" s="96">
        <f t="shared" si="46"/>
        <v>23500</v>
      </c>
      <c r="N60" s="108" t="s">
        <v>364</v>
      </c>
      <c r="O60" s="109">
        <v>3529.411764705882</v>
      </c>
      <c r="P60" s="110">
        <f t="shared" si="29"/>
        <v>670.58823529411757</v>
      </c>
      <c r="Q60" s="110">
        <f t="shared" si="30"/>
        <v>4200</v>
      </c>
      <c r="R60" s="110">
        <f t="shared" si="31"/>
        <v>17647.058823529409</v>
      </c>
      <c r="S60" s="110">
        <f t="shared" si="32"/>
        <v>21000</v>
      </c>
      <c r="T60" s="97" t="s">
        <v>365</v>
      </c>
      <c r="U60" s="98">
        <v>4621.8487394957983</v>
      </c>
      <c r="V60" s="99">
        <f t="shared" si="47"/>
        <v>878.15126050420167</v>
      </c>
      <c r="W60" s="99">
        <f t="shared" si="48"/>
        <v>5500</v>
      </c>
      <c r="X60" s="99">
        <f t="shared" si="49"/>
        <v>23109.243697478993</v>
      </c>
      <c r="Y60" s="99">
        <f t="shared" si="50"/>
        <v>27500</v>
      </c>
      <c r="Z60" s="100">
        <f t="shared" si="51"/>
        <v>4800</v>
      </c>
      <c r="AA60" s="100">
        <f t="shared" si="52"/>
        <v>24000</v>
      </c>
      <c r="AB60" s="78">
        <f t="shared" si="53"/>
        <v>3278.7192621510003</v>
      </c>
      <c r="AC60" s="102">
        <f t="shared" si="33"/>
        <v>0.13661330258962501</v>
      </c>
      <c r="AD60" s="5"/>
      <c r="AE60" s="7" t="s">
        <v>1053</v>
      </c>
      <c r="AF60" s="7" t="str">
        <f>VLOOKUP(C60,Estudio_Mercado_Ori!$C$12:$AH$1115,32,0)</f>
        <v>49PROCEDAS</v>
      </c>
      <c r="BG60" s="7">
        <v>63</v>
      </c>
      <c r="DA60" s="7" t="str">
        <f>VLOOKUP(C60,listaBolsa!$D$2:$BA$1248,1,0)</f>
        <v>Glicerina vegetal</v>
      </c>
      <c r="DB60" s="7">
        <f>VLOOKUP(C60,listaBolsa!$D$2:$BA$1248,2,0)</f>
        <v>0</v>
      </c>
      <c r="DC60" s="7" t="str">
        <f>VLOOKUP(C60,listaBolsa!$D$2:$BA$1248,10,0)</f>
        <v>INSUMOS MYM</v>
      </c>
      <c r="DD60" s="7">
        <f>VLOOKUP(C60,listaBolsa!$D$2:$BA$1248,14,0)</f>
        <v>3949.58</v>
      </c>
      <c r="DE60" s="7" t="str">
        <f>VLOOKUP(C60,listaBolsa!$D$2:$BA$1248,23,0)</f>
        <v>QUIMICOS PROQUIMPI</v>
      </c>
      <c r="DF60" s="7">
        <f>VLOOKUP(C60,listaBolsa!$D$2:$BA$1248,29,0)</f>
        <v>4200</v>
      </c>
      <c r="DG60" s="7" t="str">
        <f>VLOOKUP(C60,listaBolsa!$D$2:$BA$1248,36,0)</f>
        <v>BODEGA PORTILLA</v>
      </c>
      <c r="DH60" s="7">
        <f>VLOOKUP(C60,listaBolsa!$D$2:$BA$1248,40,0)</f>
        <v>4621.8500000000004</v>
      </c>
      <c r="DI60" s="253">
        <f>VLOOKUP(C60,listaBolsa!$D$2:$BA$1248,48,0)</f>
        <v>0.1366</v>
      </c>
      <c r="DJ60" s="7" t="b">
        <f t="shared" si="34"/>
        <v>1</v>
      </c>
      <c r="DK60" s="7" t="b">
        <f t="shared" si="35"/>
        <v>0</v>
      </c>
      <c r="DL60" s="7" t="b">
        <f t="shared" si="36"/>
        <v>1</v>
      </c>
      <c r="DM60" s="7" t="b">
        <f t="shared" si="37"/>
        <v>0</v>
      </c>
      <c r="DN60" s="7" t="b">
        <f t="shared" si="38"/>
        <v>1</v>
      </c>
      <c r="DO60" s="7" t="b">
        <f t="shared" si="39"/>
        <v>0</v>
      </c>
      <c r="DP60" s="7" t="b">
        <f t="shared" si="40"/>
        <v>1</v>
      </c>
      <c r="DQ60" s="7" t="b">
        <f t="shared" si="41"/>
        <v>0</v>
      </c>
      <c r="DR60" s="7" t="b">
        <f t="shared" si="42"/>
        <v>0</v>
      </c>
    </row>
    <row r="61" spans="1:122" s="7" customFormat="1" ht="105" customHeight="1">
      <c r="A61" s="75">
        <v>50</v>
      </c>
      <c r="B61" s="251" t="s">
        <v>309</v>
      </c>
      <c r="C61" s="211" t="s">
        <v>367</v>
      </c>
      <c r="D61" s="212" t="s">
        <v>368</v>
      </c>
      <c r="E61" s="111" t="s">
        <v>191</v>
      </c>
      <c r="F61" s="112">
        <v>1</v>
      </c>
      <c r="G61" s="75" t="s">
        <v>192</v>
      </c>
      <c r="H61" s="106" t="s">
        <v>193</v>
      </c>
      <c r="I61" s="107">
        <v>190000</v>
      </c>
      <c r="J61" s="96">
        <f t="shared" si="43"/>
        <v>36100</v>
      </c>
      <c r="K61" s="96">
        <f t="shared" si="44"/>
        <v>226100</v>
      </c>
      <c r="L61" s="96">
        <f t="shared" si="45"/>
        <v>190000</v>
      </c>
      <c r="M61" s="96">
        <f t="shared" si="46"/>
        <v>226100</v>
      </c>
      <c r="N61" s="108" t="s">
        <v>194</v>
      </c>
      <c r="O61" s="109">
        <v>190000</v>
      </c>
      <c r="P61" s="110">
        <f t="shared" si="29"/>
        <v>36100</v>
      </c>
      <c r="Q61" s="110">
        <f t="shared" si="30"/>
        <v>226100</v>
      </c>
      <c r="R61" s="110">
        <f t="shared" si="31"/>
        <v>190000</v>
      </c>
      <c r="S61" s="110">
        <f t="shared" si="32"/>
        <v>226100</v>
      </c>
      <c r="T61" s="97"/>
      <c r="U61" s="98"/>
      <c r="V61" s="99"/>
      <c r="W61" s="99"/>
      <c r="X61" s="99"/>
      <c r="Y61" s="99"/>
      <c r="Z61" s="100">
        <f>IF(A61="","",AVERAGE(K61,Q61))</f>
        <v>226100</v>
      </c>
      <c r="AA61" s="100">
        <f t="shared" si="52"/>
        <v>226100</v>
      </c>
      <c r="AB61" s="78">
        <f>IF(B61="","",STDEV(M61,S61))</f>
        <v>0</v>
      </c>
      <c r="AC61" s="102">
        <f t="shared" si="33"/>
        <v>0</v>
      </c>
      <c r="AD61" s="5"/>
      <c r="AF61" s="7" t="str">
        <f>VLOOKUP(C61,Estudio_Mercado_Ori!$C$12:$AH$1115,32,0)</f>
        <v>50PROCEDAS</v>
      </c>
      <c r="BG61" s="7">
        <v>64</v>
      </c>
      <c r="DA61" s="7" t="e">
        <f>VLOOKUP(C61,listaBolsa!$D$2:$BA$1248,1,0)</f>
        <v>#N/A</v>
      </c>
      <c r="DB61" s="7" t="e">
        <f>VLOOKUP(C61,listaBolsa!$D$2:$BA$1248,2,0)</f>
        <v>#N/A</v>
      </c>
      <c r="DC61" s="7" t="e">
        <f>VLOOKUP(C61,listaBolsa!$D$2:$BA$1248,10,0)</f>
        <v>#N/A</v>
      </c>
      <c r="DD61" s="7" t="e">
        <f>VLOOKUP(C61,listaBolsa!$D$2:$BA$1248,14,0)</f>
        <v>#N/A</v>
      </c>
      <c r="DE61" s="7" t="e">
        <f>VLOOKUP(C61,listaBolsa!$D$2:$BA$1248,23,0)</f>
        <v>#N/A</v>
      </c>
      <c r="DF61" s="7" t="e">
        <f>VLOOKUP(C61,listaBolsa!$D$2:$BA$1248,29,0)</f>
        <v>#N/A</v>
      </c>
      <c r="DG61" s="7" t="e">
        <f>VLOOKUP(C61,listaBolsa!$D$2:$BA$1248,36,0)</f>
        <v>#N/A</v>
      </c>
      <c r="DH61" s="7" t="e">
        <f>VLOOKUP(C61,listaBolsa!$D$2:$BA$1248,40,0)</f>
        <v>#N/A</v>
      </c>
      <c r="DI61" s="252" t="e">
        <f>VLOOKUP(C61,listaBolsa!$D$2:$BA$1248,48,0)</f>
        <v>#N/A</v>
      </c>
      <c r="DJ61" s="7" t="e">
        <f t="shared" si="34"/>
        <v>#N/A</v>
      </c>
      <c r="DK61" s="7" t="e">
        <f t="shared" si="35"/>
        <v>#N/A</v>
      </c>
      <c r="DL61" s="7" t="e">
        <f t="shared" si="36"/>
        <v>#N/A</v>
      </c>
      <c r="DM61" s="7" t="e">
        <f t="shared" si="37"/>
        <v>#N/A</v>
      </c>
      <c r="DN61" s="7" t="e">
        <f t="shared" si="38"/>
        <v>#N/A</v>
      </c>
      <c r="DO61" s="7" t="e">
        <f t="shared" si="39"/>
        <v>#N/A</v>
      </c>
      <c r="DP61" s="7" t="e">
        <f t="shared" si="40"/>
        <v>#N/A</v>
      </c>
      <c r="DQ61" s="7" t="e">
        <f t="shared" si="41"/>
        <v>#N/A</v>
      </c>
      <c r="DR61" s="7" t="e">
        <f t="shared" si="42"/>
        <v>#N/A</v>
      </c>
    </row>
    <row r="62" spans="1:122" s="7" customFormat="1" ht="105" customHeight="1">
      <c r="A62" s="75">
        <v>51</v>
      </c>
      <c r="B62" s="251" t="s">
        <v>309</v>
      </c>
      <c r="C62" s="211" t="s">
        <v>370</v>
      </c>
      <c r="D62" s="212" t="s">
        <v>371</v>
      </c>
      <c r="E62" s="111" t="s">
        <v>191</v>
      </c>
      <c r="F62" s="112">
        <v>1</v>
      </c>
      <c r="G62" s="75" t="s">
        <v>192</v>
      </c>
      <c r="H62" s="106" t="s">
        <v>193</v>
      </c>
      <c r="I62" s="107">
        <v>250000</v>
      </c>
      <c r="J62" s="96">
        <f t="shared" si="43"/>
        <v>47500</v>
      </c>
      <c r="K62" s="96">
        <f t="shared" si="44"/>
        <v>297500</v>
      </c>
      <c r="L62" s="96">
        <f t="shared" si="45"/>
        <v>250000</v>
      </c>
      <c r="M62" s="96">
        <f t="shared" si="46"/>
        <v>297500</v>
      </c>
      <c r="N62" s="108" t="s">
        <v>194</v>
      </c>
      <c r="O62" s="109">
        <v>250000</v>
      </c>
      <c r="P62" s="110">
        <f t="shared" si="29"/>
        <v>47500</v>
      </c>
      <c r="Q62" s="110">
        <f t="shared" si="30"/>
        <v>297500</v>
      </c>
      <c r="R62" s="110">
        <f t="shared" si="31"/>
        <v>250000</v>
      </c>
      <c r="S62" s="110">
        <f t="shared" si="32"/>
        <v>297500</v>
      </c>
      <c r="T62" s="97"/>
      <c r="U62" s="98"/>
      <c r="V62" s="99"/>
      <c r="W62" s="99"/>
      <c r="X62" s="99"/>
      <c r="Y62" s="99"/>
      <c r="Z62" s="100">
        <f>IF(A62="","",AVERAGE(K62,Q62))</f>
        <v>297500</v>
      </c>
      <c r="AA62" s="100">
        <f t="shared" si="52"/>
        <v>297500</v>
      </c>
      <c r="AB62" s="78">
        <f>IF(B62="","",STDEV(M62,S62))</f>
        <v>0</v>
      </c>
      <c r="AC62" s="102">
        <f t="shared" si="33"/>
        <v>0</v>
      </c>
      <c r="AD62" s="5"/>
      <c r="AF62" s="7" t="str">
        <f>VLOOKUP(C62,Estudio_Mercado_Ori!$C$12:$AH$1115,32,0)</f>
        <v>51PROCEDAS</v>
      </c>
      <c r="BG62" s="7">
        <v>65</v>
      </c>
      <c r="DA62" s="7" t="e">
        <f>VLOOKUP(C62,listaBolsa!$D$2:$BA$1248,1,0)</f>
        <v>#N/A</v>
      </c>
      <c r="DB62" s="7" t="e">
        <f>VLOOKUP(C62,listaBolsa!$D$2:$BA$1248,2,0)</f>
        <v>#N/A</v>
      </c>
      <c r="DC62" s="7" t="e">
        <f>VLOOKUP(C62,listaBolsa!$D$2:$BA$1248,10,0)</f>
        <v>#N/A</v>
      </c>
      <c r="DD62" s="7" t="e">
        <f>VLOOKUP(C62,listaBolsa!$D$2:$BA$1248,14,0)</f>
        <v>#N/A</v>
      </c>
      <c r="DE62" s="7" t="e">
        <f>VLOOKUP(C62,listaBolsa!$D$2:$BA$1248,23,0)</f>
        <v>#N/A</v>
      </c>
      <c r="DF62" s="7" t="e">
        <f>VLOOKUP(C62,listaBolsa!$D$2:$BA$1248,29,0)</f>
        <v>#N/A</v>
      </c>
      <c r="DG62" s="7" t="e">
        <f>VLOOKUP(C62,listaBolsa!$D$2:$BA$1248,36,0)</f>
        <v>#N/A</v>
      </c>
      <c r="DH62" s="7" t="e">
        <f>VLOOKUP(C62,listaBolsa!$D$2:$BA$1248,40,0)</f>
        <v>#N/A</v>
      </c>
      <c r="DI62" s="252" t="e">
        <f>VLOOKUP(C62,listaBolsa!$D$2:$BA$1248,48,0)</f>
        <v>#N/A</v>
      </c>
      <c r="DJ62" s="7" t="e">
        <f t="shared" si="34"/>
        <v>#N/A</v>
      </c>
      <c r="DK62" s="7" t="e">
        <f t="shared" si="35"/>
        <v>#N/A</v>
      </c>
      <c r="DL62" s="7" t="e">
        <f t="shared" si="36"/>
        <v>#N/A</v>
      </c>
      <c r="DM62" s="7" t="e">
        <f t="shared" si="37"/>
        <v>#N/A</v>
      </c>
      <c r="DN62" s="7" t="e">
        <f t="shared" si="38"/>
        <v>#N/A</v>
      </c>
      <c r="DO62" s="7" t="e">
        <f t="shared" si="39"/>
        <v>#N/A</v>
      </c>
      <c r="DP62" s="7" t="e">
        <f t="shared" si="40"/>
        <v>#N/A</v>
      </c>
      <c r="DQ62" s="7" t="e">
        <f t="shared" si="41"/>
        <v>#N/A</v>
      </c>
      <c r="DR62" s="7" t="e">
        <f t="shared" si="42"/>
        <v>#N/A</v>
      </c>
    </row>
    <row r="63" spans="1:122" s="7" customFormat="1" ht="105" customHeight="1">
      <c r="A63" s="75">
        <v>52</v>
      </c>
      <c r="B63" s="251" t="s">
        <v>309</v>
      </c>
      <c r="C63" s="95" t="s">
        <v>373</v>
      </c>
      <c r="D63" s="186" t="s">
        <v>374</v>
      </c>
      <c r="E63" s="111" t="s">
        <v>191</v>
      </c>
      <c r="F63" s="112">
        <v>40</v>
      </c>
      <c r="G63" s="75" t="s">
        <v>192</v>
      </c>
      <c r="H63" s="106" t="s">
        <v>284</v>
      </c>
      <c r="I63" s="107">
        <v>1344.53781512605</v>
      </c>
      <c r="J63" s="96">
        <f t="shared" si="43"/>
        <v>255.4621848739495</v>
      </c>
      <c r="K63" s="96">
        <f t="shared" si="44"/>
        <v>1599.9999999999995</v>
      </c>
      <c r="L63" s="96">
        <f t="shared" si="45"/>
        <v>53781.512605042</v>
      </c>
      <c r="M63" s="96">
        <f t="shared" si="46"/>
        <v>63999.999999999985</v>
      </c>
      <c r="N63" s="108" t="s">
        <v>375</v>
      </c>
      <c r="O63" s="109">
        <v>1512.6050420168069</v>
      </c>
      <c r="P63" s="110">
        <f t="shared" si="29"/>
        <v>287.39495798319331</v>
      </c>
      <c r="Q63" s="110">
        <f t="shared" si="30"/>
        <v>1800.0000000000002</v>
      </c>
      <c r="R63" s="110">
        <f t="shared" si="31"/>
        <v>60504.201680672275</v>
      </c>
      <c r="S63" s="110">
        <f t="shared" si="32"/>
        <v>72000.000000000015</v>
      </c>
      <c r="T63" s="97" t="s">
        <v>376</v>
      </c>
      <c r="U63" s="98">
        <v>1008.403361344538</v>
      </c>
      <c r="V63" s="99">
        <f t="shared" ref="V63:V74" si="54">U63*19%</f>
        <v>191.59663865546221</v>
      </c>
      <c r="W63" s="99">
        <f t="shared" ref="W63:W74" si="55">U63+V63</f>
        <v>1200.0000000000002</v>
      </c>
      <c r="X63" s="99">
        <f t="shared" ref="X63:X74" si="56">IF(B63="","",(U63*F63))</f>
        <v>40336.134453781517</v>
      </c>
      <c r="Y63" s="99">
        <f t="shared" ref="Y63:Y74" si="57">IF(B63="","",(W63*F63))</f>
        <v>48000.000000000007</v>
      </c>
      <c r="Z63" s="100">
        <f t="shared" ref="Z63:Z74" si="58">IF(A63="","",AVERAGE(K63,Q63,W63))</f>
        <v>1533.3333333333333</v>
      </c>
      <c r="AA63" s="100">
        <f t="shared" si="52"/>
        <v>61333.333333333328</v>
      </c>
      <c r="AB63" s="78">
        <f t="shared" ref="AB63:AB74" si="59">IF(B63="","",STDEV(M63,S63,Y63))</f>
        <v>12220.20185321556</v>
      </c>
      <c r="AC63" s="102">
        <f t="shared" si="33"/>
        <v>0.19924242151981891</v>
      </c>
      <c r="AD63" s="5"/>
      <c r="AE63" s="7" t="s">
        <v>1053</v>
      </c>
      <c r="AF63" s="7" t="str">
        <f>VLOOKUP(C63,Estudio_Mercado_Ori!$C$12:$AH$1115,32,0)</f>
        <v>52PROCEDAS</v>
      </c>
      <c r="BG63" s="7">
        <v>66</v>
      </c>
      <c r="DA63" s="7" t="str">
        <f>VLOOKUP(C63,listaBolsa!$D$2:$BA$1248,1,0)</f>
        <v>Sacos para empaque</v>
      </c>
      <c r="DB63" s="7">
        <f>VLOOKUP(C63,listaBolsa!$D$2:$BA$1248,2,0)</f>
        <v>0</v>
      </c>
      <c r="DC63" s="7" t="str">
        <f>VLOOKUP(C63,listaBolsa!$D$2:$BA$1248,10,0)</f>
        <v>HOMMECENTER</v>
      </c>
      <c r="DD63" s="7">
        <f>VLOOKUP(C63,listaBolsa!$D$2:$BA$1248,14,0)</f>
        <v>1344.54</v>
      </c>
      <c r="DE63" s="7" t="str">
        <f>VLOOKUP(C63,listaBolsa!$D$2:$BA$1248,23,0)</f>
        <v>MULTIPLASTICPS CARTAGENA</v>
      </c>
      <c r="DF63" s="7">
        <f>VLOOKUP(C63,listaBolsa!$D$2:$BA$1248,29,0)</f>
        <v>1800</v>
      </c>
      <c r="DG63" s="7" t="str">
        <f>VLOOKUP(C63,listaBolsa!$D$2:$BA$1248,36,0)</f>
        <v>GABY VENTAS</v>
      </c>
      <c r="DH63" s="7">
        <f>VLOOKUP(C63,listaBolsa!$D$2:$BA$1248,40,0)</f>
        <v>1008.4</v>
      </c>
      <c r="DI63" s="253">
        <f>VLOOKUP(C63,listaBolsa!$D$2:$BA$1248,48,0)</f>
        <v>0.19919999999999999</v>
      </c>
      <c r="DJ63" s="7" t="b">
        <f t="shared" si="34"/>
        <v>1</v>
      </c>
      <c r="DK63" s="7" t="b">
        <f t="shared" si="35"/>
        <v>0</v>
      </c>
      <c r="DL63" s="7" t="b">
        <f t="shared" si="36"/>
        <v>1</v>
      </c>
      <c r="DM63" s="7" t="b">
        <f t="shared" si="37"/>
        <v>0</v>
      </c>
      <c r="DN63" s="7" t="b">
        <f t="shared" si="38"/>
        <v>1</v>
      </c>
      <c r="DO63" s="7" t="b">
        <f t="shared" si="39"/>
        <v>0</v>
      </c>
      <c r="DP63" s="7" t="b">
        <f t="shared" si="40"/>
        <v>1</v>
      </c>
      <c r="DQ63" s="7" t="b">
        <f t="shared" si="41"/>
        <v>0</v>
      </c>
      <c r="DR63" s="7" t="b">
        <f t="shared" si="42"/>
        <v>0</v>
      </c>
    </row>
    <row r="64" spans="1:122" s="7" customFormat="1" ht="105" customHeight="1">
      <c r="A64" s="75">
        <v>53</v>
      </c>
      <c r="B64" s="251" t="s">
        <v>309</v>
      </c>
      <c r="C64" s="95" t="s">
        <v>378</v>
      </c>
      <c r="D64" s="351" t="s">
        <v>379</v>
      </c>
      <c r="E64" s="111" t="s">
        <v>191</v>
      </c>
      <c r="F64" s="210">
        <v>450</v>
      </c>
      <c r="G64" s="75" t="s">
        <v>192</v>
      </c>
      <c r="H64" s="106" t="s">
        <v>380</v>
      </c>
      <c r="I64" s="107">
        <v>18000</v>
      </c>
      <c r="J64" s="96">
        <f t="shared" si="43"/>
        <v>3420</v>
      </c>
      <c r="K64" s="96">
        <f t="shared" si="44"/>
        <v>21420</v>
      </c>
      <c r="L64" s="96">
        <f t="shared" si="45"/>
        <v>8100000</v>
      </c>
      <c r="M64" s="96">
        <f t="shared" si="46"/>
        <v>9639000</v>
      </c>
      <c r="N64" s="108" t="s">
        <v>381</v>
      </c>
      <c r="O64" s="109">
        <v>17000</v>
      </c>
      <c r="P64" s="110">
        <f t="shared" si="29"/>
        <v>3230</v>
      </c>
      <c r="Q64" s="110">
        <f t="shared" si="30"/>
        <v>20230</v>
      </c>
      <c r="R64" s="110">
        <f t="shared" si="31"/>
        <v>7650000</v>
      </c>
      <c r="S64" s="110">
        <f t="shared" si="32"/>
        <v>9103500</v>
      </c>
      <c r="T64" s="97" t="s">
        <v>382</v>
      </c>
      <c r="U64" s="98">
        <v>15260</v>
      </c>
      <c r="V64" s="99">
        <f t="shared" si="54"/>
        <v>2899.4</v>
      </c>
      <c r="W64" s="99">
        <f t="shared" si="55"/>
        <v>18159.400000000001</v>
      </c>
      <c r="X64" s="99">
        <f t="shared" si="56"/>
        <v>6867000</v>
      </c>
      <c r="Y64" s="99">
        <f t="shared" si="57"/>
        <v>8171730.0000000009</v>
      </c>
      <c r="Z64" s="100">
        <f t="shared" si="58"/>
        <v>19936.466666666667</v>
      </c>
      <c r="AA64" s="100">
        <f t="shared" si="52"/>
        <v>8971410</v>
      </c>
      <c r="AB64" s="78">
        <f t="shared" si="59"/>
        <v>742499.92545454123</v>
      </c>
      <c r="AC64" s="102">
        <f t="shared" si="33"/>
        <v>8.2762901868774386E-2</v>
      </c>
      <c r="AD64" s="5"/>
      <c r="AF64" s="7" t="str">
        <f>VLOOKUP(C64,Estudio_Mercado_Ori!$C$12:$AH$1115,32,0)</f>
        <v>53PROCEDAS</v>
      </c>
      <c r="BG64" s="7">
        <v>67</v>
      </c>
      <c r="DA64" s="7" t="e">
        <f>VLOOKUP(C64,listaBolsa!$D$2:$BA$1248,1,0)</f>
        <v>#N/A</v>
      </c>
      <c r="DB64" s="7" t="e">
        <f>VLOOKUP(C64,listaBolsa!$D$2:$BA$1248,2,0)</f>
        <v>#N/A</v>
      </c>
      <c r="DC64" s="7" t="e">
        <f>VLOOKUP(C64,listaBolsa!$D$2:$BA$1248,10,0)</f>
        <v>#N/A</v>
      </c>
      <c r="DD64" s="7" t="e">
        <f>VLOOKUP(C64,listaBolsa!$D$2:$BA$1248,14,0)</f>
        <v>#N/A</v>
      </c>
      <c r="DE64" s="7" t="e">
        <f>VLOOKUP(C64,listaBolsa!$D$2:$BA$1248,23,0)</f>
        <v>#N/A</v>
      </c>
      <c r="DF64" s="7" t="e">
        <f>VLOOKUP(C64,listaBolsa!$D$2:$BA$1248,29,0)</f>
        <v>#N/A</v>
      </c>
      <c r="DG64" s="7" t="e">
        <f>VLOOKUP(C64,listaBolsa!$D$2:$BA$1248,36,0)</f>
        <v>#N/A</v>
      </c>
      <c r="DH64" s="7" t="e">
        <f>VLOOKUP(C64,listaBolsa!$D$2:$BA$1248,40,0)</f>
        <v>#N/A</v>
      </c>
      <c r="DI64" s="252" t="e">
        <f>VLOOKUP(C64,listaBolsa!$D$2:$BA$1248,48,0)</f>
        <v>#N/A</v>
      </c>
      <c r="DJ64" s="7" t="e">
        <f t="shared" si="34"/>
        <v>#N/A</v>
      </c>
      <c r="DK64" s="7" t="e">
        <f t="shared" si="35"/>
        <v>#N/A</v>
      </c>
      <c r="DL64" s="7" t="e">
        <f t="shared" si="36"/>
        <v>#N/A</v>
      </c>
      <c r="DM64" s="7" t="e">
        <f t="shared" si="37"/>
        <v>#N/A</v>
      </c>
      <c r="DN64" s="7" t="e">
        <f t="shared" si="38"/>
        <v>#N/A</v>
      </c>
      <c r="DO64" s="7" t="e">
        <f t="shared" si="39"/>
        <v>#N/A</v>
      </c>
      <c r="DP64" s="7" t="e">
        <f t="shared" si="40"/>
        <v>#N/A</v>
      </c>
      <c r="DQ64" s="7" t="e">
        <f t="shared" si="41"/>
        <v>#N/A</v>
      </c>
      <c r="DR64" s="7" t="e">
        <f t="shared" si="42"/>
        <v>#N/A</v>
      </c>
    </row>
    <row r="65" spans="1:122" s="7" customFormat="1" ht="105" customHeight="1">
      <c r="A65" s="75">
        <v>54</v>
      </c>
      <c r="B65" s="251" t="s">
        <v>309</v>
      </c>
      <c r="C65" s="95" t="s">
        <v>384</v>
      </c>
      <c r="D65" s="186" t="s">
        <v>385</v>
      </c>
      <c r="E65" s="111" t="s">
        <v>191</v>
      </c>
      <c r="F65" s="112">
        <v>6</v>
      </c>
      <c r="G65" s="75" t="s">
        <v>192</v>
      </c>
      <c r="H65" s="106" t="s">
        <v>386</v>
      </c>
      <c r="I65" s="107">
        <v>8907.5630252100837</v>
      </c>
      <c r="J65" s="96">
        <f t="shared" si="43"/>
        <v>1692.4369747899159</v>
      </c>
      <c r="K65" s="96">
        <f t="shared" si="44"/>
        <v>10600</v>
      </c>
      <c r="L65" s="96">
        <f t="shared" si="45"/>
        <v>53445.378151260506</v>
      </c>
      <c r="M65" s="96">
        <f t="shared" si="46"/>
        <v>63600</v>
      </c>
      <c r="N65" s="108" t="s">
        <v>387</v>
      </c>
      <c r="O65" s="109">
        <v>12605.042016806719</v>
      </c>
      <c r="P65" s="110">
        <f t="shared" si="29"/>
        <v>2394.9579831932765</v>
      </c>
      <c r="Q65" s="110">
        <f t="shared" si="30"/>
        <v>14999.999999999996</v>
      </c>
      <c r="R65" s="110">
        <f t="shared" si="31"/>
        <v>75630.252100840313</v>
      </c>
      <c r="S65" s="110">
        <f t="shared" si="32"/>
        <v>89999.999999999971</v>
      </c>
      <c r="T65" s="97" t="s">
        <v>388</v>
      </c>
      <c r="U65" s="98">
        <v>10504.20168067227</v>
      </c>
      <c r="V65" s="99">
        <f t="shared" si="54"/>
        <v>1995.7983193277312</v>
      </c>
      <c r="W65" s="99">
        <f t="shared" si="55"/>
        <v>12500</v>
      </c>
      <c r="X65" s="99">
        <f t="shared" si="56"/>
        <v>63025.210084033621</v>
      </c>
      <c r="Y65" s="99">
        <f t="shared" si="57"/>
        <v>75000</v>
      </c>
      <c r="Z65" s="100">
        <f t="shared" si="58"/>
        <v>12700</v>
      </c>
      <c r="AA65" s="100">
        <f t="shared" si="52"/>
        <v>76200</v>
      </c>
      <c r="AB65" s="78">
        <f t="shared" si="59"/>
        <v>13240.845894428347</v>
      </c>
      <c r="AC65" s="102">
        <f t="shared" si="33"/>
        <v>0.17376438181664497</v>
      </c>
      <c r="AD65" s="5"/>
      <c r="AE65" s="7" t="s">
        <v>1053</v>
      </c>
      <c r="AF65" s="7" t="str">
        <f>VLOOKUP(C65,Estudio_Mercado_Ori!$C$12:$AH$1115,32,0)</f>
        <v>54PROCEDAS</v>
      </c>
      <c r="BG65" s="7">
        <v>68</v>
      </c>
      <c r="DA65" s="7" t="str">
        <f>VLOOKUP(C65,listaBolsa!$D$2:$BA$1248,1,0)</f>
        <v>Tapabocas</v>
      </c>
      <c r="DB65" s="7">
        <f>VLOOKUP(C65,listaBolsa!$D$2:$BA$1248,2,0)</f>
        <v>0</v>
      </c>
      <c r="DC65" s="7" t="str">
        <f>VLOOKUP(C65,listaBolsa!$D$2:$BA$1248,10,0)</f>
        <v>COMERCIALIZADORA PROCOL DEL VALLE</v>
      </c>
      <c r="DD65" s="7">
        <f>VLOOKUP(C65,listaBolsa!$D$2:$BA$1248,14,0)</f>
        <v>8907.56</v>
      </c>
      <c r="DE65" s="7" t="str">
        <f>VLOOKUP(C65,listaBolsa!$D$2:$BA$1248,23,0)</f>
        <v>PYP VIDA</v>
      </c>
      <c r="DF65" s="7">
        <f>VLOOKUP(C65,listaBolsa!$D$2:$BA$1248,29,0)</f>
        <v>15000</v>
      </c>
      <c r="DG65" s="7" t="str">
        <f>VLOOKUP(C65,listaBolsa!$D$2:$BA$1248,36,0)</f>
        <v>FLOW CHEMICAL</v>
      </c>
      <c r="DH65" s="7">
        <f>VLOOKUP(C65,listaBolsa!$D$2:$BA$1248,40,0)</f>
        <v>10504.2</v>
      </c>
      <c r="DI65" s="253">
        <f>VLOOKUP(C65,listaBolsa!$D$2:$BA$1248,48,0)</f>
        <v>0.17380000000000001</v>
      </c>
      <c r="DJ65" s="7" t="b">
        <f t="shared" si="34"/>
        <v>1</v>
      </c>
      <c r="DK65" s="7" t="b">
        <f t="shared" si="35"/>
        <v>0</v>
      </c>
      <c r="DL65" s="7" t="b">
        <f t="shared" si="36"/>
        <v>1</v>
      </c>
      <c r="DM65" s="7" t="b">
        <f t="shared" si="37"/>
        <v>0</v>
      </c>
      <c r="DN65" s="7" t="b">
        <f t="shared" si="38"/>
        <v>1</v>
      </c>
      <c r="DO65" s="7" t="b">
        <f t="shared" si="39"/>
        <v>0</v>
      </c>
      <c r="DP65" s="7" t="b">
        <f t="shared" si="40"/>
        <v>1</v>
      </c>
      <c r="DQ65" s="7" t="b">
        <f t="shared" si="41"/>
        <v>0</v>
      </c>
      <c r="DR65" s="7" t="b">
        <f t="shared" si="42"/>
        <v>0</v>
      </c>
    </row>
    <row r="66" spans="1:122" s="7" customFormat="1" ht="147" customHeight="1">
      <c r="A66" s="75">
        <v>55</v>
      </c>
      <c r="B66" s="251" t="s">
        <v>309</v>
      </c>
      <c r="C66" s="186" t="s">
        <v>390</v>
      </c>
      <c r="D66" s="216" t="s">
        <v>391</v>
      </c>
      <c r="E66" s="111" t="s">
        <v>191</v>
      </c>
      <c r="F66" s="112">
        <v>150</v>
      </c>
      <c r="G66" s="75" t="s">
        <v>192</v>
      </c>
      <c r="H66" s="106" t="s">
        <v>193</v>
      </c>
      <c r="I66" s="107">
        <v>38000</v>
      </c>
      <c r="J66" s="96">
        <f t="shared" si="43"/>
        <v>7220</v>
      </c>
      <c r="K66" s="96">
        <f t="shared" si="44"/>
        <v>45220</v>
      </c>
      <c r="L66" s="96">
        <f t="shared" si="45"/>
        <v>5700000</v>
      </c>
      <c r="M66" s="96">
        <f t="shared" si="46"/>
        <v>6783000</v>
      </c>
      <c r="N66" s="108" t="s">
        <v>194</v>
      </c>
      <c r="O66" s="109">
        <v>38000</v>
      </c>
      <c r="P66" s="110">
        <f t="shared" si="29"/>
        <v>7220</v>
      </c>
      <c r="Q66" s="110">
        <f t="shared" si="30"/>
        <v>45220</v>
      </c>
      <c r="R66" s="110">
        <f t="shared" si="31"/>
        <v>5700000</v>
      </c>
      <c r="S66" s="110">
        <f t="shared" si="32"/>
        <v>6783000</v>
      </c>
      <c r="T66" s="97" t="s">
        <v>392</v>
      </c>
      <c r="U66" s="98">
        <v>26806.722689075628</v>
      </c>
      <c r="V66" s="99">
        <f t="shared" si="54"/>
        <v>5093.2773109243699</v>
      </c>
      <c r="W66" s="99">
        <f t="shared" si="55"/>
        <v>31900</v>
      </c>
      <c r="X66" s="99">
        <f t="shared" si="56"/>
        <v>4021008.4033613442</v>
      </c>
      <c r="Y66" s="99">
        <f t="shared" si="57"/>
        <v>4785000</v>
      </c>
      <c r="Z66" s="100">
        <f t="shared" si="58"/>
        <v>40780</v>
      </c>
      <c r="AA66" s="100">
        <f t="shared" si="52"/>
        <v>6117000</v>
      </c>
      <c r="AB66" s="78">
        <f t="shared" si="59"/>
        <v>1153545.8378408724</v>
      </c>
      <c r="AC66" s="102">
        <f t="shared" si="33"/>
        <v>0.18858032333511074</v>
      </c>
      <c r="AD66" s="5"/>
      <c r="AE66" s="7" t="s">
        <v>1053</v>
      </c>
      <c r="AF66" s="7" t="str">
        <f>VLOOKUP(C66,Estudio_Mercado_Ori!$C$12:$AH$1115,32,0)</f>
        <v>55PROCEDAS</v>
      </c>
      <c r="BG66" s="7">
        <v>69</v>
      </c>
      <c r="DA66" s="7" t="str">
        <f>VLOOKUP(C66,listaBolsa!$D$2:$BA$1248,1,0)</f>
        <v>Gafas de protección</v>
      </c>
      <c r="DB66" s="7">
        <f>VLOOKUP(C66,listaBolsa!$D$2:$BA$1248,2,0)</f>
        <v>0</v>
      </c>
      <c r="DC66" s="7" t="str">
        <f>VLOOKUP(C66,listaBolsa!$D$2:$BA$1248,10,0)</f>
        <v>AVANCE ORGANIZACIONAL CONSULTORES SAS</v>
      </c>
      <c r="DD66" s="7">
        <f>VLOOKUP(C66,listaBolsa!$D$2:$BA$1248,14,0)</f>
        <v>38000</v>
      </c>
      <c r="DE66" s="7" t="str">
        <f>VLOOKUP(C66,listaBolsa!$D$2:$BA$1248,23,0)</f>
        <v>SIDED</v>
      </c>
      <c r="DF66" s="7">
        <f>VLOOKUP(C66,listaBolsa!$D$2:$BA$1248,29,0)</f>
        <v>45220</v>
      </c>
      <c r="DG66" s="7" t="str">
        <f>VLOOKUP(C66,listaBolsa!$D$2:$BA$1248,36,0)</f>
        <v>HOMME CENTER</v>
      </c>
      <c r="DH66" s="7">
        <f>VLOOKUP(C66,listaBolsa!$D$2:$BA$1248,40,0)</f>
        <v>26806.720000000001</v>
      </c>
      <c r="DI66" s="253">
        <f>VLOOKUP(C66,listaBolsa!$D$2:$BA$1248,48,0)</f>
        <v>0.18859999999999999</v>
      </c>
      <c r="DJ66" s="7" t="b">
        <f t="shared" si="34"/>
        <v>1</v>
      </c>
      <c r="DK66" s="7" t="b">
        <f t="shared" si="35"/>
        <v>0</v>
      </c>
      <c r="DL66" s="7" t="b">
        <f t="shared" si="36"/>
        <v>1</v>
      </c>
      <c r="DM66" s="7" t="b">
        <f t="shared" si="37"/>
        <v>1</v>
      </c>
      <c r="DN66" s="7" t="b">
        <f t="shared" si="38"/>
        <v>1</v>
      </c>
      <c r="DO66" s="7" t="b">
        <f t="shared" si="39"/>
        <v>0</v>
      </c>
      <c r="DP66" s="7" t="b">
        <f t="shared" si="40"/>
        <v>1</v>
      </c>
      <c r="DQ66" s="7" t="b">
        <f t="shared" si="41"/>
        <v>0</v>
      </c>
      <c r="DR66" s="7" t="b">
        <f t="shared" si="42"/>
        <v>0</v>
      </c>
    </row>
    <row r="67" spans="1:122" s="7" customFormat="1" ht="105" customHeight="1">
      <c r="A67" s="75">
        <v>56</v>
      </c>
      <c r="B67" s="251" t="s">
        <v>309</v>
      </c>
      <c r="C67" s="95" t="s">
        <v>394</v>
      </c>
      <c r="D67" s="186" t="s">
        <v>395</v>
      </c>
      <c r="E67" s="111" t="s">
        <v>191</v>
      </c>
      <c r="F67" s="112">
        <v>8</v>
      </c>
      <c r="G67" s="75" t="s">
        <v>192</v>
      </c>
      <c r="H67" s="106" t="s">
        <v>193</v>
      </c>
      <c r="I67" s="107">
        <v>35000</v>
      </c>
      <c r="J67" s="96">
        <f t="shared" si="43"/>
        <v>6650</v>
      </c>
      <c r="K67" s="96">
        <f t="shared" si="44"/>
        <v>41650</v>
      </c>
      <c r="L67" s="96">
        <f t="shared" si="45"/>
        <v>280000</v>
      </c>
      <c r="M67" s="96">
        <f t="shared" si="46"/>
        <v>333200</v>
      </c>
      <c r="N67" s="108" t="s">
        <v>194</v>
      </c>
      <c r="O67" s="109">
        <v>35000</v>
      </c>
      <c r="P67" s="110">
        <f t="shared" si="29"/>
        <v>6650</v>
      </c>
      <c r="Q67" s="110">
        <f t="shared" si="30"/>
        <v>41650</v>
      </c>
      <c r="R67" s="110">
        <f t="shared" si="31"/>
        <v>280000</v>
      </c>
      <c r="S67" s="110">
        <f t="shared" si="32"/>
        <v>333200</v>
      </c>
      <c r="T67" s="97" t="s">
        <v>230</v>
      </c>
      <c r="U67" s="98">
        <v>32900</v>
      </c>
      <c r="V67" s="99">
        <f t="shared" si="54"/>
        <v>6251</v>
      </c>
      <c r="W67" s="99">
        <f t="shared" si="55"/>
        <v>39151</v>
      </c>
      <c r="X67" s="99">
        <f t="shared" si="56"/>
        <v>263200</v>
      </c>
      <c r="Y67" s="99">
        <f t="shared" si="57"/>
        <v>313208</v>
      </c>
      <c r="Z67" s="100">
        <f t="shared" si="58"/>
        <v>40817</v>
      </c>
      <c r="AA67" s="100">
        <f t="shared" si="52"/>
        <v>326536</v>
      </c>
      <c r="AB67" s="78">
        <f t="shared" si="59"/>
        <v>11542.386581638999</v>
      </c>
      <c r="AC67" s="102">
        <f t="shared" si="33"/>
        <v>3.5347975664670968E-2</v>
      </c>
      <c r="AD67" s="5"/>
      <c r="AE67" s="7" t="s">
        <v>1053</v>
      </c>
      <c r="AF67" s="7" t="str">
        <f>VLOOKUP(C67,Estudio_Mercado_Ori!$C$12:$AH$1115,32,0)</f>
        <v>56PROCEDAS</v>
      </c>
      <c r="BG67" s="7">
        <v>70</v>
      </c>
      <c r="DA67" s="7" t="str">
        <f>VLOOKUP(C67,listaBolsa!$D$2:$BA$1248,1,0)</f>
        <v>Cemento</v>
      </c>
      <c r="DB67" s="7">
        <f>VLOOKUP(C67,listaBolsa!$D$2:$BA$1248,2,0)</f>
        <v>0</v>
      </c>
      <c r="DC67" s="7" t="str">
        <f>VLOOKUP(C67,listaBolsa!$D$2:$BA$1248,10,0)</f>
        <v>AVANCE ORGANIZACIONAL CONSULTORES SAS</v>
      </c>
      <c r="DD67" s="7">
        <f>VLOOKUP(C67,listaBolsa!$D$2:$BA$1248,14,0)</f>
        <v>35000</v>
      </c>
      <c r="DE67" s="7" t="str">
        <f>VLOOKUP(C67,listaBolsa!$D$2:$BA$1248,23,0)</f>
        <v>SIDED</v>
      </c>
      <c r="DF67" s="7">
        <f>VLOOKUP(C67,listaBolsa!$D$2:$BA$1248,29,0)</f>
        <v>41650</v>
      </c>
      <c r="DG67" s="7" t="str">
        <f>VLOOKUP(C67,listaBolsa!$D$2:$BA$1248,36,0)</f>
        <v>HOMECENTER</v>
      </c>
      <c r="DH67" s="7">
        <f>VLOOKUP(C67,listaBolsa!$D$2:$BA$1248,40,0)</f>
        <v>32900</v>
      </c>
      <c r="DI67" s="253">
        <f>VLOOKUP(C67,listaBolsa!$D$2:$BA$1248,48,0)</f>
        <v>3.5299999999999998E-2</v>
      </c>
      <c r="DJ67" s="7" t="b">
        <f t="shared" si="34"/>
        <v>1</v>
      </c>
      <c r="DK67" s="7" t="b">
        <f t="shared" si="35"/>
        <v>0</v>
      </c>
      <c r="DL67" s="7" t="b">
        <f t="shared" si="36"/>
        <v>1</v>
      </c>
      <c r="DM67" s="7" t="b">
        <f t="shared" si="37"/>
        <v>1</v>
      </c>
      <c r="DN67" s="7" t="b">
        <f t="shared" si="38"/>
        <v>1</v>
      </c>
      <c r="DO67" s="7" t="b">
        <f t="shared" si="39"/>
        <v>0</v>
      </c>
      <c r="DP67" s="7" t="b">
        <f t="shared" si="40"/>
        <v>1</v>
      </c>
      <c r="DQ67" s="7" t="b">
        <f t="shared" si="41"/>
        <v>1</v>
      </c>
      <c r="DR67" s="7" t="b">
        <f t="shared" si="42"/>
        <v>0</v>
      </c>
    </row>
    <row r="68" spans="1:122" s="7" customFormat="1" ht="105" customHeight="1">
      <c r="A68" s="75">
        <v>57</v>
      </c>
      <c r="B68" s="251" t="s">
        <v>309</v>
      </c>
      <c r="C68" s="95" t="s">
        <v>397</v>
      </c>
      <c r="D68" s="186" t="s">
        <v>398</v>
      </c>
      <c r="E68" s="111" t="s">
        <v>244</v>
      </c>
      <c r="F68" s="112">
        <v>8</v>
      </c>
      <c r="G68" s="75" t="s">
        <v>192</v>
      </c>
      <c r="H68" s="106" t="s">
        <v>399</v>
      </c>
      <c r="I68" s="107">
        <v>6386.5546218487398</v>
      </c>
      <c r="J68" s="96">
        <f t="shared" si="43"/>
        <v>1213.4453781512607</v>
      </c>
      <c r="K68" s="96">
        <f t="shared" si="44"/>
        <v>7600</v>
      </c>
      <c r="L68" s="96">
        <f t="shared" si="45"/>
        <v>51092.436974789918</v>
      </c>
      <c r="M68" s="96">
        <f t="shared" si="46"/>
        <v>60800</v>
      </c>
      <c r="N68" s="108" t="s">
        <v>245</v>
      </c>
      <c r="O68" s="109">
        <v>8000</v>
      </c>
      <c r="P68" s="110">
        <f t="shared" si="29"/>
        <v>1520</v>
      </c>
      <c r="Q68" s="110">
        <f t="shared" si="30"/>
        <v>9520</v>
      </c>
      <c r="R68" s="110">
        <f t="shared" si="31"/>
        <v>64000</v>
      </c>
      <c r="S68" s="110">
        <f t="shared" si="32"/>
        <v>76160</v>
      </c>
      <c r="T68" s="97" t="s">
        <v>365</v>
      </c>
      <c r="U68" s="98">
        <v>7563.0252100840344</v>
      </c>
      <c r="V68" s="99">
        <f t="shared" si="54"/>
        <v>1436.9747899159665</v>
      </c>
      <c r="W68" s="99">
        <f t="shared" si="55"/>
        <v>9000</v>
      </c>
      <c r="X68" s="99">
        <f t="shared" si="56"/>
        <v>60504.201680672275</v>
      </c>
      <c r="Y68" s="99">
        <f t="shared" si="57"/>
        <v>72000</v>
      </c>
      <c r="Z68" s="100">
        <f t="shared" si="58"/>
        <v>8706.6666666666661</v>
      </c>
      <c r="AA68" s="100">
        <f t="shared" si="52"/>
        <v>69653.333333333328</v>
      </c>
      <c r="AB68" s="78">
        <f t="shared" si="59"/>
        <v>7944.3397040492509</v>
      </c>
      <c r="AC68" s="102">
        <f t="shared" si="33"/>
        <v>0.11405541305583726</v>
      </c>
      <c r="AD68" s="5"/>
      <c r="AE68" s="7" t="s">
        <v>1053</v>
      </c>
      <c r="AF68" s="7" t="str">
        <f>VLOOKUP(C68,Estudio_Mercado_Ori!$C$12:$AH$1115,32,0)</f>
        <v>57PROCEDAS</v>
      </c>
      <c r="BG68" s="7">
        <v>71</v>
      </c>
      <c r="DA68" s="7" t="str">
        <f>VLOOKUP(C68,listaBolsa!$D$2:$BA$1248,1,0)</f>
        <v>Almidón</v>
      </c>
      <c r="DB68" s="7">
        <f>VLOOKUP(C68,listaBolsa!$D$2:$BA$1248,2,0)</f>
        <v>0</v>
      </c>
      <c r="DC68" s="7" t="str">
        <f>VLOOKUP(C68,listaBolsa!$D$2:$BA$1248,10,0)</f>
        <v>HAIKU</v>
      </c>
      <c r="DD68" s="7">
        <f>VLOOKUP(C68,listaBolsa!$D$2:$BA$1248,14,0)</f>
        <v>6386.55</v>
      </c>
      <c r="DE68" s="7" t="str">
        <f>VLOOKUP(C68,listaBolsa!$D$2:$BA$1248,23,0)</f>
        <v>CONADES</v>
      </c>
      <c r="DF68" s="7">
        <f>VLOOKUP(C68,listaBolsa!$D$2:$BA$1248,29,0)</f>
        <v>9520</v>
      </c>
      <c r="DG68" s="7" t="str">
        <f>VLOOKUP(C68,listaBolsa!$D$2:$BA$1248,36,0)</f>
        <v>BODEGA PORTILLA</v>
      </c>
      <c r="DH68" s="7">
        <f>VLOOKUP(C68,listaBolsa!$D$2:$BA$1248,40,0)</f>
        <v>7563.03</v>
      </c>
      <c r="DI68" s="253">
        <f>VLOOKUP(C68,listaBolsa!$D$2:$BA$1248,48,0)</f>
        <v>0.11409999999999999</v>
      </c>
      <c r="DJ68" s="7" t="b">
        <f t="shared" si="34"/>
        <v>1</v>
      </c>
      <c r="DK68" s="7" t="b">
        <f t="shared" si="35"/>
        <v>0</v>
      </c>
      <c r="DL68" s="7" t="b">
        <f t="shared" si="36"/>
        <v>1</v>
      </c>
      <c r="DM68" s="7" t="b">
        <f t="shared" si="37"/>
        <v>0</v>
      </c>
      <c r="DN68" s="7" t="b">
        <f t="shared" si="38"/>
        <v>1</v>
      </c>
      <c r="DO68" s="7" t="b">
        <f t="shared" si="39"/>
        <v>0</v>
      </c>
      <c r="DP68" s="7" t="b">
        <f t="shared" si="40"/>
        <v>1</v>
      </c>
      <c r="DQ68" s="7" t="b">
        <f t="shared" si="41"/>
        <v>0</v>
      </c>
      <c r="DR68" s="7" t="b">
        <f t="shared" si="42"/>
        <v>0</v>
      </c>
    </row>
    <row r="69" spans="1:122" s="7" customFormat="1" ht="105" customHeight="1">
      <c r="A69" s="75">
        <v>58</v>
      </c>
      <c r="B69" s="251" t="s">
        <v>309</v>
      </c>
      <c r="C69" s="95" t="s">
        <v>401</v>
      </c>
      <c r="D69" s="186" t="s">
        <v>402</v>
      </c>
      <c r="E69" s="111" t="s">
        <v>403</v>
      </c>
      <c r="F69" s="112">
        <v>200</v>
      </c>
      <c r="G69" s="75" t="s">
        <v>192</v>
      </c>
      <c r="H69" s="106" t="s">
        <v>193</v>
      </c>
      <c r="I69" s="107">
        <v>8300</v>
      </c>
      <c r="J69" s="96">
        <f t="shared" si="43"/>
        <v>1577</v>
      </c>
      <c r="K69" s="96">
        <f t="shared" si="44"/>
        <v>9877</v>
      </c>
      <c r="L69" s="96">
        <f t="shared" si="45"/>
        <v>1660000</v>
      </c>
      <c r="M69" s="96">
        <f t="shared" si="46"/>
        <v>1975400</v>
      </c>
      <c r="N69" s="108" t="s">
        <v>194</v>
      </c>
      <c r="O69" s="109">
        <v>8300</v>
      </c>
      <c r="P69" s="110">
        <f t="shared" si="29"/>
        <v>1577</v>
      </c>
      <c r="Q69" s="110">
        <f t="shared" si="30"/>
        <v>9877</v>
      </c>
      <c r="R69" s="110">
        <f t="shared" si="31"/>
        <v>1660000</v>
      </c>
      <c r="S69" s="110">
        <f t="shared" si="32"/>
        <v>1975400</v>
      </c>
      <c r="T69" s="97" t="s">
        <v>404</v>
      </c>
      <c r="U69" s="98">
        <v>9075.6302521008402</v>
      </c>
      <c r="V69" s="99">
        <f t="shared" si="54"/>
        <v>1724.3697478991596</v>
      </c>
      <c r="W69" s="99">
        <f t="shared" si="55"/>
        <v>10800</v>
      </c>
      <c r="X69" s="99">
        <f t="shared" si="56"/>
        <v>1815126.0504201681</v>
      </c>
      <c r="Y69" s="99">
        <f t="shared" si="57"/>
        <v>2160000</v>
      </c>
      <c r="Z69" s="100">
        <f t="shared" si="58"/>
        <v>10184.666666666666</v>
      </c>
      <c r="AA69" s="100">
        <f t="shared" si="52"/>
        <v>2036933.3333333333</v>
      </c>
      <c r="AB69" s="78">
        <f t="shared" si="59"/>
        <v>106578.85969240492</v>
      </c>
      <c r="AC69" s="102">
        <f t="shared" si="33"/>
        <v>5.2323194848009222E-2</v>
      </c>
      <c r="AD69" s="5"/>
      <c r="AE69" s="7" t="s">
        <v>1061</v>
      </c>
      <c r="AF69" s="7" t="str">
        <f>VLOOKUP(C69,Estudio_Mercado_Ori!$C$12:$AH$1115,32,0)</f>
        <v>58PROCEDAS</v>
      </c>
      <c r="BG69" s="7">
        <v>72</v>
      </c>
      <c r="DA69" s="7" t="str">
        <f>VLOOKUP(C69,listaBolsa!$D$2:$BA$1248,1,0)</f>
        <v>Fibra natural</v>
      </c>
      <c r="DB69" s="7">
        <f>VLOOKUP(C69,listaBolsa!$D$2:$BA$1248,2,0)</f>
        <v>0</v>
      </c>
      <c r="DC69" s="7" t="str">
        <f>VLOOKUP(C69,listaBolsa!$D$2:$BA$1248,10,0)</f>
        <v>AVANCE ORGANIZACIONAL CONSULTORES SAS</v>
      </c>
      <c r="DD69" s="7">
        <f>VLOOKUP(C69,listaBolsa!$D$2:$BA$1248,14,0)</f>
        <v>8300</v>
      </c>
      <c r="DE69" s="7" t="str">
        <f>VLOOKUP(C69,listaBolsa!$D$2:$BA$1248,23,0)</f>
        <v>CONADES</v>
      </c>
      <c r="DF69" s="7">
        <f>VLOOKUP(C69,listaBolsa!$D$2:$BA$1248,29,0)</f>
        <v>9520</v>
      </c>
      <c r="DG69" s="7" t="str">
        <f>VLOOKUP(C69,listaBolsa!$D$2:$BA$1248,36,0)</f>
        <v>SIDED</v>
      </c>
      <c r="DH69" s="7">
        <f>VLOOKUP(C69,listaBolsa!$D$2:$BA$1248,40,0)</f>
        <v>9800</v>
      </c>
      <c r="DI69" s="253">
        <f>VLOOKUP(C69,listaBolsa!$D$2:$BA$1248,48,0)</f>
        <v>0.1108</v>
      </c>
      <c r="DJ69" s="7" t="b">
        <f t="shared" si="34"/>
        <v>1</v>
      </c>
      <c r="DK69" s="7" t="b">
        <f t="shared" si="35"/>
        <v>0</v>
      </c>
      <c r="DL69" s="7" t="b">
        <f t="shared" si="36"/>
        <v>1</v>
      </c>
      <c r="DM69" s="7" t="b">
        <f t="shared" si="37"/>
        <v>1</v>
      </c>
      <c r="DN69" s="7" t="b">
        <f t="shared" si="38"/>
        <v>0</v>
      </c>
      <c r="DO69" s="7" t="b">
        <f t="shared" si="39"/>
        <v>0</v>
      </c>
      <c r="DP69" s="7" t="b">
        <f t="shared" si="40"/>
        <v>0</v>
      </c>
      <c r="DQ69" s="7" t="b">
        <f t="shared" si="41"/>
        <v>0</v>
      </c>
      <c r="DR69" s="7" t="b">
        <f t="shared" si="42"/>
        <v>0</v>
      </c>
    </row>
    <row r="70" spans="1:122" s="7" customFormat="1" ht="105" customHeight="1">
      <c r="A70" s="75">
        <v>59</v>
      </c>
      <c r="B70" s="251" t="s">
        <v>309</v>
      </c>
      <c r="C70" s="95" t="s">
        <v>406</v>
      </c>
      <c r="D70" s="186" t="s">
        <v>407</v>
      </c>
      <c r="E70" s="111" t="s">
        <v>191</v>
      </c>
      <c r="F70" s="112">
        <v>10</v>
      </c>
      <c r="G70" s="75" t="s">
        <v>192</v>
      </c>
      <c r="H70" s="106" t="s">
        <v>245</v>
      </c>
      <c r="I70" s="107">
        <v>25000</v>
      </c>
      <c r="J70" s="96">
        <f t="shared" si="43"/>
        <v>4750</v>
      </c>
      <c r="K70" s="96">
        <f t="shared" si="44"/>
        <v>29750</v>
      </c>
      <c r="L70" s="96">
        <f t="shared" si="45"/>
        <v>250000</v>
      </c>
      <c r="M70" s="96">
        <f t="shared" si="46"/>
        <v>297500</v>
      </c>
      <c r="N70" s="108" t="s">
        <v>194</v>
      </c>
      <c r="O70" s="109">
        <v>23000</v>
      </c>
      <c r="P70" s="110">
        <f t="shared" si="29"/>
        <v>4370</v>
      </c>
      <c r="Q70" s="110">
        <f t="shared" si="30"/>
        <v>27370</v>
      </c>
      <c r="R70" s="110">
        <f t="shared" si="31"/>
        <v>230000</v>
      </c>
      <c r="S70" s="110">
        <f t="shared" si="32"/>
        <v>273700</v>
      </c>
      <c r="T70" s="97" t="s">
        <v>408</v>
      </c>
      <c r="U70" s="98">
        <v>25168.067226890758</v>
      </c>
      <c r="V70" s="99">
        <f t="shared" si="54"/>
        <v>4781.9327731092444</v>
      </c>
      <c r="W70" s="99">
        <f t="shared" si="55"/>
        <v>29950.000000000004</v>
      </c>
      <c r="X70" s="99">
        <f t="shared" si="56"/>
        <v>251680.6722689076</v>
      </c>
      <c r="Y70" s="99">
        <f t="shared" si="57"/>
        <v>299500.00000000006</v>
      </c>
      <c r="Z70" s="100">
        <f t="shared" si="58"/>
        <v>29023.333333333332</v>
      </c>
      <c r="AA70" s="100">
        <f t="shared" si="52"/>
        <v>290233.33333333331</v>
      </c>
      <c r="AB70" s="78">
        <f t="shared" si="59"/>
        <v>14353.164575567782</v>
      </c>
      <c r="AC70" s="102">
        <f t="shared" si="33"/>
        <v>4.9453880471693294E-2</v>
      </c>
      <c r="AD70" s="5"/>
      <c r="AE70" s="7" t="s">
        <v>1053</v>
      </c>
      <c r="AF70" s="7" t="str">
        <f>VLOOKUP(C70,Estudio_Mercado_Ori!$C$12:$AH$1115,32,0)</f>
        <v>59PROCEDAS</v>
      </c>
      <c r="BG70" s="7">
        <v>73</v>
      </c>
      <c r="DA70" s="7" t="str">
        <f>VLOOKUP(C70,listaBolsa!$D$2:$BA$1248,1,0)</f>
        <v>Láminas</v>
      </c>
      <c r="DB70" s="7">
        <f>VLOOKUP(C70,listaBolsa!$D$2:$BA$1248,2,0)</f>
        <v>0</v>
      </c>
      <c r="DC70" s="7" t="str">
        <f>VLOOKUP(C70,listaBolsa!$D$2:$BA$1248,10,0)</f>
        <v>CONADES</v>
      </c>
      <c r="DD70" s="7">
        <f>VLOOKUP(C70,listaBolsa!$D$2:$BA$1248,14,0)</f>
        <v>25000</v>
      </c>
      <c r="DE70" s="7" t="str">
        <f>VLOOKUP(C70,listaBolsa!$D$2:$BA$1248,23,0)</f>
        <v>SIDED</v>
      </c>
      <c r="DF70" s="7">
        <f>VLOOKUP(C70,listaBolsa!$D$2:$BA$1248,29,0)</f>
        <v>27370</v>
      </c>
      <c r="DG70" s="7" t="str">
        <f>VLOOKUP(C70,listaBolsa!$D$2:$BA$1248,36,0)</f>
        <v>AMBIENTE GROUMENT</v>
      </c>
      <c r="DH70" s="7">
        <f>VLOOKUP(C70,listaBolsa!$D$2:$BA$1248,40,0)</f>
        <v>25168.07</v>
      </c>
      <c r="DI70" s="253">
        <f>VLOOKUP(C70,listaBolsa!$D$2:$BA$1248,48,0)</f>
        <v>4.9500000000000002E-2</v>
      </c>
      <c r="DJ70" s="7" t="b">
        <f t="shared" si="34"/>
        <v>1</v>
      </c>
      <c r="DK70" s="7" t="b">
        <f t="shared" si="35"/>
        <v>0</v>
      </c>
      <c r="DL70" s="7" t="b">
        <f t="shared" si="36"/>
        <v>1</v>
      </c>
      <c r="DM70" s="7" t="b">
        <f t="shared" si="37"/>
        <v>1</v>
      </c>
      <c r="DN70" s="7" t="b">
        <f t="shared" si="38"/>
        <v>1</v>
      </c>
      <c r="DO70" s="7" t="b">
        <f t="shared" si="39"/>
        <v>0</v>
      </c>
      <c r="DP70" s="7" t="b">
        <f t="shared" si="40"/>
        <v>1</v>
      </c>
      <c r="DQ70" s="7" t="b">
        <f t="shared" si="41"/>
        <v>0</v>
      </c>
      <c r="DR70" s="7" t="b">
        <f t="shared" si="42"/>
        <v>0</v>
      </c>
    </row>
    <row r="71" spans="1:122" s="7" customFormat="1" ht="105" customHeight="1">
      <c r="A71" s="75">
        <v>60</v>
      </c>
      <c r="B71" s="251" t="s">
        <v>309</v>
      </c>
      <c r="C71" s="95" t="s">
        <v>410</v>
      </c>
      <c r="D71" s="186" t="s">
        <v>411</v>
      </c>
      <c r="E71" s="111" t="s">
        <v>191</v>
      </c>
      <c r="F71" s="112">
        <v>1</v>
      </c>
      <c r="G71" s="75" t="s">
        <v>192</v>
      </c>
      <c r="H71" s="106" t="s">
        <v>245</v>
      </c>
      <c r="I71" s="107">
        <v>18000</v>
      </c>
      <c r="J71" s="96">
        <f t="shared" si="43"/>
        <v>3420</v>
      </c>
      <c r="K71" s="96">
        <f t="shared" si="44"/>
        <v>21420</v>
      </c>
      <c r="L71" s="96">
        <f t="shared" si="45"/>
        <v>18000</v>
      </c>
      <c r="M71" s="96">
        <f t="shared" si="46"/>
        <v>21420</v>
      </c>
      <c r="N71" s="108" t="s">
        <v>412</v>
      </c>
      <c r="O71" s="109">
        <v>15042.02</v>
      </c>
      <c r="P71" s="110">
        <f t="shared" si="29"/>
        <v>2857.9838</v>
      </c>
      <c r="Q71" s="110">
        <f t="shared" si="30"/>
        <v>17900.003799999999</v>
      </c>
      <c r="R71" s="110">
        <f t="shared" si="31"/>
        <v>15042.02</v>
      </c>
      <c r="S71" s="110">
        <f t="shared" si="32"/>
        <v>17900.003799999999</v>
      </c>
      <c r="T71" s="97" t="s">
        <v>194</v>
      </c>
      <c r="U71" s="98">
        <v>21000</v>
      </c>
      <c r="V71" s="99">
        <f t="shared" si="54"/>
        <v>3990</v>
      </c>
      <c r="W71" s="99">
        <f t="shared" si="55"/>
        <v>24990</v>
      </c>
      <c r="X71" s="99">
        <f t="shared" si="56"/>
        <v>21000</v>
      </c>
      <c r="Y71" s="99">
        <f t="shared" si="57"/>
        <v>24990</v>
      </c>
      <c r="Z71" s="100">
        <f t="shared" si="58"/>
        <v>21436.667933333334</v>
      </c>
      <c r="AA71" s="100">
        <f t="shared" si="52"/>
        <v>21436.667933333334</v>
      </c>
      <c r="AB71" s="78">
        <f t="shared" si="59"/>
        <v>3545.0274884695468</v>
      </c>
      <c r="AC71" s="102">
        <f t="shared" si="33"/>
        <v>0.16537213243655011</v>
      </c>
      <c r="AD71" s="5"/>
      <c r="AF71" s="7" t="str">
        <f>VLOOKUP(C71,Estudio_Mercado_Ori!$C$12:$AH$1115,32,0)</f>
        <v>60PROCEDAS</v>
      </c>
      <c r="BG71" s="7">
        <v>74</v>
      </c>
      <c r="DA71" s="7" t="e">
        <f>VLOOKUP(C71,listaBolsa!$D$2:$BA$1248,1,0)</f>
        <v>#N/A</v>
      </c>
      <c r="DB71" s="7" t="e">
        <f>VLOOKUP(C71,listaBolsa!$D$2:$BA$1248,2,0)</f>
        <v>#N/A</v>
      </c>
      <c r="DC71" s="7" t="e">
        <f>VLOOKUP(C71,listaBolsa!$D$2:$BA$1248,10,0)</f>
        <v>#N/A</v>
      </c>
      <c r="DD71" s="7" t="e">
        <f>VLOOKUP(C71,listaBolsa!$D$2:$BA$1248,14,0)</f>
        <v>#N/A</v>
      </c>
      <c r="DE71" s="7" t="e">
        <f>VLOOKUP(C71,listaBolsa!$D$2:$BA$1248,23,0)</f>
        <v>#N/A</v>
      </c>
      <c r="DF71" s="7" t="e">
        <f>VLOOKUP(C71,listaBolsa!$D$2:$BA$1248,29,0)</f>
        <v>#N/A</v>
      </c>
      <c r="DG71" s="7" t="e">
        <f>VLOOKUP(C71,listaBolsa!$D$2:$BA$1248,36,0)</f>
        <v>#N/A</v>
      </c>
      <c r="DH71" s="7" t="e">
        <f>VLOOKUP(C71,listaBolsa!$D$2:$BA$1248,40,0)</f>
        <v>#N/A</v>
      </c>
      <c r="DI71" s="252" t="e">
        <f>VLOOKUP(C71,listaBolsa!$D$2:$BA$1248,48,0)</f>
        <v>#N/A</v>
      </c>
      <c r="DJ71" s="7" t="e">
        <f t="shared" si="34"/>
        <v>#N/A</v>
      </c>
      <c r="DK71" s="7" t="e">
        <f t="shared" si="35"/>
        <v>#N/A</v>
      </c>
      <c r="DL71" s="7" t="e">
        <f t="shared" si="36"/>
        <v>#N/A</v>
      </c>
      <c r="DM71" s="7" t="e">
        <f t="shared" si="37"/>
        <v>#N/A</v>
      </c>
      <c r="DN71" s="7" t="e">
        <f t="shared" si="38"/>
        <v>#N/A</v>
      </c>
      <c r="DO71" s="7" t="e">
        <f t="shared" si="39"/>
        <v>#N/A</v>
      </c>
      <c r="DP71" s="7" t="e">
        <f t="shared" si="40"/>
        <v>#N/A</v>
      </c>
      <c r="DQ71" s="7" t="e">
        <f t="shared" si="41"/>
        <v>#N/A</v>
      </c>
      <c r="DR71" s="7" t="e">
        <f t="shared" si="42"/>
        <v>#N/A</v>
      </c>
    </row>
    <row r="72" spans="1:122" s="7" customFormat="1" ht="105" customHeight="1">
      <c r="A72" s="75">
        <v>61</v>
      </c>
      <c r="B72" s="251" t="s">
        <v>309</v>
      </c>
      <c r="C72" s="393" t="s">
        <v>1062</v>
      </c>
      <c r="D72" s="393" t="s">
        <v>1063</v>
      </c>
      <c r="E72" s="111" t="s">
        <v>191</v>
      </c>
      <c r="F72" s="112">
        <v>1</v>
      </c>
      <c r="G72" s="75" t="s">
        <v>192</v>
      </c>
      <c r="H72" s="371" t="s">
        <v>416</v>
      </c>
      <c r="I72" s="331">
        <v>83109.240000000005</v>
      </c>
      <c r="J72" s="96">
        <f t="shared" si="43"/>
        <v>15790.7556</v>
      </c>
      <c r="K72" s="96">
        <f t="shared" si="44"/>
        <v>98899.995600000009</v>
      </c>
      <c r="L72" s="96">
        <f t="shared" si="45"/>
        <v>83109.240000000005</v>
      </c>
      <c r="M72" s="96">
        <f t="shared" si="46"/>
        <v>98899.995600000009</v>
      </c>
      <c r="N72" s="374" t="s">
        <v>1064</v>
      </c>
      <c r="O72" s="332">
        <v>83949.58</v>
      </c>
      <c r="P72" s="110">
        <f t="shared" si="29"/>
        <v>15950.4202</v>
      </c>
      <c r="Q72" s="110">
        <f t="shared" si="30"/>
        <v>99900.000200000009</v>
      </c>
      <c r="R72" s="110">
        <f t="shared" si="31"/>
        <v>83949.58</v>
      </c>
      <c r="S72" s="110">
        <f t="shared" si="32"/>
        <v>99900.000200000009</v>
      </c>
      <c r="T72" s="383" t="s">
        <v>230</v>
      </c>
      <c r="U72" s="333">
        <v>75546.22</v>
      </c>
      <c r="V72" s="99">
        <f t="shared" si="54"/>
        <v>14353.781800000001</v>
      </c>
      <c r="W72" s="99">
        <f t="shared" si="55"/>
        <v>89900.001799999998</v>
      </c>
      <c r="X72" s="99">
        <f t="shared" si="56"/>
        <v>75546.22</v>
      </c>
      <c r="Y72" s="99">
        <f t="shared" si="57"/>
        <v>89900.001799999998</v>
      </c>
      <c r="Z72" s="100">
        <f t="shared" si="58"/>
        <v>96233.332533333334</v>
      </c>
      <c r="AA72" s="100">
        <f t="shared" si="52"/>
        <v>96233.332533333334</v>
      </c>
      <c r="AB72" s="78">
        <f t="shared" si="59"/>
        <v>5507.5685137221635</v>
      </c>
      <c r="AC72" s="102">
        <f t="shared" si="33"/>
        <v>5.7231401726781622E-2</v>
      </c>
      <c r="AD72" s="5"/>
      <c r="AF72" s="7" t="str">
        <f>VLOOKUP(C72,Estudio_Mercado_Ori!$C$12:$AH$1115,32,0)</f>
        <v>61PROCEDAS</v>
      </c>
      <c r="BG72" s="7">
        <v>75</v>
      </c>
      <c r="DA72" s="7" t="e">
        <f>VLOOKUP(C72,listaBolsa!$D$2:$BA$1248,1,0)</f>
        <v>#N/A</v>
      </c>
      <c r="DB72" s="7" t="e">
        <f>VLOOKUP(C72,listaBolsa!$D$2:$BA$1248,2,0)</f>
        <v>#N/A</v>
      </c>
      <c r="DC72" s="7" t="e">
        <f>VLOOKUP(C72,listaBolsa!$D$2:$BA$1248,10,0)</f>
        <v>#N/A</v>
      </c>
      <c r="DD72" s="7" t="e">
        <f>VLOOKUP(C72,listaBolsa!$D$2:$BA$1248,14,0)</f>
        <v>#N/A</v>
      </c>
      <c r="DE72" s="7" t="e">
        <f>VLOOKUP(C72,listaBolsa!$D$2:$BA$1248,23,0)</f>
        <v>#N/A</v>
      </c>
      <c r="DF72" s="7" t="e">
        <f>VLOOKUP(C72,listaBolsa!$D$2:$BA$1248,29,0)</f>
        <v>#N/A</v>
      </c>
      <c r="DG72" s="7" t="e">
        <f>VLOOKUP(C72,listaBolsa!$D$2:$BA$1248,36,0)</f>
        <v>#N/A</v>
      </c>
      <c r="DH72" s="7" t="e">
        <f>VLOOKUP(C72,listaBolsa!$D$2:$BA$1248,40,0)</f>
        <v>#N/A</v>
      </c>
      <c r="DI72" s="252" t="e">
        <f>VLOOKUP(C72,listaBolsa!$D$2:$BA$1248,48,0)</f>
        <v>#N/A</v>
      </c>
      <c r="DJ72" s="7" t="e">
        <f t="shared" si="34"/>
        <v>#N/A</v>
      </c>
      <c r="DK72" s="7" t="e">
        <f t="shared" si="35"/>
        <v>#N/A</v>
      </c>
      <c r="DL72" s="7" t="e">
        <f t="shared" si="36"/>
        <v>#N/A</v>
      </c>
      <c r="DM72" s="7" t="e">
        <f t="shared" si="37"/>
        <v>#N/A</v>
      </c>
      <c r="DN72" s="7" t="e">
        <f t="shared" si="38"/>
        <v>#N/A</v>
      </c>
      <c r="DO72" s="7" t="e">
        <f t="shared" si="39"/>
        <v>#N/A</v>
      </c>
      <c r="DP72" s="7" t="e">
        <f t="shared" si="40"/>
        <v>#N/A</v>
      </c>
      <c r="DQ72" s="7" t="e">
        <f t="shared" si="41"/>
        <v>#N/A</v>
      </c>
      <c r="DR72" s="7" t="e">
        <f t="shared" si="42"/>
        <v>#N/A</v>
      </c>
    </row>
    <row r="73" spans="1:122" s="7" customFormat="1" ht="105" customHeight="1">
      <c r="A73" s="75">
        <v>62</v>
      </c>
      <c r="B73" s="251" t="s">
        <v>309</v>
      </c>
      <c r="C73" s="95" t="s">
        <v>397</v>
      </c>
      <c r="D73" s="186" t="s">
        <v>398</v>
      </c>
      <c r="E73" s="111" t="s">
        <v>244</v>
      </c>
      <c r="F73" s="112">
        <v>2.6</v>
      </c>
      <c r="G73" s="200" t="str">
        <f>IF(C73="","",VLOOKUP(C73,listaBolsa!$D$2:$H$276,5,0))</f>
        <v>Compra</v>
      </c>
      <c r="H73" s="106" t="s">
        <v>399</v>
      </c>
      <c r="I73" s="107">
        <v>6386.5546218487398</v>
      </c>
      <c r="J73" s="96">
        <f t="shared" si="43"/>
        <v>1213.4453781512607</v>
      </c>
      <c r="K73" s="96">
        <f t="shared" si="44"/>
        <v>7600</v>
      </c>
      <c r="L73" s="96">
        <f t="shared" si="45"/>
        <v>16605.042016806725</v>
      </c>
      <c r="M73" s="96">
        <f t="shared" si="46"/>
        <v>19760</v>
      </c>
      <c r="N73" s="108" t="s">
        <v>245</v>
      </c>
      <c r="O73" s="109">
        <v>8000</v>
      </c>
      <c r="P73" s="110">
        <f t="shared" si="29"/>
        <v>1520</v>
      </c>
      <c r="Q73" s="110">
        <f t="shared" si="30"/>
        <v>9520</v>
      </c>
      <c r="R73" s="110">
        <f t="shared" si="31"/>
        <v>20800</v>
      </c>
      <c r="S73" s="110">
        <f t="shared" si="32"/>
        <v>24752</v>
      </c>
      <c r="T73" s="97" t="s">
        <v>365</v>
      </c>
      <c r="U73" s="98">
        <v>7563.0252100840298</v>
      </c>
      <c r="V73" s="99">
        <f t="shared" si="54"/>
        <v>1436.9747899159656</v>
      </c>
      <c r="W73" s="99">
        <f t="shared" si="55"/>
        <v>8999.9999999999964</v>
      </c>
      <c r="X73" s="99">
        <f t="shared" si="56"/>
        <v>19663.86554621848</v>
      </c>
      <c r="Y73" s="99">
        <f t="shared" si="57"/>
        <v>23399.999999999993</v>
      </c>
      <c r="Z73" s="100">
        <f t="shared" si="58"/>
        <v>8706.6666666666661</v>
      </c>
      <c r="AA73" s="100">
        <f t="shared" si="52"/>
        <v>22637.333333333332</v>
      </c>
      <c r="AB73" s="78">
        <f t="shared" si="59"/>
        <v>2581.9104038160053</v>
      </c>
      <c r="AC73" s="102">
        <f t="shared" si="33"/>
        <v>0.1140554130558372</v>
      </c>
      <c r="AD73" s="5"/>
      <c r="AE73" s="7" t="s">
        <v>1053</v>
      </c>
      <c r="AF73" s="7" t="str">
        <f>VLOOKUP(C73,Estudio_Mercado_Ori!$C$12:$AH$1115,32,0)</f>
        <v>57PROCEDAS</v>
      </c>
      <c r="BG73" s="7">
        <v>76</v>
      </c>
      <c r="DA73" s="7" t="str">
        <f>VLOOKUP(C73,listaBolsa!$D$2:$BA$1248,1,0)</f>
        <v>Almidón</v>
      </c>
      <c r="DB73" s="7">
        <f>VLOOKUP(C73,listaBolsa!$D$2:$BA$1248,2,0)</f>
        <v>0</v>
      </c>
      <c r="DC73" s="7" t="str">
        <f>VLOOKUP(C73,listaBolsa!$D$2:$BA$1248,10,0)</f>
        <v>HAIKU</v>
      </c>
      <c r="DD73" s="7">
        <f>VLOOKUP(C73,listaBolsa!$D$2:$BA$1248,14,0)</f>
        <v>6386.55</v>
      </c>
      <c r="DE73" s="7" t="str">
        <f>VLOOKUP(C73,listaBolsa!$D$2:$BA$1248,23,0)</f>
        <v>CONADES</v>
      </c>
      <c r="DF73" s="7">
        <f>VLOOKUP(C73,listaBolsa!$D$2:$BA$1248,29,0)</f>
        <v>9520</v>
      </c>
      <c r="DG73" s="7" t="str">
        <f>VLOOKUP(C73,listaBolsa!$D$2:$BA$1248,36,0)</f>
        <v>BODEGA PORTILLA</v>
      </c>
      <c r="DH73" s="7">
        <f>VLOOKUP(C73,listaBolsa!$D$2:$BA$1248,40,0)</f>
        <v>7563.03</v>
      </c>
      <c r="DI73" s="253">
        <f>VLOOKUP(C73,listaBolsa!$D$2:$BA$1248,48,0)</f>
        <v>0.11409999999999999</v>
      </c>
      <c r="DJ73" s="7" t="b">
        <f t="shared" si="34"/>
        <v>1</v>
      </c>
      <c r="DK73" s="7" t="b">
        <f t="shared" si="35"/>
        <v>0</v>
      </c>
      <c r="DL73" s="7" t="b">
        <f t="shared" si="36"/>
        <v>1</v>
      </c>
      <c r="DM73" s="7" t="b">
        <f t="shared" si="37"/>
        <v>0</v>
      </c>
      <c r="DN73" s="7" t="b">
        <f t="shared" si="38"/>
        <v>1</v>
      </c>
      <c r="DO73" s="7" t="b">
        <f t="shared" si="39"/>
        <v>0</v>
      </c>
      <c r="DP73" s="7" t="b">
        <f t="shared" si="40"/>
        <v>1</v>
      </c>
      <c r="DQ73" s="7" t="b">
        <f t="shared" si="41"/>
        <v>0</v>
      </c>
      <c r="DR73" s="7" t="b">
        <f t="shared" si="42"/>
        <v>0</v>
      </c>
    </row>
    <row r="74" spans="1:122" s="7" customFormat="1" ht="105" customHeight="1">
      <c r="A74" s="75">
        <v>63</v>
      </c>
      <c r="B74" s="251" t="s">
        <v>309</v>
      </c>
      <c r="C74" s="95" t="s">
        <v>419</v>
      </c>
      <c r="D74" s="186" t="s">
        <v>420</v>
      </c>
      <c r="E74" s="111" t="s">
        <v>421</v>
      </c>
      <c r="F74" s="112">
        <v>3.3</v>
      </c>
      <c r="G74" s="200" t="e">
        <f>IF(C74="","",VLOOKUP(C74,listaBolsa!$D$2:$H$276,5,0))</f>
        <v>#N/A</v>
      </c>
      <c r="H74" s="391" t="s">
        <v>1065</v>
      </c>
      <c r="I74" s="331">
        <v>105042.02</v>
      </c>
      <c r="J74" s="96">
        <f t="shared" si="43"/>
        <v>19957.983800000002</v>
      </c>
      <c r="K74" s="96">
        <f t="shared" si="44"/>
        <v>125000.00380000001</v>
      </c>
      <c r="L74" s="96">
        <f t="shared" si="45"/>
        <v>346638.66599999997</v>
      </c>
      <c r="M74" s="96">
        <f t="shared" si="46"/>
        <v>412500.01254000003</v>
      </c>
      <c r="N74" s="108" t="s">
        <v>194</v>
      </c>
      <c r="O74" s="109">
        <v>116000</v>
      </c>
      <c r="P74" s="110">
        <f t="shared" si="29"/>
        <v>22040</v>
      </c>
      <c r="Q74" s="110">
        <f t="shared" si="30"/>
        <v>138040</v>
      </c>
      <c r="R74" s="110">
        <f t="shared" si="31"/>
        <v>382800</v>
      </c>
      <c r="S74" s="110">
        <f t="shared" si="32"/>
        <v>455532</v>
      </c>
      <c r="T74" s="97" t="s">
        <v>422</v>
      </c>
      <c r="U74" s="98">
        <v>96176.470588235301</v>
      </c>
      <c r="V74" s="99">
        <f t="shared" si="54"/>
        <v>18273.529411764706</v>
      </c>
      <c r="W74" s="99">
        <f t="shared" si="55"/>
        <v>114450</v>
      </c>
      <c r="X74" s="99">
        <f t="shared" si="56"/>
        <v>317382.3529411765</v>
      </c>
      <c r="Y74" s="99">
        <f t="shared" si="57"/>
        <v>377685</v>
      </c>
      <c r="Z74" s="100">
        <f t="shared" si="58"/>
        <v>125830.00126666667</v>
      </c>
      <c r="AA74" s="100">
        <f t="shared" si="52"/>
        <v>415239.00417999999</v>
      </c>
      <c r="AB74" s="78">
        <f t="shared" si="59"/>
        <v>38995.710131410509</v>
      </c>
      <c r="AC74" s="102">
        <f t="shared" si="33"/>
        <v>9.3911481674073288E-2</v>
      </c>
      <c r="AD74" s="5"/>
      <c r="AE74" s="334" t="s">
        <v>1047</v>
      </c>
      <c r="AF74" s="7" t="str">
        <f>VLOOKUP(C74,Estudio_Mercado_Ori!$C$12:$AH$1115,32,0)</f>
        <v>63PROCEDAS</v>
      </c>
      <c r="BG74" s="7">
        <v>77</v>
      </c>
      <c r="DA74" s="7" t="str">
        <f>VLOOKUP(C74,listaBolsa!$D$2:$BA$1248,1,0)</f>
        <v>Resina PLA</v>
      </c>
      <c r="DB74" s="7">
        <f>VLOOKUP(C74,listaBolsa!$D$2:$BA$1248,2,0)</f>
        <v>0</v>
      </c>
      <c r="DC74" s="7" t="str">
        <f>VLOOKUP(C74,listaBolsa!$D$2:$BA$1248,10,0)</f>
        <v>AVANCE ORGANIZACIONAL CONSULTORES SAS</v>
      </c>
      <c r="DD74" s="7">
        <f>VLOOKUP(C74,listaBolsa!$D$2:$BA$1248,14,0)</f>
        <v>128000</v>
      </c>
      <c r="DE74" s="7" t="str">
        <f>VLOOKUP(C74,listaBolsa!$D$2:$BA$1248,23,0)</f>
        <v>SIDED</v>
      </c>
      <c r="DF74" s="7">
        <f>VLOOKUP(C74,listaBolsa!$D$2:$BA$1248,29,0)</f>
        <v>138040</v>
      </c>
      <c r="DG74" s="7" t="str">
        <f>VLOOKUP(C74,listaBolsa!$D$2:$BA$1248,36,0)</f>
        <v>ZULUPRINT</v>
      </c>
      <c r="DH74" s="7">
        <f>VLOOKUP(C74,listaBolsa!$D$2:$BA$1248,40,0)</f>
        <v>96176.47</v>
      </c>
      <c r="DI74" s="253">
        <f>VLOOKUP(C74,listaBolsa!$D$2:$BA$1248,48,0)</f>
        <v>0.14169999999999999</v>
      </c>
      <c r="DJ74" s="7" t="b">
        <f t="shared" si="34"/>
        <v>1</v>
      </c>
      <c r="DK74" s="7" t="b">
        <f t="shared" si="35"/>
        <v>0</v>
      </c>
      <c r="DL74" s="7" t="b">
        <f t="shared" si="36"/>
        <v>0</v>
      </c>
      <c r="DM74" s="7" t="b">
        <f t="shared" si="37"/>
        <v>0</v>
      </c>
      <c r="DN74" s="7" t="b">
        <f t="shared" si="38"/>
        <v>1</v>
      </c>
      <c r="DO74" s="7" t="b">
        <f t="shared" si="39"/>
        <v>0</v>
      </c>
      <c r="DP74" s="7" t="b">
        <f t="shared" si="40"/>
        <v>1</v>
      </c>
      <c r="DQ74" s="7" t="b">
        <f t="shared" si="41"/>
        <v>0</v>
      </c>
      <c r="DR74" s="7" t="b">
        <f t="shared" si="42"/>
        <v>0</v>
      </c>
    </row>
    <row r="75" spans="1:122" s="7" customFormat="1" ht="105" customHeight="1">
      <c r="A75" s="75">
        <v>64</v>
      </c>
      <c r="B75" s="251" t="s">
        <v>309</v>
      </c>
      <c r="C75" s="95" t="s">
        <v>401</v>
      </c>
      <c r="D75" s="186" t="s">
        <v>424</v>
      </c>
      <c r="E75" s="111" t="s">
        <v>191</v>
      </c>
      <c r="F75" s="112">
        <v>1</v>
      </c>
      <c r="G75" s="75" t="s">
        <v>192</v>
      </c>
      <c r="H75" s="106" t="s">
        <v>193</v>
      </c>
      <c r="I75" s="107">
        <v>8300</v>
      </c>
      <c r="J75" s="96">
        <f t="shared" si="43"/>
        <v>1577</v>
      </c>
      <c r="K75" s="96">
        <f t="shared" si="44"/>
        <v>9877</v>
      </c>
      <c r="L75" s="96">
        <f t="shared" si="45"/>
        <v>8300</v>
      </c>
      <c r="M75" s="96">
        <f t="shared" si="46"/>
        <v>9877</v>
      </c>
      <c r="N75" s="108" t="s">
        <v>194</v>
      </c>
      <c r="O75" s="109">
        <v>8300</v>
      </c>
      <c r="P75" s="110">
        <f t="shared" si="29"/>
        <v>1577</v>
      </c>
      <c r="Q75" s="110">
        <f t="shared" si="30"/>
        <v>9877</v>
      </c>
      <c r="R75" s="110">
        <f t="shared" si="31"/>
        <v>8300</v>
      </c>
      <c r="S75" s="110">
        <f t="shared" si="32"/>
        <v>9877</v>
      </c>
      <c r="T75" s="97"/>
      <c r="U75" s="98"/>
      <c r="V75" s="99"/>
      <c r="W75" s="99"/>
      <c r="X75" s="99"/>
      <c r="Y75" s="99"/>
      <c r="Z75" s="100">
        <f>IF(A75="","",AVERAGE(K75,Q75))</f>
        <v>9877</v>
      </c>
      <c r="AA75" s="100">
        <f t="shared" si="52"/>
        <v>9877</v>
      </c>
      <c r="AB75" s="78">
        <f>IF(B75="","",STDEV(M75,S75))</f>
        <v>0</v>
      </c>
      <c r="AC75" s="102">
        <f t="shared" si="33"/>
        <v>0</v>
      </c>
      <c r="AD75" s="5"/>
      <c r="AE75" s="7" t="s">
        <v>1061</v>
      </c>
      <c r="AF75" s="7" t="str">
        <f>VLOOKUP(C75,Estudio_Mercado_Ori!$C$12:$AH$1115,32,0)</f>
        <v>58PROCEDAS</v>
      </c>
      <c r="BG75" s="7">
        <v>78</v>
      </c>
      <c r="DA75" s="7" t="str">
        <f>VLOOKUP(C75,listaBolsa!$D$2:$BA$1248,1,0)</f>
        <v>Fibra natural</v>
      </c>
      <c r="DB75" s="7">
        <f>VLOOKUP(C75,listaBolsa!$D$2:$BA$1248,2,0)</f>
        <v>0</v>
      </c>
      <c r="DC75" s="7" t="str">
        <f>VLOOKUP(C75,listaBolsa!$D$2:$BA$1248,10,0)</f>
        <v>AVANCE ORGANIZACIONAL CONSULTORES SAS</v>
      </c>
      <c r="DD75" s="7">
        <f>VLOOKUP(C75,listaBolsa!$D$2:$BA$1248,14,0)</f>
        <v>8300</v>
      </c>
      <c r="DE75" s="7" t="str">
        <f>VLOOKUP(C75,listaBolsa!$D$2:$BA$1248,23,0)</f>
        <v>CONADES</v>
      </c>
      <c r="DF75" s="7">
        <f>VLOOKUP(C75,listaBolsa!$D$2:$BA$1248,29,0)</f>
        <v>9520</v>
      </c>
      <c r="DG75" s="7" t="str">
        <f>VLOOKUP(C75,listaBolsa!$D$2:$BA$1248,36,0)</f>
        <v>SIDED</v>
      </c>
      <c r="DH75" s="7">
        <f>VLOOKUP(C75,listaBolsa!$D$2:$BA$1248,40,0)</f>
        <v>9800</v>
      </c>
      <c r="DI75" s="253">
        <f>VLOOKUP(C75,listaBolsa!$D$2:$BA$1248,48,0)</f>
        <v>0.1108</v>
      </c>
      <c r="DJ75" s="7" t="b">
        <f t="shared" si="34"/>
        <v>1</v>
      </c>
      <c r="DK75" s="7" t="b">
        <f t="shared" si="35"/>
        <v>0</v>
      </c>
      <c r="DL75" s="7" t="b">
        <f t="shared" si="36"/>
        <v>1</v>
      </c>
      <c r="DM75" s="7" t="b">
        <f t="shared" si="37"/>
        <v>1</v>
      </c>
      <c r="DN75" s="7" t="b">
        <f t="shared" si="38"/>
        <v>0</v>
      </c>
      <c r="DO75" s="7" t="b">
        <f t="shared" si="39"/>
        <v>0</v>
      </c>
      <c r="DP75" s="7" t="b">
        <f t="shared" si="40"/>
        <v>0</v>
      </c>
      <c r="DQ75" s="7" t="b">
        <f t="shared" si="41"/>
        <v>0</v>
      </c>
      <c r="DR75" s="7" t="b">
        <f t="shared" si="42"/>
        <v>0</v>
      </c>
    </row>
    <row r="76" spans="1:122" s="7" customFormat="1" ht="105" customHeight="1">
      <c r="A76" s="75">
        <v>65</v>
      </c>
      <c r="B76" s="251" t="s">
        <v>309</v>
      </c>
      <c r="C76" s="95" t="s">
        <v>401</v>
      </c>
      <c r="D76" s="186" t="s">
        <v>426</v>
      </c>
      <c r="E76" s="111" t="s">
        <v>191</v>
      </c>
      <c r="F76" s="112">
        <v>150</v>
      </c>
      <c r="G76" s="75" t="s">
        <v>192</v>
      </c>
      <c r="H76" s="106" t="s">
        <v>193</v>
      </c>
      <c r="I76" s="107">
        <v>8300</v>
      </c>
      <c r="J76" s="96">
        <f t="shared" si="43"/>
        <v>1577</v>
      </c>
      <c r="K76" s="96">
        <f t="shared" si="44"/>
        <v>9877</v>
      </c>
      <c r="L76" s="96">
        <f t="shared" si="45"/>
        <v>1245000</v>
      </c>
      <c r="M76" s="96">
        <f t="shared" si="46"/>
        <v>1481550</v>
      </c>
      <c r="N76" s="108" t="s">
        <v>194</v>
      </c>
      <c r="O76" s="109">
        <v>8300</v>
      </c>
      <c r="P76" s="110">
        <f t="shared" ref="P76:P93" si="60">O76*19%</f>
        <v>1577</v>
      </c>
      <c r="Q76" s="110">
        <f t="shared" ref="Q76:Q107" si="61">O76+P76</f>
        <v>9877</v>
      </c>
      <c r="R76" s="110">
        <f t="shared" ref="R76:R89" si="62">IF(B76="","",(O76*F76))</f>
        <v>1245000</v>
      </c>
      <c r="S76" s="110">
        <f t="shared" ref="S76:S89" si="63">IF(B76="","",(Q76*F76))</f>
        <v>1481550</v>
      </c>
      <c r="T76" s="97" t="s">
        <v>427</v>
      </c>
      <c r="U76" s="98">
        <v>8394.957983193277</v>
      </c>
      <c r="V76" s="99">
        <f t="shared" ref="V76:V88" si="64">U76*19%</f>
        <v>1595.0420168067226</v>
      </c>
      <c r="W76" s="99">
        <f t="shared" ref="W76:W88" si="65">U76+V76</f>
        <v>9990</v>
      </c>
      <c r="X76" s="99">
        <f t="shared" ref="X76:X88" si="66">IF(B76="","",(U76*F76))</f>
        <v>1259243.6974789915</v>
      </c>
      <c r="Y76" s="99">
        <f t="shared" ref="Y76:Y88" si="67">IF(B76="","",(W76*F76))</f>
        <v>1498500</v>
      </c>
      <c r="Z76" s="100">
        <f t="shared" ref="Z76:Z89" si="68">IF(A76="","",AVERAGE(K76,Q76,W76))</f>
        <v>9914.6666666666661</v>
      </c>
      <c r="AA76" s="100">
        <f t="shared" si="52"/>
        <v>1487200</v>
      </c>
      <c r="AB76" s="78">
        <f t="shared" ref="AB76:AB89" si="69">IF(B76="","",STDEV(M76,S76,Y76))</f>
        <v>9786.0870627641561</v>
      </c>
      <c r="AC76" s="102">
        <f t="shared" ref="AC76:AC89" si="70">IF(B76="","",(AB76/AA76))</f>
        <v>6.5802091600081734E-3</v>
      </c>
      <c r="AD76" s="5"/>
      <c r="AE76" s="7" t="s">
        <v>1061</v>
      </c>
      <c r="AF76" s="7" t="str">
        <f>VLOOKUP(C76,Estudio_Mercado_Ori!$C$12:$AH$1115,32,0)</f>
        <v>58PROCEDAS</v>
      </c>
      <c r="BG76" s="7">
        <v>79</v>
      </c>
      <c r="DA76" s="7" t="str">
        <f>VLOOKUP(C76,listaBolsa!$D$2:$BA$1248,1,0)</f>
        <v>Fibra natural</v>
      </c>
      <c r="DB76" s="7">
        <f>VLOOKUP(C76,listaBolsa!$D$2:$BA$1248,2,0)</f>
        <v>0</v>
      </c>
      <c r="DC76" s="7" t="str">
        <f>VLOOKUP(C76,listaBolsa!$D$2:$BA$1248,10,0)</f>
        <v>AVANCE ORGANIZACIONAL CONSULTORES SAS</v>
      </c>
      <c r="DD76" s="7">
        <f>VLOOKUP(C76,listaBolsa!$D$2:$BA$1248,14,0)</f>
        <v>8300</v>
      </c>
      <c r="DE76" s="7" t="str">
        <f>VLOOKUP(C76,listaBolsa!$D$2:$BA$1248,23,0)</f>
        <v>CONADES</v>
      </c>
      <c r="DF76" s="7">
        <f>VLOOKUP(C76,listaBolsa!$D$2:$BA$1248,29,0)</f>
        <v>9520</v>
      </c>
      <c r="DG76" s="7" t="str">
        <f>VLOOKUP(C76,listaBolsa!$D$2:$BA$1248,36,0)</f>
        <v>SIDED</v>
      </c>
      <c r="DH76" s="7">
        <f>VLOOKUP(C76,listaBolsa!$D$2:$BA$1248,40,0)</f>
        <v>9800</v>
      </c>
      <c r="DI76" s="253">
        <f>VLOOKUP(C76,listaBolsa!$D$2:$BA$1248,48,0)</f>
        <v>0.1108</v>
      </c>
      <c r="DJ76" s="7" t="b">
        <f t="shared" ref="DJ76:DJ88" si="71">DA76=C76</f>
        <v>1</v>
      </c>
      <c r="DK76" s="7" t="b">
        <f t="shared" ref="DK76:DK88" si="72">DB76=D76</f>
        <v>0</v>
      </c>
      <c r="DL76" s="7" t="b">
        <f t="shared" ref="DL76:DL110" si="73">DC76=H76</f>
        <v>1</v>
      </c>
      <c r="DM76" s="7" t="b">
        <f t="shared" ref="DM76:DM110" si="74">DD76=I76</f>
        <v>1</v>
      </c>
      <c r="DN76" s="7" t="b">
        <f t="shared" ref="DN76:DN110" si="75">DE76=N76</f>
        <v>0</v>
      </c>
      <c r="DO76" s="7" t="b">
        <f t="shared" ref="DO76:DO110" si="76">DF76=O76</f>
        <v>0</v>
      </c>
      <c r="DP76" s="7" t="b">
        <f t="shared" ref="DP76:DP110" si="77">DG76=T76</f>
        <v>0</v>
      </c>
      <c r="DQ76" s="7" t="b">
        <f t="shared" ref="DQ76:DQ110" si="78">DH76=U76</f>
        <v>0</v>
      </c>
      <c r="DR76" s="7" t="b">
        <f t="shared" ref="DR76:DR110" si="79">DI76=AC76</f>
        <v>0</v>
      </c>
    </row>
    <row r="77" spans="1:122" s="7" customFormat="1" ht="105" customHeight="1">
      <c r="A77" s="75">
        <v>66</v>
      </c>
      <c r="B77" s="251" t="s">
        <v>309</v>
      </c>
      <c r="C77" s="183" t="s">
        <v>254</v>
      </c>
      <c r="D77" s="183" t="s">
        <v>255</v>
      </c>
      <c r="E77" s="111" t="s">
        <v>191</v>
      </c>
      <c r="F77" s="112">
        <v>15</v>
      </c>
      <c r="G77" s="75" t="s">
        <v>192</v>
      </c>
      <c r="H77" s="106" t="s">
        <v>256</v>
      </c>
      <c r="I77" s="107">
        <v>150.42016806722691</v>
      </c>
      <c r="J77" s="96">
        <f t="shared" si="43"/>
        <v>28.579831932773114</v>
      </c>
      <c r="K77" s="96">
        <f t="shared" si="44"/>
        <v>179.00000000000003</v>
      </c>
      <c r="L77" s="96">
        <f t="shared" si="45"/>
        <v>2256.3025210084038</v>
      </c>
      <c r="M77" s="96">
        <f t="shared" si="46"/>
        <v>2685.0000000000005</v>
      </c>
      <c r="N77" s="108" t="s">
        <v>257</v>
      </c>
      <c r="O77" s="109">
        <v>117.64705882352941</v>
      </c>
      <c r="P77" s="110">
        <f t="shared" si="60"/>
        <v>22.352941176470587</v>
      </c>
      <c r="Q77" s="110">
        <f t="shared" si="61"/>
        <v>140</v>
      </c>
      <c r="R77" s="110">
        <f t="shared" si="62"/>
        <v>1764.705882352941</v>
      </c>
      <c r="S77" s="110">
        <f t="shared" si="63"/>
        <v>2100</v>
      </c>
      <c r="T77" s="97" t="s">
        <v>258</v>
      </c>
      <c r="U77" s="98">
        <v>168.0672268907563</v>
      </c>
      <c r="V77" s="99">
        <f t="shared" si="64"/>
        <v>31.932773109243698</v>
      </c>
      <c r="W77" s="99">
        <f t="shared" si="65"/>
        <v>200</v>
      </c>
      <c r="X77" s="99">
        <f t="shared" si="66"/>
        <v>2521.0084033613443</v>
      </c>
      <c r="Y77" s="99">
        <f t="shared" si="67"/>
        <v>3000</v>
      </c>
      <c r="Z77" s="100">
        <f t="shared" si="68"/>
        <v>173</v>
      </c>
      <c r="AA77" s="100">
        <f t="shared" si="52"/>
        <v>2595</v>
      </c>
      <c r="AB77" s="78">
        <f t="shared" si="69"/>
        <v>456.70012042915192</v>
      </c>
      <c r="AC77" s="102">
        <f t="shared" si="70"/>
        <v>0.17599233927905661</v>
      </c>
      <c r="AD77" s="5"/>
      <c r="AE77" s="7" t="s">
        <v>1053</v>
      </c>
      <c r="AF77" s="7" t="str">
        <f>VLOOKUP(C77,Estudio_Mercado_Ori!$C$12:$AH$1115,32,0)</f>
        <v>18PROCEDAS</v>
      </c>
      <c r="BG77" s="7">
        <v>80</v>
      </c>
      <c r="DA77" s="7" t="str">
        <f>VLOOKUP(C77,listaBolsa!$D$2:$BA$1248,1,0)</f>
        <v>Grapas</v>
      </c>
      <c r="DB77" s="7">
        <f>VLOOKUP(C77,listaBolsa!$D$2:$BA$1248,2,0)</f>
        <v>0</v>
      </c>
      <c r="DC77" s="7" t="str">
        <f>VLOOKUP(C77,listaBolsa!$D$2:$BA$1248,10,0)</f>
        <v>NACIONAL DE ELECTRICOS</v>
      </c>
      <c r="DD77" s="7">
        <f>VLOOKUP(C77,listaBolsa!$D$2:$BA$1248,14,0)</f>
        <v>150.41999999999999</v>
      </c>
      <c r="DE77" s="7" t="str">
        <f>VLOOKUP(C77,listaBolsa!$D$2:$BA$1248,23,0)</f>
        <v>INTER ELECTRICAS</v>
      </c>
      <c r="DF77" s="7">
        <f>VLOOKUP(C77,listaBolsa!$D$2:$BA$1248,29,0)</f>
        <v>140</v>
      </c>
      <c r="DG77" s="7" t="str">
        <f>VLOOKUP(C77,listaBolsa!$D$2:$BA$1248,36,0)</f>
        <v>PRODUCABOS</v>
      </c>
      <c r="DH77" s="7">
        <f>VLOOKUP(C77,listaBolsa!$D$2:$BA$1248,40,0)</f>
        <v>168.07</v>
      </c>
      <c r="DI77" s="253">
        <f>VLOOKUP(C77,listaBolsa!$D$2:$BA$1248,48,0)</f>
        <v>0.17599999999999999</v>
      </c>
      <c r="DJ77" s="7" t="b">
        <f t="shared" si="71"/>
        <v>1</v>
      </c>
      <c r="DK77" s="7" t="b">
        <f t="shared" si="72"/>
        <v>0</v>
      </c>
      <c r="DL77" s="7" t="b">
        <f t="shared" si="73"/>
        <v>1</v>
      </c>
      <c r="DM77" s="7" t="b">
        <f t="shared" si="74"/>
        <v>0</v>
      </c>
      <c r="DN77" s="7" t="b">
        <f t="shared" si="75"/>
        <v>1</v>
      </c>
      <c r="DO77" s="7" t="b">
        <f t="shared" si="76"/>
        <v>0</v>
      </c>
      <c r="DP77" s="7" t="b">
        <f t="shared" si="77"/>
        <v>1</v>
      </c>
      <c r="DQ77" s="7" t="b">
        <f t="shared" si="78"/>
        <v>0</v>
      </c>
      <c r="DR77" s="7" t="b">
        <f t="shared" si="79"/>
        <v>0</v>
      </c>
    </row>
    <row r="78" spans="1:122" s="7" customFormat="1" ht="105" customHeight="1">
      <c r="A78" s="75">
        <v>67</v>
      </c>
      <c r="B78" s="251" t="s">
        <v>309</v>
      </c>
      <c r="C78" s="95" t="s">
        <v>227</v>
      </c>
      <c r="D78" s="186" t="s">
        <v>430</v>
      </c>
      <c r="E78" s="111" t="s">
        <v>191</v>
      </c>
      <c r="F78" s="112">
        <v>1</v>
      </c>
      <c r="G78" s="75" t="s">
        <v>192</v>
      </c>
      <c r="H78" s="106" t="s">
        <v>431</v>
      </c>
      <c r="I78" s="107">
        <v>8655.4621848739498</v>
      </c>
      <c r="J78" s="96">
        <f t="shared" si="43"/>
        <v>1644.5378151260504</v>
      </c>
      <c r="K78" s="96">
        <f t="shared" si="44"/>
        <v>10300</v>
      </c>
      <c r="L78" s="96">
        <f t="shared" si="45"/>
        <v>8655.4621848739498</v>
      </c>
      <c r="M78" s="96">
        <f t="shared" si="46"/>
        <v>10300</v>
      </c>
      <c r="N78" s="108" t="s">
        <v>432</v>
      </c>
      <c r="O78" s="109">
        <v>9831.9327731092435</v>
      </c>
      <c r="P78" s="110">
        <f t="shared" si="60"/>
        <v>1868.0672268907563</v>
      </c>
      <c r="Q78" s="110">
        <f t="shared" si="61"/>
        <v>11700</v>
      </c>
      <c r="R78" s="110">
        <f t="shared" si="62"/>
        <v>9831.9327731092435</v>
      </c>
      <c r="S78" s="110">
        <f t="shared" si="63"/>
        <v>11700</v>
      </c>
      <c r="T78" s="97" t="s">
        <v>433</v>
      </c>
      <c r="U78" s="98">
        <v>8739.495798319329</v>
      </c>
      <c r="V78" s="99">
        <f t="shared" si="64"/>
        <v>1660.5042016806726</v>
      </c>
      <c r="W78" s="99">
        <f t="shared" si="65"/>
        <v>10400.000000000002</v>
      </c>
      <c r="X78" s="99">
        <f t="shared" si="66"/>
        <v>8739.495798319329</v>
      </c>
      <c r="Y78" s="99">
        <f t="shared" si="67"/>
        <v>10400.000000000002</v>
      </c>
      <c r="Z78" s="100">
        <f t="shared" si="68"/>
        <v>10800</v>
      </c>
      <c r="AA78" s="100">
        <f t="shared" si="52"/>
        <v>10800</v>
      </c>
      <c r="AB78" s="78">
        <f t="shared" si="69"/>
        <v>781.02496759066503</v>
      </c>
      <c r="AC78" s="102">
        <f t="shared" si="70"/>
        <v>7.2317126628765285E-2</v>
      </c>
      <c r="AD78" s="5"/>
      <c r="AE78" s="7" t="s">
        <v>1061</v>
      </c>
      <c r="AF78" s="7" t="str">
        <f>VLOOKUP(C78,Estudio_Mercado_Ori!$C$12:$AH$1115,32,0)</f>
        <v>12PROCEDAS</v>
      </c>
      <c r="BG78" s="7">
        <v>81</v>
      </c>
      <c r="DA78" s="7" t="str">
        <f>VLOOKUP(C78,listaBolsa!$D$2:$BA$1248,1,0)</f>
        <v>Pegamento</v>
      </c>
      <c r="DB78" s="7">
        <f>VLOOKUP(C78,listaBolsa!$D$2:$BA$1248,2,0)</f>
        <v>0</v>
      </c>
      <c r="DC78" s="7" t="str">
        <f>VLOOKUP(C78,listaBolsa!$D$2:$BA$1248,10,0)</f>
        <v>GRUPO SAN PIO</v>
      </c>
      <c r="DD78" s="7">
        <f>VLOOKUP(C78,listaBolsa!$D$2:$BA$1248,14,0)</f>
        <v>43426.05</v>
      </c>
      <c r="DE78" s="7" t="str">
        <f>VLOOKUP(C78,listaBolsa!$D$2:$BA$1248,23,0)</f>
        <v>HOMCENTER</v>
      </c>
      <c r="DF78" s="7">
        <f>VLOOKUP(C78,listaBolsa!$D$2:$BA$1248,29,0)</f>
        <v>51900</v>
      </c>
      <c r="DG78" s="7" t="str">
        <f>VLOOKUP(C78,listaBolsa!$D$2:$BA$1248,36,0)</f>
        <v>FERRETERIA FORERO</v>
      </c>
      <c r="DH78" s="7">
        <f>VLOOKUP(C78,listaBolsa!$D$2:$BA$1248,40,0)</f>
        <v>54868.91</v>
      </c>
      <c r="DI78" s="253">
        <f>VLOOKUP(C78,listaBolsa!$D$2:$BA$1248,48,0)</f>
        <v>0.13850000000000001</v>
      </c>
      <c r="DJ78" s="7" t="b">
        <f t="shared" si="71"/>
        <v>1</v>
      </c>
      <c r="DK78" s="7" t="b">
        <f t="shared" si="72"/>
        <v>0</v>
      </c>
      <c r="DL78" s="7" t="b">
        <f t="shared" si="73"/>
        <v>0</v>
      </c>
      <c r="DM78" s="7" t="b">
        <f t="shared" si="74"/>
        <v>0</v>
      </c>
      <c r="DN78" s="7" t="b">
        <f t="shared" si="75"/>
        <v>0</v>
      </c>
      <c r="DO78" s="7" t="b">
        <f t="shared" si="76"/>
        <v>0</v>
      </c>
      <c r="DP78" s="7" t="b">
        <f t="shared" si="77"/>
        <v>0</v>
      </c>
      <c r="DQ78" s="7" t="b">
        <f t="shared" si="78"/>
        <v>0</v>
      </c>
      <c r="DR78" s="7" t="b">
        <f t="shared" si="79"/>
        <v>0</v>
      </c>
    </row>
    <row r="79" spans="1:122" s="7" customFormat="1" ht="105" customHeight="1">
      <c r="A79" s="75">
        <v>68</v>
      </c>
      <c r="B79" s="251" t="s">
        <v>309</v>
      </c>
      <c r="C79" s="95" t="s">
        <v>435</v>
      </c>
      <c r="D79" s="186" t="s">
        <v>436</v>
      </c>
      <c r="E79" s="111" t="s">
        <v>191</v>
      </c>
      <c r="F79" s="112">
        <v>150</v>
      </c>
      <c r="G79" s="75" t="s">
        <v>192</v>
      </c>
      <c r="H79" s="106" t="s">
        <v>193</v>
      </c>
      <c r="I79" s="107">
        <v>3800</v>
      </c>
      <c r="J79" s="96">
        <f t="shared" si="43"/>
        <v>722</v>
      </c>
      <c r="K79" s="96">
        <f t="shared" si="44"/>
        <v>4522</v>
      </c>
      <c r="L79" s="96">
        <f t="shared" si="45"/>
        <v>570000</v>
      </c>
      <c r="M79" s="96">
        <f t="shared" si="46"/>
        <v>678300</v>
      </c>
      <c r="N79" s="108" t="s">
        <v>245</v>
      </c>
      <c r="O79" s="109">
        <v>6000</v>
      </c>
      <c r="P79" s="110">
        <f t="shared" si="60"/>
        <v>1140</v>
      </c>
      <c r="Q79" s="110">
        <f t="shared" si="61"/>
        <v>7140</v>
      </c>
      <c r="R79" s="110">
        <f t="shared" si="62"/>
        <v>900000</v>
      </c>
      <c r="S79" s="110">
        <f t="shared" si="63"/>
        <v>1071000</v>
      </c>
      <c r="T79" s="97" t="s">
        <v>437</v>
      </c>
      <c r="U79" s="98">
        <v>6722.6890756302528</v>
      </c>
      <c r="V79" s="99">
        <f t="shared" si="64"/>
        <v>1277.3109243697481</v>
      </c>
      <c r="W79" s="99">
        <f t="shared" si="65"/>
        <v>8000.0000000000009</v>
      </c>
      <c r="X79" s="99">
        <f t="shared" si="66"/>
        <v>1008403.3613445379</v>
      </c>
      <c r="Y79" s="99">
        <f t="shared" si="67"/>
        <v>1200000.0000000002</v>
      </c>
      <c r="Z79" s="100">
        <f t="shared" si="68"/>
        <v>6554</v>
      </c>
      <c r="AA79" s="100">
        <f t="shared" si="52"/>
        <v>983100</v>
      </c>
      <c r="AB79" s="78">
        <f t="shared" si="69"/>
        <v>271730.62028413406</v>
      </c>
      <c r="AC79" s="102">
        <f t="shared" si="70"/>
        <v>0.2764018108881437</v>
      </c>
      <c r="AD79" s="5"/>
      <c r="AE79" s="7" t="s">
        <v>1066</v>
      </c>
      <c r="AF79" s="7" t="str">
        <f>VLOOKUP(C79,Estudio_Mercado_Ori!$C$12:$AH$1115,32,0)</f>
        <v>68PROCEDAS</v>
      </c>
      <c r="BG79" s="7">
        <v>82</v>
      </c>
      <c r="DA79" s="7" t="str">
        <f>VLOOKUP(C79,listaBolsa!$D$2:$BA$1248,1,0)</f>
        <v>Lijas</v>
      </c>
      <c r="DB79" s="7">
        <f>VLOOKUP(C79,listaBolsa!$D$2:$BA$1248,2,0)</f>
        <v>0</v>
      </c>
      <c r="DC79" s="7" t="str">
        <f>VLOOKUP(C79,listaBolsa!$D$2:$BA$1248,10,0)</f>
        <v>AVANCE ORGANIZACIONAL CONSULTORES SAS</v>
      </c>
      <c r="DD79" s="7">
        <f>VLOOKUP(C79,listaBolsa!$D$2:$BA$1248,14,0)</f>
        <v>3800</v>
      </c>
      <c r="DE79" s="7" t="str">
        <f>VLOOKUP(C79,listaBolsa!$D$2:$BA$1248,23,0)</f>
        <v>CONADES</v>
      </c>
      <c r="DF79" s="7">
        <f>VLOOKUP(C79,listaBolsa!$D$2:$BA$1248,29,0)</f>
        <v>7140</v>
      </c>
      <c r="DG79" s="7" t="str">
        <f>VLOOKUP(C79,listaBolsa!$D$2:$BA$1248,36,0)</f>
        <v>EAOSDE</v>
      </c>
      <c r="DH79" s="7">
        <f>VLOOKUP(C79,listaBolsa!$D$2:$BA$1248,40,0)</f>
        <v>6722.69</v>
      </c>
      <c r="DI79" s="253">
        <f>VLOOKUP(C79,listaBolsa!$D$2:$BA$1248,48,0)</f>
        <v>0.27639999999999998</v>
      </c>
      <c r="DJ79" s="7" t="b">
        <f t="shared" si="71"/>
        <v>1</v>
      </c>
      <c r="DK79" s="7" t="b">
        <f t="shared" si="72"/>
        <v>0</v>
      </c>
      <c r="DL79" s="7" t="b">
        <f t="shared" si="73"/>
        <v>1</v>
      </c>
      <c r="DM79" s="7" t="b">
        <f t="shared" si="74"/>
        <v>1</v>
      </c>
      <c r="DN79" s="7" t="b">
        <f t="shared" si="75"/>
        <v>1</v>
      </c>
      <c r="DO79" s="7" t="b">
        <f t="shared" si="76"/>
        <v>0</v>
      </c>
      <c r="DP79" s="7" t="b">
        <f t="shared" si="77"/>
        <v>1</v>
      </c>
      <c r="DQ79" s="7" t="b">
        <f t="shared" si="78"/>
        <v>0</v>
      </c>
      <c r="DR79" s="7" t="b">
        <f t="shared" si="79"/>
        <v>0</v>
      </c>
    </row>
    <row r="80" spans="1:122" s="7" customFormat="1" ht="105" customHeight="1">
      <c r="A80" s="75">
        <v>69</v>
      </c>
      <c r="B80" s="251" t="s">
        <v>309</v>
      </c>
      <c r="C80" s="95" t="s">
        <v>439</v>
      </c>
      <c r="D80" s="186" t="s">
        <v>440</v>
      </c>
      <c r="E80" s="111" t="s">
        <v>191</v>
      </c>
      <c r="F80" s="112">
        <v>1</v>
      </c>
      <c r="G80" s="75" t="s">
        <v>192</v>
      </c>
      <c r="H80" s="106" t="s">
        <v>193</v>
      </c>
      <c r="I80" s="107">
        <v>12000</v>
      </c>
      <c r="J80" s="96">
        <f t="shared" si="43"/>
        <v>2280</v>
      </c>
      <c r="K80" s="96">
        <f t="shared" si="44"/>
        <v>14280</v>
      </c>
      <c r="L80" s="96">
        <f t="shared" si="45"/>
        <v>12000</v>
      </c>
      <c r="M80" s="96">
        <f t="shared" si="46"/>
        <v>14280</v>
      </c>
      <c r="N80" s="108" t="s">
        <v>194</v>
      </c>
      <c r="O80" s="109">
        <v>12000</v>
      </c>
      <c r="P80" s="110">
        <f t="shared" si="60"/>
        <v>2280</v>
      </c>
      <c r="Q80" s="110">
        <f t="shared" si="61"/>
        <v>14280</v>
      </c>
      <c r="R80" s="110">
        <f t="shared" si="62"/>
        <v>12000</v>
      </c>
      <c r="S80" s="110">
        <f t="shared" si="63"/>
        <v>14280</v>
      </c>
      <c r="T80" s="97" t="s">
        <v>313</v>
      </c>
      <c r="U80" s="98">
        <v>16638.65546218487</v>
      </c>
      <c r="V80" s="99">
        <f t="shared" si="64"/>
        <v>3161.3445378151255</v>
      </c>
      <c r="W80" s="99">
        <f t="shared" si="65"/>
        <v>19799.999999999996</v>
      </c>
      <c r="X80" s="99">
        <f t="shared" si="66"/>
        <v>16638.65546218487</v>
      </c>
      <c r="Y80" s="99">
        <f t="shared" si="67"/>
        <v>19799.999999999996</v>
      </c>
      <c r="Z80" s="100">
        <f t="shared" si="68"/>
        <v>16120</v>
      </c>
      <c r="AA80" s="100">
        <f t="shared" si="52"/>
        <v>16120</v>
      </c>
      <c r="AB80" s="78">
        <f t="shared" si="69"/>
        <v>3186.9734859267251</v>
      </c>
      <c r="AC80" s="102">
        <f t="shared" si="70"/>
        <v>0.19770306984657104</v>
      </c>
      <c r="AD80" s="5"/>
      <c r="AE80" s="7" t="s">
        <v>1053</v>
      </c>
      <c r="AF80" s="7" t="str">
        <f>VLOOKUP(C80,Estudio_Mercado_Ori!$C$12:$AH$1115,32,0)</f>
        <v>69PROCEDAS</v>
      </c>
      <c r="BG80" s="7">
        <v>83</v>
      </c>
      <c r="DA80" s="7" t="str">
        <f>VLOOKUP(C80,listaBolsa!$D$2:$BA$1248,1,0)</f>
        <v>Cera</v>
      </c>
      <c r="DB80" s="7">
        <f>VLOOKUP(C80,listaBolsa!$D$2:$BA$1248,2,0)</f>
        <v>0</v>
      </c>
      <c r="DC80" s="7" t="str">
        <f>VLOOKUP(C80,listaBolsa!$D$2:$BA$1248,10,0)</f>
        <v>AVANCE ORGANIZACIONAL CONSULTORES SAS</v>
      </c>
      <c r="DD80" s="7">
        <f>VLOOKUP(C80,listaBolsa!$D$2:$BA$1248,14,0)</f>
        <v>12000</v>
      </c>
      <c r="DE80" s="7" t="str">
        <f>VLOOKUP(C80,listaBolsa!$D$2:$BA$1248,23,0)</f>
        <v>SIDED</v>
      </c>
      <c r="DF80" s="7">
        <f>VLOOKUP(C80,listaBolsa!$D$2:$BA$1248,29,0)</f>
        <v>14280</v>
      </c>
      <c r="DG80" s="7" t="str">
        <f>VLOOKUP(C80,listaBolsa!$D$2:$BA$1248,36,0)</f>
        <v>VELAS E INSUMOS LEON</v>
      </c>
      <c r="DH80" s="7">
        <f>VLOOKUP(C80,listaBolsa!$D$2:$BA$1248,40,0)</f>
        <v>16638.66</v>
      </c>
      <c r="DI80" s="253">
        <f>VLOOKUP(C80,listaBolsa!$D$2:$BA$1248,48,0)</f>
        <v>0.19769999999999999</v>
      </c>
      <c r="DJ80" s="7" t="b">
        <f t="shared" si="71"/>
        <v>1</v>
      </c>
      <c r="DK80" s="7" t="b">
        <f t="shared" si="72"/>
        <v>0</v>
      </c>
      <c r="DL80" s="7" t="b">
        <f t="shared" si="73"/>
        <v>1</v>
      </c>
      <c r="DM80" s="7" t="b">
        <f t="shared" si="74"/>
        <v>1</v>
      </c>
      <c r="DN80" s="7" t="b">
        <f t="shared" si="75"/>
        <v>1</v>
      </c>
      <c r="DO80" s="7" t="b">
        <f t="shared" si="76"/>
        <v>0</v>
      </c>
      <c r="DP80" s="7" t="b">
        <f t="shared" si="77"/>
        <v>1</v>
      </c>
      <c r="DQ80" s="7" t="b">
        <f t="shared" si="78"/>
        <v>0</v>
      </c>
      <c r="DR80" s="7" t="b">
        <f t="shared" si="79"/>
        <v>0</v>
      </c>
    </row>
    <row r="81" spans="1:122" s="7" customFormat="1" ht="105" customHeight="1">
      <c r="A81" s="75">
        <v>70</v>
      </c>
      <c r="B81" s="251" t="s">
        <v>309</v>
      </c>
      <c r="C81" s="95" t="s">
        <v>442</v>
      </c>
      <c r="D81" s="186" t="s">
        <v>443</v>
      </c>
      <c r="E81" s="111" t="s">
        <v>191</v>
      </c>
      <c r="F81" s="112">
        <v>150</v>
      </c>
      <c r="G81" s="75" t="s">
        <v>192</v>
      </c>
      <c r="H81" s="106" t="s">
        <v>444</v>
      </c>
      <c r="I81" s="107">
        <v>15714.285714285719</v>
      </c>
      <c r="J81" s="96">
        <f t="shared" si="43"/>
        <v>2985.7142857142867</v>
      </c>
      <c r="K81" s="96">
        <f t="shared" si="44"/>
        <v>18700.000000000007</v>
      </c>
      <c r="L81" s="96">
        <f t="shared" si="45"/>
        <v>2357142.8571428577</v>
      </c>
      <c r="M81" s="96">
        <f t="shared" si="46"/>
        <v>2805000.0000000009</v>
      </c>
      <c r="N81" s="108" t="s">
        <v>194</v>
      </c>
      <c r="O81" s="109">
        <v>22000</v>
      </c>
      <c r="P81" s="110">
        <f t="shared" si="60"/>
        <v>4180</v>
      </c>
      <c r="Q81" s="110">
        <f t="shared" si="61"/>
        <v>26180</v>
      </c>
      <c r="R81" s="110">
        <f t="shared" si="62"/>
        <v>3300000</v>
      </c>
      <c r="S81" s="110">
        <f t="shared" si="63"/>
        <v>3927000</v>
      </c>
      <c r="T81" s="97" t="s">
        <v>445</v>
      </c>
      <c r="U81" s="98">
        <v>15957.98319327731</v>
      </c>
      <c r="V81" s="99">
        <f t="shared" si="64"/>
        <v>3032.0168067226891</v>
      </c>
      <c r="W81" s="99">
        <f t="shared" si="65"/>
        <v>18990</v>
      </c>
      <c r="X81" s="99">
        <f t="shared" si="66"/>
        <v>2393697.4789915965</v>
      </c>
      <c r="Y81" s="99">
        <f t="shared" si="67"/>
        <v>2848500</v>
      </c>
      <c r="Z81" s="100">
        <f t="shared" si="68"/>
        <v>21290.000000000004</v>
      </c>
      <c r="AA81" s="100">
        <f t="shared" ref="AA81:AA89" si="80">IF(B81="","",Z81*F81)</f>
        <v>3193500.0000000005</v>
      </c>
      <c r="AB81" s="78">
        <f t="shared" si="69"/>
        <v>635601.88011049968</v>
      </c>
      <c r="AC81" s="102">
        <f t="shared" si="70"/>
        <v>0.19902986695177691</v>
      </c>
      <c r="AD81" s="5"/>
      <c r="AE81" s="7" t="s">
        <v>1053</v>
      </c>
      <c r="AF81" s="7" t="str">
        <f>VLOOKUP(C81,Estudio_Mercado_Ori!$C$12:$AH$1115,32,0)</f>
        <v>70PROCEDAS</v>
      </c>
      <c r="BG81" s="7">
        <v>84</v>
      </c>
      <c r="DA81" s="7" t="str">
        <f>VLOOKUP(C81,listaBolsa!$D$2:$BA$1248,1,0)</f>
        <v>Cajas</v>
      </c>
      <c r="DB81" s="7">
        <f>VLOOKUP(C81,listaBolsa!$D$2:$BA$1248,2,0)</f>
        <v>0</v>
      </c>
      <c r="DC81" s="7" t="str">
        <f>VLOOKUP(C81,listaBolsa!$D$2:$BA$1248,10,0)</f>
        <v>MICROCORRUGADO</v>
      </c>
      <c r="DD81" s="7">
        <f>VLOOKUP(C81,listaBolsa!$D$2:$BA$1248,14,0)</f>
        <v>15714.29</v>
      </c>
      <c r="DE81" s="7" t="str">
        <f>VLOOKUP(C81,listaBolsa!$D$2:$BA$1248,23,0)</f>
        <v>SIDED</v>
      </c>
      <c r="DF81" s="7">
        <f>VLOOKUP(C81,listaBolsa!$D$2:$BA$1248,29,0)</f>
        <v>26180</v>
      </c>
      <c r="DG81" s="7" t="str">
        <f>VLOOKUP(C81,listaBolsa!$D$2:$BA$1248,36,0)</f>
        <v>CART PAPER</v>
      </c>
      <c r="DH81" s="7">
        <f>VLOOKUP(C81,listaBolsa!$D$2:$BA$1248,40,0)</f>
        <v>15957.98</v>
      </c>
      <c r="DI81" s="253">
        <f>VLOOKUP(C81,listaBolsa!$D$2:$BA$1248,48,0)</f>
        <v>0.19900000000000001</v>
      </c>
      <c r="DJ81" s="7" t="b">
        <f t="shared" si="71"/>
        <v>1</v>
      </c>
      <c r="DK81" s="7" t="b">
        <f t="shared" si="72"/>
        <v>0</v>
      </c>
      <c r="DL81" s="7" t="b">
        <f t="shared" si="73"/>
        <v>1</v>
      </c>
      <c r="DM81" s="7" t="b">
        <f t="shared" si="74"/>
        <v>0</v>
      </c>
      <c r="DN81" s="7" t="b">
        <f t="shared" si="75"/>
        <v>1</v>
      </c>
      <c r="DO81" s="7" t="b">
        <f t="shared" si="76"/>
        <v>0</v>
      </c>
      <c r="DP81" s="7" t="b">
        <f t="shared" si="77"/>
        <v>1</v>
      </c>
      <c r="DQ81" s="7" t="b">
        <f t="shared" si="78"/>
        <v>0</v>
      </c>
      <c r="DR81" s="7" t="b">
        <f t="shared" si="79"/>
        <v>0</v>
      </c>
    </row>
    <row r="82" spans="1:122" s="7" customFormat="1" ht="105" customHeight="1">
      <c r="A82" s="75">
        <v>71</v>
      </c>
      <c r="B82" s="251" t="s">
        <v>309</v>
      </c>
      <c r="C82" s="95" t="s">
        <v>447</v>
      </c>
      <c r="D82" s="186" t="s">
        <v>448</v>
      </c>
      <c r="E82" s="111" t="s">
        <v>191</v>
      </c>
      <c r="F82" s="112">
        <v>54</v>
      </c>
      <c r="G82" s="75" t="s">
        <v>192</v>
      </c>
      <c r="H82" s="106" t="s">
        <v>193</v>
      </c>
      <c r="I82" s="107">
        <v>8200</v>
      </c>
      <c r="J82" s="96">
        <f t="shared" si="43"/>
        <v>1558</v>
      </c>
      <c r="K82" s="96">
        <f t="shared" si="44"/>
        <v>9758</v>
      </c>
      <c r="L82" s="96">
        <f t="shared" si="45"/>
        <v>442800</v>
      </c>
      <c r="M82" s="96">
        <f t="shared" si="46"/>
        <v>526932</v>
      </c>
      <c r="N82" s="108" t="s">
        <v>194</v>
      </c>
      <c r="O82" s="109">
        <v>8200</v>
      </c>
      <c r="P82" s="110">
        <f t="shared" si="60"/>
        <v>1558</v>
      </c>
      <c r="Q82" s="110">
        <f t="shared" si="61"/>
        <v>9758</v>
      </c>
      <c r="R82" s="110">
        <f t="shared" si="62"/>
        <v>442800</v>
      </c>
      <c r="S82" s="110">
        <f t="shared" si="63"/>
        <v>526932</v>
      </c>
      <c r="T82" s="97" t="s">
        <v>449</v>
      </c>
      <c r="U82" s="98">
        <v>6722.6890756302528</v>
      </c>
      <c r="V82" s="99">
        <f t="shared" si="64"/>
        <v>1277.3109243697481</v>
      </c>
      <c r="W82" s="99">
        <f t="shared" si="65"/>
        <v>8000.0000000000009</v>
      </c>
      <c r="X82" s="99">
        <f t="shared" si="66"/>
        <v>363025.21008403366</v>
      </c>
      <c r="Y82" s="99">
        <f t="shared" si="67"/>
        <v>432000.00000000006</v>
      </c>
      <c r="Z82" s="100">
        <f t="shared" si="68"/>
        <v>9172</v>
      </c>
      <c r="AA82" s="100">
        <f t="shared" si="80"/>
        <v>495288</v>
      </c>
      <c r="AB82" s="78">
        <f t="shared" si="69"/>
        <v>54809.015754709515</v>
      </c>
      <c r="AC82" s="102">
        <f t="shared" si="70"/>
        <v>0.11066089982941141</v>
      </c>
      <c r="AD82" s="5"/>
      <c r="AE82" s="7" t="s">
        <v>1053</v>
      </c>
      <c r="AF82" s="7" t="str">
        <f>VLOOKUP(C82,Estudio_Mercado_Ori!$C$12:$AH$1115,32,0)</f>
        <v>71PROCEDAS</v>
      </c>
      <c r="BG82" s="7">
        <v>85</v>
      </c>
      <c r="DA82" s="7" t="str">
        <f>VLOOKUP(C82,listaBolsa!$D$2:$BA$1248,1,0)</f>
        <v>Tela</v>
      </c>
      <c r="DB82" s="7">
        <f>VLOOKUP(C82,listaBolsa!$D$2:$BA$1248,2,0)</f>
        <v>0</v>
      </c>
      <c r="DC82" s="7" t="str">
        <f>VLOOKUP(C82,listaBolsa!$D$2:$BA$1248,10,0)</f>
        <v>AVANCE ORGANIZACIONAL CONSULTORES SAS</v>
      </c>
      <c r="DD82" s="7">
        <f>VLOOKUP(C82,listaBolsa!$D$2:$BA$1248,14,0)</f>
        <v>8200</v>
      </c>
      <c r="DE82" s="7" t="str">
        <f>VLOOKUP(C82,listaBolsa!$D$2:$BA$1248,23,0)</f>
        <v>SIDED</v>
      </c>
      <c r="DF82" s="7">
        <f>VLOOKUP(C82,listaBolsa!$D$2:$BA$1248,29,0)</f>
        <v>9758</v>
      </c>
      <c r="DG82" s="7" t="str">
        <f>VLOOKUP(C82,listaBolsa!$D$2:$BA$1248,36,0)</f>
        <v>EL MAYORISTA STORE</v>
      </c>
      <c r="DH82" s="7">
        <f>VLOOKUP(C82,listaBolsa!$D$2:$BA$1248,40,0)</f>
        <v>6722.69</v>
      </c>
      <c r="DI82" s="253">
        <f>VLOOKUP(C82,listaBolsa!$D$2:$BA$1248,48,0)</f>
        <v>0.11070000000000001</v>
      </c>
      <c r="DJ82" s="7" t="b">
        <f t="shared" si="71"/>
        <v>1</v>
      </c>
      <c r="DK82" s="7" t="b">
        <f t="shared" si="72"/>
        <v>0</v>
      </c>
      <c r="DL82" s="7" t="b">
        <f t="shared" si="73"/>
        <v>1</v>
      </c>
      <c r="DM82" s="7" t="b">
        <f t="shared" si="74"/>
        <v>1</v>
      </c>
      <c r="DN82" s="7" t="b">
        <f t="shared" si="75"/>
        <v>1</v>
      </c>
      <c r="DO82" s="7" t="b">
        <f t="shared" si="76"/>
        <v>0</v>
      </c>
      <c r="DP82" s="7" t="b">
        <f t="shared" si="77"/>
        <v>1</v>
      </c>
      <c r="DQ82" s="7" t="b">
        <f t="shared" si="78"/>
        <v>0</v>
      </c>
      <c r="DR82" s="7" t="b">
        <f t="shared" si="79"/>
        <v>0</v>
      </c>
    </row>
    <row r="83" spans="1:122" s="7" customFormat="1" ht="105" customHeight="1">
      <c r="A83" s="75">
        <v>72</v>
      </c>
      <c r="B83" s="251" t="s">
        <v>309</v>
      </c>
      <c r="C83" s="95" t="s">
        <v>451</v>
      </c>
      <c r="D83" s="186" t="s">
        <v>452</v>
      </c>
      <c r="E83" s="111" t="s">
        <v>191</v>
      </c>
      <c r="F83" s="112">
        <v>42</v>
      </c>
      <c r="G83" s="75" t="s">
        <v>192</v>
      </c>
      <c r="H83" s="106" t="s">
        <v>193</v>
      </c>
      <c r="I83" s="107">
        <v>8200</v>
      </c>
      <c r="J83" s="96">
        <f t="shared" si="43"/>
        <v>1558</v>
      </c>
      <c r="K83" s="96">
        <f t="shared" si="44"/>
        <v>9758</v>
      </c>
      <c r="L83" s="96">
        <f t="shared" si="45"/>
        <v>344400</v>
      </c>
      <c r="M83" s="96">
        <f t="shared" si="46"/>
        <v>409836</v>
      </c>
      <c r="N83" s="108" t="s">
        <v>194</v>
      </c>
      <c r="O83" s="109">
        <v>8200</v>
      </c>
      <c r="P83" s="110">
        <f t="shared" si="60"/>
        <v>1558</v>
      </c>
      <c r="Q83" s="110">
        <f t="shared" si="61"/>
        <v>9758</v>
      </c>
      <c r="R83" s="110">
        <f t="shared" si="62"/>
        <v>344400</v>
      </c>
      <c r="S83" s="110">
        <f t="shared" si="63"/>
        <v>409836</v>
      </c>
      <c r="T83" s="97" t="s">
        <v>453</v>
      </c>
      <c r="U83" s="98">
        <v>5882.3529411764712</v>
      </c>
      <c r="V83" s="99">
        <f t="shared" si="64"/>
        <v>1117.6470588235295</v>
      </c>
      <c r="W83" s="99">
        <f t="shared" si="65"/>
        <v>7000.0000000000009</v>
      </c>
      <c r="X83" s="99">
        <f t="shared" si="66"/>
        <v>247058.82352941178</v>
      </c>
      <c r="Y83" s="99">
        <f t="shared" si="67"/>
        <v>294000.00000000006</v>
      </c>
      <c r="Z83" s="100">
        <f t="shared" si="68"/>
        <v>8838.6666666666661</v>
      </c>
      <c r="AA83" s="100">
        <f t="shared" si="80"/>
        <v>371224</v>
      </c>
      <c r="AB83" s="78">
        <f t="shared" si="69"/>
        <v>66877.945781849485</v>
      </c>
      <c r="AC83" s="102">
        <f t="shared" si="70"/>
        <v>0.18015523183266569</v>
      </c>
      <c r="AD83" s="5"/>
      <c r="AE83" s="7" t="s">
        <v>1053</v>
      </c>
      <c r="AF83" s="7" t="str">
        <f>VLOOKUP(C83,Estudio_Mercado_Ori!$C$12:$AH$1115,32,0)</f>
        <v>72PROCEDAS</v>
      </c>
      <c r="BG83" s="7">
        <v>86</v>
      </c>
      <c r="DA83" s="7" t="str">
        <f>VLOOKUP(C83,listaBolsa!$D$2:$BA$1248,1,0)</f>
        <v>Tela liviana</v>
      </c>
      <c r="DB83" s="7">
        <f>VLOOKUP(C83,listaBolsa!$D$2:$BA$1248,2,0)</f>
        <v>0</v>
      </c>
      <c r="DC83" s="7" t="str">
        <f>VLOOKUP(C83,listaBolsa!$D$2:$BA$1248,10,0)</f>
        <v>AVANCE ORGANIZACIONAL CONSULTORES SAS</v>
      </c>
      <c r="DD83" s="7">
        <f>VLOOKUP(C83,listaBolsa!$D$2:$BA$1248,14,0)</f>
        <v>8200</v>
      </c>
      <c r="DE83" s="7" t="str">
        <f>VLOOKUP(C83,listaBolsa!$D$2:$BA$1248,23,0)</f>
        <v>SIDED</v>
      </c>
      <c r="DF83" s="7">
        <f>VLOOKUP(C83,listaBolsa!$D$2:$BA$1248,29,0)</f>
        <v>9758</v>
      </c>
      <c r="DG83" s="7" t="str">
        <f>VLOOKUP(C83,listaBolsa!$D$2:$BA$1248,36,0)</f>
        <v>CASATEXTIL</v>
      </c>
      <c r="DH83" s="7">
        <f>VLOOKUP(C83,listaBolsa!$D$2:$BA$1248,40,0)</f>
        <v>5882.35</v>
      </c>
      <c r="DI83" s="253">
        <f>VLOOKUP(C83,listaBolsa!$D$2:$BA$1248,48,0)</f>
        <v>0.1802</v>
      </c>
      <c r="DJ83" s="7" t="b">
        <f t="shared" si="71"/>
        <v>1</v>
      </c>
      <c r="DK83" s="7" t="b">
        <f t="shared" si="72"/>
        <v>0</v>
      </c>
      <c r="DL83" s="7" t="b">
        <f t="shared" si="73"/>
        <v>1</v>
      </c>
      <c r="DM83" s="7" t="b">
        <f t="shared" si="74"/>
        <v>1</v>
      </c>
      <c r="DN83" s="7" t="b">
        <f t="shared" si="75"/>
        <v>1</v>
      </c>
      <c r="DO83" s="7" t="b">
        <f t="shared" si="76"/>
        <v>0</v>
      </c>
      <c r="DP83" s="7" t="b">
        <f t="shared" si="77"/>
        <v>1</v>
      </c>
      <c r="DQ83" s="7" t="b">
        <f t="shared" si="78"/>
        <v>0</v>
      </c>
      <c r="DR83" s="7" t="b">
        <f t="shared" si="79"/>
        <v>0</v>
      </c>
    </row>
    <row r="84" spans="1:122" s="7" customFormat="1" ht="105" customHeight="1">
      <c r="A84" s="75">
        <v>73</v>
      </c>
      <c r="B84" s="251" t="s">
        <v>309</v>
      </c>
      <c r="C84" s="95" t="s">
        <v>455</v>
      </c>
      <c r="D84" s="186" t="s">
        <v>456</v>
      </c>
      <c r="E84" s="111" t="s">
        <v>191</v>
      </c>
      <c r="F84" s="112">
        <v>22</v>
      </c>
      <c r="G84" s="75" t="s">
        <v>192</v>
      </c>
      <c r="H84" s="106" t="s">
        <v>193</v>
      </c>
      <c r="I84" s="107">
        <v>22000</v>
      </c>
      <c r="J84" s="96">
        <f t="shared" si="43"/>
        <v>4180</v>
      </c>
      <c r="K84" s="96">
        <f t="shared" si="44"/>
        <v>26180</v>
      </c>
      <c r="L84" s="96">
        <f t="shared" si="45"/>
        <v>484000</v>
      </c>
      <c r="M84" s="96">
        <f t="shared" si="46"/>
        <v>575960</v>
      </c>
      <c r="N84" s="108" t="s">
        <v>194</v>
      </c>
      <c r="O84" s="109">
        <v>22000</v>
      </c>
      <c r="P84" s="110">
        <f t="shared" si="60"/>
        <v>4180</v>
      </c>
      <c r="Q84" s="110">
        <f t="shared" si="61"/>
        <v>26180</v>
      </c>
      <c r="R84" s="110">
        <f t="shared" si="62"/>
        <v>484000</v>
      </c>
      <c r="S84" s="110">
        <f t="shared" si="63"/>
        <v>575960</v>
      </c>
      <c r="T84" s="97" t="s">
        <v>457</v>
      </c>
      <c r="U84" s="98">
        <v>18487.39495798319</v>
      </c>
      <c r="V84" s="99">
        <f t="shared" si="64"/>
        <v>3512.6050420168062</v>
      </c>
      <c r="W84" s="99">
        <f t="shared" si="65"/>
        <v>21999.999999999996</v>
      </c>
      <c r="X84" s="99">
        <f t="shared" si="66"/>
        <v>406722.68907563016</v>
      </c>
      <c r="Y84" s="99">
        <f t="shared" si="67"/>
        <v>483999.99999999994</v>
      </c>
      <c r="Z84" s="100">
        <f t="shared" si="68"/>
        <v>24786.666666666668</v>
      </c>
      <c r="AA84" s="100">
        <f t="shared" si="80"/>
        <v>545306.66666666674</v>
      </c>
      <c r="AB84" s="78">
        <f t="shared" si="69"/>
        <v>53093.130754678015</v>
      </c>
      <c r="AC84" s="102">
        <f t="shared" si="70"/>
        <v>9.7363802792333379E-2</v>
      </c>
      <c r="AD84" s="5"/>
      <c r="AE84" s="7" t="s">
        <v>1053</v>
      </c>
      <c r="AF84" s="7" t="str">
        <f>VLOOKUP(C84,Estudio_Mercado_Ori!$C$12:$AH$1115,32,0)</f>
        <v>73PROCEDAS</v>
      </c>
      <c r="BG84" s="7">
        <v>87</v>
      </c>
      <c r="DA84" s="7" t="str">
        <f>VLOOKUP(C84,listaBolsa!$D$2:$BA$1248,1,0)</f>
        <v>Entretela</v>
      </c>
      <c r="DB84" s="7">
        <f>VLOOKUP(C84,listaBolsa!$D$2:$BA$1248,2,0)</f>
        <v>0</v>
      </c>
      <c r="DC84" s="7" t="str">
        <f>VLOOKUP(C84,listaBolsa!$D$2:$BA$1248,10,0)</f>
        <v>AVANCE ORGANIZACIONAL CONSULTORES SAS</v>
      </c>
      <c r="DD84" s="7">
        <f>VLOOKUP(C84,listaBolsa!$D$2:$BA$1248,14,0)</f>
        <v>22000</v>
      </c>
      <c r="DE84" s="7" t="str">
        <f>VLOOKUP(C84,listaBolsa!$D$2:$BA$1248,23,0)</f>
        <v>SIDED</v>
      </c>
      <c r="DF84" s="7">
        <f>VLOOKUP(C84,listaBolsa!$D$2:$BA$1248,29,0)</f>
        <v>26180</v>
      </c>
      <c r="DG84" s="7" t="str">
        <f>VLOOKUP(C84,listaBolsa!$D$2:$BA$1248,36,0)</f>
        <v>LA MINA</v>
      </c>
      <c r="DH84" s="7">
        <f>VLOOKUP(C84,listaBolsa!$D$2:$BA$1248,40,0)</f>
        <v>18487.39</v>
      </c>
      <c r="DI84" s="253">
        <f>VLOOKUP(C84,listaBolsa!$D$2:$BA$1248,48,0)</f>
        <v>9.74E-2</v>
      </c>
      <c r="DJ84" s="7" t="b">
        <f t="shared" si="71"/>
        <v>1</v>
      </c>
      <c r="DK84" s="7" t="b">
        <f t="shared" si="72"/>
        <v>0</v>
      </c>
      <c r="DL84" s="7" t="b">
        <f t="shared" si="73"/>
        <v>1</v>
      </c>
      <c r="DM84" s="7" t="b">
        <f t="shared" si="74"/>
        <v>1</v>
      </c>
      <c r="DN84" s="7" t="b">
        <f t="shared" si="75"/>
        <v>1</v>
      </c>
      <c r="DO84" s="7" t="b">
        <f t="shared" si="76"/>
        <v>0</v>
      </c>
      <c r="DP84" s="7" t="b">
        <f t="shared" si="77"/>
        <v>1</v>
      </c>
      <c r="DQ84" s="7" t="b">
        <f t="shared" si="78"/>
        <v>0</v>
      </c>
      <c r="DR84" s="7" t="b">
        <f t="shared" si="79"/>
        <v>0</v>
      </c>
    </row>
    <row r="85" spans="1:122" s="7" customFormat="1" ht="105" customHeight="1">
      <c r="A85" s="75">
        <v>74</v>
      </c>
      <c r="B85" s="251" t="s">
        <v>309</v>
      </c>
      <c r="C85" s="95" t="s">
        <v>459</v>
      </c>
      <c r="D85" s="186" t="s">
        <v>460</v>
      </c>
      <c r="E85" s="111" t="s">
        <v>191</v>
      </c>
      <c r="F85" s="112">
        <v>150</v>
      </c>
      <c r="G85" s="75" t="s">
        <v>192</v>
      </c>
      <c r="H85" s="106" t="s">
        <v>193</v>
      </c>
      <c r="I85" s="107">
        <v>2500</v>
      </c>
      <c r="J85" s="96">
        <f t="shared" si="43"/>
        <v>475</v>
      </c>
      <c r="K85" s="96">
        <f t="shared" si="44"/>
        <v>2975</v>
      </c>
      <c r="L85" s="96">
        <f t="shared" si="45"/>
        <v>375000</v>
      </c>
      <c r="M85" s="96">
        <f t="shared" si="46"/>
        <v>446250</v>
      </c>
      <c r="N85" s="108" t="s">
        <v>194</v>
      </c>
      <c r="O85" s="109">
        <v>2500</v>
      </c>
      <c r="P85" s="110">
        <f t="shared" si="60"/>
        <v>475</v>
      </c>
      <c r="Q85" s="110">
        <f t="shared" si="61"/>
        <v>2975</v>
      </c>
      <c r="R85" s="110">
        <f t="shared" si="62"/>
        <v>375000</v>
      </c>
      <c r="S85" s="110">
        <f t="shared" si="63"/>
        <v>446250</v>
      </c>
      <c r="T85" s="97" t="s">
        <v>461</v>
      </c>
      <c r="U85" s="98">
        <v>2100.840336134454</v>
      </c>
      <c r="V85" s="99">
        <f t="shared" si="64"/>
        <v>399.15966386554624</v>
      </c>
      <c r="W85" s="99">
        <f t="shared" si="65"/>
        <v>2500</v>
      </c>
      <c r="X85" s="99">
        <f t="shared" si="66"/>
        <v>315126.05042016809</v>
      </c>
      <c r="Y85" s="99">
        <f t="shared" si="67"/>
        <v>375000</v>
      </c>
      <c r="Z85" s="100">
        <f t="shared" si="68"/>
        <v>2816.6666666666665</v>
      </c>
      <c r="AA85" s="100">
        <f t="shared" si="80"/>
        <v>422500</v>
      </c>
      <c r="AB85" s="78">
        <f t="shared" si="69"/>
        <v>41136.206679760835</v>
      </c>
      <c r="AC85" s="102">
        <f t="shared" si="70"/>
        <v>9.7363802792333337E-2</v>
      </c>
      <c r="AD85" s="5"/>
      <c r="AE85" s="7" t="s">
        <v>1053</v>
      </c>
      <c r="AF85" s="7" t="str">
        <f>VLOOKUP(C85,Estudio_Mercado_Ori!$C$12:$AH$1115,32,0)</f>
        <v>74PROCEDAS</v>
      </c>
      <c r="BG85" s="7">
        <v>88</v>
      </c>
      <c r="DA85" s="7" t="str">
        <f>VLOOKUP(C85,listaBolsa!$D$2:$BA$1248,1,0)</f>
        <v>Cremalleras</v>
      </c>
      <c r="DB85" s="7">
        <f>VLOOKUP(C85,listaBolsa!$D$2:$BA$1248,2,0)</f>
        <v>0</v>
      </c>
      <c r="DC85" s="7" t="str">
        <f>VLOOKUP(C85,listaBolsa!$D$2:$BA$1248,10,0)</f>
        <v>AVANCE ORGANIZACIONAL CONSULTORES SAS</v>
      </c>
      <c r="DD85" s="7">
        <f>VLOOKUP(C85,listaBolsa!$D$2:$BA$1248,14,0)</f>
        <v>2500</v>
      </c>
      <c r="DE85" s="7" t="str">
        <f>VLOOKUP(C85,listaBolsa!$D$2:$BA$1248,23,0)</f>
        <v>SIDED</v>
      </c>
      <c r="DF85" s="7">
        <f>VLOOKUP(C85,listaBolsa!$D$2:$BA$1248,29,0)</f>
        <v>2975</v>
      </c>
      <c r="DG85" s="7" t="str">
        <f>VLOOKUP(C85,listaBolsa!$D$2:$BA$1248,36,0)</f>
        <v>MIL HERRAJES</v>
      </c>
      <c r="DH85" s="7">
        <f>VLOOKUP(C85,listaBolsa!$D$2:$BA$1248,40,0)</f>
        <v>2100.84</v>
      </c>
      <c r="DI85" s="253">
        <f>VLOOKUP(C85,listaBolsa!$D$2:$BA$1248,48,0)</f>
        <v>9.74E-2</v>
      </c>
      <c r="DJ85" s="7" t="b">
        <f t="shared" si="71"/>
        <v>1</v>
      </c>
      <c r="DK85" s="7" t="b">
        <f t="shared" si="72"/>
        <v>0</v>
      </c>
      <c r="DL85" s="7" t="b">
        <f t="shared" si="73"/>
        <v>1</v>
      </c>
      <c r="DM85" s="7" t="b">
        <f t="shared" si="74"/>
        <v>1</v>
      </c>
      <c r="DN85" s="7" t="b">
        <f t="shared" si="75"/>
        <v>1</v>
      </c>
      <c r="DO85" s="7" t="b">
        <f t="shared" si="76"/>
        <v>0</v>
      </c>
      <c r="DP85" s="7" t="b">
        <f t="shared" si="77"/>
        <v>1</v>
      </c>
      <c r="DQ85" s="7" t="b">
        <f t="shared" si="78"/>
        <v>0</v>
      </c>
      <c r="DR85" s="7" t="b">
        <f t="shared" si="79"/>
        <v>0</v>
      </c>
    </row>
    <row r="86" spans="1:122" s="7" customFormat="1" ht="105" customHeight="1">
      <c r="A86" s="75">
        <v>75</v>
      </c>
      <c r="B86" s="251" t="s">
        <v>309</v>
      </c>
      <c r="C86" s="95" t="s">
        <v>463</v>
      </c>
      <c r="D86" s="186" t="s">
        <v>464</v>
      </c>
      <c r="E86" s="111" t="s">
        <v>191</v>
      </c>
      <c r="F86" s="112">
        <v>28</v>
      </c>
      <c r="G86" s="75" t="s">
        <v>192</v>
      </c>
      <c r="H86" s="106" t="s">
        <v>465</v>
      </c>
      <c r="I86" s="107">
        <v>9243.6974789915967</v>
      </c>
      <c r="J86" s="96">
        <f t="shared" si="43"/>
        <v>1756.3025210084033</v>
      </c>
      <c r="K86" s="96">
        <f t="shared" si="44"/>
        <v>11000</v>
      </c>
      <c r="L86" s="96">
        <f t="shared" si="45"/>
        <v>258823.5294117647</v>
      </c>
      <c r="M86" s="96">
        <f t="shared" si="46"/>
        <v>308000</v>
      </c>
      <c r="N86" s="108" t="s">
        <v>466</v>
      </c>
      <c r="O86" s="109">
        <v>10084.033613445379</v>
      </c>
      <c r="P86" s="110">
        <f t="shared" si="60"/>
        <v>1915.966386554622</v>
      </c>
      <c r="Q86" s="110">
        <f t="shared" si="61"/>
        <v>12000.000000000002</v>
      </c>
      <c r="R86" s="110">
        <f t="shared" si="62"/>
        <v>282352.9411764706</v>
      </c>
      <c r="S86" s="110">
        <f t="shared" si="63"/>
        <v>336000.00000000006</v>
      </c>
      <c r="T86" s="97" t="s">
        <v>467</v>
      </c>
      <c r="U86" s="98">
        <v>9411.7647058823532</v>
      </c>
      <c r="V86" s="99">
        <f t="shared" si="64"/>
        <v>1788.2352941176471</v>
      </c>
      <c r="W86" s="99">
        <f t="shared" si="65"/>
        <v>11200</v>
      </c>
      <c r="X86" s="99">
        <f t="shared" si="66"/>
        <v>263529.4117647059</v>
      </c>
      <c r="Y86" s="99">
        <f t="shared" si="67"/>
        <v>313600</v>
      </c>
      <c r="Z86" s="100">
        <f t="shared" si="68"/>
        <v>11400</v>
      </c>
      <c r="AA86" s="100">
        <f t="shared" si="80"/>
        <v>319200</v>
      </c>
      <c r="AB86" s="78">
        <f t="shared" si="69"/>
        <v>14816.207341961741</v>
      </c>
      <c r="AC86" s="102">
        <f t="shared" si="70"/>
        <v>4.6416689667799937E-2</v>
      </c>
      <c r="AD86" s="5"/>
      <c r="AE86" s="7" t="s">
        <v>1053</v>
      </c>
      <c r="AF86" s="7" t="str">
        <f>VLOOKUP(C86,Estudio_Mercado_Ori!$C$12:$AH$1115,32,0)</f>
        <v>75PROCEDAS</v>
      </c>
      <c r="BG86" s="7">
        <v>89</v>
      </c>
      <c r="DA86" s="7" t="str">
        <f>VLOOKUP(C86,listaBolsa!$D$2:$BA$1248,1,0)</f>
        <v>Hilo</v>
      </c>
      <c r="DB86" s="7">
        <f>VLOOKUP(C86,listaBolsa!$D$2:$BA$1248,2,0)</f>
        <v>0</v>
      </c>
      <c r="DC86" s="7" t="str">
        <f>VLOOKUP(C86,listaBolsa!$D$2:$BA$1248,10,0)</f>
        <v>MI LANERA</v>
      </c>
      <c r="DD86" s="7">
        <f>VLOOKUP(C86,listaBolsa!$D$2:$BA$1248,14,0)</f>
        <v>9243.7000000000007</v>
      </c>
      <c r="DE86" s="7" t="str">
        <f>VLOOKUP(C86,listaBolsa!$D$2:$BA$1248,23,0)</f>
        <v>ENTRELANAS</v>
      </c>
      <c r="DF86" s="7">
        <f>VLOOKUP(C86,listaBolsa!$D$2:$BA$1248,29,0)</f>
        <v>12000</v>
      </c>
      <c r="DG86" s="7" t="str">
        <f>VLOOKUP(C86,listaBolsa!$D$2:$BA$1248,36,0)</f>
        <v>CROCHETEANDO</v>
      </c>
      <c r="DH86" s="7">
        <f>VLOOKUP(C86,listaBolsa!$D$2:$BA$1248,40,0)</f>
        <v>9411.76</v>
      </c>
      <c r="DI86" s="253">
        <f>VLOOKUP(C86,listaBolsa!$D$2:$BA$1248,48,0)</f>
        <v>4.6399999999999997E-2</v>
      </c>
      <c r="DJ86" s="7" t="b">
        <f t="shared" si="71"/>
        <v>1</v>
      </c>
      <c r="DK86" s="7" t="b">
        <f t="shared" si="72"/>
        <v>0</v>
      </c>
      <c r="DL86" s="7" t="b">
        <f t="shared" si="73"/>
        <v>0</v>
      </c>
      <c r="DM86" s="7" t="b">
        <f t="shared" si="74"/>
        <v>0</v>
      </c>
      <c r="DN86" s="7" t="b">
        <f t="shared" si="75"/>
        <v>1</v>
      </c>
      <c r="DO86" s="7" t="b">
        <f t="shared" si="76"/>
        <v>0</v>
      </c>
      <c r="DP86" s="7" t="b">
        <f t="shared" si="77"/>
        <v>1</v>
      </c>
      <c r="DQ86" s="7" t="b">
        <f t="shared" si="78"/>
        <v>0</v>
      </c>
      <c r="DR86" s="7" t="b">
        <f t="shared" si="79"/>
        <v>0</v>
      </c>
    </row>
    <row r="87" spans="1:122" s="7" customFormat="1" ht="105" customHeight="1">
      <c r="A87" s="75">
        <v>76</v>
      </c>
      <c r="B87" s="251" t="s">
        <v>309</v>
      </c>
      <c r="C87" s="95" t="s">
        <v>469</v>
      </c>
      <c r="D87" s="200" t="s">
        <v>470</v>
      </c>
      <c r="E87" s="111" t="s">
        <v>191</v>
      </c>
      <c r="F87" s="112">
        <v>2</v>
      </c>
      <c r="G87" s="75" t="s">
        <v>192</v>
      </c>
      <c r="H87" s="391" t="s">
        <v>1067</v>
      </c>
      <c r="I87" s="331">
        <v>50000</v>
      </c>
      <c r="J87" s="96">
        <f t="shared" si="43"/>
        <v>9500</v>
      </c>
      <c r="K87" s="96">
        <f t="shared" si="44"/>
        <v>59500</v>
      </c>
      <c r="L87" s="96">
        <f t="shared" si="45"/>
        <v>100000</v>
      </c>
      <c r="M87" s="96">
        <f t="shared" si="46"/>
        <v>119000</v>
      </c>
      <c r="N87" s="277" t="s">
        <v>1068</v>
      </c>
      <c r="O87" s="332">
        <v>45757.98</v>
      </c>
      <c r="P87" s="110">
        <f t="shared" si="60"/>
        <v>8694.0162</v>
      </c>
      <c r="Q87" s="110">
        <f t="shared" si="61"/>
        <v>54451.996200000001</v>
      </c>
      <c r="R87" s="110">
        <f t="shared" si="62"/>
        <v>91515.96</v>
      </c>
      <c r="S87" s="110">
        <f t="shared" si="63"/>
        <v>108903.9924</v>
      </c>
      <c r="T87" s="390" t="s">
        <v>1069</v>
      </c>
      <c r="U87" s="333">
        <v>40336.129999999997</v>
      </c>
      <c r="V87" s="99">
        <f t="shared" si="64"/>
        <v>7663.8646999999992</v>
      </c>
      <c r="W87" s="99">
        <f t="shared" si="65"/>
        <v>47999.994699999996</v>
      </c>
      <c r="X87" s="99">
        <f t="shared" si="66"/>
        <v>80672.259999999995</v>
      </c>
      <c r="Y87" s="99">
        <f t="shared" si="67"/>
        <v>95999.989399999991</v>
      </c>
      <c r="Z87" s="100">
        <f t="shared" si="68"/>
        <v>53983.996966666658</v>
      </c>
      <c r="AA87" s="100">
        <f t="shared" si="80"/>
        <v>107967.99393333332</v>
      </c>
      <c r="AB87" s="78">
        <f t="shared" si="69"/>
        <v>11528.538144414926</v>
      </c>
      <c r="AC87" s="102">
        <f t="shared" si="70"/>
        <v>0.10677736729584343</v>
      </c>
      <c r="AD87" s="5"/>
      <c r="AE87" s="7" t="s">
        <v>1070</v>
      </c>
      <c r="AF87" s="7" t="str">
        <f>VLOOKUP(C87,Estudio_Mercado_Ori!$C$12:$AH$1115,32,0)</f>
        <v>76PROCEDAS</v>
      </c>
      <c r="BG87" s="7">
        <v>90</v>
      </c>
      <c r="DA87" s="7" t="str">
        <f>VLOOKUP(C87,listaBolsa!$D$2:$BA$1248,1,0)</f>
        <v>Tiradores</v>
      </c>
      <c r="DB87" s="7">
        <f>VLOOKUP(C87,listaBolsa!$D$2:$BA$1248,2,0)</f>
        <v>0</v>
      </c>
      <c r="DC87" s="7">
        <f>VLOOKUP(C87,listaBolsa!$D$2:$BA$1248,10,0)</f>
        <v>0</v>
      </c>
      <c r="DD87" s="7" t="str">
        <f>VLOOKUP(C87,listaBolsa!$D$2:$BA$1248,14,0)</f>
        <v xml:space="preserve">$ -   </v>
      </c>
      <c r="DE87" s="7">
        <f>VLOOKUP(C87,listaBolsa!$D$2:$BA$1248,23,0)</f>
        <v>0</v>
      </c>
      <c r="DF87" s="7" t="str">
        <f>VLOOKUP(C87,listaBolsa!$D$2:$BA$1248,29,0)</f>
        <v xml:space="preserve"> $ -   </v>
      </c>
      <c r="DG87" s="7">
        <f>VLOOKUP(C87,listaBolsa!$D$2:$BA$1248,36,0)</f>
        <v>0</v>
      </c>
      <c r="DH87" s="7" t="str">
        <f>VLOOKUP(C87,listaBolsa!$D$2:$BA$1248,40,0)</f>
        <v xml:space="preserve"> $ -   </v>
      </c>
      <c r="DI87" s="253" t="e">
        <f>VLOOKUP(C87,listaBolsa!$D$2:$BA$1248,48,0)</f>
        <v>#VALUE!</v>
      </c>
      <c r="DJ87" s="7" t="b">
        <f t="shared" si="71"/>
        <v>1</v>
      </c>
      <c r="DK87" s="7" t="b">
        <f t="shared" si="72"/>
        <v>0</v>
      </c>
      <c r="DL87" s="7" t="b">
        <f t="shared" si="73"/>
        <v>0</v>
      </c>
      <c r="DM87" s="7" t="b">
        <f t="shared" si="74"/>
        <v>0</v>
      </c>
      <c r="DN87" s="7" t="b">
        <f t="shared" si="75"/>
        <v>0</v>
      </c>
      <c r="DO87" s="7" t="b">
        <f t="shared" si="76"/>
        <v>0</v>
      </c>
      <c r="DP87" s="7" t="b">
        <f t="shared" si="77"/>
        <v>0</v>
      </c>
      <c r="DQ87" s="7" t="b">
        <f t="shared" si="78"/>
        <v>0</v>
      </c>
      <c r="DR87" s="7" t="e">
        <f t="shared" si="79"/>
        <v>#VALUE!</v>
      </c>
    </row>
    <row r="88" spans="1:122" s="7" customFormat="1" ht="105" customHeight="1">
      <c r="A88" s="75">
        <v>77</v>
      </c>
      <c r="B88" s="251" t="s">
        <v>309</v>
      </c>
      <c r="C88" s="95" t="s">
        <v>473</v>
      </c>
      <c r="D88" s="186" t="s">
        <v>474</v>
      </c>
      <c r="E88" s="111" t="s">
        <v>191</v>
      </c>
      <c r="F88" s="112">
        <v>7</v>
      </c>
      <c r="G88" s="75" t="s">
        <v>192</v>
      </c>
      <c r="H88" s="106" t="s">
        <v>193</v>
      </c>
      <c r="I88" s="107">
        <v>6000</v>
      </c>
      <c r="J88" s="96">
        <f t="shared" si="43"/>
        <v>1140</v>
      </c>
      <c r="K88" s="96">
        <f t="shared" si="44"/>
        <v>7140</v>
      </c>
      <c r="L88" s="96">
        <f t="shared" si="45"/>
        <v>42000</v>
      </c>
      <c r="M88" s="96">
        <f t="shared" si="46"/>
        <v>49980</v>
      </c>
      <c r="N88" s="108" t="s">
        <v>194</v>
      </c>
      <c r="O88" s="109">
        <v>8000</v>
      </c>
      <c r="P88" s="110">
        <f t="shared" si="60"/>
        <v>1520</v>
      </c>
      <c r="Q88" s="110">
        <f t="shared" si="61"/>
        <v>9520</v>
      </c>
      <c r="R88" s="110">
        <f t="shared" si="62"/>
        <v>56000</v>
      </c>
      <c r="S88" s="110">
        <f t="shared" si="63"/>
        <v>66640</v>
      </c>
      <c r="T88" s="97" t="s">
        <v>263</v>
      </c>
      <c r="U88" s="98">
        <v>8403.361344537816</v>
      </c>
      <c r="V88" s="99">
        <f t="shared" si="64"/>
        <v>1596.6386554621849</v>
      </c>
      <c r="W88" s="99">
        <f t="shared" si="65"/>
        <v>10000</v>
      </c>
      <c r="X88" s="99">
        <f t="shared" si="66"/>
        <v>58823.529411764714</v>
      </c>
      <c r="Y88" s="99">
        <f t="shared" si="67"/>
        <v>70000</v>
      </c>
      <c r="Z88" s="100">
        <f t="shared" si="68"/>
        <v>8886.6666666666661</v>
      </c>
      <c r="AA88" s="100">
        <f t="shared" si="80"/>
        <v>62206.666666666664</v>
      </c>
      <c r="AB88" s="78">
        <f t="shared" si="69"/>
        <v>10721.05094350983</v>
      </c>
      <c r="AC88" s="102">
        <f t="shared" si="70"/>
        <v>0.17234569087198312</v>
      </c>
      <c r="AD88" s="5"/>
      <c r="AE88" s="7" t="s">
        <v>1053</v>
      </c>
      <c r="AF88" s="7" t="str">
        <f>VLOOKUP(C88,Estudio_Mercado_Ori!$C$12:$AH$1115,32,0)</f>
        <v>77PROCEDAS</v>
      </c>
      <c r="BG88" s="7">
        <v>91</v>
      </c>
      <c r="DA88" s="7" t="str">
        <f>VLOOKUP(C88,listaBolsa!$D$2:$BA$1248,1,0)</f>
        <v>Tintes naturales</v>
      </c>
      <c r="DB88" s="7">
        <f>VLOOKUP(C88,listaBolsa!$D$2:$BA$1248,2,0)</f>
        <v>0</v>
      </c>
      <c r="DC88" s="7" t="str">
        <f>VLOOKUP(C88,listaBolsa!$D$2:$BA$1248,10,0)</f>
        <v>AVANCE ORGANIZACIONAL CONSULTORES SAS</v>
      </c>
      <c r="DD88" s="7">
        <f>VLOOKUP(C88,listaBolsa!$D$2:$BA$1248,14,0)</f>
        <v>6000</v>
      </c>
      <c r="DE88" s="7" t="str">
        <f>VLOOKUP(C88,listaBolsa!$D$2:$BA$1248,23,0)</f>
        <v>SIDED</v>
      </c>
      <c r="DF88" s="7">
        <f>VLOOKUP(C88,listaBolsa!$D$2:$BA$1248,29,0)</f>
        <v>9520</v>
      </c>
      <c r="DG88" s="7" t="str">
        <f>VLOOKUP(C88,listaBolsa!$D$2:$BA$1248,36,0)</f>
        <v>HOMCENTER</v>
      </c>
      <c r="DH88" s="7">
        <f>VLOOKUP(C88,listaBolsa!$D$2:$BA$1248,40,0)</f>
        <v>8403.36</v>
      </c>
      <c r="DI88" s="253">
        <f>VLOOKUP(C88,listaBolsa!$D$2:$BA$1248,48,0)</f>
        <v>0.17230000000000001</v>
      </c>
      <c r="DJ88" s="7" t="b">
        <f t="shared" si="71"/>
        <v>1</v>
      </c>
      <c r="DK88" s="7" t="b">
        <f t="shared" si="72"/>
        <v>0</v>
      </c>
      <c r="DL88" s="7" t="b">
        <f t="shared" si="73"/>
        <v>1</v>
      </c>
      <c r="DM88" s="7" t="b">
        <f t="shared" si="74"/>
        <v>1</v>
      </c>
      <c r="DN88" s="7" t="b">
        <f t="shared" si="75"/>
        <v>1</v>
      </c>
      <c r="DO88" s="7" t="b">
        <f t="shared" si="76"/>
        <v>0</v>
      </c>
      <c r="DP88" s="7" t="b">
        <f t="shared" si="77"/>
        <v>1</v>
      </c>
      <c r="DQ88" s="7" t="b">
        <f t="shared" si="78"/>
        <v>0</v>
      </c>
      <c r="DR88" s="7" t="b">
        <f t="shared" si="79"/>
        <v>0</v>
      </c>
    </row>
    <row r="89" spans="1:122" s="7" customFormat="1" ht="105" customHeight="1">
      <c r="A89" s="75">
        <v>78</v>
      </c>
      <c r="B89" s="251" t="s">
        <v>309</v>
      </c>
      <c r="C89" s="95" t="s">
        <v>476</v>
      </c>
      <c r="D89" s="186" t="s">
        <v>477</v>
      </c>
      <c r="E89" s="111" t="s">
        <v>478</v>
      </c>
      <c r="F89" s="112">
        <v>45</v>
      </c>
      <c r="G89" s="75" t="s">
        <v>192</v>
      </c>
      <c r="H89" s="106" t="s">
        <v>193</v>
      </c>
      <c r="I89" s="107">
        <v>70000</v>
      </c>
      <c r="J89" s="96">
        <f t="shared" si="43"/>
        <v>13300</v>
      </c>
      <c r="K89" s="96">
        <f t="shared" si="44"/>
        <v>83300</v>
      </c>
      <c r="L89" s="96">
        <f t="shared" si="45"/>
        <v>3150000</v>
      </c>
      <c r="M89" s="96">
        <f t="shared" si="46"/>
        <v>3748500</v>
      </c>
      <c r="N89" s="108" t="s">
        <v>194</v>
      </c>
      <c r="O89" s="109">
        <v>70000</v>
      </c>
      <c r="P89" s="110">
        <f t="shared" si="60"/>
        <v>13300</v>
      </c>
      <c r="Q89" s="110">
        <f t="shared" si="61"/>
        <v>83300</v>
      </c>
      <c r="R89" s="110">
        <f t="shared" si="62"/>
        <v>3150000</v>
      </c>
      <c r="S89" s="110">
        <f t="shared" si="63"/>
        <v>3748500</v>
      </c>
      <c r="T89" s="97"/>
      <c r="U89" s="98"/>
      <c r="V89" s="99"/>
      <c r="W89" s="99"/>
      <c r="X89" s="99"/>
      <c r="Y89" s="99"/>
      <c r="Z89" s="100">
        <f t="shared" si="68"/>
        <v>83300</v>
      </c>
      <c r="AA89" s="100">
        <f t="shared" si="80"/>
        <v>3748500</v>
      </c>
      <c r="AB89" s="78">
        <f t="shared" si="69"/>
        <v>0</v>
      </c>
      <c r="AC89" s="102">
        <f t="shared" si="70"/>
        <v>0</v>
      </c>
      <c r="AD89" s="5"/>
      <c r="AE89" s="7" t="s">
        <v>1071</v>
      </c>
      <c r="AF89" s="7" t="str">
        <f>VLOOKUP(C89,Estudio_Mercado_Ori!$C$12:$AH$1115,32,0)</f>
        <v>78PROCEDAS</v>
      </c>
      <c r="BG89" s="7">
        <v>92</v>
      </c>
      <c r="DA89" s="7" t="e">
        <f>VLOOKUP(#REF!,listaBolsa!$D$2:$BA$1248,1,0)</f>
        <v>#REF!</v>
      </c>
      <c r="DB89" s="7" t="e">
        <f>VLOOKUP(#REF!,listaBolsa!$D$2:$BA$1248,2,0)</f>
        <v>#REF!</v>
      </c>
      <c r="DC89" s="7" t="e">
        <f>VLOOKUP(#REF!,listaBolsa!$D$2:$BA$1248,10,0)</f>
        <v>#REF!</v>
      </c>
      <c r="DD89" s="7" t="e">
        <f>VLOOKUP(#REF!,listaBolsa!$D$2:$BA$1248,14,0)</f>
        <v>#REF!</v>
      </c>
      <c r="DE89" s="7" t="e">
        <f>VLOOKUP(#REF!,listaBolsa!$D$2:$BA$1248,23,0)</f>
        <v>#REF!</v>
      </c>
      <c r="DF89" s="7" t="e">
        <f>VLOOKUP(#REF!,listaBolsa!$D$2:$BA$1248,29,0)</f>
        <v>#REF!</v>
      </c>
      <c r="DG89" s="7" t="e">
        <f>VLOOKUP(#REF!,listaBolsa!$D$2:$BA$1248,36,0)</f>
        <v>#REF!</v>
      </c>
      <c r="DH89" s="7" t="e">
        <f>VLOOKUP(#REF!,listaBolsa!$D$2:$BA$1248,40,0)</f>
        <v>#REF!</v>
      </c>
      <c r="DI89" s="7" t="e">
        <f>VLOOKUP(#REF!,listaBolsa!$D$2:$BA$1248,48,0)</f>
        <v>#REF!</v>
      </c>
      <c r="DJ89" s="7" t="e">
        <f>DA89=#REF!</f>
        <v>#REF!</v>
      </c>
      <c r="DK89" s="7" t="e">
        <f>DB89=#REF!</f>
        <v>#REF!</v>
      </c>
      <c r="DL89" s="7" t="e">
        <f t="shared" si="73"/>
        <v>#REF!</v>
      </c>
      <c r="DM89" s="7" t="e">
        <f t="shared" si="74"/>
        <v>#REF!</v>
      </c>
      <c r="DN89" s="7" t="e">
        <f t="shared" si="75"/>
        <v>#REF!</v>
      </c>
      <c r="DO89" s="7" t="e">
        <f t="shared" si="76"/>
        <v>#REF!</v>
      </c>
      <c r="DP89" s="7" t="e">
        <f t="shared" si="77"/>
        <v>#REF!</v>
      </c>
      <c r="DQ89" s="7" t="e">
        <f t="shared" si="78"/>
        <v>#REF!</v>
      </c>
      <c r="DR89" s="7" t="e">
        <f t="shared" si="79"/>
        <v>#REF!</v>
      </c>
    </row>
    <row r="90" spans="1:122" s="7" customFormat="1" ht="105" customHeight="1">
      <c r="A90" s="75">
        <v>79</v>
      </c>
      <c r="B90" s="251" t="s">
        <v>309</v>
      </c>
      <c r="C90" s="187" t="s">
        <v>483</v>
      </c>
      <c r="D90" s="186" t="s">
        <v>484</v>
      </c>
      <c r="E90" s="111" t="s">
        <v>485</v>
      </c>
      <c r="F90" s="112">
        <v>8</v>
      </c>
      <c r="G90" s="75" t="s">
        <v>192</v>
      </c>
      <c r="H90" s="106" t="s">
        <v>245</v>
      </c>
      <c r="I90" s="107">
        <v>1600000</v>
      </c>
      <c r="J90" s="96">
        <f t="shared" si="43"/>
        <v>304000</v>
      </c>
      <c r="K90" s="96">
        <f t="shared" si="44"/>
        <v>1904000</v>
      </c>
      <c r="L90" s="96" t="e">
        <f>IF(B90="","",(I90*#REF!))</f>
        <v>#REF!</v>
      </c>
      <c r="M90" s="96" t="e">
        <f>IF(B90="","",(K90*#REF!))</f>
        <v>#REF!</v>
      </c>
      <c r="N90" s="108" t="s">
        <v>194</v>
      </c>
      <c r="O90" s="109">
        <v>1700000</v>
      </c>
      <c r="P90" s="110">
        <f t="shared" si="60"/>
        <v>323000</v>
      </c>
      <c r="Q90" s="110">
        <f t="shared" si="61"/>
        <v>2023000</v>
      </c>
      <c r="R90" s="110" t="e">
        <f>IF(B90="","",(O90*#REF!))</f>
        <v>#REF!</v>
      </c>
      <c r="S90" s="110" t="e">
        <f>IF(B90="","",(Q90*#REF!))</f>
        <v>#REF!</v>
      </c>
      <c r="T90" s="97"/>
      <c r="U90" s="98"/>
      <c r="V90" s="99">
        <f>U90*19%</f>
        <v>0</v>
      </c>
      <c r="W90" s="99">
        <f t="shared" ref="W90:W101" si="81">U90+V90</f>
        <v>0</v>
      </c>
      <c r="X90" s="99" t="e">
        <f>IF(B90="","",(U90*#REF!))</f>
        <v>#REF!</v>
      </c>
      <c r="Y90" s="99" t="e">
        <f>IF(B90="","",(W90*#REF!))</f>
        <v>#REF!</v>
      </c>
      <c r="Z90" s="100" t="s">
        <v>486</v>
      </c>
      <c r="AA90" s="100" t="s">
        <v>487</v>
      </c>
      <c r="AB90" s="78" t="s">
        <v>488</v>
      </c>
      <c r="AC90" s="102">
        <v>4.2900000000000001E-2</v>
      </c>
      <c r="AD90" s="5"/>
      <c r="AE90" s="7" t="s">
        <v>1072</v>
      </c>
      <c r="AF90" s="7" t="str">
        <f>VLOOKUP(C90,Estudio_Mercado_Ori!$C$12:$AH$1115,32,0)</f>
        <v>79PROCEDAS</v>
      </c>
      <c r="BG90" s="7">
        <v>93</v>
      </c>
      <c r="DA90" s="7" t="e">
        <f>VLOOKUP(#REF!,listaBolsa!$D$2:$BA$1248,1,0)</f>
        <v>#REF!</v>
      </c>
      <c r="DB90" s="7" t="e">
        <f>VLOOKUP(#REF!,listaBolsa!$D$2:$BA$1248,2,0)</f>
        <v>#REF!</v>
      </c>
      <c r="DC90" s="7" t="e">
        <f>VLOOKUP(#REF!,listaBolsa!$D$2:$BA$1248,10,0)</f>
        <v>#REF!</v>
      </c>
      <c r="DD90" s="7" t="e">
        <f>VLOOKUP(#REF!,listaBolsa!$D$2:$BA$1248,14,0)</f>
        <v>#REF!</v>
      </c>
      <c r="DE90" s="7" t="e">
        <f>VLOOKUP(#REF!,listaBolsa!$D$2:$BA$1248,23,0)</f>
        <v>#REF!</v>
      </c>
      <c r="DF90" s="7" t="e">
        <f>VLOOKUP(#REF!,listaBolsa!$D$2:$BA$1248,29,0)</f>
        <v>#REF!</v>
      </c>
      <c r="DG90" s="7" t="e">
        <f>VLOOKUP(#REF!,listaBolsa!$D$2:$BA$1248,36,0)</f>
        <v>#REF!</v>
      </c>
      <c r="DH90" s="7" t="e">
        <f>VLOOKUP(#REF!,listaBolsa!$D$2:$BA$1248,40,0)</f>
        <v>#REF!</v>
      </c>
      <c r="DI90" s="7" t="e">
        <f>VLOOKUP(#REF!,listaBolsa!$D$2:$BA$1248,48,0)</f>
        <v>#REF!</v>
      </c>
      <c r="DJ90" s="7" t="e">
        <f>DA90=#REF!</f>
        <v>#REF!</v>
      </c>
      <c r="DK90" s="7" t="e">
        <f>DB90=#REF!</f>
        <v>#REF!</v>
      </c>
      <c r="DL90" s="7" t="e">
        <f t="shared" si="73"/>
        <v>#REF!</v>
      </c>
      <c r="DM90" s="7" t="e">
        <f t="shared" si="74"/>
        <v>#REF!</v>
      </c>
      <c r="DN90" s="7" t="e">
        <f t="shared" si="75"/>
        <v>#REF!</v>
      </c>
      <c r="DO90" s="7" t="e">
        <f t="shared" si="76"/>
        <v>#REF!</v>
      </c>
      <c r="DP90" s="7" t="e">
        <f t="shared" si="77"/>
        <v>#REF!</v>
      </c>
      <c r="DQ90" s="7" t="e">
        <f t="shared" si="78"/>
        <v>#REF!</v>
      </c>
      <c r="DR90" s="7" t="e">
        <f t="shared" si="79"/>
        <v>#REF!</v>
      </c>
    </row>
    <row r="91" spans="1:122" s="7" customFormat="1" ht="105" customHeight="1">
      <c r="A91" s="75">
        <v>80</v>
      </c>
      <c r="B91" s="251" t="s">
        <v>309</v>
      </c>
      <c r="C91" s="186" t="s">
        <v>490</v>
      </c>
      <c r="D91" s="186" t="s">
        <v>491</v>
      </c>
      <c r="E91" s="188" t="s">
        <v>191</v>
      </c>
      <c r="F91" s="189">
        <v>1</v>
      </c>
      <c r="G91" s="75" t="s">
        <v>192</v>
      </c>
      <c r="H91" s="106" t="s">
        <v>492</v>
      </c>
      <c r="I91" s="107">
        <v>760000</v>
      </c>
      <c r="J91" s="96">
        <f t="shared" si="43"/>
        <v>144400</v>
      </c>
      <c r="K91" s="96">
        <f t="shared" si="44"/>
        <v>904400</v>
      </c>
      <c r="L91" s="96">
        <f>IF(B91="","",(I91*F91))</f>
        <v>760000</v>
      </c>
      <c r="M91" s="96">
        <f>IF(B91="","",(K91*F91))</f>
        <v>904400</v>
      </c>
      <c r="N91" s="108" t="s">
        <v>493</v>
      </c>
      <c r="O91" s="109">
        <v>760000</v>
      </c>
      <c r="P91" s="110">
        <f t="shared" si="60"/>
        <v>144400</v>
      </c>
      <c r="Q91" s="110">
        <f t="shared" si="61"/>
        <v>904400</v>
      </c>
      <c r="R91" s="110">
        <f t="shared" ref="R91:R110" si="82">IF(B91="","",(O91*F91))</f>
        <v>760000</v>
      </c>
      <c r="S91" s="110">
        <f t="shared" ref="S91:S110" si="83">IF(B91="","",(Q91*F91))</f>
        <v>904400</v>
      </c>
      <c r="T91" s="97" t="s">
        <v>494</v>
      </c>
      <c r="U91" s="98">
        <v>800000</v>
      </c>
      <c r="V91" s="99">
        <f>U91*19%</f>
        <v>152000</v>
      </c>
      <c r="W91" s="99">
        <f t="shared" si="81"/>
        <v>952000</v>
      </c>
      <c r="X91" s="99">
        <f t="shared" ref="X91:X101" si="84">IF(B91="","",(U91*F91))</f>
        <v>800000</v>
      </c>
      <c r="Y91" s="99">
        <f t="shared" ref="Y91:Y101" si="85">IF(B91="","",(W91*F91))</f>
        <v>952000</v>
      </c>
      <c r="Z91" s="100">
        <f>IF(A91="","",AVERAGE(K91,Q91,W91))</f>
        <v>920266.66666666663</v>
      </c>
      <c r="AA91" s="100">
        <f t="shared" ref="AA91:AA110" si="86">IF(B91="","",Z91*F91)</f>
        <v>920266.66666666663</v>
      </c>
      <c r="AB91" s="78">
        <f>IF(B91="","",STDEV(M91,S91,Y91))</f>
        <v>27481.872813426187</v>
      </c>
      <c r="AC91" s="102">
        <f t="shared" ref="AC91:AC110" si="87">IF(B91="","",(AB91/AA91))</f>
        <v>2.9862944958084094E-2</v>
      </c>
      <c r="AD91" s="5"/>
      <c r="AE91" s="7" t="s">
        <v>1046</v>
      </c>
      <c r="AF91" s="7" t="str">
        <f>VLOOKUP(C91,Estudio_Mercado_Ori!$C$12:$AH$1115,32,0)</f>
        <v>80PROCEDAS</v>
      </c>
      <c r="BG91" s="7">
        <v>94</v>
      </c>
      <c r="DA91" s="7" t="str">
        <f>VLOOKUP(C91,listaBolsa!$D$2:$BA$1248,1,0)</f>
        <v>Pendón</v>
      </c>
      <c r="DB91" s="7">
        <f>VLOOKUP(C91,listaBolsa!$D$2:$BA$1248,2,0)</f>
        <v>0</v>
      </c>
      <c r="DC91" s="7" t="str">
        <f>VLOOKUP(C91,listaBolsa!$D$2:$BA$1248,10,0)</f>
        <v>CREAN2 AGENCIA GRAFICA SAS</v>
      </c>
      <c r="DD91" s="7">
        <f>VLOOKUP(C91,listaBolsa!$D$2:$BA$1248,14,0)</f>
        <v>760000</v>
      </c>
      <c r="DE91" s="7" t="str">
        <f>VLOOKUP(C91,listaBolsa!$D$2:$BA$1248,23,0)</f>
        <v>ZOOM CREATIVO PUBLICIDAD</v>
      </c>
      <c r="DF91" s="7">
        <f>VLOOKUP(C91,listaBolsa!$D$2:$BA$1248,29,0)</f>
        <v>904400</v>
      </c>
      <c r="DG91" s="7" t="str">
        <f>VLOOKUP(C91,listaBolsa!$D$2:$BA$1248,36,0)</f>
        <v>DESIGN EXPRESS</v>
      </c>
      <c r="DH91" s="7">
        <f>VLOOKUP(C91,listaBolsa!$D$2:$BA$1248,40,0)</f>
        <v>800000</v>
      </c>
      <c r="DI91" s="253">
        <f>VLOOKUP(C91,listaBolsa!$D$2:$BA$1248,48,0)</f>
        <v>2.9899999999999999E-2</v>
      </c>
      <c r="DJ91" s="7" t="b">
        <f t="shared" ref="DJ91:DJ110" si="88">DA91=C91</f>
        <v>1</v>
      </c>
      <c r="DK91" s="7" t="b">
        <f t="shared" ref="DK91:DK110" si="89">DB91=D91</f>
        <v>0</v>
      </c>
      <c r="DL91" s="7" t="b">
        <f t="shared" si="73"/>
        <v>1</v>
      </c>
      <c r="DM91" s="7" t="b">
        <f t="shared" si="74"/>
        <v>1</v>
      </c>
      <c r="DN91" s="7" t="b">
        <f t="shared" si="75"/>
        <v>1</v>
      </c>
      <c r="DO91" s="7" t="b">
        <f t="shared" si="76"/>
        <v>0</v>
      </c>
      <c r="DP91" s="7" t="b">
        <f t="shared" si="77"/>
        <v>1</v>
      </c>
      <c r="DQ91" s="7" t="b">
        <f t="shared" si="78"/>
        <v>1</v>
      </c>
      <c r="DR91" s="7" t="b">
        <f t="shared" si="79"/>
        <v>0</v>
      </c>
    </row>
    <row r="92" spans="1:122" s="7" customFormat="1" ht="105" customHeight="1">
      <c r="A92" s="75">
        <v>81</v>
      </c>
      <c r="B92" s="251" t="s">
        <v>309</v>
      </c>
      <c r="C92" s="186" t="s">
        <v>496</v>
      </c>
      <c r="D92" s="186" t="s">
        <v>497</v>
      </c>
      <c r="E92" s="188" t="s">
        <v>191</v>
      </c>
      <c r="F92" s="189">
        <v>30</v>
      </c>
      <c r="G92" s="75" t="s">
        <v>192</v>
      </c>
      <c r="H92" s="106" t="s">
        <v>498</v>
      </c>
      <c r="I92" s="107">
        <v>24200</v>
      </c>
      <c r="J92" s="96">
        <f t="shared" si="43"/>
        <v>4598</v>
      </c>
      <c r="K92" s="96">
        <f t="shared" si="44"/>
        <v>28798</v>
      </c>
      <c r="L92" s="96">
        <f>IF(B92="","",(I92*F92))</f>
        <v>726000</v>
      </c>
      <c r="M92" s="96">
        <f>IF(B92="","",(K92*F92))</f>
        <v>863940</v>
      </c>
      <c r="N92" s="108" t="s">
        <v>499</v>
      </c>
      <c r="O92" s="109">
        <v>23529.411764705881</v>
      </c>
      <c r="P92" s="110">
        <f t="shared" si="60"/>
        <v>4470.5882352941171</v>
      </c>
      <c r="Q92" s="110">
        <f t="shared" si="61"/>
        <v>28000</v>
      </c>
      <c r="R92" s="110">
        <f t="shared" si="82"/>
        <v>705882.35294117639</v>
      </c>
      <c r="S92" s="110">
        <f t="shared" si="83"/>
        <v>840000</v>
      </c>
      <c r="T92" s="97" t="s">
        <v>500</v>
      </c>
      <c r="U92" s="98">
        <v>19747.89915966387</v>
      </c>
      <c r="V92" s="99">
        <f>U92*19%</f>
        <v>3752.1008403361352</v>
      </c>
      <c r="W92" s="99">
        <f t="shared" si="81"/>
        <v>23500.000000000004</v>
      </c>
      <c r="X92" s="99">
        <f t="shared" si="84"/>
        <v>592436.97478991607</v>
      </c>
      <c r="Y92" s="99">
        <f t="shared" si="85"/>
        <v>705000.00000000012</v>
      </c>
      <c r="Z92" s="100">
        <f>IF(A92="","",AVERAGE(K92,Q92,W92))</f>
        <v>26766</v>
      </c>
      <c r="AA92" s="100">
        <f t="shared" si="86"/>
        <v>802980</v>
      </c>
      <c r="AB92" s="78">
        <f>IF(B92="","",STDEV(M92,S92,Y92))</f>
        <v>85693.297287477442</v>
      </c>
      <c r="AC92" s="102">
        <f t="shared" si="87"/>
        <v>0.10671909298796663</v>
      </c>
      <c r="AD92" s="5"/>
      <c r="AE92" s="7" t="s">
        <v>1053</v>
      </c>
      <c r="AF92" s="7" t="str">
        <f>VLOOKUP(C92,Estudio_Mercado_Ori!$C$12:$AH$1115,32,0)</f>
        <v>81PROCEDAS</v>
      </c>
      <c r="BG92" s="7">
        <v>95</v>
      </c>
      <c r="DA92" s="7" t="str">
        <f>VLOOKUP(C92,listaBolsa!$D$2:$BA$1248,1,0)</f>
        <v>Habladores verticales</v>
      </c>
      <c r="DB92" s="7">
        <f>VLOOKUP(C92,listaBolsa!$D$2:$BA$1248,2,0)</f>
        <v>0</v>
      </c>
      <c r="DC92" s="7" t="str">
        <f>VLOOKUP(C92,listaBolsa!$D$2:$BA$1248,10,0)</f>
        <v>TIENDA SRM</v>
      </c>
      <c r="DD92" s="7">
        <f>VLOOKUP(C92,listaBolsa!$D$2:$BA$1248,14,0)</f>
        <v>24200</v>
      </c>
      <c r="DE92" s="7" t="str">
        <f>VLOOKUP(C92,listaBolsa!$D$2:$BA$1248,23,0)</f>
        <v>DISACRYL</v>
      </c>
      <c r="DF92" s="7">
        <f>VLOOKUP(C92,listaBolsa!$D$2:$BA$1248,29,0)</f>
        <v>28000</v>
      </c>
      <c r="DG92" s="7" t="str">
        <f>VLOOKUP(C92,listaBolsa!$D$2:$BA$1248,36,0)</f>
        <v>INSUMOS ARTES GRAFICAS</v>
      </c>
      <c r="DH92" s="7">
        <f>VLOOKUP(C92,listaBolsa!$D$2:$BA$1248,40,0)</f>
        <v>19747.900000000001</v>
      </c>
      <c r="DI92" s="253">
        <f>VLOOKUP(C92,listaBolsa!$D$2:$BA$1248,48,0)</f>
        <v>0.1067</v>
      </c>
      <c r="DJ92" s="7" t="b">
        <f t="shared" si="88"/>
        <v>1</v>
      </c>
      <c r="DK92" s="7" t="b">
        <f t="shared" si="89"/>
        <v>0</v>
      </c>
      <c r="DL92" s="7" t="b">
        <f t="shared" si="73"/>
        <v>1</v>
      </c>
      <c r="DM92" s="7" t="b">
        <f t="shared" si="74"/>
        <v>1</v>
      </c>
      <c r="DN92" s="7" t="b">
        <f t="shared" si="75"/>
        <v>1</v>
      </c>
      <c r="DO92" s="7" t="b">
        <f t="shared" si="76"/>
        <v>0</v>
      </c>
      <c r="DP92" s="7" t="b">
        <f t="shared" si="77"/>
        <v>1</v>
      </c>
      <c r="DQ92" s="7" t="b">
        <f t="shared" si="78"/>
        <v>0</v>
      </c>
      <c r="DR92" s="7" t="b">
        <f t="shared" si="79"/>
        <v>0</v>
      </c>
    </row>
    <row r="93" spans="1:122" s="7" customFormat="1" ht="105" customHeight="1">
      <c r="A93" s="75">
        <v>82</v>
      </c>
      <c r="B93" s="251" t="s">
        <v>309</v>
      </c>
      <c r="C93" s="186" t="s">
        <v>502</v>
      </c>
      <c r="D93" s="186" t="s">
        <v>503</v>
      </c>
      <c r="E93" s="188" t="s">
        <v>191</v>
      </c>
      <c r="F93" s="189">
        <v>100</v>
      </c>
      <c r="G93" s="200" t="str">
        <f>IF(C93="","",VLOOKUP(C93,listaBolsa!$D$2:$H$276,5,0))</f>
        <v>Compra</v>
      </c>
      <c r="H93" s="106" t="str">
        <f>IF(C93="","",VLOOKUP(C93,listaBolsa!$D$2:$W$276,10,0))</f>
        <v>INVENTIVA</v>
      </c>
      <c r="I93" s="107">
        <f>IF(C93="","",VLOOKUP(C93,listaBolsa!$D$2:$W$276,14,0))</f>
        <v>18000</v>
      </c>
      <c r="J93" s="96">
        <f t="shared" si="43"/>
        <v>3420</v>
      </c>
      <c r="K93" s="96">
        <f t="shared" si="44"/>
        <v>21420</v>
      </c>
      <c r="L93" s="96">
        <f>IF(B93="","",(I93*F93))</f>
        <v>1800000</v>
      </c>
      <c r="M93" s="96">
        <f>IF(B93="","",(K93*F93))</f>
        <v>2142000</v>
      </c>
      <c r="N93" s="108" t="str">
        <f>IF(C93="","",VLOOKUP(C93,listaBolsa!$D$2:$AZ$276,23,0))</f>
        <v>SG DIGITAL S.A.S</v>
      </c>
      <c r="O93" s="109">
        <f>IF(C93="","",VLOOKUP(C93,listaBolsa!$D$2:$AZ$276,27,0))</f>
        <v>17226.89075630252</v>
      </c>
      <c r="P93" s="110">
        <f t="shared" si="60"/>
        <v>3273.1092436974791</v>
      </c>
      <c r="Q93" s="110">
        <f t="shared" si="61"/>
        <v>20500</v>
      </c>
      <c r="R93" s="110">
        <f t="shared" si="82"/>
        <v>1722689.075630252</v>
      </c>
      <c r="S93" s="110">
        <f t="shared" si="83"/>
        <v>2050000</v>
      </c>
      <c r="T93" s="97" t="str">
        <f>IF(C93="","",VLOOKUP(C93,listaBolsa!$D$2:$BB$276,36,0))</f>
        <v>Angie Pachon (personalizado INK)</v>
      </c>
      <c r="U93" s="98">
        <f>IF(C93="","",VLOOKUP(C93,listaBolsa!$D$2:$BB$276,40,0))</f>
        <v>25000</v>
      </c>
      <c r="V93" s="99">
        <v>0</v>
      </c>
      <c r="W93" s="99">
        <f t="shared" si="81"/>
        <v>25000</v>
      </c>
      <c r="X93" s="99">
        <f t="shared" si="84"/>
        <v>2500000</v>
      </c>
      <c r="Y93" s="99">
        <f t="shared" si="85"/>
        <v>2500000</v>
      </c>
      <c r="Z93" s="100">
        <f>IF(A93="","",AVERAGE(K93,Q93,W93))</f>
        <v>22306.666666666668</v>
      </c>
      <c r="AA93" s="100">
        <f t="shared" si="86"/>
        <v>2230666.666666667</v>
      </c>
      <c r="AB93" s="78">
        <f>IF(B93="","",STDEV(M93,S93,Y93))</f>
        <v>237742.15724884247</v>
      </c>
      <c r="AC93" s="102">
        <f t="shared" si="87"/>
        <v>0.10657897067342011</v>
      </c>
      <c r="AD93" s="5"/>
      <c r="AE93" s="7" t="s">
        <v>1052</v>
      </c>
      <c r="AF93" s="7" t="str">
        <f>VLOOKUP(C93,Estudio_Mercado_Ori!$C$12:$AH$1115,32,0)</f>
        <v>82PROCEDAS</v>
      </c>
      <c r="BG93" s="7">
        <v>96</v>
      </c>
      <c r="DA93" s="7" t="str">
        <f>VLOOKUP(C93,listaBolsa!$D$2:$BA$1248,1,0)</f>
        <v>Gorra tela bordada con logo</v>
      </c>
      <c r="DB93" s="7" t="str">
        <f>VLOOKUP(C93,listaBolsa!$D$2:$BA$1248,2,0)</f>
        <v>Gorra de seis (6) paneles en dril con cierre de velcro, botón forrado, en dril liviano y víscera rígida, en plástico de polietileno. cierre en plástico o velcro. bordado 1 uno al frente. Logo impreso aprobado por Oficina de Prensa del FDLS.</v>
      </c>
      <c r="DC93" s="7" t="str">
        <f>VLOOKUP(C93,listaBolsa!$D$2:$BA$1248,10,0)</f>
        <v>INVENTIVA</v>
      </c>
      <c r="DD93" s="7">
        <f>VLOOKUP(C93,listaBolsa!$D$2:$BA$1248,14,0)</f>
        <v>18000</v>
      </c>
      <c r="DE93" s="7" t="str">
        <f>VLOOKUP(C93,listaBolsa!$D$2:$BA$1248,23,0)</f>
        <v>SG DIGITAL S.A.S</v>
      </c>
      <c r="DF93" s="7">
        <f>VLOOKUP(C93,listaBolsa!$D$2:$BA$1248,29,0)</f>
        <v>20500</v>
      </c>
      <c r="DG93" s="7" t="str">
        <f>VLOOKUP(C93,listaBolsa!$D$2:$BA$1248,36,0)</f>
        <v>Angie Pachon (personalizado INK)</v>
      </c>
      <c r="DH93" s="7">
        <f>VLOOKUP(C93,listaBolsa!$D$2:$BA$1248,40,0)</f>
        <v>25000</v>
      </c>
      <c r="DI93" s="252">
        <f>VLOOKUP(C93,listaBolsa!$D$2:$BA$1248,48,0)</f>
        <v>0.10657897067342009</v>
      </c>
      <c r="DJ93" s="7" t="b">
        <f t="shared" si="88"/>
        <v>1</v>
      </c>
      <c r="DK93" s="7" t="b">
        <f t="shared" si="89"/>
        <v>0</v>
      </c>
      <c r="DL93" s="7" t="b">
        <f t="shared" si="73"/>
        <v>1</v>
      </c>
      <c r="DM93" s="7" t="b">
        <f t="shared" si="74"/>
        <v>1</v>
      </c>
      <c r="DN93" s="7" t="b">
        <f t="shared" si="75"/>
        <v>1</v>
      </c>
      <c r="DO93" s="7" t="b">
        <f t="shared" si="76"/>
        <v>0</v>
      </c>
      <c r="DP93" s="7" t="b">
        <f t="shared" si="77"/>
        <v>1</v>
      </c>
      <c r="DQ93" s="7" t="b">
        <f t="shared" si="78"/>
        <v>1</v>
      </c>
      <c r="DR93" s="7" t="b">
        <f t="shared" si="79"/>
        <v>1</v>
      </c>
    </row>
    <row r="94" spans="1:122" s="7" customFormat="1" ht="145.15" customHeight="1">
      <c r="A94" s="75">
        <v>83</v>
      </c>
      <c r="B94" s="251" t="s">
        <v>309</v>
      </c>
      <c r="C94" s="186" t="s">
        <v>505</v>
      </c>
      <c r="D94" s="202" t="s">
        <v>470</v>
      </c>
      <c r="E94" s="188" t="s">
        <v>191</v>
      </c>
      <c r="F94" s="189">
        <v>100</v>
      </c>
      <c r="G94" s="200" t="str">
        <f>IF(C94="","",VLOOKUP(C94,listaBolsa!$D$2:$H$276,5,0))</f>
        <v>Compra</v>
      </c>
      <c r="H94" s="106"/>
      <c r="I94" s="107"/>
      <c r="J94" s="96"/>
      <c r="K94" s="96"/>
      <c r="L94" s="96"/>
      <c r="M94" s="96"/>
      <c r="N94" s="108" t="str">
        <f>IF(C94="","",VLOOKUP(C94,listaBolsa!$D$2:$AZ$276,23,0))</f>
        <v>Angie Pachon (personalizado INK)</v>
      </c>
      <c r="O94" s="109">
        <f>IF(C94="","",VLOOKUP(C94,listaBolsa!$D$2:$AZ$276,27,0))</f>
        <v>15000</v>
      </c>
      <c r="P94" s="110"/>
      <c r="Q94" s="110">
        <f t="shared" si="61"/>
        <v>15000</v>
      </c>
      <c r="R94" s="110">
        <f t="shared" si="82"/>
        <v>1500000</v>
      </c>
      <c r="S94" s="110">
        <f t="shared" si="83"/>
        <v>1500000</v>
      </c>
      <c r="T94" s="97" t="str">
        <f>IF(C94="","",VLOOKUP(C94,listaBolsa!$D$2:$BB$276,36,0))</f>
        <v>INVENTIVA</v>
      </c>
      <c r="U94" s="98">
        <f>IF(C94="","",VLOOKUP(C94,listaBolsa!$D$2:$BB$276,40,0))</f>
        <v>12000</v>
      </c>
      <c r="V94" s="99">
        <f t="shared" ref="V94:V101" si="90">U94*19%</f>
        <v>2280</v>
      </c>
      <c r="W94" s="99">
        <f t="shared" si="81"/>
        <v>14280</v>
      </c>
      <c r="X94" s="99">
        <f t="shared" si="84"/>
        <v>1200000</v>
      </c>
      <c r="Y94" s="99">
        <f t="shared" si="85"/>
        <v>1428000</v>
      </c>
      <c r="Z94" s="100">
        <f>IF(A94="","",AVERAGE(Q94,W94))</f>
        <v>14640</v>
      </c>
      <c r="AA94" s="100">
        <f t="shared" si="86"/>
        <v>1464000</v>
      </c>
      <c r="AB94" s="78">
        <f>IF(B94="","",STDEV(S94,Y94))</f>
        <v>50911.688245431418</v>
      </c>
      <c r="AC94" s="102">
        <f t="shared" si="87"/>
        <v>3.4775743337043322E-2</v>
      </c>
      <c r="AD94" s="5"/>
      <c r="AE94" s="7" t="s">
        <v>1052</v>
      </c>
      <c r="AF94" s="7" t="str">
        <f>VLOOKUP(C94,Estudio_Mercado_Ori!$C$12:$AH$1115,32,0)</f>
        <v>83PROCEDAS</v>
      </c>
      <c r="BG94" s="7">
        <v>97</v>
      </c>
      <c r="DA94" s="7" t="str">
        <f>VLOOKUP(C94,listaBolsa!$D$2:$BA$1248,1,0)</f>
        <v>Tula Deportiva con logos</v>
      </c>
      <c r="DB94" s="7" t="str">
        <f>VLOOKUP(C94,listaBolsa!$D$2:$BA$1248,2,0)</f>
        <v>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v>
      </c>
      <c r="DC94" s="7">
        <f>VLOOKUP(C94,listaBolsa!$D$2:$BA$1248,10,0)</f>
        <v>0</v>
      </c>
      <c r="DD94" s="7">
        <f>VLOOKUP(C94,listaBolsa!$D$2:$BA$1248,14,0)</f>
        <v>0</v>
      </c>
      <c r="DE94" s="7" t="str">
        <f>VLOOKUP(C94,listaBolsa!$D$2:$BA$1248,23,0)</f>
        <v>Angie Pachon (personalizado INK)</v>
      </c>
      <c r="DF94" s="7">
        <f>VLOOKUP(C94,listaBolsa!$D$2:$BA$1248,29,0)</f>
        <v>15000</v>
      </c>
      <c r="DG94" s="7" t="str">
        <f>VLOOKUP(C94,listaBolsa!$D$2:$BA$1248,36,0)</f>
        <v>INVENTIVA</v>
      </c>
      <c r="DH94" s="7">
        <f>VLOOKUP(C94,listaBolsa!$D$2:$BA$1248,40,0)</f>
        <v>12000</v>
      </c>
      <c r="DI94" s="252">
        <f>VLOOKUP(C94,listaBolsa!$D$2:$BA$1248,48,0)</f>
        <v>3.4775743337043322E-2</v>
      </c>
      <c r="DJ94" s="7" t="b">
        <f t="shared" si="88"/>
        <v>1</v>
      </c>
      <c r="DK94" s="7" t="b">
        <f t="shared" si="89"/>
        <v>0</v>
      </c>
      <c r="DL94" s="7" t="b">
        <f t="shared" si="73"/>
        <v>1</v>
      </c>
      <c r="DM94" s="7" t="b">
        <f t="shared" si="74"/>
        <v>1</v>
      </c>
      <c r="DN94" s="7" t="b">
        <f t="shared" si="75"/>
        <v>1</v>
      </c>
      <c r="DO94" s="7" t="b">
        <f t="shared" si="76"/>
        <v>1</v>
      </c>
      <c r="DP94" s="7" t="b">
        <f t="shared" si="77"/>
        <v>1</v>
      </c>
      <c r="DQ94" s="7" t="b">
        <f t="shared" si="78"/>
        <v>1</v>
      </c>
      <c r="DR94" s="7" t="b">
        <f t="shared" si="79"/>
        <v>1</v>
      </c>
    </row>
    <row r="95" spans="1:122" s="7" customFormat="1" ht="105" customHeight="1">
      <c r="A95" s="75">
        <v>84</v>
      </c>
      <c r="B95" s="251" t="s">
        <v>309</v>
      </c>
      <c r="C95" s="186" t="s">
        <v>507</v>
      </c>
      <c r="D95" s="186" t="s">
        <v>508</v>
      </c>
      <c r="E95" s="188" t="s">
        <v>191</v>
      </c>
      <c r="F95" s="189">
        <v>100</v>
      </c>
      <c r="G95" s="75" t="s">
        <v>192</v>
      </c>
      <c r="H95" s="106" t="s">
        <v>193</v>
      </c>
      <c r="I95" s="107">
        <v>14500</v>
      </c>
      <c r="J95" s="96">
        <f t="shared" ref="J95:J102" si="91">I95*19%</f>
        <v>2755</v>
      </c>
      <c r="K95" s="96">
        <f t="shared" ref="K95:K110" si="92">I95+J95</f>
        <v>17255</v>
      </c>
      <c r="L95" s="96">
        <f t="shared" ref="L95:L110" si="93">IF(B95="","",(I95*F95))</f>
        <v>1450000</v>
      </c>
      <c r="M95" s="96">
        <f t="shared" ref="M95:M110" si="94">IF(B95="","",(K95*F95))</f>
        <v>1725500</v>
      </c>
      <c r="N95" s="108" t="s">
        <v>263</v>
      </c>
      <c r="O95" s="109">
        <v>12521.008403361349</v>
      </c>
      <c r="P95" s="110">
        <f t="shared" ref="P95:P102" si="95">O95*19%</f>
        <v>2378.9915966386566</v>
      </c>
      <c r="Q95" s="110">
        <f t="shared" si="61"/>
        <v>14900.000000000005</v>
      </c>
      <c r="R95" s="110">
        <f t="shared" si="82"/>
        <v>1252100.8403361349</v>
      </c>
      <c r="S95" s="110">
        <f t="shared" si="83"/>
        <v>1490000.0000000005</v>
      </c>
      <c r="T95" s="97" t="s">
        <v>194</v>
      </c>
      <c r="U95" s="98">
        <v>16500</v>
      </c>
      <c r="V95" s="99">
        <f t="shared" si="90"/>
        <v>3135</v>
      </c>
      <c r="W95" s="99">
        <f t="shared" si="81"/>
        <v>19635</v>
      </c>
      <c r="X95" s="99">
        <f t="shared" si="84"/>
        <v>1650000</v>
      </c>
      <c r="Y95" s="99">
        <f t="shared" si="85"/>
        <v>1963500</v>
      </c>
      <c r="Z95" s="100">
        <f t="shared" ref="Z95:Z110" si="96">IF(A95="","",AVERAGE(K95,Q95,W95))</f>
        <v>17263.333333333336</v>
      </c>
      <c r="AA95" s="100">
        <f t="shared" si="86"/>
        <v>1726333.3333333335</v>
      </c>
      <c r="AB95" s="78">
        <f t="shared" ref="AB95:AB110" si="97">IF(B95="","",STDEV(M95,S95,Y95))</f>
        <v>236751.09996224724</v>
      </c>
      <c r="AC95" s="102">
        <f t="shared" si="87"/>
        <v>0.13714101175646681</v>
      </c>
      <c r="AD95" s="5"/>
      <c r="AE95" s="7" t="s">
        <v>1053</v>
      </c>
      <c r="AF95" s="7" t="str">
        <f>VLOOKUP(C95,Estudio_Mercado_Ori!$C$12:$AH$1115,32,0)</f>
        <v>84PROCEDAS</v>
      </c>
      <c r="BG95" s="7">
        <v>98</v>
      </c>
      <c r="DA95" s="7" t="str">
        <f>VLOOKUP(C95,listaBolsa!$D$2:$BA$1248,1,0)</f>
        <v>Suculenta</v>
      </c>
      <c r="DB95" s="7">
        <f>VLOOKUP(C95,listaBolsa!$D$2:$BA$1248,2,0)</f>
        <v>0</v>
      </c>
      <c r="DC95" s="7" t="str">
        <f>VLOOKUP(C95,listaBolsa!$D$2:$BA$1248,10,0)</f>
        <v>AVANCE ORGANIZACIONAL CONSULTORES SAS</v>
      </c>
      <c r="DD95" s="7">
        <f>VLOOKUP(C95,listaBolsa!$D$2:$BA$1248,14,0)</f>
        <v>14500</v>
      </c>
      <c r="DE95" s="7" t="str">
        <f>VLOOKUP(C95,listaBolsa!$D$2:$BA$1248,23,0)</f>
        <v>HOMCENTER</v>
      </c>
      <c r="DF95" s="7">
        <f>VLOOKUP(C95,listaBolsa!$D$2:$BA$1248,29,0)</f>
        <v>14900</v>
      </c>
      <c r="DG95" s="7" t="str">
        <f>VLOOKUP(C95,listaBolsa!$D$2:$BA$1248,36,0)</f>
        <v>SIDED</v>
      </c>
      <c r="DH95" s="7">
        <f>VLOOKUP(C95,listaBolsa!$D$2:$BA$1248,40,0)</f>
        <v>16500</v>
      </c>
      <c r="DI95" s="253">
        <f>VLOOKUP(C95,listaBolsa!$D$2:$BA$1248,48,0)</f>
        <v>0.1371</v>
      </c>
      <c r="DJ95" s="7" t="b">
        <f t="shared" si="88"/>
        <v>1</v>
      </c>
      <c r="DK95" s="7" t="b">
        <f t="shared" si="89"/>
        <v>0</v>
      </c>
      <c r="DL95" s="7" t="b">
        <f t="shared" si="73"/>
        <v>1</v>
      </c>
      <c r="DM95" s="7" t="b">
        <f t="shared" si="74"/>
        <v>1</v>
      </c>
      <c r="DN95" s="7" t="b">
        <f t="shared" si="75"/>
        <v>1</v>
      </c>
      <c r="DO95" s="7" t="b">
        <f t="shared" si="76"/>
        <v>0</v>
      </c>
      <c r="DP95" s="7" t="b">
        <f t="shared" si="77"/>
        <v>1</v>
      </c>
      <c r="DQ95" s="7" t="b">
        <f t="shared" si="78"/>
        <v>1</v>
      </c>
      <c r="DR95" s="7" t="b">
        <f t="shared" si="79"/>
        <v>0</v>
      </c>
    </row>
    <row r="96" spans="1:122" s="7" customFormat="1" ht="105" customHeight="1">
      <c r="A96" s="75">
        <v>85</v>
      </c>
      <c r="B96" s="251" t="s">
        <v>309</v>
      </c>
      <c r="C96" s="186" t="s">
        <v>510</v>
      </c>
      <c r="D96" s="186" t="s">
        <v>511</v>
      </c>
      <c r="E96" s="188" t="s">
        <v>191</v>
      </c>
      <c r="F96" s="189">
        <v>8</v>
      </c>
      <c r="G96" s="200" t="str">
        <f>IF(C96="","",VLOOKUP(C96,listaBolsa!$D$2:$H$276,5,0))</f>
        <v>Compra</v>
      </c>
      <c r="H96" s="106" t="str">
        <f>IF(C96="","",VLOOKUP(C96,listaBolsa!$D$2:$W$276,10,0))</f>
        <v>Exito</v>
      </c>
      <c r="I96" s="107">
        <f>IF(C96="","",VLOOKUP(C96,listaBolsa!$D$2:$W$276,14,0))</f>
        <v>13277.310924369749</v>
      </c>
      <c r="J96" s="96">
        <f t="shared" si="91"/>
        <v>2522.6890756302523</v>
      </c>
      <c r="K96" s="96">
        <f t="shared" si="92"/>
        <v>15800.000000000002</v>
      </c>
      <c r="L96" s="96">
        <f t="shared" si="93"/>
        <v>106218.48739495799</v>
      </c>
      <c r="M96" s="96">
        <f t="shared" si="94"/>
        <v>126400.00000000001</v>
      </c>
      <c r="N96" s="108" t="str">
        <f>IF(C96="","",VLOOKUP(C96,listaBolsa!$D$2:$AZ$276,23,0))</f>
        <v>Olimpica</v>
      </c>
      <c r="O96" s="109">
        <f>IF(C96="","",VLOOKUP(C96,listaBolsa!$D$2:$AZ$276,27,0))</f>
        <v>16369.747899159665</v>
      </c>
      <c r="P96" s="110">
        <f t="shared" si="95"/>
        <v>3110.2521008403364</v>
      </c>
      <c r="Q96" s="110">
        <f t="shared" si="61"/>
        <v>19480</v>
      </c>
      <c r="R96" s="110">
        <f t="shared" si="82"/>
        <v>130957.98319327732</v>
      </c>
      <c r="S96" s="110">
        <f t="shared" si="83"/>
        <v>155840</v>
      </c>
      <c r="T96" s="97" t="str">
        <f>IF(C96="","",VLOOKUP(C96,listaBolsa!$D$2:$BB$276,36,0))</f>
        <v>Tiendas Jumbo</v>
      </c>
      <c r="U96" s="98">
        <f>IF(C96="","",VLOOKUP(C96,listaBolsa!$D$2:$BB$276,40,0))</f>
        <v>14621.848739495799</v>
      </c>
      <c r="V96" s="99">
        <f t="shared" si="90"/>
        <v>2778.1512605042017</v>
      </c>
      <c r="W96" s="99">
        <f t="shared" si="81"/>
        <v>17400</v>
      </c>
      <c r="X96" s="99">
        <f t="shared" si="84"/>
        <v>116974.78991596639</v>
      </c>
      <c r="Y96" s="99">
        <f t="shared" si="85"/>
        <v>139200</v>
      </c>
      <c r="Z96" s="100">
        <f t="shared" si="96"/>
        <v>17560</v>
      </c>
      <c r="AA96" s="100">
        <f t="shared" si="86"/>
        <v>140480</v>
      </c>
      <c r="AB96" s="78">
        <f t="shared" si="97"/>
        <v>14761.680121178611</v>
      </c>
      <c r="AC96" s="102">
        <f t="shared" si="87"/>
        <v>0.10508029699016665</v>
      </c>
      <c r="AD96" s="5"/>
      <c r="AE96" s="7" t="s">
        <v>1050</v>
      </c>
      <c r="AF96" s="7" t="str">
        <f>VLOOKUP(C96,Estudio_Mercado_Ori!$C$12:$AH$1115,32,0)</f>
        <v>85PROCEDAS</v>
      </c>
      <c r="BG96" s="7">
        <v>99</v>
      </c>
      <c r="DA96" s="7" t="str">
        <f>VLOOKUP(C96,listaBolsa!$D$2:$BA$1248,1,0)</f>
        <v>Agua en botella x 24 unidades 300 ml</v>
      </c>
      <c r="DB96" s="7" t="str">
        <f>VLOOKUP(C96,listaBolsa!$D$2:$BA$1248,2,0)</f>
        <v>Bandeja X 24 unidades de agua en botella por 300 ML.</v>
      </c>
      <c r="DC96" s="7" t="str">
        <f>VLOOKUP(C96,listaBolsa!$D$2:$BA$1248,10,0)</f>
        <v>Exito</v>
      </c>
      <c r="DD96" s="7">
        <f>VLOOKUP(C96,listaBolsa!$D$2:$BA$1248,14,0)</f>
        <v>13277.310924369749</v>
      </c>
      <c r="DE96" s="7" t="str">
        <f>VLOOKUP(C96,listaBolsa!$D$2:$BA$1248,23,0)</f>
        <v>Olimpica</v>
      </c>
      <c r="DF96" s="7">
        <f>VLOOKUP(C96,listaBolsa!$D$2:$BA$1248,29,0)</f>
        <v>19480</v>
      </c>
      <c r="DG96" s="7" t="str">
        <f>VLOOKUP(C96,listaBolsa!$D$2:$BA$1248,36,0)</f>
        <v>Tiendas Jumbo</v>
      </c>
      <c r="DH96" s="7">
        <f>VLOOKUP(C96,listaBolsa!$D$2:$BA$1248,40,0)</f>
        <v>14621.848739495799</v>
      </c>
      <c r="DI96" s="253">
        <f>VLOOKUP(C96,listaBolsa!$D$2:$BA$1248,48,0)</f>
        <v>0.10508029699016665</v>
      </c>
      <c r="DJ96" s="7" t="b">
        <f t="shared" si="88"/>
        <v>1</v>
      </c>
      <c r="DK96" s="7" t="b">
        <f t="shared" si="89"/>
        <v>1</v>
      </c>
      <c r="DL96" s="7" t="b">
        <f t="shared" si="73"/>
        <v>1</v>
      </c>
      <c r="DM96" s="7" t="b">
        <f t="shared" si="74"/>
        <v>1</v>
      </c>
      <c r="DN96" s="7" t="b">
        <f t="shared" si="75"/>
        <v>1</v>
      </c>
      <c r="DO96" s="7" t="b">
        <f t="shared" si="76"/>
        <v>0</v>
      </c>
      <c r="DP96" s="7" t="b">
        <f t="shared" si="77"/>
        <v>1</v>
      </c>
      <c r="DQ96" s="7" t="b">
        <f t="shared" si="78"/>
        <v>1</v>
      </c>
      <c r="DR96" s="7" t="b">
        <f t="shared" si="79"/>
        <v>1</v>
      </c>
    </row>
    <row r="97" spans="1:122" s="7" customFormat="1" ht="105" customHeight="1">
      <c r="A97" s="75">
        <v>86</v>
      </c>
      <c r="B97" s="251" t="s">
        <v>309</v>
      </c>
      <c r="C97" s="186" t="s">
        <v>513</v>
      </c>
      <c r="D97" s="186" t="s">
        <v>514</v>
      </c>
      <c r="E97" s="188" t="s">
        <v>191</v>
      </c>
      <c r="F97" s="189">
        <v>1</v>
      </c>
      <c r="G97" s="75" t="s">
        <v>192</v>
      </c>
      <c r="H97" s="106" t="s">
        <v>515</v>
      </c>
      <c r="I97" s="107">
        <v>1050000</v>
      </c>
      <c r="J97" s="96">
        <f t="shared" si="91"/>
        <v>199500</v>
      </c>
      <c r="K97" s="96">
        <f t="shared" si="92"/>
        <v>1249500</v>
      </c>
      <c r="L97" s="96">
        <f t="shared" si="93"/>
        <v>1050000</v>
      </c>
      <c r="M97" s="96">
        <f t="shared" si="94"/>
        <v>1249500</v>
      </c>
      <c r="N97" s="108" t="s">
        <v>516</v>
      </c>
      <c r="O97" s="109">
        <v>1500000</v>
      </c>
      <c r="P97" s="110">
        <f t="shared" si="95"/>
        <v>285000</v>
      </c>
      <c r="Q97" s="110">
        <f t="shared" si="61"/>
        <v>1785000</v>
      </c>
      <c r="R97" s="110">
        <f t="shared" si="82"/>
        <v>1500000</v>
      </c>
      <c r="S97" s="110">
        <f t="shared" si="83"/>
        <v>1785000</v>
      </c>
      <c r="T97" s="97" t="s">
        <v>517</v>
      </c>
      <c r="U97" s="98">
        <v>1260504</v>
      </c>
      <c r="V97" s="99">
        <f t="shared" si="90"/>
        <v>239495.76</v>
      </c>
      <c r="W97" s="99">
        <f t="shared" si="81"/>
        <v>1499999.76</v>
      </c>
      <c r="X97" s="99">
        <f t="shared" si="84"/>
        <v>1260504</v>
      </c>
      <c r="Y97" s="99">
        <f t="shared" si="85"/>
        <v>1499999.76</v>
      </c>
      <c r="Z97" s="100">
        <f t="shared" si="96"/>
        <v>1511499.92</v>
      </c>
      <c r="AA97" s="100">
        <f t="shared" si="86"/>
        <v>1511499.92</v>
      </c>
      <c r="AB97" s="78">
        <f t="shared" si="97"/>
        <v>267935.1652172957</v>
      </c>
      <c r="AC97" s="102">
        <f t="shared" si="87"/>
        <v>0.17726442566883874</v>
      </c>
      <c r="AD97" s="5"/>
      <c r="AF97" s="7" t="str">
        <f>VLOOKUP(C97,Estudio_Mercado_Ori!$C$12:$AH$1115,32,0)</f>
        <v>86PROCEDAS</v>
      </c>
      <c r="BG97" s="7">
        <v>100</v>
      </c>
      <c r="DA97" s="7" t="e">
        <f>VLOOKUP(C97,listaBolsa!$D$2:$BA$1248,1,0)</f>
        <v>#N/A</v>
      </c>
      <c r="DB97" s="7" t="e">
        <f>VLOOKUP(C97,listaBolsa!$D$2:$BA$1248,2,0)</f>
        <v>#N/A</v>
      </c>
      <c r="DC97" s="7" t="e">
        <f>VLOOKUP(C97,listaBolsa!$D$2:$BA$1248,10,0)</f>
        <v>#N/A</v>
      </c>
      <c r="DD97" s="7" t="e">
        <f>VLOOKUP(C97,listaBolsa!$D$2:$BA$1248,14,0)</f>
        <v>#N/A</v>
      </c>
      <c r="DE97" s="7" t="e">
        <f>VLOOKUP(C97,listaBolsa!$D$2:$BA$1248,23,0)</f>
        <v>#N/A</v>
      </c>
      <c r="DF97" s="7" t="e">
        <f>VLOOKUP(C97,listaBolsa!$D$2:$BA$1248,29,0)</f>
        <v>#N/A</v>
      </c>
      <c r="DG97" s="7" t="e">
        <f>VLOOKUP(C97,listaBolsa!$D$2:$BA$1248,36,0)</f>
        <v>#N/A</v>
      </c>
      <c r="DH97" s="7" t="e">
        <f>VLOOKUP(C97,listaBolsa!$D$2:$BA$1248,40,0)</f>
        <v>#N/A</v>
      </c>
      <c r="DI97" s="252" t="e">
        <f>VLOOKUP(C97,listaBolsa!$D$2:$BA$1248,48,0)</f>
        <v>#N/A</v>
      </c>
      <c r="DJ97" s="7" t="e">
        <f t="shared" si="88"/>
        <v>#N/A</v>
      </c>
      <c r="DK97" s="7" t="e">
        <f t="shared" si="89"/>
        <v>#N/A</v>
      </c>
      <c r="DL97" s="7" t="e">
        <f t="shared" si="73"/>
        <v>#N/A</v>
      </c>
      <c r="DM97" s="7" t="e">
        <f t="shared" si="74"/>
        <v>#N/A</v>
      </c>
      <c r="DN97" s="7" t="e">
        <f t="shared" si="75"/>
        <v>#N/A</v>
      </c>
      <c r="DO97" s="7" t="e">
        <f t="shared" si="76"/>
        <v>#N/A</v>
      </c>
      <c r="DP97" s="7" t="e">
        <f t="shared" si="77"/>
        <v>#N/A</v>
      </c>
      <c r="DQ97" s="7" t="e">
        <f t="shared" si="78"/>
        <v>#N/A</v>
      </c>
      <c r="DR97" s="7" t="e">
        <f t="shared" si="79"/>
        <v>#N/A</v>
      </c>
    </row>
    <row r="98" spans="1:122" s="7" customFormat="1" ht="105" customHeight="1">
      <c r="A98" s="75">
        <v>87</v>
      </c>
      <c r="B98" s="251" t="s">
        <v>309</v>
      </c>
      <c r="C98" s="186" t="s">
        <v>519</v>
      </c>
      <c r="D98" s="186" t="s">
        <v>520</v>
      </c>
      <c r="E98" s="188" t="s">
        <v>191</v>
      </c>
      <c r="F98" s="189">
        <v>1</v>
      </c>
      <c r="G98" s="200" t="str">
        <f>IF(C98="","",VLOOKUP(C98,listaBolsa!$D$2:$H$276,5,0))</f>
        <v>Alquiler</v>
      </c>
      <c r="H98" s="106" t="str">
        <f>IF(C98="","",VLOOKUP(C98,listaBolsa!$D$2:$W$276,10,0))</f>
        <v>Ambulancias Particulares Ayudar</v>
      </c>
      <c r="I98" s="107">
        <f>IF(C98="","",VLOOKUP(C98,listaBolsa!$D$2:$W$276,14,0))</f>
        <v>1360000</v>
      </c>
      <c r="J98" s="96">
        <f t="shared" si="91"/>
        <v>258400</v>
      </c>
      <c r="K98" s="96">
        <f t="shared" si="92"/>
        <v>1618400</v>
      </c>
      <c r="L98" s="96">
        <f t="shared" si="93"/>
        <v>1360000</v>
      </c>
      <c r="M98" s="96">
        <f t="shared" si="94"/>
        <v>1618400</v>
      </c>
      <c r="N98" s="108" t="str">
        <f>IF(C98="","",VLOOKUP(C98,listaBolsa!$D$2:$AZ$276,23,0))</f>
        <v>D&amp;R PRODUCCIONES SAS</v>
      </c>
      <c r="O98" s="109">
        <f>IF(C98="","",VLOOKUP(C98,listaBolsa!$D$2:$AZ$276,27,0))</f>
        <v>1280000</v>
      </c>
      <c r="P98" s="110">
        <f t="shared" si="95"/>
        <v>243200</v>
      </c>
      <c r="Q98" s="110">
        <f t="shared" si="61"/>
        <v>1523200</v>
      </c>
      <c r="R98" s="110">
        <f t="shared" si="82"/>
        <v>1280000</v>
      </c>
      <c r="S98" s="110">
        <f t="shared" si="83"/>
        <v>1523200</v>
      </c>
      <c r="T98" s="97" t="str">
        <f>IF(C98="","",VLOOKUP(C98,listaBolsa!$D$2:$BB$276,36,0))</f>
        <v>LOGISTBOX L&amp;L SAS</v>
      </c>
      <c r="U98" s="98">
        <f>IF(C98="","",VLOOKUP(C98,listaBolsa!$D$2:$BB$276,40,0))</f>
        <v>1394000</v>
      </c>
      <c r="V98" s="99">
        <f t="shared" si="90"/>
        <v>264860</v>
      </c>
      <c r="W98" s="99">
        <f t="shared" si="81"/>
        <v>1658860</v>
      </c>
      <c r="X98" s="99">
        <f t="shared" si="84"/>
        <v>1394000</v>
      </c>
      <c r="Y98" s="99">
        <f t="shared" si="85"/>
        <v>1658860</v>
      </c>
      <c r="Z98" s="100">
        <f t="shared" si="96"/>
        <v>1600153.3333333333</v>
      </c>
      <c r="AA98" s="100">
        <f t="shared" si="86"/>
        <v>1600153.3333333333</v>
      </c>
      <c r="AB98" s="78">
        <f t="shared" si="97"/>
        <v>69646.353338371802</v>
      </c>
      <c r="AC98" s="102">
        <f t="shared" si="87"/>
        <v>4.352479970984352E-2</v>
      </c>
      <c r="AD98" s="5"/>
      <c r="AE98" s="7" t="s">
        <v>1050</v>
      </c>
      <c r="AF98" s="7" t="str">
        <f>VLOOKUP(C98,Estudio_Mercado_Ori!$C$12:$AH$1115,32,0)</f>
        <v>87PROCEDAS</v>
      </c>
      <c r="BG98" s="7">
        <v>101</v>
      </c>
      <c r="DA98" s="7" t="str">
        <f>VLOOKUP(C98,listaBolsa!$D$2:$BA$1248,1,0)</f>
        <v>Alquiler ambulancia</v>
      </c>
      <c r="DB98" s="7" t="str">
        <f>VLOOKUP(C98,listaBolsa!$D$2:$BA$1248,2,0)</f>
        <v>Alquiler de Ambulancia medicalizada durante una jornada de 6 a 8 horas</v>
      </c>
      <c r="DC98" s="7" t="str">
        <f>VLOOKUP(C98,listaBolsa!$D$2:$BA$1248,10,0)</f>
        <v>Ambulancias Particulares Ayudar</v>
      </c>
      <c r="DD98" s="7">
        <f>VLOOKUP(C98,listaBolsa!$D$2:$BA$1248,14,0)</f>
        <v>1360000</v>
      </c>
      <c r="DE98" s="7" t="str">
        <f>VLOOKUP(C98,listaBolsa!$D$2:$BA$1248,23,0)</f>
        <v>D&amp;R PRODUCCIONES SAS</v>
      </c>
      <c r="DF98" s="7">
        <f>VLOOKUP(C98,listaBolsa!$D$2:$BA$1248,29,0)</f>
        <v>1280000</v>
      </c>
      <c r="DG98" s="7" t="str">
        <f>VLOOKUP(C98,listaBolsa!$D$2:$BA$1248,36,0)</f>
        <v>LOGISTBOX L&amp;L SAS</v>
      </c>
      <c r="DH98" s="7">
        <f>VLOOKUP(C98,listaBolsa!$D$2:$BA$1248,40,0)</f>
        <v>1394000</v>
      </c>
      <c r="DI98" s="253">
        <f>VLOOKUP(C98,listaBolsa!$D$2:$BA$1248,48,0)</f>
        <v>4.3524799709843513E-2</v>
      </c>
      <c r="DJ98" s="7" t="b">
        <f t="shared" si="88"/>
        <v>1</v>
      </c>
      <c r="DK98" s="7" t="b">
        <f t="shared" si="89"/>
        <v>1</v>
      </c>
      <c r="DL98" s="7" t="b">
        <f t="shared" si="73"/>
        <v>1</v>
      </c>
      <c r="DM98" s="7" t="b">
        <f t="shared" si="74"/>
        <v>1</v>
      </c>
      <c r="DN98" s="7" t="b">
        <f t="shared" si="75"/>
        <v>1</v>
      </c>
      <c r="DO98" s="7" t="b">
        <f t="shared" si="76"/>
        <v>1</v>
      </c>
      <c r="DP98" s="7" t="b">
        <f t="shared" si="77"/>
        <v>1</v>
      </c>
      <c r="DQ98" s="7" t="b">
        <f t="shared" si="78"/>
        <v>1</v>
      </c>
      <c r="DR98" s="7" t="b">
        <f t="shared" si="79"/>
        <v>1</v>
      </c>
    </row>
    <row r="99" spans="1:122" s="7" customFormat="1" ht="105" customHeight="1">
      <c r="A99" s="75">
        <v>88</v>
      </c>
      <c r="B99" s="251" t="s">
        <v>309</v>
      </c>
      <c r="C99" s="186" t="s">
        <v>522</v>
      </c>
      <c r="D99" s="186" t="s">
        <v>523</v>
      </c>
      <c r="E99" s="188" t="s">
        <v>191</v>
      </c>
      <c r="F99" s="189">
        <v>1</v>
      </c>
      <c r="G99" s="75" t="s">
        <v>192</v>
      </c>
      <c r="H99" s="106" t="s">
        <v>193</v>
      </c>
      <c r="I99" s="107">
        <v>1350000</v>
      </c>
      <c r="J99" s="96">
        <f t="shared" si="91"/>
        <v>256500</v>
      </c>
      <c r="K99" s="96">
        <f t="shared" si="92"/>
        <v>1606500</v>
      </c>
      <c r="L99" s="96">
        <f t="shared" si="93"/>
        <v>1350000</v>
      </c>
      <c r="M99" s="96">
        <f t="shared" si="94"/>
        <v>1606500</v>
      </c>
      <c r="N99" s="108" t="s">
        <v>245</v>
      </c>
      <c r="O99" s="109">
        <v>1600000</v>
      </c>
      <c r="P99" s="110">
        <f t="shared" si="95"/>
        <v>304000</v>
      </c>
      <c r="Q99" s="110">
        <f t="shared" si="61"/>
        <v>1904000</v>
      </c>
      <c r="R99" s="110">
        <f t="shared" si="82"/>
        <v>1600000</v>
      </c>
      <c r="S99" s="110">
        <f t="shared" si="83"/>
        <v>1904000</v>
      </c>
      <c r="T99" s="97" t="s">
        <v>194</v>
      </c>
      <c r="U99" s="98">
        <v>1400000</v>
      </c>
      <c r="V99" s="99">
        <f t="shared" si="90"/>
        <v>266000</v>
      </c>
      <c r="W99" s="99">
        <f t="shared" si="81"/>
        <v>1666000</v>
      </c>
      <c r="X99" s="99">
        <f t="shared" si="84"/>
        <v>1400000</v>
      </c>
      <c r="Y99" s="99">
        <f t="shared" si="85"/>
        <v>1666000</v>
      </c>
      <c r="Z99" s="100">
        <f t="shared" si="96"/>
        <v>1725500</v>
      </c>
      <c r="AA99" s="100">
        <f t="shared" si="86"/>
        <v>1725500</v>
      </c>
      <c r="AB99" s="78">
        <f t="shared" si="97"/>
        <v>157422.20300834315</v>
      </c>
      <c r="AC99" s="102">
        <f t="shared" si="87"/>
        <v>9.1232803829813469E-2</v>
      </c>
      <c r="AD99" s="5"/>
      <c r="AE99" s="7" t="s">
        <v>1046</v>
      </c>
      <c r="AF99" s="7" t="str">
        <f>VLOOKUP(C99,Estudio_Mercado_Ori!$C$12:$AH$1115,32,0)</f>
        <v>88PROCEDAS</v>
      </c>
      <c r="BG99" s="7">
        <v>102</v>
      </c>
      <c r="DA99" s="7" t="str">
        <f>VLOOKUP(C99,listaBolsa!$D$2:$BA$1248,1,0)</f>
        <v>Alquiler de módulo de estabilización y clasificación de heridos MEC</v>
      </c>
      <c r="DB99" s="7">
        <f>VLOOKUP(C99,listaBolsa!$D$2:$BA$1248,2,0)</f>
        <v>0</v>
      </c>
      <c r="DC99" s="7" t="str">
        <f>VLOOKUP(C99,listaBolsa!$D$2:$BA$1248,10,0)</f>
        <v>AVANCE ORGANIZACIONAL CONSULTORES SAS</v>
      </c>
      <c r="DD99" s="7">
        <f>VLOOKUP(C99,listaBolsa!$D$2:$BA$1248,14,0)</f>
        <v>1350000</v>
      </c>
      <c r="DE99" s="7" t="str">
        <f>VLOOKUP(C99,listaBolsa!$D$2:$BA$1248,23,0)</f>
        <v>CONADES</v>
      </c>
      <c r="DF99" s="7">
        <f>VLOOKUP(C99,listaBolsa!$D$2:$BA$1248,29,0)</f>
        <v>1904000</v>
      </c>
      <c r="DG99" s="7" t="str">
        <f>VLOOKUP(C99,listaBolsa!$D$2:$BA$1248,36,0)</f>
        <v>SIDED</v>
      </c>
      <c r="DH99" s="7">
        <f>VLOOKUP(C99,listaBolsa!$D$2:$BA$1248,40,0)</f>
        <v>1400000</v>
      </c>
      <c r="DI99" s="253">
        <f>VLOOKUP(C99,listaBolsa!$D$2:$BA$1248,48,0)</f>
        <v>9.1200000000000003E-2</v>
      </c>
      <c r="DJ99" s="7" t="b">
        <f t="shared" si="88"/>
        <v>1</v>
      </c>
      <c r="DK99" s="7" t="b">
        <f t="shared" si="89"/>
        <v>0</v>
      </c>
      <c r="DL99" s="7" t="b">
        <f t="shared" si="73"/>
        <v>1</v>
      </c>
      <c r="DM99" s="7" t="b">
        <f t="shared" si="74"/>
        <v>1</v>
      </c>
      <c r="DN99" s="7" t="b">
        <f t="shared" si="75"/>
        <v>1</v>
      </c>
      <c r="DO99" s="7" t="b">
        <f t="shared" si="76"/>
        <v>0</v>
      </c>
      <c r="DP99" s="7" t="b">
        <f t="shared" si="77"/>
        <v>1</v>
      </c>
      <c r="DQ99" s="7" t="b">
        <f t="shared" si="78"/>
        <v>1</v>
      </c>
      <c r="DR99" s="7" t="b">
        <f t="shared" si="79"/>
        <v>0</v>
      </c>
    </row>
    <row r="100" spans="1:122" s="7" customFormat="1" ht="105" customHeight="1">
      <c r="A100" s="75">
        <v>90</v>
      </c>
      <c r="B100" s="251" t="s">
        <v>309</v>
      </c>
      <c r="C100" s="186" t="s">
        <v>529</v>
      </c>
      <c r="D100" s="186" t="s">
        <v>530</v>
      </c>
      <c r="E100" s="188" t="s">
        <v>191</v>
      </c>
      <c r="F100" s="189">
        <v>100</v>
      </c>
      <c r="G100" s="75" t="s">
        <v>192</v>
      </c>
      <c r="H100" s="106" t="s">
        <v>531</v>
      </c>
      <c r="I100" s="107">
        <v>7226.8907563025214</v>
      </c>
      <c r="J100" s="96">
        <f t="shared" si="91"/>
        <v>1373.1092436974791</v>
      </c>
      <c r="K100" s="96">
        <f t="shared" si="92"/>
        <v>8600</v>
      </c>
      <c r="L100" s="96">
        <f t="shared" si="93"/>
        <v>722689.07563025213</v>
      </c>
      <c r="M100" s="96">
        <f t="shared" si="94"/>
        <v>860000</v>
      </c>
      <c r="N100" s="108" t="s">
        <v>532</v>
      </c>
      <c r="O100" s="109">
        <v>5462.1848739495799</v>
      </c>
      <c r="P100" s="110">
        <f t="shared" si="95"/>
        <v>1037.8151260504203</v>
      </c>
      <c r="Q100" s="110">
        <f t="shared" si="61"/>
        <v>6500</v>
      </c>
      <c r="R100" s="110">
        <f t="shared" si="82"/>
        <v>546218.48739495804</v>
      </c>
      <c r="S100" s="110">
        <f t="shared" si="83"/>
        <v>650000</v>
      </c>
      <c r="T100" s="97" t="s">
        <v>533</v>
      </c>
      <c r="U100" s="98">
        <v>6050.4201680672268</v>
      </c>
      <c r="V100" s="99">
        <f t="shared" si="90"/>
        <v>1149.579831932773</v>
      </c>
      <c r="W100" s="99">
        <f t="shared" si="81"/>
        <v>7200</v>
      </c>
      <c r="X100" s="99">
        <f t="shared" si="84"/>
        <v>605042.01680672262</v>
      </c>
      <c r="Y100" s="99">
        <f t="shared" si="85"/>
        <v>720000</v>
      </c>
      <c r="Z100" s="100">
        <f t="shared" si="96"/>
        <v>7433.333333333333</v>
      </c>
      <c r="AA100" s="100">
        <f t="shared" si="86"/>
        <v>743333.33333333326</v>
      </c>
      <c r="AB100" s="78">
        <f t="shared" si="97"/>
        <v>106926.76621563645</v>
      </c>
      <c r="AC100" s="102">
        <f t="shared" si="87"/>
        <v>0.14384766755466788</v>
      </c>
      <c r="AD100" s="5"/>
      <c r="AE100" s="7" t="s">
        <v>1053</v>
      </c>
      <c r="AF100" s="7" t="str">
        <f>VLOOKUP(C100,Estudio_Mercado_Ori!$C$12:$AH$1115,32,0)</f>
        <v>90PROCEDAS</v>
      </c>
      <c r="BG100" s="7">
        <v>104</v>
      </c>
      <c r="DA100" s="7" t="str">
        <f>VLOOKUP(C100,listaBolsa!$D$2:$BA$1248,1,0)</f>
        <v>Medalla</v>
      </c>
      <c r="DB100" s="7">
        <f>VLOOKUP(C100,listaBolsa!$D$2:$BA$1248,2,0)</f>
        <v>0</v>
      </c>
      <c r="DC100" s="7" t="str">
        <f>VLOOKUP(C100,listaBolsa!$D$2:$BA$1248,10,0)</f>
        <v>BOTONES.COM</v>
      </c>
      <c r="DD100" s="7">
        <f>VLOOKUP(C100,listaBolsa!$D$2:$BA$1248,14,0)</f>
        <v>7226.89</v>
      </c>
      <c r="DE100" s="7" t="str">
        <f>VLOOKUP(C100,listaBolsa!$D$2:$BA$1248,23,0)</f>
        <v>MEDALLAS.COM</v>
      </c>
      <c r="DF100" s="7">
        <f>VLOOKUP(C100,listaBolsa!$D$2:$BA$1248,29,0)</f>
        <v>6500</v>
      </c>
      <c r="DG100" s="7" t="str">
        <f>VLOOKUP(C100,listaBolsa!$D$2:$BA$1248,36,0)</f>
        <v>GRAFIC KOJAC</v>
      </c>
      <c r="DH100" s="7">
        <f>VLOOKUP(C100,listaBolsa!$D$2:$BA$1248,40,0)</f>
        <v>6050.42</v>
      </c>
      <c r="DI100" s="253">
        <f>VLOOKUP(C100,listaBolsa!$D$2:$BA$1248,48,0)</f>
        <v>0.14380000000000001</v>
      </c>
      <c r="DJ100" s="7" t="b">
        <f t="shared" si="88"/>
        <v>1</v>
      </c>
      <c r="DK100" s="7" t="b">
        <f t="shared" si="89"/>
        <v>0</v>
      </c>
      <c r="DL100" s="7" t="b">
        <f t="shared" si="73"/>
        <v>1</v>
      </c>
      <c r="DM100" s="7" t="b">
        <f t="shared" si="74"/>
        <v>0</v>
      </c>
      <c r="DN100" s="7" t="b">
        <f t="shared" si="75"/>
        <v>1</v>
      </c>
      <c r="DO100" s="7" t="b">
        <f t="shared" si="76"/>
        <v>0</v>
      </c>
      <c r="DP100" s="7" t="b">
        <f t="shared" si="77"/>
        <v>1</v>
      </c>
      <c r="DQ100" s="7" t="b">
        <f t="shared" si="78"/>
        <v>0</v>
      </c>
      <c r="DR100" s="7" t="b">
        <f t="shared" si="79"/>
        <v>0</v>
      </c>
    </row>
    <row r="101" spans="1:122" s="7" customFormat="1" ht="105" customHeight="1">
      <c r="A101" s="75">
        <v>91</v>
      </c>
      <c r="B101" s="251" t="s">
        <v>309</v>
      </c>
      <c r="C101" s="186" t="s">
        <v>535</v>
      </c>
      <c r="D101" s="186" t="s">
        <v>536</v>
      </c>
      <c r="E101" s="188" t="s">
        <v>537</v>
      </c>
      <c r="F101" s="189">
        <v>1</v>
      </c>
      <c r="G101" s="75" t="s">
        <v>192</v>
      </c>
      <c r="H101" s="371" t="s">
        <v>1073</v>
      </c>
      <c r="I101" s="331">
        <v>462184.87</v>
      </c>
      <c r="J101" s="96">
        <f t="shared" si="91"/>
        <v>87815.1253</v>
      </c>
      <c r="K101" s="96">
        <f t="shared" si="92"/>
        <v>549999.99529999995</v>
      </c>
      <c r="L101" s="96">
        <f t="shared" si="93"/>
        <v>462184.87</v>
      </c>
      <c r="M101" s="96">
        <f t="shared" si="94"/>
        <v>549999.99529999995</v>
      </c>
      <c r="N101" s="374" t="s">
        <v>1074</v>
      </c>
      <c r="O101" s="332">
        <v>462184.87</v>
      </c>
      <c r="P101" s="110">
        <f t="shared" si="95"/>
        <v>87815.1253</v>
      </c>
      <c r="Q101" s="110">
        <f t="shared" si="61"/>
        <v>549999.99529999995</v>
      </c>
      <c r="R101" s="110">
        <f t="shared" si="82"/>
        <v>462184.87</v>
      </c>
      <c r="S101" s="110">
        <f t="shared" si="83"/>
        <v>549999.99529999995</v>
      </c>
      <c r="T101" s="340" t="s">
        <v>1075</v>
      </c>
      <c r="U101" s="333">
        <v>436974.79</v>
      </c>
      <c r="V101" s="99">
        <f t="shared" si="90"/>
        <v>83025.210099999997</v>
      </c>
      <c r="W101" s="99">
        <f t="shared" si="81"/>
        <v>520000.00009999995</v>
      </c>
      <c r="X101" s="99">
        <f t="shared" si="84"/>
        <v>436974.79</v>
      </c>
      <c r="Y101" s="99">
        <f t="shared" si="85"/>
        <v>520000.00009999995</v>
      </c>
      <c r="Z101" s="100">
        <f t="shared" si="96"/>
        <v>539999.99690000003</v>
      </c>
      <c r="AA101" s="100">
        <f t="shared" si="86"/>
        <v>539999.99690000003</v>
      </c>
      <c r="AB101" s="78">
        <f t="shared" si="97"/>
        <v>17320.505304407481</v>
      </c>
      <c r="AC101" s="102">
        <f t="shared" si="87"/>
        <v>3.2075010007111132E-2</v>
      </c>
      <c r="AD101" s="5"/>
      <c r="AE101" s="7" t="s">
        <v>1076</v>
      </c>
      <c r="AF101" s="7" t="str">
        <f>VLOOKUP(C101,Estudio_Mercado_Ori!$C$12:$AH$1115,32,0)</f>
        <v>91PROCEDAS</v>
      </c>
      <c r="BG101" s="7">
        <v>105</v>
      </c>
      <c r="DA101" s="7" t="str">
        <f>VLOOKUP(C101,listaBolsa!$D$2:$BA$1248,1,0)</f>
        <v>Premiación primer puesto</v>
      </c>
      <c r="DB101" s="7">
        <f>VLOOKUP(C101,listaBolsa!$D$2:$BA$1248,2,0)</f>
        <v>0</v>
      </c>
      <c r="DC101" s="7" t="str">
        <f>VLOOKUP(C101,listaBolsa!$D$2:$BA$1248,10,0)</f>
        <v>AVANCE ORGANIZACIONAL</v>
      </c>
      <c r="DD101" s="7">
        <f>VLOOKUP(C101,listaBolsa!$D$2:$BA$1248,14,0)</f>
        <v>159663.87</v>
      </c>
      <c r="DE101" s="7" t="str">
        <f>VLOOKUP(C101,listaBolsa!$D$2:$BA$1248,23,0)</f>
        <v>BOOKING</v>
      </c>
      <c r="DF101" s="7">
        <f>VLOOKUP(C101,listaBolsa!$D$2:$BA$1248,29,0)</f>
        <v>230000</v>
      </c>
      <c r="DG101" s="7" t="str">
        <f>VLOOKUP(C101,listaBolsa!$D$2:$BA$1248,36,0)</f>
        <v>MIRADOR BOSQUE</v>
      </c>
      <c r="DH101" s="7">
        <f>VLOOKUP(C101,listaBolsa!$D$2:$BA$1248,40,0)</f>
        <v>191563.03</v>
      </c>
      <c r="DI101" s="253">
        <f>VLOOKUP(C101,listaBolsa!$D$2:$BA$1248,48,0)</f>
        <v>0.1043</v>
      </c>
      <c r="DJ101" s="7" t="b">
        <f t="shared" si="88"/>
        <v>1</v>
      </c>
      <c r="DK101" s="7" t="b">
        <f t="shared" si="89"/>
        <v>0</v>
      </c>
      <c r="DL101" s="7" t="b">
        <f t="shared" si="73"/>
        <v>0</v>
      </c>
      <c r="DM101" s="7" t="b">
        <f t="shared" si="74"/>
        <v>0</v>
      </c>
      <c r="DN101" s="7" t="b">
        <f t="shared" si="75"/>
        <v>0</v>
      </c>
      <c r="DO101" s="7" t="b">
        <f t="shared" si="76"/>
        <v>0</v>
      </c>
      <c r="DP101" s="7" t="b">
        <f t="shared" si="77"/>
        <v>0</v>
      </c>
      <c r="DQ101" s="7" t="b">
        <f t="shared" si="78"/>
        <v>0</v>
      </c>
      <c r="DR101" s="7" t="b">
        <f t="shared" si="79"/>
        <v>0</v>
      </c>
    </row>
    <row r="102" spans="1:122" s="7" customFormat="1" ht="105" customHeight="1">
      <c r="A102" s="75">
        <v>92</v>
      </c>
      <c r="B102" s="251" t="s">
        <v>309</v>
      </c>
      <c r="C102" s="186" t="s">
        <v>542</v>
      </c>
      <c r="D102" s="186" t="s">
        <v>543</v>
      </c>
      <c r="E102" s="188" t="s">
        <v>544</v>
      </c>
      <c r="F102" s="189">
        <v>1</v>
      </c>
      <c r="G102" s="75" t="s">
        <v>192</v>
      </c>
      <c r="H102" s="352" t="s">
        <v>1077</v>
      </c>
      <c r="I102" s="331">
        <v>264983.19</v>
      </c>
      <c r="J102" s="96">
        <f t="shared" si="91"/>
        <v>50346.806100000002</v>
      </c>
      <c r="K102" s="96">
        <f t="shared" si="92"/>
        <v>315329.99609999999</v>
      </c>
      <c r="L102" s="96">
        <f t="shared" si="93"/>
        <v>264983.19</v>
      </c>
      <c r="M102" s="96">
        <f t="shared" si="94"/>
        <v>315329.99609999999</v>
      </c>
      <c r="N102" s="335" t="s">
        <v>1078</v>
      </c>
      <c r="O102" s="332">
        <v>248739.5</v>
      </c>
      <c r="P102" s="110">
        <f t="shared" si="95"/>
        <v>47260.504999999997</v>
      </c>
      <c r="Q102" s="110">
        <f t="shared" si="61"/>
        <v>296000.005</v>
      </c>
      <c r="R102" s="110">
        <f t="shared" si="82"/>
        <v>248739.5</v>
      </c>
      <c r="S102" s="110">
        <f t="shared" si="83"/>
        <v>296000.005</v>
      </c>
      <c r="T102" s="383"/>
      <c r="U102" s="333"/>
      <c r="V102" s="99"/>
      <c r="W102" s="99"/>
      <c r="X102" s="99"/>
      <c r="Y102" s="99"/>
      <c r="Z102" s="100">
        <f t="shared" si="96"/>
        <v>305665.00055</v>
      </c>
      <c r="AA102" s="100">
        <f t="shared" si="86"/>
        <v>305665.00055</v>
      </c>
      <c r="AB102" s="78">
        <f t="shared" si="97"/>
        <v>13668.367787085601</v>
      </c>
      <c r="AC102" s="102">
        <f t="shared" si="87"/>
        <v>4.4716823196935693E-2</v>
      </c>
      <c r="AD102" s="5"/>
      <c r="AE102" s="7" t="s">
        <v>1079</v>
      </c>
      <c r="AF102" s="7" t="str">
        <f>VLOOKUP(C102,Estudio_Mercado_Ori!$C$12:$AH$1115,32,0)</f>
        <v>92PROCEDAS</v>
      </c>
      <c r="BG102" s="7">
        <v>106</v>
      </c>
      <c r="DA102" s="7" t="str">
        <f>VLOOKUP(C102,listaBolsa!$D$2:$BA$1248,1,0)</f>
        <v>Premiación segundo puesto</v>
      </c>
      <c r="DB102" s="7">
        <f>VLOOKUP(C102,listaBolsa!$D$2:$BA$1248,2,0)</f>
        <v>0</v>
      </c>
      <c r="DC102" s="7">
        <f>VLOOKUP(C102,listaBolsa!$D$2:$BA$1248,10,0)</f>
        <v>0</v>
      </c>
      <c r="DD102" s="7">
        <f>VLOOKUP(C102,listaBolsa!$D$2:$BA$1248,14,0)</f>
        <v>50000</v>
      </c>
      <c r="DE102" s="7">
        <f>VLOOKUP(C102,listaBolsa!$D$2:$BA$1248,23,0)</f>
        <v>0</v>
      </c>
      <c r="DF102" s="7">
        <f>VLOOKUP(C102,listaBolsa!$D$2:$BA$1248,29,0)</f>
        <v>72000</v>
      </c>
      <c r="DG102" s="7">
        <f>VLOOKUP(C102,listaBolsa!$D$2:$BA$1248,36,0)</f>
        <v>0</v>
      </c>
      <c r="DH102" s="7">
        <f>VLOOKUP(C102,listaBolsa!$D$2:$BA$1248,40,0)</f>
        <v>60504.2</v>
      </c>
      <c r="DI102" s="253">
        <f>VLOOKUP(C102,listaBolsa!$D$2:$BA$1248,48,0)</f>
        <v>0.10639999999999999</v>
      </c>
      <c r="DJ102" s="7" t="b">
        <f t="shared" si="88"/>
        <v>1</v>
      </c>
      <c r="DK102" s="7" t="b">
        <f t="shared" si="89"/>
        <v>0</v>
      </c>
      <c r="DL102" s="7" t="b">
        <f t="shared" si="73"/>
        <v>0</v>
      </c>
      <c r="DM102" s="7" t="b">
        <f t="shared" si="74"/>
        <v>0</v>
      </c>
      <c r="DN102" s="7" t="b">
        <f t="shared" si="75"/>
        <v>0</v>
      </c>
      <c r="DO102" s="7" t="b">
        <f t="shared" si="76"/>
        <v>0</v>
      </c>
      <c r="DP102" s="7" t="b">
        <f t="shared" si="77"/>
        <v>1</v>
      </c>
      <c r="DQ102" s="7" t="b">
        <f t="shared" si="78"/>
        <v>0</v>
      </c>
      <c r="DR102" s="7" t="b">
        <f t="shared" si="79"/>
        <v>0</v>
      </c>
    </row>
    <row r="103" spans="1:122" s="7" customFormat="1" ht="105" customHeight="1">
      <c r="A103" s="75">
        <v>93</v>
      </c>
      <c r="B103" s="251" t="s">
        <v>309</v>
      </c>
      <c r="C103" s="186" t="s">
        <v>546</v>
      </c>
      <c r="D103" s="186" t="s">
        <v>547</v>
      </c>
      <c r="E103" s="188" t="s">
        <v>191</v>
      </c>
      <c r="F103" s="189">
        <v>1</v>
      </c>
      <c r="G103" s="75" t="s">
        <v>192</v>
      </c>
      <c r="H103" s="376" t="s">
        <v>193</v>
      </c>
      <c r="I103" s="107">
        <v>50000</v>
      </c>
      <c r="J103" s="96"/>
      <c r="K103" s="96">
        <f t="shared" si="92"/>
        <v>50000</v>
      </c>
      <c r="L103" s="96">
        <f t="shared" si="93"/>
        <v>50000</v>
      </c>
      <c r="M103" s="96">
        <f t="shared" si="94"/>
        <v>50000</v>
      </c>
      <c r="N103" s="382" t="s">
        <v>245</v>
      </c>
      <c r="O103" s="109">
        <v>50000</v>
      </c>
      <c r="P103" s="110"/>
      <c r="Q103" s="110">
        <f t="shared" si="61"/>
        <v>50000</v>
      </c>
      <c r="R103" s="110">
        <f t="shared" si="82"/>
        <v>50000</v>
      </c>
      <c r="S103" s="110">
        <f t="shared" si="83"/>
        <v>50000</v>
      </c>
      <c r="T103" s="387" t="s">
        <v>194</v>
      </c>
      <c r="U103" s="98">
        <v>52000</v>
      </c>
      <c r="V103" s="99">
        <f t="shared" ref="V103:V110" si="98">U103*19%</f>
        <v>9880</v>
      </c>
      <c r="W103" s="99">
        <f t="shared" ref="W103:W110" si="99">U103+V103</f>
        <v>61880</v>
      </c>
      <c r="X103" s="99">
        <f t="shared" ref="X103:X110" si="100">IF(B103="","",(U103*F103))</f>
        <v>52000</v>
      </c>
      <c r="Y103" s="99">
        <f t="shared" ref="Y103:Y110" si="101">IF(B103="","",(W103*F103))</f>
        <v>61880</v>
      </c>
      <c r="Z103" s="100">
        <f t="shared" si="96"/>
        <v>53960</v>
      </c>
      <c r="AA103" s="100">
        <f t="shared" si="86"/>
        <v>53960</v>
      </c>
      <c r="AB103" s="78">
        <f t="shared" si="97"/>
        <v>6858.9211979727543</v>
      </c>
      <c r="AC103" s="102">
        <f t="shared" si="87"/>
        <v>0.12711121567777528</v>
      </c>
      <c r="AD103" s="5"/>
      <c r="AE103" s="7" t="s">
        <v>1070</v>
      </c>
      <c r="AF103" s="7" t="str">
        <f>VLOOKUP(C103,Estudio_Mercado_Ori!$C$12:$AH$1115,32,0)</f>
        <v>93PROCEDAS</v>
      </c>
      <c r="BG103" s="7">
        <v>107</v>
      </c>
      <c r="DA103" s="7" t="str">
        <f>VLOOKUP(C103,listaBolsa!$D$2:$BA$1248,1,0)</f>
        <v>Premiación tercer puesto</v>
      </c>
      <c r="DB103" s="7">
        <f>VLOOKUP(C103,listaBolsa!$D$2:$BA$1248,2,0)</f>
        <v>0</v>
      </c>
      <c r="DC103" s="7" t="str">
        <f>VLOOKUP(C103,listaBolsa!$D$2:$BA$1248,10,0)</f>
        <v>AVANCE ORGANIZACIONAL CONSULTORES SAS</v>
      </c>
      <c r="DD103" s="7">
        <f>VLOOKUP(C103,listaBolsa!$D$2:$BA$1248,14,0)</f>
        <v>50000</v>
      </c>
      <c r="DE103" s="7" t="str">
        <f>VLOOKUP(C103,listaBolsa!$D$2:$BA$1248,23,0)</f>
        <v>CONADES</v>
      </c>
      <c r="DF103" s="7">
        <f>VLOOKUP(C103,listaBolsa!$D$2:$BA$1248,29,0)</f>
        <v>50000</v>
      </c>
      <c r="DG103" s="7" t="str">
        <f>VLOOKUP(C103,listaBolsa!$D$2:$BA$1248,36,0)</f>
        <v>SIDED</v>
      </c>
      <c r="DH103" s="7">
        <f>VLOOKUP(C103,listaBolsa!$D$2:$BA$1248,40,0)</f>
        <v>52000</v>
      </c>
      <c r="DI103" s="253">
        <f>VLOOKUP(C103,listaBolsa!$D$2:$BA$1248,48,0)</f>
        <v>0.12709999999999999</v>
      </c>
      <c r="DJ103" s="7" t="b">
        <f t="shared" si="88"/>
        <v>1</v>
      </c>
      <c r="DK103" s="7" t="b">
        <f t="shared" si="89"/>
        <v>0</v>
      </c>
      <c r="DL103" s="7" t="b">
        <f t="shared" si="73"/>
        <v>1</v>
      </c>
      <c r="DM103" s="7" t="b">
        <f t="shared" si="74"/>
        <v>1</v>
      </c>
      <c r="DN103" s="7" t="b">
        <f t="shared" si="75"/>
        <v>1</v>
      </c>
      <c r="DO103" s="7" t="b">
        <f t="shared" si="76"/>
        <v>1</v>
      </c>
      <c r="DP103" s="7" t="b">
        <f t="shared" si="77"/>
        <v>1</v>
      </c>
      <c r="DQ103" s="7" t="b">
        <f t="shared" si="78"/>
        <v>1</v>
      </c>
      <c r="DR103" s="7" t="b">
        <f t="shared" si="79"/>
        <v>0</v>
      </c>
    </row>
    <row r="104" spans="1:122" s="7" customFormat="1" ht="105" customHeight="1">
      <c r="A104" s="75">
        <v>94</v>
      </c>
      <c r="B104" s="251" t="s">
        <v>309</v>
      </c>
      <c r="C104" s="95" t="s">
        <v>214</v>
      </c>
      <c r="D104" s="75" t="str">
        <f>IF(C104="","",VLOOKUP(C104,listaBolsa!$D$2:$H$276,2,0))</f>
        <v>100% en algodón de 185 gr. cuello redondo y/o en v, de diferentes tallas, marcadas en screen 4 tintas. fabricación y materiales nacionales</v>
      </c>
      <c r="E104" s="111" t="str">
        <f>IF(C104="","",VLOOKUP(C104,listaBolsa!$D$2:$H$276,3,0))</f>
        <v>Unidad</v>
      </c>
      <c r="F104" s="112">
        <v>100</v>
      </c>
      <c r="G104" s="200" t="str">
        <f>IF(C104="","",VLOOKUP(C104,listaBolsa!$D$2:$H$276,5,0))</f>
        <v>Compra</v>
      </c>
      <c r="H104" s="106" t="str">
        <f>IF(C104="","",VLOOKUP(C104,listaBolsa!$D$2:$W$276,10,0))</f>
        <v>MARIA CONFLICTO</v>
      </c>
      <c r="I104" s="107">
        <f>IF(C104="","",VLOOKUP(C104,listaBolsa!$D$2:$W$276,14,0))</f>
        <v>22000</v>
      </c>
      <c r="J104" s="96"/>
      <c r="K104" s="96">
        <f t="shared" si="92"/>
        <v>22000</v>
      </c>
      <c r="L104" s="96">
        <f t="shared" si="93"/>
        <v>2200000</v>
      </c>
      <c r="M104" s="96">
        <f t="shared" si="94"/>
        <v>2200000</v>
      </c>
      <c r="N104" s="108" t="str">
        <f>IF(C104="","",VLOOKUP(C104,listaBolsa!$D$2:$AZ$276,23,0))</f>
        <v>Angie Pachon (personalizado INK)</v>
      </c>
      <c r="O104" s="109">
        <f>IF(C104="","",VLOOKUP(C104,listaBolsa!$D$2:$AZ$276,27,0))</f>
        <v>28000</v>
      </c>
      <c r="P104" s="110"/>
      <c r="Q104" s="110">
        <f t="shared" si="61"/>
        <v>28000</v>
      </c>
      <c r="R104" s="110">
        <f t="shared" si="82"/>
        <v>2800000</v>
      </c>
      <c r="S104" s="110">
        <f t="shared" si="83"/>
        <v>2800000</v>
      </c>
      <c r="T104" s="97" t="str">
        <f>IF(C104="","",VLOOKUP(C104,listaBolsa!$D$2:$BB$276,36,0))</f>
        <v>INVENTIVA</v>
      </c>
      <c r="U104" s="98">
        <f>IF(C104="","",VLOOKUP(C104,listaBolsa!$D$2:$BB$276,40,0))</f>
        <v>25000</v>
      </c>
      <c r="V104" s="99">
        <f t="shared" si="98"/>
        <v>4750</v>
      </c>
      <c r="W104" s="99">
        <f t="shared" si="99"/>
        <v>29750</v>
      </c>
      <c r="X104" s="99">
        <f t="shared" si="100"/>
        <v>2500000</v>
      </c>
      <c r="Y104" s="99">
        <f t="shared" si="101"/>
        <v>2975000</v>
      </c>
      <c r="Z104" s="100">
        <f t="shared" si="96"/>
        <v>26583.333333333332</v>
      </c>
      <c r="AA104" s="100">
        <f t="shared" si="86"/>
        <v>2658333.333333333</v>
      </c>
      <c r="AB104" s="78">
        <f t="shared" si="97"/>
        <v>406458.27994190744</v>
      </c>
      <c r="AC104" s="102">
        <f t="shared" si="87"/>
        <v>0.15289966643582728</v>
      </c>
      <c r="AD104" s="5"/>
      <c r="AE104" s="7" t="s">
        <v>1052</v>
      </c>
      <c r="AF104" s="7" t="str">
        <f>VLOOKUP(C104,Estudio_Mercado_Ori!$C$12:$AH$1115,32,0)</f>
        <v>9PROCEDAS</v>
      </c>
      <c r="BG104" s="7">
        <v>108</v>
      </c>
      <c r="DA104" s="7" t="str">
        <f>VLOOKUP(C104,listaBolsa!$D$2:$BA$1248,1,0)</f>
        <v>Camiseta t-shirt o Camiseta blanca</v>
      </c>
      <c r="DB104" s="7" t="str">
        <f>VLOOKUP(C104,listaBolsa!$D$2:$BA$1248,2,0)</f>
        <v>100% en algodón de 185 gr. cuello redondo y/o en v, de diferentes tallas, marcadas en screen 4 tintas. fabricación y materiales nacionales</v>
      </c>
      <c r="DC104" s="7" t="str">
        <f>VLOOKUP(C104,listaBolsa!$D$2:$BA$1248,10,0)</f>
        <v>MARIA CONFLICTO</v>
      </c>
      <c r="DD104" s="7">
        <f>VLOOKUP(C104,listaBolsa!$D$2:$BA$1248,14,0)</f>
        <v>22000</v>
      </c>
      <c r="DE104" s="7" t="str">
        <f>VLOOKUP(C104,listaBolsa!$D$2:$BA$1248,23,0)</f>
        <v>Angie Pachon (personalizado INK)</v>
      </c>
      <c r="DF104" s="7">
        <f>VLOOKUP(C104,listaBolsa!$D$2:$BA$1248,29,0)</f>
        <v>28000</v>
      </c>
      <c r="DG104" s="7" t="str">
        <f>VLOOKUP(C104,listaBolsa!$D$2:$BA$1248,36,0)</f>
        <v>INVENTIVA</v>
      </c>
      <c r="DH104" s="7">
        <f>VLOOKUP(C104,listaBolsa!$D$2:$BA$1248,40,0)</f>
        <v>25000</v>
      </c>
      <c r="DI104" s="252">
        <f>VLOOKUP(C104,listaBolsa!$D$2:$BA$1248,48,0)</f>
        <v>0.15289966643582714</v>
      </c>
      <c r="DJ104" s="7" t="b">
        <f t="shared" si="88"/>
        <v>1</v>
      </c>
      <c r="DK104" s="7" t="b">
        <f t="shared" si="89"/>
        <v>1</v>
      </c>
      <c r="DL104" s="7" t="b">
        <f t="shared" si="73"/>
        <v>1</v>
      </c>
      <c r="DM104" s="7" t="b">
        <f t="shared" si="74"/>
        <v>1</v>
      </c>
      <c r="DN104" s="7" t="b">
        <f t="shared" si="75"/>
        <v>1</v>
      </c>
      <c r="DO104" s="7" t="b">
        <f t="shared" si="76"/>
        <v>1</v>
      </c>
      <c r="DP104" s="7" t="b">
        <f t="shared" si="77"/>
        <v>1</v>
      </c>
      <c r="DQ104" s="7" t="b">
        <f t="shared" si="78"/>
        <v>1</v>
      </c>
      <c r="DR104" s="7" t="b">
        <f t="shared" si="79"/>
        <v>1</v>
      </c>
    </row>
    <row r="105" spans="1:122" s="7" customFormat="1" ht="105" customHeight="1">
      <c r="A105" s="75">
        <v>95</v>
      </c>
      <c r="B105" s="251" t="s">
        <v>309</v>
      </c>
      <c r="C105" s="95" t="s">
        <v>187</v>
      </c>
      <c r="D105" s="75" t="str">
        <f>IF(C105="","",VLOOKUP(C105,listaBolsa!$D$2:$H$276,2,0))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05" s="111" t="str">
        <f>IF(C105="","",VLOOKUP(C105,listaBolsa!$D$2:$H$276,3,0))</f>
        <v>Unidad</v>
      </c>
      <c r="F105" s="112">
        <v>700</v>
      </c>
      <c r="G105" s="200" t="str">
        <f>IF(C105="","",VLOOKUP(C105,listaBolsa!$D$2:$H$276,5,0))</f>
        <v>Compra</v>
      </c>
      <c r="H105" s="106" t="str">
        <f>IF(C105="","",VLOOKUP(C105,listaBolsa!$D$2:$W$276,10,0))</f>
        <v>INVERSIONES BECORATI E Y O SAS</v>
      </c>
      <c r="I105" s="107">
        <f>IF(C105="","",VLOOKUP(C105,listaBolsa!$D$2:$W$276,14,0))</f>
        <v>11700</v>
      </c>
      <c r="J105" s="96">
        <f t="shared" ref="J105:J110" si="102">I105*19%</f>
        <v>2223</v>
      </c>
      <c r="K105" s="96">
        <f t="shared" si="92"/>
        <v>13923</v>
      </c>
      <c r="L105" s="96">
        <f t="shared" si="93"/>
        <v>8190000</v>
      </c>
      <c r="M105" s="96">
        <f t="shared" si="94"/>
        <v>9746100</v>
      </c>
      <c r="N105" s="108" t="str">
        <f>IF(C105="","",VLOOKUP(C105,listaBolsa!$D$2:$AZ$276,23,0))</f>
        <v>ENTERPRISE INVESTMENT DEVELOPMENT S.A.S.</v>
      </c>
      <c r="O105" s="109">
        <f>IF(C105="","",VLOOKUP(C105,listaBolsa!$D$2:$AZ$276,27,0))</f>
        <v>8570</v>
      </c>
      <c r="P105" s="110">
        <f t="shared" ref="P105:P110" si="103">O105*19%</f>
        <v>1628.3</v>
      </c>
      <c r="Q105" s="110">
        <f t="shared" si="61"/>
        <v>10198.299999999999</v>
      </c>
      <c r="R105" s="110">
        <f t="shared" si="82"/>
        <v>5999000</v>
      </c>
      <c r="S105" s="110">
        <f t="shared" si="83"/>
        <v>7138809.9999999991</v>
      </c>
      <c r="T105" s="97" t="str">
        <f>IF(C105="","",VLOOKUP(C105,listaBolsa!$D$2:$BB$276,36,0))</f>
        <v>Estimación de precios con base en el proceso FDLSUBA-LP-013-2025 (140689) – Contrato 1000 – 2025, indexando el incremento de precios en el mercado con base en el Índice de Precios al Consumidor (IPC) para el mes de marzo de 2026, el cual fue de 5,56%.</v>
      </c>
      <c r="U105" s="98">
        <f>IF(C105="","",VLOOKUP(C105,listaBolsa!$D$2:$BB$276,40,0))</f>
        <v>12843.518518518518</v>
      </c>
      <c r="V105" s="99">
        <f t="shared" si="98"/>
        <v>2440.2685185185187</v>
      </c>
      <c r="W105" s="99">
        <f t="shared" si="99"/>
        <v>15283.787037037036</v>
      </c>
      <c r="X105" s="99">
        <f t="shared" si="100"/>
        <v>8990462.9629629627</v>
      </c>
      <c r="Y105" s="99">
        <f t="shared" si="101"/>
        <v>10698650.925925925</v>
      </c>
      <c r="Z105" s="100">
        <f t="shared" si="96"/>
        <v>13135.02901234568</v>
      </c>
      <c r="AA105" s="100">
        <f t="shared" si="86"/>
        <v>9194520.3086419757</v>
      </c>
      <c r="AB105" s="78">
        <f t="shared" si="97"/>
        <v>1842904.4932967226</v>
      </c>
      <c r="AC105" s="102">
        <f t="shared" si="87"/>
        <v>0.20043508866520937</v>
      </c>
      <c r="AD105" s="5"/>
      <c r="AE105" s="7" t="s">
        <v>1050</v>
      </c>
      <c r="AF105" s="7" t="str">
        <f>VLOOKUP(C105,Estudio_Mercado_Ori!$C$12:$AH$1115,32,0)</f>
        <v>1PROCEDAS</v>
      </c>
      <c r="BG105" s="7">
        <v>109</v>
      </c>
      <c r="DA105" s="7" t="str">
        <f>VLOOKUP(C105,listaBolsa!$D$2:$BA$1248,1,0)</f>
        <v>Refrigerio Tipo 1</v>
      </c>
      <c r="DB105" s="7" t="str">
        <f>VLOOKUP(C105,listaBolsa!$D$2:$BA$1248,2,0)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C105" s="7" t="str">
        <f>VLOOKUP(C105,listaBolsa!$D$2:$BA$1248,10,0)</f>
        <v>INVERSIONES BECORATI E Y O SAS</v>
      </c>
      <c r="DD105" s="7">
        <f>VLOOKUP(C105,listaBolsa!$D$2:$BA$1248,14,0)</f>
        <v>11700</v>
      </c>
      <c r="DE105" s="7" t="str">
        <f>VLOOKUP(C105,listaBolsa!$D$2:$BA$1248,23,0)</f>
        <v>ENTERPRISE INVESTMENT DEVELOPMENT S.A.S.</v>
      </c>
      <c r="DF105" s="7">
        <f>VLOOKUP(C105,listaBolsa!$D$2:$BA$1248,29,0)</f>
        <v>9255.6</v>
      </c>
      <c r="DG105" s="7" t="str">
        <f>VLOOKUP(C105,listaBolsa!$D$2:$BA$1248,36,0)</f>
        <v>Estimación de precios con base en el proceso FDLSUBA-LP-013-2025 (140689) – Contrato 1000 – 2025, indexando el incremento de precios en el mercado con base en el Índice de Precios al Consumidor (IPC) para el mes de marzo de 2026, el cual fue de 5,56%.</v>
      </c>
      <c r="DH105" s="7">
        <f>VLOOKUP(C105,listaBolsa!$D$2:$BA$1248,40,0)</f>
        <v>12843.518518518518</v>
      </c>
      <c r="DI105" s="253">
        <f>VLOOKUP(C105,listaBolsa!$D$2:$BA$1248,48,0)</f>
        <v>0.20043508866520951</v>
      </c>
      <c r="DJ105" s="7" t="b">
        <f t="shared" si="88"/>
        <v>1</v>
      </c>
      <c r="DK105" s="7" t="b">
        <f t="shared" si="89"/>
        <v>1</v>
      </c>
      <c r="DL105" s="7" t="b">
        <f t="shared" si="73"/>
        <v>1</v>
      </c>
      <c r="DM105" s="7" t="b">
        <f t="shared" si="74"/>
        <v>1</v>
      </c>
      <c r="DN105" s="7" t="b">
        <f t="shared" si="75"/>
        <v>1</v>
      </c>
      <c r="DO105" s="7" t="b">
        <f t="shared" si="76"/>
        <v>0</v>
      </c>
      <c r="DP105" s="7" t="b">
        <f t="shared" si="77"/>
        <v>1</v>
      </c>
      <c r="DQ105" s="7" t="b">
        <f t="shared" si="78"/>
        <v>1</v>
      </c>
      <c r="DR105" s="7" t="b">
        <f t="shared" si="79"/>
        <v>0</v>
      </c>
    </row>
    <row r="106" spans="1:122" s="7" customFormat="1" ht="348" customHeight="1">
      <c r="A106" s="75">
        <v>96</v>
      </c>
      <c r="B106" s="251" t="s">
        <v>309</v>
      </c>
      <c r="C106" s="95" t="s">
        <v>189</v>
      </c>
      <c r="D106" s="75" t="s">
        <v>190</v>
      </c>
      <c r="E106" s="111" t="s">
        <v>191</v>
      </c>
      <c r="F106" s="112">
        <v>1</v>
      </c>
      <c r="G106" s="200" t="s">
        <v>192</v>
      </c>
      <c r="H106" s="106" t="s">
        <v>193</v>
      </c>
      <c r="I106" s="107">
        <v>15000</v>
      </c>
      <c r="J106" s="96">
        <f t="shared" si="102"/>
        <v>2850</v>
      </c>
      <c r="K106" s="96">
        <f t="shared" si="92"/>
        <v>17850</v>
      </c>
      <c r="L106" s="96">
        <f t="shared" si="93"/>
        <v>15000</v>
      </c>
      <c r="M106" s="96">
        <f t="shared" si="94"/>
        <v>17850</v>
      </c>
      <c r="N106" s="195" t="s">
        <v>194</v>
      </c>
      <c r="O106" s="109">
        <v>16200</v>
      </c>
      <c r="P106" s="110">
        <f t="shared" si="103"/>
        <v>3078</v>
      </c>
      <c r="Q106" s="110">
        <f t="shared" si="61"/>
        <v>19278</v>
      </c>
      <c r="R106" s="110">
        <f t="shared" si="82"/>
        <v>16200</v>
      </c>
      <c r="S106" s="110">
        <f t="shared" si="83"/>
        <v>19278</v>
      </c>
      <c r="T106" s="97" t="s">
        <v>195</v>
      </c>
      <c r="U106" s="98">
        <v>13319.32773109244</v>
      </c>
      <c r="V106" s="99">
        <f t="shared" si="98"/>
        <v>2530.6722689075636</v>
      </c>
      <c r="W106" s="99">
        <f t="shared" si="99"/>
        <v>15850.000000000004</v>
      </c>
      <c r="X106" s="99">
        <f t="shared" si="100"/>
        <v>13319.32773109244</v>
      </c>
      <c r="Y106" s="99">
        <f t="shared" si="101"/>
        <v>15850.000000000004</v>
      </c>
      <c r="Z106" s="100">
        <f t="shared" si="96"/>
        <v>17659.333333333332</v>
      </c>
      <c r="AA106" s="100">
        <f t="shared" si="86"/>
        <v>17659.333333333332</v>
      </c>
      <c r="AB106" s="78">
        <f t="shared" si="97"/>
        <v>1721.9353452825478</v>
      </c>
      <c r="AC106" s="102">
        <f t="shared" si="87"/>
        <v>9.7508513644298453E-2</v>
      </c>
      <c r="AD106" s="5"/>
      <c r="AE106" s="7" t="s">
        <v>1053</v>
      </c>
      <c r="AF106" s="7" t="str">
        <f>VLOOKUP(C106,Estudio_Mercado_Ori!$C$12:$AH$1115,32,0)</f>
        <v>2PROCEDAS</v>
      </c>
      <c r="BG106" s="7">
        <v>110</v>
      </c>
      <c r="DA106" s="7" t="str">
        <f>VLOOKUP(C106,listaBolsa!$D$2:$BA$1248,1,0)</f>
        <v>Bolsas negras</v>
      </c>
      <c r="DB106" s="7">
        <f>VLOOKUP(C106,listaBolsa!$D$2:$BA$1248,2,0)</f>
        <v>0</v>
      </c>
      <c r="DC106" s="7" t="str">
        <f>VLOOKUP(C106,listaBolsa!$D$2:$BA$1248,10,0)</f>
        <v>AVANCE ORGANIZACIONAL CONSULTORES SAS</v>
      </c>
      <c r="DD106" s="7">
        <f>VLOOKUP(C106,listaBolsa!$D$2:$BA$1248,14,0)</f>
        <v>15000</v>
      </c>
      <c r="DE106" s="7" t="str">
        <f>VLOOKUP(C106,listaBolsa!$D$2:$BA$1248,23,0)</f>
        <v>SIDED</v>
      </c>
      <c r="DF106" s="7">
        <f>VLOOKUP(C106,listaBolsa!$D$2:$BA$1248,29,0)</f>
        <v>19278</v>
      </c>
      <c r="DG106" s="7" t="str">
        <f>VLOOKUP(C106,listaBolsa!$D$2:$BA$1248,36,0)</f>
        <v>SUPER DESECHABLES DEL NORTE</v>
      </c>
      <c r="DH106" s="7">
        <f>VLOOKUP(C106,listaBolsa!$D$2:$BA$1248,40,0)</f>
        <v>13319.33</v>
      </c>
      <c r="DI106" s="253">
        <f>VLOOKUP(C106,listaBolsa!$D$2:$BA$1248,48,0)</f>
        <v>9.7500000000000003E-2</v>
      </c>
      <c r="DJ106" s="7" t="b">
        <f t="shared" si="88"/>
        <v>1</v>
      </c>
      <c r="DK106" s="7" t="b">
        <f t="shared" si="89"/>
        <v>0</v>
      </c>
      <c r="DL106" s="7" t="b">
        <f t="shared" si="73"/>
        <v>1</v>
      </c>
      <c r="DM106" s="7" t="b">
        <f t="shared" si="74"/>
        <v>1</v>
      </c>
      <c r="DN106" s="7" t="b">
        <f t="shared" si="75"/>
        <v>1</v>
      </c>
      <c r="DO106" s="7" t="b">
        <f t="shared" si="76"/>
        <v>0</v>
      </c>
      <c r="DP106" s="7" t="b">
        <f t="shared" si="77"/>
        <v>1</v>
      </c>
      <c r="DQ106" s="7" t="b">
        <f t="shared" si="78"/>
        <v>0</v>
      </c>
      <c r="DR106" s="7" t="b">
        <f t="shared" si="79"/>
        <v>0</v>
      </c>
    </row>
    <row r="107" spans="1:122" s="7" customFormat="1" ht="105" customHeight="1">
      <c r="A107" s="75">
        <v>97</v>
      </c>
      <c r="B107" s="251" t="s">
        <v>309</v>
      </c>
      <c r="C107" s="95" t="s">
        <v>197</v>
      </c>
      <c r="D107" s="75" t="s">
        <v>198</v>
      </c>
      <c r="E107" s="111" t="s">
        <v>191</v>
      </c>
      <c r="F107" s="112">
        <v>1</v>
      </c>
      <c r="G107" s="200" t="s">
        <v>192</v>
      </c>
      <c r="H107" s="106" t="s">
        <v>193</v>
      </c>
      <c r="I107" s="107">
        <v>15000</v>
      </c>
      <c r="J107" s="96">
        <f t="shared" si="102"/>
        <v>2850</v>
      </c>
      <c r="K107" s="96">
        <f t="shared" si="92"/>
        <v>17850</v>
      </c>
      <c r="L107" s="96">
        <f t="shared" si="93"/>
        <v>15000</v>
      </c>
      <c r="M107" s="96">
        <f t="shared" si="94"/>
        <v>17850</v>
      </c>
      <c r="N107" s="195" t="s">
        <v>194</v>
      </c>
      <c r="O107" s="109">
        <v>16200</v>
      </c>
      <c r="P107" s="110">
        <f t="shared" si="103"/>
        <v>3078</v>
      </c>
      <c r="Q107" s="110">
        <f t="shared" si="61"/>
        <v>19278</v>
      </c>
      <c r="R107" s="110">
        <f t="shared" si="82"/>
        <v>16200</v>
      </c>
      <c r="S107" s="110">
        <f t="shared" si="83"/>
        <v>19278</v>
      </c>
      <c r="T107" s="97" t="s">
        <v>195</v>
      </c>
      <c r="U107" s="98">
        <v>15110.9243697479</v>
      </c>
      <c r="V107" s="99">
        <f t="shared" si="98"/>
        <v>2871.0756302521008</v>
      </c>
      <c r="W107" s="99">
        <f t="shared" si="99"/>
        <v>17982</v>
      </c>
      <c r="X107" s="99">
        <f t="shared" si="100"/>
        <v>15110.9243697479</v>
      </c>
      <c r="Y107" s="99">
        <f t="shared" si="101"/>
        <v>17982</v>
      </c>
      <c r="Z107" s="100">
        <f t="shared" si="96"/>
        <v>18370</v>
      </c>
      <c r="AA107" s="100">
        <f t="shared" si="86"/>
        <v>18370</v>
      </c>
      <c r="AB107" s="78">
        <f t="shared" si="97"/>
        <v>789.11596106022341</v>
      </c>
      <c r="AC107" s="102">
        <f t="shared" si="87"/>
        <v>4.2956775234633829E-2</v>
      </c>
      <c r="AD107" s="5"/>
      <c r="AF107" s="7" t="str">
        <f>VLOOKUP(C107,Estudio_Mercado_Ori!$C$12:$AH$1115,32,0)</f>
        <v>3PROCEDAS</v>
      </c>
      <c r="BG107" s="7">
        <v>111</v>
      </c>
      <c r="DA107" s="7" t="e">
        <f>VLOOKUP(C107,listaBolsa!$D$2:$BA$1248,1,0)</f>
        <v>#N/A</v>
      </c>
      <c r="DB107" s="7" t="e">
        <f>VLOOKUP(C107,listaBolsa!$D$2:$BA$1248,2,0)</f>
        <v>#N/A</v>
      </c>
      <c r="DC107" s="7" t="e">
        <f>VLOOKUP(C107,listaBolsa!$D$2:$BA$1248,10,0)</f>
        <v>#N/A</v>
      </c>
      <c r="DD107" s="7" t="e">
        <f>VLOOKUP(C107,listaBolsa!$D$2:$BA$1248,14,0)</f>
        <v>#N/A</v>
      </c>
      <c r="DE107" s="7" t="e">
        <f>VLOOKUP(C107,listaBolsa!$D$2:$BA$1248,23,0)</f>
        <v>#N/A</v>
      </c>
      <c r="DF107" s="7" t="e">
        <f>VLOOKUP(C107,listaBolsa!$D$2:$BA$1248,29,0)</f>
        <v>#N/A</v>
      </c>
      <c r="DG107" s="7" t="e">
        <f>VLOOKUP(C107,listaBolsa!$D$2:$BA$1248,36,0)</f>
        <v>#N/A</v>
      </c>
      <c r="DH107" s="7" t="e">
        <f>VLOOKUP(C107,listaBolsa!$D$2:$BA$1248,40,0)</f>
        <v>#N/A</v>
      </c>
      <c r="DI107" s="252" t="e">
        <f>VLOOKUP(C107,listaBolsa!$D$2:$BA$1248,48,0)</f>
        <v>#N/A</v>
      </c>
      <c r="DJ107" s="7" t="e">
        <f t="shared" si="88"/>
        <v>#N/A</v>
      </c>
      <c r="DK107" s="7" t="e">
        <f t="shared" si="89"/>
        <v>#N/A</v>
      </c>
      <c r="DL107" s="7" t="e">
        <f t="shared" si="73"/>
        <v>#N/A</v>
      </c>
      <c r="DM107" s="7" t="e">
        <f t="shared" si="74"/>
        <v>#N/A</v>
      </c>
      <c r="DN107" s="7" t="e">
        <f t="shared" si="75"/>
        <v>#N/A</v>
      </c>
      <c r="DO107" s="7" t="e">
        <f t="shared" si="76"/>
        <v>#N/A</v>
      </c>
      <c r="DP107" s="7" t="e">
        <f t="shared" si="77"/>
        <v>#N/A</v>
      </c>
      <c r="DQ107" s="7" t="e">
        <f t="shared" si="78"/>
        <v>#N/A</v>
      </c>
      <c r="DR107" s="7" t="e">
        <f t="shared" si="79"/>
        <v>#N/A</v>
      </c>
    </row>
    <row r="108" spans="1:122" s="7" customFormat="1" ht="105" customHeight="1">
      <c r="A108" s="75">
        <v>98</v>
      </c>
      <c r="B108" s="251" t="s">
        <v>309</v>
      </c>
      <c r="C108" s="95" t="s">
        <v>200</v>
      </c>
      <c r="D108" s="75" t="s">
        <v>201</v>
      </c>
      <c r="E108" s="111" t="s">
        <v>191</v>
      </c>
      <c r="F108" s="112">
        <v>1</v>
      </c>
      <c r="G108" s="200" t="s">
        <v>192</v>
      </c>
      <c r="H108" s="106" t="s">
        <v>193</v>
      </c>
      <c r="I108" s="107">
        <v>15000</v>
      </c>
      <c r="J108" s="96">
        <f t="shared" si="102"/>
        <v>2850</v>
      </c>
      <c r="K108" s="96">
        <f t="shared" si="92"/>
        <v>17850</v>
      </c>
      <c r="L108" s="96">
        <f t="shared" si="93"/>
        <v>15000</v>
      </c>
      <c r="M108" s="96">
        <f t="shared" si="94"/>
        <v>17850</v>
      </c>
      <c r="N108" s="195" t="s">
        <v>194</v>
      </c>
      <c r="O108" s="109">
        <v>16200</v>
      </c>
      <c r="P108" s="110">
        <f t="shared" si="103"/>
        <v>3078</v>
      </c>
      <c r="Q108" s="110">
        <f t="shared" ref="Q108:Q110" si="104">O108+P108</f>
        <v>19278</v>
      </c>
      <c r="R108" s="110">
        <f t="shared" si="82"/>
        <v>16200</v>
      </c>
      <c r="S108" s="110">
        <f t="shared" si="83"/>
        <v>19278</v>
      </c>
      <c r="T108" s="97" t="s">
        <v>195</v>
      </c>
      <c r="U108" s="98">
        <v>15110.9243697479</v>
      </c>
      <c r="V108" s="99">
        <f t="shared" si="98"/>
        <v>2871.0756302521008</v>
      </c>
      <c r="W108" s="99">
        <f t="shared" si="99"/>
        <v>17982</v>
      </c>
      <c r="X108" s="99">
        <f t="shared" si="100"/>
        <v>15110.9243697479</v>
      </c>
      <c r="Y108" s="99">
        <f t="shared" si="101"/>
        <v>17982</v>
      </c>
      <c r="Z108" s="100">
        <f t="shared" si="96"/>
        <v>18370</v>
      </c>
      <c r="AA108" s="100">
        <f t="shared" si="86"/>
        <v>18370</v>
      </c>
      <c r="AB108" s="78">
        <f t="shared" si="97"/>
        <v>789.11596106022341</v>
      </c>
      <c r="AC108" s="102">
        <f t="shared" si="87"/>
        <v>4.2956775234633829E-2</v>
      </c>
      <c r="AD108" s="5"/>
      <c r="AF108" s="7" t="str">
        <f>VLOOKUP(C108,Estudio_Mercado_Ori!$C$12:$AH$1115,32,0)</f>
        <v>4PROCEDAS</v>
      </c>
      <c r="BG108" s="7">
        <v>112</v>
      </c>
      <c r="DA108" s="7" t="e">
        <f>VLOOKUP(C108,listaBolsa!$D$2:$BA$1248,1,0)</f>
        <v>#N/A</v>
      </c>
      <c r="DB108" s="7" t="e">
        <f>VLOOKUP(C108,listaBolsa!$D$2:$BA$1248,2,0)</f>
        <v>#N/A</v>
      </c>
      <c r="DC108" s="7" t="e">
        <f>VLOOKUP(C108,listaBolsa!$D$2:$BA$1248,10,0)</f>
        <v>#N/A</v>
      </c>
      <c r="DD108" s="7" t="e">
        <f>VLOOKUP(C108,listaBolsa!$D$2:$BA$1248,14,0)</f>
        <v>#N/A</v>
      </c>
      <c r="DE108" s="7" t="e">
        <f>VLOOKUP(C108,listaBolsa!$D$2:$BA$1248,23,0)</f>
        <v>#N/A</v>
      </c>
      <c r="DF108" s="7" t="e">
        <f>VLOOKUP(C108,listaBolsa!$D$2:$BA$1248,29,0)</f>
        <v>#N/A</v>
      </c>
      <c r="DG108" s="7" t="e">
        <f>VLOOKUP(C108,listaBolsa!$D$2:$BA$1248,36,0)</f>
        <v>#N/A</v>
      </c>
      <c r="DH108" s="7" t="e">
        <f>VLOOKUP(C108,listaBolsa!$D$2:$BA$1248,40,0)</f>
        <v>#N/A</v>
      </c>
      <c r="DI108" s="252" t="e">
        <f>VLOOKUP(C108,listaBolsa!$D$2:$BA$1248,48,0)</f>
        <v>#N/A</v>
      </c>
      <c r="DJ108" s="7" t="e">
        <f t="shared" si="88"/>
        <v>#N/A</v>
      </c>
      <c r="DK108" s="7" t="e">
        <f t="shared" si="89"/>
        <v>#N/A</v>
      </c>
      <c r="DL108" s="7" t="e">
        <f t="shared" si="73"/>
        <v>#N/A</v>
      </c>
      <c r="DM108" s="7" t="e">
        <f t="shared" si="74"/>
        <v>#N/A</v>
      </c>
      <c r="DN108" s="7" t="e">
        <f t="shared" si="75"/>
        <v>#N/A</v>
      </c>
      <c r="DO108" s="7" t="e">
        <f t="shared" si="76"/>
        <v>#N/A</v>
      </c>
      <c r="DP108" s="7" t="e">
        <f t="shared" si="77"/>
        <v>#N/A</v>
      </c>
      <c r="DQ108" s="7" t="e">
        <f t="shared" si="78"/>
        <v>#N/A</v>
      </c>
      <c r="DR108" s="7" t="e">
        <f t="shared" si="79"/>
        <v>#N/A</v>
      </c>
    </row>
    <row r="109" spans="1:122" s="7" customFormat="1" ht="105" customHeight="1">
      <c r="A109" s="75">
        <v>99</v>
      </c>
      <c r="B109" s="251" t="s">
        <v>309</v>
      </c>
      <c r="C109" s="190" t="s">
        <v>207</v>
      </c>
      <c r="D109" s="75" t="s">
        <v>208</v>
      </c>
      <c r="E109" s="111" t="s">
        <v>191</v>
      </c>
      <c r="F109" s="112">
        <v>12</v>
      </c>
      <c r="G109" s="75" t="s">
        <v>209</v>
      </c>
      <c r="H109" s="106" t="s">
        <v>194</v>
      </c>
      <c r="I109" s="107">
        <v>660000</v>
      </c>
      <c r="J109" s="96">
        <f t="shared" si="102"/>
        <v>125400</v>
      </c>
      <c r="K109" s="96">
        <f t="shared" si="92"/>
        <v>785400</v>
      </c>
      <c r="L109" s="96">
        <f t="shared" si="93"/>
        <v>7920000</v>
      </c>
      <c r="M109" s="96">
        <f t="shared" si="94"/>
        <v>9424800</v>
      </c>
      <c r="N109" s="108" t="s">
        <v>193</v>
      </c>
      <c r="O109" s="109">
        <v>620000</v>
      </c>
      <c r="P109" s="110">
        <f t="shared" si="103"/>
        <v>117800</v>
      </c>
      <c r="Q109" s="110">
        <f t="shared" si="104"/>
        <v>737800</v>
      </c>
      <c r="R109" s="110">
        <f t="shared" si="82"/>
        <v>7440000</v>
      </c>
      <c r="S109" s="110">
        <f t="shared" si="83"/>
        <v>8853600</v>
      </c>
      <c r="T109" s="97" t="s">
        <v>210</v>
      </c>
      <c r="U109" s="98">
        <v>850000</v>
      </c>
      <c r="V109" s="99">
        <f t="shared" si="98"/>
        <v>161500</v>
      </c>
      <c r="W109" s="99">
        <f t="shared" si="99"/>
        <v>1011500</v>
      </c>
      <c r="X109" s="99">
        <f t="shared" si="100"/>
        <v>10200000</v>
      </c>
      <c r="Y109" s="99">
        <f t="shared" si="101"/>
        <v>12138000</v>
      </c>
      <c r="Z109" s="100">
        <f t="shared" si="96"/>
        <v>844900</v>
      </c>
      <c r="AA109" s="100">
        <f t="shared" si="86"/>
        <v>10138800</v>
      </c>
      <c r="AB109" s="78">
        <f t="shared" si="97"/>
        <v>1754755.7778790756</v>
      </c>
      <c r="AC109" s="102">
        <f t="shared" si="87"/>
        <v>0.17307332010485221</v>
      </c>
      <c r="AD109" s="5"/>
      <c r="AE109" s="7" t="s">
        <v>1080</v>
      </c>
      <c r="AF109" s="7" t="str">
        <f>VLOOKUP(C109,Estudio_Mercado_Ori!$C$12:$AH$1115,32,0)</f>
        <v>7PROCEDAS</v>
      </c>
      <c r="BG109" s="7">
        <v>113</v>
      </c>
      <c r="DA109" s="7" t="str">
        <f>VLOOKUP(C109,listaBolsa!$D$2:$BA$1248,1,0)</f>
        <v>Tallerista</v>
      </c>
      <c r="DB109" s="7">
        <f>VLOOKUP(C109,listaBolsa!$D$2:$BA$1248,2,0)</f>
        <v>0</v>
      </c>
      <c r="DC109" s="7" t="str">
        <f>VLOOKUP(C109,listaBolsa!$D$2:$BA$1248,10,0)</f>
        <v>SIDED</v>
      </c>
      <c r="DD109" s="7">
        <f>VLOOKUP(C109,listaBolsa!$D$2:$BA$1248,14,0)</f>
        <v>660000</v>
      </c>
      <c r="DE109" s="7" t="str">
        <f>VLOOKUP(C109,listaBolsa!$D$2:$BA$1248,23,0)</f>
        <v>AVANCE ORGANIZACIONAL CONSULTORES SAS</v>
      </c>
      <c r="DF109" s="7">
        <f>VLOOKUP(C109,listaBolsa!$D$2:$BA$1248,29,0)</f>
        <v>737800</v>
      </c>
      <c r="DG109" s="7" t="str">
        <f>VLOOKUP(C109,listaBolsa!$D$2:$BA$1248,36,0)</f>
        <v>CONANDES</v>
      </c>
      <c r="DH109" s="7">
        <f>VLOOKUP(C109,listaBolsa!$D$2:$BA$1248,40,0)</f>
        <v>850000</v>
      </c>
      <c r="DI109" s="253">
        <f>VLOOKUP(C109,listaBolsa!$D$2:$BA$1248,48,0)</f>
        <v>0.1731</v>
      </c>
      <c r="DJ109" s="7" t="b">
        <f t="shared" si="88"/>
        <v>1</v>
      </c>
      <c r="DK109" s="7" t="b">
        <f t="shared" si="89"/>
        <v>0</v>
      </c>
      <c r="DL109" s="7" t="b">
        <f t="shared" si="73"/>
        <v>1</v>
      </c>
      <c r="DM109" s="7" t="b">
        <f t="shared" si="74"/>
        <v>1</v>
      </c>
      <c r="DN109" s="7" t="b">
        <f t="shared" si="75"/>
        <v>1</v>
      </c>
      <c r="DO109" s="7" t="b">
        <f t="shared" si="76"/>
        <v>0</v>
      </c>
      <c r="DP109" s="7" t="b">
        <f t="shared" si="77"/>
        <v>1</v>
      </c>
      <c r="DQ109" s="7" t="b">
        <f t="shared" si="78"/>
        <v>1</v>
      </c>
      <c r="DR109" s="7" t="b">
        <f t="shared" si="79"/>
        <v>0</v>
      </c>
    </row>
    <row r="110" spans="1:122" s="7" customFormat="1" ht="105" customHeight="1">
      <c r="A110" s="395">
        <v>101</v>
      </c>
      <c r="B110" s="389" t="s">
        <v>309</v>
      </c>
      <c r="C110" s="413" t="s">
        <v>529</v>
      </c>
      <c r="D110" s="414" t="s">
        <v>530</v>
      </c>
      <c r="E110" s="415" t="s">
        <v>191</v>
      </c>
      <c r="F110" s="414">
        <v>100</v>
      </c>
      <c r="G110" s="395" t="s">
        <v>192</v>
      </c>
      <c r="H110" s="416" t="s">
        <v>531</v>
      </c>
      <c r="I110" s="417">
        <v>7226.8907563025214</v>
      </c>
      <c r="J110" s="418">
        <f t="shared" si="102"/>
        <v>1373.1092436974791</v>
      </c>
      <c r="K110" s="418">
        <f t="shared" si="92"/>
        <v>8600</v>
      </c>
      <c r="L110" s="418">
        <f t="shared" si="93"/>
        <v>722689.07563025213</v>
      </c>
      <c r="M110" s="418">
        <f t="shared" si="94"/>
        <v>860000</v>
      </c>
      <c r="N110" s="419" t="s">
        <v>532</v>
      </c>
      <c r="O110" s="420">
        <v>5462.1848739495799</v>
      </c>
      <c r="P110" s="421">
        <f t="shared" si="103"/>
        <v>1037.8151260504203</v>
      </c>
      <c r="Q110" s="421">
        <f t="shared" si="104"/>
        <v>6500</v>
      </c>
      <c r="R110" s="421">
        <f t="shared" si="82"/>
        <v>546218.48739495804</v>
      </c>
      <c r="S110" s="421">
        <f t="shared" si="83"/>
        <v>650000</v>
      </c>
      <c r="T110" s="422" t="s">
        <v>533</v>
      </c>
      <c r="U110" s="423">
        <v>6050.4201680672268</v>
      </c>
      <c r="V110" s="424">
        <f t="shared" si="98"/>
        <v>1149.579831932773</v>
      </c>
      <c r="W110" s="424">
        <f t="shared" si="99"/>
        <v>7200</v>
      </c>
      <c r="X110" s="424">
        <f t="shared" si="100"/>
        <v>605042.01680672262</v>
      </c>
      <c r="Y110" s="424">
        <f t="shared" si="101"/>
        <v>720000</v>
      </c>
      <c r="Z110" s="425">
        <f t="shared" si="96"/>
        <v>7433.333333333333</v>
      </c>
      <c r="AA110" s="425">
        <f t="shared" si="86"/>
        <v>743333.33333333326</v>
      </c>
      <c r="AB110" s="426">
        <f t="shared" si="97"/>
        <v>106926.76621563645</v>
      </c>
      <c r="AC110" s="427">
        <f t="shared" si="87"/>
        <v>0.14384766755466788</v>
      </c>
      <c r="AD110" s="428"/>
      <c r="AE110" s="7" t="s">
        <v>1053</v>
      </c>
      <c r="AF110" s="7" t="str">
        <f>VLOOKUP(C110,Estudio_Mercado_Ori!$C$12:$AH$1115,32,0)</f>
        <v>90PROCEDAS</v>
      </c>
      <c r="BG110" s="7">
        <v>115</v>
      </c>
      <c r="DA110" s="7" t="str">
        <f>VLOOKUP(C110,listaBolsa!$D$2:$BA$1248,1,0)</f>
        <v>Medalla</v>
      </c>
      <c r="DB110" s="7">
        <f>VLOOKUP(C110,listaBolsa!$D$2:$BA$1248,2,0)</f>
        <v>0</v>
      </c>
      <c r="DC110" s="7" t="str">
        <f>VLOOKUP(C110,listaBolsa!$D$2:$BA$1248,10,0)</f>
        <v>BOTONES.COM</v>
      </c>
      <c r="DD110" s="7">
        <f>VLOOKUP(C110,listaBolsa!$D$2:$BA$1248,14,0)</f>
        <v>7226.89</v>
      </c>
      <c r="DE110" s="7" t="str">
        <f>VLOOKUP(C110,listaBolsa!$D$2:$BA$1248,23,0)</f>
        <v>MEDALLAS.COM</v>
      </c>
      <c r="DF110" s="7">
        <f>VLOOKUP(C110,listaBolsa!$D$2:$BA$1248,29,0)</f>
        <v>6500</v>
      </c>
      <c r="DG110" s="7" t="str">
        <f>VLOOKUP(C110,listaBolsa!$D$2:$BA$1248,36,0)</f>
        <v>GRAFIC KOJAC</v>
      </c>
      <c r="DH110" s="7">
        <f>VLOOKUP(C110,listaBolsa!$D$2:$BA$1248,40,0)</f>
        <v>6050.42</v>
      </c>
      <c r="DI110" s="253">
        <f>VLOOKUP(C110,listaBolsa!$D$2:$BA$1248,48,0)</f>
        <v>0.14380000000000001</v>
      </c>
      <c r="DJ110" s="7" t="b">
        <f t="shared" si="88"/>
        <v>1</v>
      </c>
      <c r="DK110" s="7" t="b">
        <f t="shared" si="89"/>
        <v>0</v>
      </c>
      <c r="DL110" s="7" t="b">
        <f t="shared" si="73"/>
        <v>1</v>
      </c>
      <c r="DM110" s="7" t="b">
        <f t="shared" si="74"/>
        <v>0</v>
      </c>
      <c r="DN110" s="7" t="b">
        <f t="shared" si="75"/>
        <v>1</v>
      </c>
      <c r="DO110" s="7" t="b">
        <f t="shared" si="76"/>
        <v>0</v>
      </c>
      <c r="DP110" s="7" t="b">
        <f t="shared" si="77"/>
        <v>1</v>
      </c>
      <c r="DQ110" s="7" t="b">
        <f t="shared" si="78"/>
        <v>0</v>
      </c>
      <c r="DR110" s="7" t="b">
        <f t="shared" si="79"/>
        <v>0</v>
      </c>
    </row>
    <row r="111" spans="1:122" s="441" customFormat="1" ht="105" customHeight="1">
      <c r="A111" s="405"/>
      <c r="B111" s="433"/>
      <c r="C111" s="434"/>
      <c r="D111" s="434"/>
      <c r="E111" s="432"/>
      <c r="F111" s="434"/>
      <c r="G111" s="405"/>
      <c r="H111" s="435"/>
      <c r="I111" s="436"/>
      <c r="J111" s="437"/>
      <c r="K111" s="437"/>
      <c r="L111" s="437"/>
      <c r="M111" s="437"/>
      <c r="N111" s="435"/>
      <c r="O111" s="436"/>
      <c r="P111" s="438"/>
      <c r="Q111" s="438"/>
      <c r="R111" s="438"/>
      <c r="S111" s="438"/>
      <c r="T111" s="435"/>
      <c r="U111" s="436"/>
      <c r="V111" s="438"/>
      <c r="W111" s="438"/>
      <c r="X111" s="438"/>
      <c r="Y111" s="438" t="s">
        <v>1081</v>
      </c>
      <c r="Z111" s="438">
        <f>SUM(Z12:Z110)</f>
        <v>21758568.897587027</v>
      </c>
      <c r="AA111" s="438">
        <f>SUM(AA12:AA110)</f>
        <v>195210731.19837081</v>
      </c>
      <c r="AB111" s="439"/>
      <c r="AC111" s="440"/>
      <c r="DI111" s="442"/>
    </row>
    <row r="112" spans="1:122" s="441" customFormat="1" ht="105" customHeight="1">
      <c r="A112" s="405"/>
      <c r="B112" s="433"/>
      <c r="C112" s="434"/>
      <c r="D112" s="434"/>
      <c r="E112" s="432"/>
      <c r="F112" s="434"/>
      <c r="G112" s="405"/>
      <c r="H112" s="435"/>
      <c r="I112" s="436"/>
      <c r="J112" s="437"/>
      <c r="K112" s="437"/>
      <c r="L112" s="437"/>
      <c r="M112" s="437"/>
      <c r="N112" s="435"/>
      <c r="O112" s="436"/>
      <c r="P112" s="438"/>
      <c r="Q112" s="438"/>
      <c r="R112" s="438"/>
      <c r="S112" s="438"/>
      <c r="T112" s="435"/>
      <c r="U112" s="436"/>
      <c r="V112" s="438"/>
      <c r="W112" s="438"/>
      <c r="X112" s="438"/>
      <c r="Y112" s="438"/>
      <c r="Z112" s="438"/>
      <c r="AA112" s="438"/>
      <c r="AB112" s="439"/>
      <c r="AC112" s="440"/>
      <c r="DI112" s="442"/>
    </row>
    <row r="113" spans="1:125" s="247" customFormat="1" ht="105.75" customHeight="1">
      <c r="A113" s="403" t="s">
        <v>23</v>
      </c>
      <c r="B113" s="404" t="s">
        <v>24</v>
      </c>
      <c r="C113" s="404" t="s">
        <v>25</v>
      </c>
      <c r="D113" s="404" t="s">
        <v>26</v>
      </c>
      <c r="E113" s="404" t="s">
        <v>27</v>
      </c>
      <c r="F113" s="404" t="s">
        <v>28</v>
      </c>
      <c r="G113" s="406" t="s">
        <v>174</v>
      </c>
      <c r="H113" s="407" t="s">
        <v>29</v>
      </c>
      <c r="I113" s="407" t="s">
        <v>30</v>
      </c>
      <c r="J113" s="429" t="s">
        <v>175</v>
      </c>
      <c r="K113" s="429" t="s">
        <v>32</v>
      </c>
      <c r="L113" s="429" t="s">
        <v>33</v>
      </c>
      <c r="M113" s="429" t="s">
        <v>34</v>
      </c>
      <c r="N113" s="404" t="s">
        <v>35</v>
      </c>
      <c r="O113" s="404" t="s">
        <v>30</v>
      </c>
      <c r="P113" s="430" t="s">
        <v>176</v>
      </c>
      <c r="Q113" s="430" t="s">
        <v>32</v>
      </c>
      <c r="R113" s="430" t="s">
        <v>33</v>
      </c>
      <c r="S113" s="430" t="s">
        <v>34</v>
      </c>
      <c r="T113" s="408" t="s">
        <v>36</v>
      </c>
      <c r="U113" s="408" t="s">
        <v>30</v>
      </c>
      <c r="V113" s="431" t="s">
        <v>31</v>
      </c>
      <c r="W113" s="431" t="s">
        <v>32</v>
      </c>
      <c r="X113" s="431" t="s">
        <v>33</v>
      </c>
      <c r="Y113" s="431" t="s">
        <v>34</v>
      </c>
      <c r="Z113" s="429" t="s">
        <v>38</v>
      </c>
      <c r="AA113" s="429" t="s">
        <v>39</v>
      </c>
      <c r="AB113" s="429" t="s">
        <v>40</v>
      </c>
      <c r="AC113" s="429" t="s">
        <v>41</v>
      </c>
      <c r="AD113" s="409" t="s">
        <v>46</v>
      </c>
      <c r="AE113" s="410" t="s">
        <v>1048</v>
      </c>
      <c r="AF113" s="7">
        <f>VLOOKUP(C113,Estudio_Mercado_Ori!$C$12:$AH$1115,32,0)</f>
        <v>0</v>
      </c>
      <c r="AG113" s="410"/>
      <c r="AH113" s="410"/>
      <c r="AI113" s="410"/>
      <c r="AJ113" s="410"/>
      <c r="AK113" s="410"/>
      <c r="AL113" s="410"/>
      <c r="AM113" s="410"/>
      <c r="AN113" s="410"/>
      <c r="AO113" s="410"/>
      <c r="AP113" s="410"/>
      <c r="AQ113" s="410"/>
      <c r="AR113" s="410"/>
      <c r="AS113" s="410"/>
      <c r="AT113" s="410"/>
      <c r="AU113" s="410"/>
      <c r="AV113" s="410"/>
      <c r="AW113" s="410"/>
      <c r="AX113" s="410"/>
      <c r="AY113" s="410"/>
      <c r="AZ113" s="410"/>
      <c r="BA113" s="410"/>
      <c r="BB113" s="410"/>
      <c r="BC113" s="410"/>
      <c r="BD113" s="410"/>
      <c r="BE113" s="410"/>
      <c r="BF113" s="410"/>
      <c r="BG113" s="410"/>
      <c r="BH113" s="410"/>
      <c r="BI113" s="410"/>
      <c r="BJ113" s="410"/>
      <c r="BK113" s="410"/>
      <c r="BL113" s="410"/>
      <c r="BM113" s="410"/>
      <c r="BN113" s="410"/>
      <c r="BO113" s="410"/>
      <c r="BP113" s="410"/>
      <c r="BQ113" s="410"/>
      <c r="BR113" s="410"/>
      <c r="BS113" s="410"/>
      <c r="BT113" s="410"/>
      <c r="BU113" s="410"/>
      <c r="BV113" s="410"/>
      <c r="BW113" s="410"/>
      <c r="BX113" s="410"/>
      <c r="BY113" s="410"/>
      <c r="BZ113" s="410"/>
      <c r="CA113" s="410"/>
      <c r="CB113" s="410"/>
      <c r="CC113" s="410"/>
      <c r="CD113" s="410"/>
      <c r="CE113" s="410"/>
      <c r="CF113" s="410"/>
      <c r="CG113" s="410"/>
      <c r="CH113" s="410"/>
      <c r="CI113" s="410"/>
      <c r="CJ113" s="410"/>
      <c r="CK113" s="410"/>
      <c r="CL113" s="410"/>
      <c r="CM113" s="410"/>
      <c r="CN113" s="410"/>
      <c r="CO113" s="410"/>
      <c r="CP113" s="410"/>
      <c r="CQ113" s="410"/>
      <c r="CR113" s="410"/>
      <c r="CS113" s="410"/>
      <c r="CT113" s="410"/>
      <c r="CU113" s="410"/>
      <c r="CV113" s="410"/>
      <c r="CW113" s="410"/>
      <c r="CX113" s="410"/>
      <c r="CY113" s="410"/>
      <c r="CZ113" s="410"/>
      <c r="DA113" s="410" t="s">
        <v>177</v>
      </c>
      <c r="DB113" s="410" t="s">
        <v>178</v>
      </c>
      <c r="DC113" s="410" t="s">
        <v>179</v>
      </c>
      <c r="DD113" s="410" t="s">
        <v>180</v>
      </c>
      <c r="DE113" s="410" t="s">
        <v>181</v>
      </c>
      <c r="DF113" s="410" t="s">
        <v>182</v>
      </c>
      <c r="DG113" s="410" t="s">
        <v>183</v>
      </c>
      <c r="DH113" s="410" t="s">
        <v>184</v>
      </c>
      <c r="DI113" s="254" t="s">
        <v>185</v>
      </c>
      <c r="DJ113" s="410" t="s">
        <v>177</v>
      </c>
      <c r="DK113" s="410" t="s">
        <v>178</v>
      </c>
      <c r="DL113" s="410" t="s">
        <v>179</v>
      </c>
      <c r="DM113" s="410" t="s">
        <v>180</v>
      </c>
      <c r="DN113" s="410" t="s">
        <v>181</v>
      </c>
      <c r="DO113" s="410" t="s">
        <v>182</v>
      </c>
      <c r="DP113" s="410" t="s">
        <v>183</v>
      </c>
      <c r="DQ113" s="410" t="s">
        <v>184</v>
      </c>
      <c r="DR113" s="410" t="s">
        <v>185</v>
      </c>
      <c r="DS113" s="410"/>
      <c r="DT113" s="410"/>
      <c r="DU113" s="410"/>
    </row>
    <row r="114" spans="1:125" s="7" customFormat="1" ht="74.099999999999994" customHeight="1">
      <c r="A114" s="75">
        <v>105</v>
      </c>
      <c r="B114" s="211" t="s">
        <v>565</v>
      </c>
      <c r="C114" s="638" t="s">
        <v>566</v>
      </c>
      <c r="D114" s="75" t="s">
        <v>567</v>
      </c>
      <c r="E114" s="211" t="s">
        <v>568</v>
      </c>
      <c r="F114" s="75">
        <v>10</v>
      </c>
      <c r="G114" s="75" t="s">
        <v>209</v>
      </c>
      <c r="H114" s="106" t="str">
        <f>IF(C114="","",VLOOKUP(C114,listaBolsa!$D$2:$W$276,10,0))</f>
        <v>OPERADOR LOGÍSTICO</v>
      </c>
      <c r="I114" s="107" t="str">
        <f>IF(C114="","",VLOOKUP(C114,listaBolsa!$D$2:$W$276,14,0))</f>
        <v> </v>
      </c>
      <c r="J114" s="96" t="e">
        <f>I114*19%</f>
        <v>#VALUE!</v>
      </c>
      <c r="K114" s="96" t="e">
        <f t="shared" ref="K114:K145" si="105">I114+J114</f>
        <v>#VALUE!</v>
      </c>
      <c r="L114" s="96" t="e">
        <f t="shared" ref="L114:L145" si="106">IF(B114="","",(I114*F114))</f>
        <v>#VALUE!</v>
      </c>
      <c r="M114" s="96" t="e">
        <f t="shared" ref="M114:M145" si="107">IF(B114="","",(K114*F114))</f>
        <v>#VALUE!</v>
      </c>
      <c r="N114" s="108" t="s">
        <v>569</v>
      </c>
      <c r="O114" s="109">
        <v>432995.79831932776</v>
      </c>
      <c r="P114" s="110">
        <f>O114*19%</f>
        <v>82269.201680672282</v>
      </c>
      <c r="Q114" s="110">
        <f t="shared" ref="Q114:Q145" si="108">O114+P114</f>
        <v>515265.00000000006</v>
      </c>
      <c r="R114" s="110">
        <f t="shared" ref="R114:R145" si="109">IF(B114="","",(O114*F114))</f>
        <v>4329957.9831932774</v>
      </c>
      <c r="S114" s="110">
        <f t="shared" ref="S114:S145" si="110">IF(B114="","",(Q114*F114))</f>
        <v>5152650.0000000009</v>
      </c>
      <c r="T114" s="97" t="str">
        <f>IF(C114="","",VLOOKUP(C114,listaBolsa!$D$2:$BB$276,36,0))</f>
        <v>FUNCAS</v>
      </c>
      <c r="U114" s="98">
        <f>IF(C114="","",VLOOKUP(C114,listaBolsa!$D$2:$BB$276,40,0))</f>
        <v>426597</v>
      </c>
      <c r="V114" s="99">
        <f>U114*19%</f>
        <v>81053.430000000008</v>
      </c>
      <c r="W114" s="99">
        <f t="shared" ref="W114:W145" si="111">U114+V114</f>
        <v>507650.43</v>
      </c>
      <c r="X114" s="99">
        <f t="shared" ref="X114:X145" si="112">IF(B114="","",(U114*F114))</f>
        <v>4265970</v>
      </c>
      <c r="Y114" s="99">
        <f t="shared" ref="Y114:Y145" si="113">IF(B114="","",(W114*F114))</f>
        <v>5076504.3</v>
      </c>
      <c r="Z114" s="100">
        <f>IF(A114="","",AVERAGE(Q114,W114))</f>
        <v>511457.71500000003</v>
      </c>
      <c r="AA114" s="100">
        <f t="shared" ref="AA114:AA145" si="114">IF(B114="","",Z114*F114)</f>
        <v>5114577.1500000004</v>
      </c>
      <c r="AB114" s="78">
        <f>IF(B114="","",STDEV(S114,Y114))</f>
        <v>53843.140828197284</v>
      </c>
      <c r="AC114" s="102">
        <f t="shared" ref="AC114:AC145" si="115">IF(B114="","",(AB114/AA114))</f>
        <v>1.0527388530681813E-2</v>
      </c>
      <c r="AD114" s="5"/>
      <c r="AE114" s="7" t="s">
        <v>1050</v>
      </c>
      <c r="AF114" s="7" t="str">
        <f>VLOOKUP(C114,Estudio_Mercado_Ori!$C$12:$AH$1115,32,0)</f>
        <v>1HUERTAS</v>
      </c>
      <c r="BG114" s="7">
        <v>119</v>
      </c>
      <c r="DA114" s="7" t="str">
        <f>VLOOKUP(C114,listaBolsa!$D$2:$BA$1248,1,0)</f>
        <v>Estación de café tipo 1</v>
      </c>
      <c r="DB114" s="7" t="str">
        <f>VLOOKUP(C114,listaBolsa!$D$2:$BA$1248,2,0)</f>
        <v>Servicio de cafetería para 50 personas (tinto, aromática y agua): Operario + presentación mesa + vasos de cartón bebida caliente 4 oz. + mezclador + azúcar + crema para café. Duración del evento aprox. 6 horas. Transporte incluido</v>
      </c>
      <c r="DC114" s="7" t="str">
        <f>VLOOKUP(C114,listaBolsa!$D$2:$BA$1248,10,0)</f>
        <v>OPERADOR LOGÍSTICO</v>
      </c>
      <c r="DD114" s="7" t="str">
        <f>VLOOKUP(C114,listaBolsa!$D$2:$BA$1248,14,0)</f>
        <v> </v>
      </c>
      <c r="DE114" s="7" t="str">
        <f>VLOOKUP(C114,listaBolsa!$D$2:$BA$1248,23,0)</f>
        <v>Estimación de precios con base en el proceso FDLSUBA-LP-013-2025 (140689) – Contrato 1000 – 2025, indexando el incremento de precios en el mercado con base en el Índice de Precios al Consumidor (IPC) para el mes de marzo de 2026, el cual fue de 5,56%.</v>
      </c>
      <c r="DF114" s="7">
        <f>VLOOKUP(C114,listaBolsa!$D$2:$BA$1248,29,0)</f>
        <v>488125</v>
      </c>
      <c r="DG114" s="7" t="str">
        <f>VLOOKUP(C114,listaBolsa!$D$2:$BA$1248,36,0)</f>
        <v>FUNCAS</v>
      </c>
      <c r="DH114" s="7">
        <f>VLOOKUP(C114,listaBolsa!$D$2:$BA$1248,40,0)</f>
        <v>426597</v>
      </c>
      <c r="DI114" s="253">
        <f>VLOOKUP(C114,listaBolsa!$D$2:$BA$1248,48,0)</f>
        <v>1.0500000000000001E-2</v>
      </c>
      <c r="DJ114" s="7" t="b">
        <f t="shared" ref="DJ114:DJ145" si="116">DA114=C114</f>
        <v>1</v>
      </c>
      <c r="DK114" s="7" t="b">
        <f t="shared" ref="DK114:DK145" si="117">DB114=D114</f>
        <v>1</v>
      </c>
      <c r="DL114" s="7" t="b">
        <f t="shared" ref="DL114:DL145" si="118">DC114=H114</f>
        <v>1</v>
      </c>
      <c r="DM114" s="7" t="b">
        <f t="shared" ref="DM114:DM145" si="119">DD114=I114</f>
        <v>1</v>
      </c>
      <c r="DN114" s="7" t="b">
        <f t="shared" ref="DN114:DN145" si="120">DE114=N114</f>
        <v>0</v>
      </c>
      <c r="DO114" s="7" t="b">
        <f t="shared" ref="DO114:DO145" si="121">DF114=O114</f>
        <v>0</v>
      </c>
      <c r="DP114" s="7" t="b">
        <f t="shared" ref="DP114:DP145" si="122">DG114=T114</f>
        <v>1</v>
      </c>
      <c r="DQ114" s="7" t="b">
        <f t="shared" ref="DQ114:DQ145" si="123">DH114=U114</f>
        <v>1</v>
      </c>
      <c r="DR114" s="7" t="b">
        <f t="shared" ref="DR114:DR145" si="124">DI114=AC114</f>
        <v>0</v>
      </c>
    </row>
    <row r="115" spans="1:125" s="7" customFormat="1" ht="74.099999999999994" customHeight="1">
      <c r="A115" s="75">
        <v>106</v>
      </c>
      <c r="B115" s="211" t="s">
        <v>572</v>
      </c>
      <c r="C115" s="639" t="s">
        <v>573</v>
      </c>
      <c r="D115" s="336" t="s">
        <v>574</v>
      </c>
      <c r="E115" s="370" t="s">
        <v>568</v>
      </c>
      <c r="F115" s="75">
        <v>1</v>
      </c>
      <c r="G115" s="75" t="s">
        <v>209</v>
      </c>
      <c r="H115" s="106" t="s">
        <v>380</v>
      </c>
      <c r="I115" s="107">
        <v>750000</v>
      </c>
      <c r="J115" s="96"/>
      <c r="K115" s="96">
        <f t="shared" si="105"/>
        <v>750000</v>
      </c>
      <c r="L115" s="96">
        <f t="shared" si="106"/>
        <v>750000</v>
      </c>
      <c r="M115" s="96">
        <f t="shared" si="107"/>
        <v>750000</v>
      </c>
      <c r="N115" s="108" t="s">
        <v>381</v>
      </c>
      <c r="O115" s="109">
        <v>820000</v>
      </c>
      <c r="P115" s="110"/>
      <c r="Q115" s="110">
        <f t="shared" si="108"/>
        <v>820000</v>
      </c>
      <c r="R115" s="110">
        <f t="shared" si="109"/>
        <v>820000</v>
      </c>
      <c r="S115" s="110">
        <f t="shared" si="110"/>
        <v>820000</v>
      </c>
      <c r="T115" s="97" t="s">
        <v>382</v>
      </c>
      <c r="U115" s="98">
        <v>800000</v>
      </c>
      <c r="V115" s="99"/>
      <c r="W115" s="99">
        <f t="shared" si="111"/>
        <v>800000</v>
      </c>
      <c r="X115" s="99">
        <f t="shared" si="112"/>
        <v>800000</v>
      </c>
      <c r="Y115" s="99">
        <f t="shared" si="113"/>
        <v>800000</v>
      </c>
      <c r="Z115" s="100">
        <f t="shared" ref="Z115:Z146" si="125">IF(A115="","",AVERAGE(K115,Q115,W115))</f>
        <v>790000</v>
      </c>
      <c r="AA115" s="100">
        <f t="shared" si="114"/>
        <v>790000</v>
      </c>
      <c r="AB115" s="78">
        <f t="shared" ref="AB115:AB146" si="126">IF(B115="","",STDEV(M115,S115,Y115))</f>
        <v>36055.512754639894</v>
      </c>
      <c r="AC115" s="102">
        <f t="shared" si="115"/>
        <v>4.5639889562835309E-2</v>
      </c>
      <c r="AD115" s="5"/>
      <c r="AE115" s="7" t="s">
        <v>1080</v>
      </c>
      <c r="AF115" s="7" t="str">
        <f>VLOOKUP(C115,Estudio_Mercado_Ori!$C$12:$AH$1115,32,0)</f>
        <v>2HUERTAS</v>
      </c>
      <c r="BG115" s="7">
        <v>120</v>
      </c>
      <c r="DA115" s="7" t="str">
        <f>VLOOKUP(C115,listaBolsa!$D$2:$BA$1248,1,0)</f>
        <v>Servicios de cultivos agrícolas tipo 1</v>
      </c>
      <c r="DB115" s="7">
        <f>VLOOKUP(C115,listaBolsa!$D$2:$BA$1248,2,0)</f>
        <v>0</v>
      </c>
      <c r="DC115" s="7" t="str">
        <f>VLOOKUP(C115,listaBolsa!$D$2:$BA$1248,10,0)</f>
        <v xml:space="preserve">JUNTOS DE LA MANO </v>
      </c>
      <c r="DD115" s="7">
        <f>VLOOKUP(C115,listaBolsa!$D$2:$BA$1248,14,0)</f>
        <v>750000</v>
      </c>
      <c r="DE115" s="7" t="str">
        <f>VLOOKUP(C115,listaBolsa!$D$2:$BA$1248,23,0)</f>
        <v>MYCBDE</v>
      </c>
      <c r="DF115" s="7">
        <f>VLOOKUP(C115,listaBolsa!$D$2:$BA$1248,29,0)</f>
        <v>820000</v>
      </c>
      <c r="DG115" s="7" t="str">
        <f>VLOOKUP(C115,listaBolsa!$D$2:$BA$1248,36,0)</f>
        <v>DAGROW</v>
      </c>
      <c r="DH115" s="7">
        <f>VLOOKUP(C115,listaBolsa!$D$2:$BA$1248,40,0)</f>
        <v>800000</v>
      </c>
      <c r="DI115" s="253">
        <f>VLOOKUP(C115,listaBolsa!$D$2:$BA$1248,48,0)</f>
        <v>4.5600000000000002E-2</v>
      </c>
      <c r="DJ115" s="7" t="b">
        <f t="shared" si="116"/>
        <v>1</v>
      </c>
      <c r="DK115" s="7" t="b">
        <f t="shared" si="117"/>
        <v>0</v>
      </c>
      <c r="DL115" s="7" t="b">
        <f t="shared" si="118"/>
        <v>1</v>
      </c>
      <c r="DM115" s="7" t="b">
        <f t="shared" si="119"/>
        <v>1</v>
      </c>
      <c r="DN115" s="7" t="b">
        <f t="shared" si="120"/>
        <v>1</v>
      </c>
      <c r="DO115" s="7" t="b">
        <f t="shared" si="121"/>
        <v>1</v>
      </c>
      <c r="DP115" s="7" t="b">
        <f t="shared" si="122"/>
        <v>1</v>
      </c>
      <c r="DQ115" s="7" t="b">
        <f t="shared" si="123"/>
        <v>1</v>
      </c>
      <c r="DR115" s="7" t="b">
        <f t="shared" si="124"/>
        <v>0</v>
      </c>
    </row>
    <row r="116" spans="1:125" s="7" customFormat="1" ht="74.099999999999994" customHeight="1">
      <c r="A116" s="75">
        <v>107</v>
      </c>
      <c r="B116" s="211" t="s">
        <v>572</v>
      </c>
      <c r="C116" s="639" t="s">
        <v>576</v>
      </c>
      <c r="D116" s="336" t="s">
        <v>577</v>
      </c>
      <c r="E116" s="370" t="s">
        <v>568</v>
      </c>
      <c r="F116" s="75">
        <v>1</v>
      </c>
      <c r="G116" s="75" t="s">
        <v>209</v>
      </c>
      <c r="H116" s="106" t="s">
        <v>380</v>
      </c>
      <c r="I116" s="107">
        <v>280000</v>
      </c>
      <c r="J116" s="96"/>
      <c r="K116" s="96">
        <f t="shared" si="105"/>
        <v>280000</v>
      </c>
      <c r="L116" s="96">
        <f t="shared" si="106"/>
        <v>280000</v>
      </c>
      <c r="M116" s="96">
        <f t="shared" si="107"/>
        <v>280000</v>
      </c>
      <c r="N116" s="108" t="s">
        <v>381</v>
      </c>
      <c r="O116" s="109">
        <v>290000</v>
      </c>
      <c r="P116" s="110"/>
      <c r="Q116" s="110">
        <f t="shared" si="108"/>
        <v>290000</v>
      </c>
      <c r="R116" s="110">
        <f t="shared" si="109"/>
        <v>290000</v>
      </c>
      <c r="S116" s="110">
        <f t="shared" si="110"/>
        <v>290000</v>
      </c>
      <c r="T116" s="97" t="s">
        <v>382</v>
      </c>
      <c r="U116" s="98">
        <v>250000</v>
      </c>
      <c r="V116" s="99"/>
      <c r="W116" s="99">
        <f t="shared" si="111"/>
        <v>250000</v>
      </c>
      <c r="X116" s="99">
        <f t="shared" si="112"/>
        <v>250000</v>
      </c>
      <c r="Y116" s="99">
        <f t="shared" si="113"/>
        <v>250000</v>
      </c>
      <c r="Z116" s="100">
        <f t="shared" si="125"/>
        <v>273333.33333333331</v>
      </c>
      <c r="AA116" s="100">
        <f t="shared" si="114"/>
        <v>273333.33333333331</v>
      </c>
      <c r="AB116" s="78">
        <f t="shared" si="126"/>
        <v>20816.659994661328</v>
      </c>
      <c r="AC116" s="102">
        <f t="shared" si="115"/>
        <v>7.6158512175590234E-2</v>
      </c>
      <c r="AD116" s="5"/>
      <c r="AE116" s="7" t="s">
        <v>1080</v>
      </c>
      <c r="AF116" s="7" t="str">
        <f>VLOOKUP(C116,Estudio_Mercado_Ori!$C$12:$AH$1115,32,0)</f>
        <v>3HUERTAS</v>
      </c>
      <c r="BG116" s="7">
        <v>121</v>
      </c>
      <c r="DA116" s="7" t="str">
        <f>VLOOKUP(C116,listaBolsa!$D$2:$BA$1248,1,0)</f>
        <v>Servicios de cultivos agrícolas tipo 2</v>
      </c>
      <c r="DB116" s="7">
        <f>VLOOKUP(C116,listaBolsa!$D$2:$BA$1248,2,0)</f>
        <v>0</v>
      </c>
      <c r="DC116" s="7" t="str">
        <f>VLOOKUP(C116,listaBolsa!$D$2:$BA$1248,10,0)</f>
        <v xml:space="preserve">JUNTOS DE LA MANO </v>
      </c>
      <c r="DD116" s="7">
        <f>VLOOKUP(C116,listaBolsa!$D$2:$BA$1248,14,0)</f>
        <v>280000</v>
      </c>
      <c r="DE116" s="7" t="str">
        <f>VLOOKUP(C116,listaBolsa!$D$2:$BA$1248,23,0)</f>
        <v>MYCBDE</v>
      </c>
      <c r="DF116" s="7">
        <f>VLOOKUP(C116,listaBolsa!$D$2:$BA$1248,29,0)</f>
        <v>290000</v>
      </c>
      <c r="DG116" s="7" t="str">
        <f>VLOOKUP(C116,listaBolsa!$D$2:$BA$1248,36,0)</f>
        <v>DAGROW</v>
      </c>
      <c r="DH116" s="7">
        <f>VLOOKUP(C116,listaBolsa!$D$2:$BA$1248,40,0)</f>
        <v>250000</v>
      </c>
      <c r="DI116" s="253">
        <f>VLOOKUP(C116,listaBolsa!$D$2:$BA$1248,48,0)</f>
        <v>7.6200000000000004E-2</v>
      </c>
      <c r="DJ116" s="7" t="b">
        <f t="shared" si="116"/>
        <v>1</v>
      </c>
      <c r="DK116" s="7" t="b">
        <f t="shared" si="117"/>
        <v>0</v>
      </c>
      <c r="DL116" s="7" t="b">
        <f t="shared" si="118"/>
        <v>1</v>
      </c>
      <c r="DM116" s="7" t="b">
        <f t="shared" si="119"/>
        <v>1</v>
      </c>
      <c r="DN116" s="7" t="b">
        <f t="shared" si="120"/>
        <v>1</v>
      </c>
      <c r="DO116" s="7" t="b">
        <f t="shared" si="121"/>
        <v>1</v>
      </c>
      <c r="DP116" s="7" t="b">
        <f t="shared" si="122"/>
        <v>1</v>
      </c>
      <c r="DQ116" s="7" t="b">
        <f t="shared" si="123"/>
        <v>1</v>
      </c>
      <c r="DR116" s="7" t="b">
        <f t="shared" si="124"/>
        <v>0</v>
      </c>
    </row>
    <row r="117" spans="1:125" s="7" customFormat="1" ht="74.099999999999994" customHeight="1">
      <c r="A117" s="75">
        <v>108</v>
      </c>
      <c r="B117" s="538" t="s">
        <v>579</v>
      </c>
      <c r="C117" s="639" t="s">
        <v>580</v>
      </c>
      <c r="D117" s="336" t="s">
        <v>581</v>
      </c>
      <c r="E117" s="370" t="s">
        <v>568</v>
      </c>
      <c r="F117" s="75">
        <v>1</v>
      </c>
      <c r="G117" s="75" t="s">
        <v>192</v>
      </c>
      <c r="H117" s="106" t="s">
        <v>380</v>
      </c>
      <c r="I117" s="107">
        <v>3900</v>
      </c>
      <c r="J117" s="96"/>
      <c r="K117" s="96">
        <f t="shared" si="105"/>
        <v>3900</v>
      </c>
      <c r="L117" s="96">
        <f t="shared" si="106"/>
        <v>3900</v>
      </c>
      <c r="M117" s="96">
        <f t="shared" si="107"/>
        <v>3900</v>
      </c>
      <c r="N117" s="108" t="s">
        <v>381</v>
      </c>
      <c r="O117" s="109">
        <v>4200</v>
      </c>
      <c r="P117" s="110"/>
      <c r="Q117" s="110">
        <f t="shared" si="108"/>
        <v>4200</v>
      </c>
      <c r="R117" s="110">
        <f t="shared" si="109"/>
        <v>4200</v>
      </c>
      <c r="S117" s="110">
        <f t="shared" si="110"/>
        <v>4200</v>
      </c>
      <c r="T117" s="97" t="s">
        <v>382</v>
      </c>
      <c r="U117" s="98">
        <v>4000</v>
      </c>
      <c r="V117" s="99"/>
      <c r="W117" s="99">
        <f t="shared" si="111"/>
        <v>4000</v>
      </c>
      <c r="X117" s="99">
        <f t="shared" si="112"/>
        <v>4000</v>
      </c>
      <c r="Y117" s="99">
        <f t="shared" si="113"/>
        <v>4000</v>
      </c>
      <c r="Z117" s="100">
        <f t="shared" si="125"/>
        <v>4033.3333333333335</v>
      </c>
      <c r="AA117" s="100">
        <f t="shared" si="114"/>
        <v>4033.3333333333335</v>
      </c>
      <c r="AB117" s="78">
        <f t="shared" si="126"/>
        <v>152.75252316519467</v>
      </c>
      <c r="AC117" s="102">
        <f t="shared" si="115"/>
        <v>3.7872526404593716E-2</v>
      </c>
      <c r="AD117" s="5"/>
      <c r="AE117" s="7" t="s">
        <v>1053</v>
      </c>
      <c r="AF117" s="7" t="str">
        <f>VLOOKUP(C117,Estudio_Mercado_Ori!$C$12:$AH$1115,32,0)</f>
        <v>4HUERTAS</v>
      </c>
      <c r="BG117" s="7">
        <v>122</v>
      </c>
      <c r="DA117" s="7" t="str">
        <f>VLOOKUP(C117,listaBolsa!$D$2:$BA$1248,1,0)</f>
        <v>Semilla de Quinoa</v>
      </c>
      <c r="DB117" s="7">
        <f>VLOOKUP(C117,listaBolsa!$D$2:$BA$1248,2,0)</f>
        <v>0</v>
      </c>
      <c r="DC117" s="7" t="str">
        <f>VLOOKUP(C117,listaBolsa!$D$2:$BA$1248,10,0)</f>
        <v xml:space="preserve">JUNTOS DE LA MANO </v>
      </c>
      <c r="DD117" s="7">
        <f>VLOOKUP(C117,listaBolsa!$D$2:$BA$1248,14,0)</f>
        <v>3900</v>
      </c>
      <c r="DE117" s="7" t="str">
        <f>VLOOKUP(C117,listaBolsa!$D$2:$BA$1248,23,0)</f>
        <v>MYCBDE</v>
      </c>
      <c r="DF117" s="7">
        <f>VLOOKUP(C117,listaBolsa!$D$2:$BA$1248,29,0)</f>
        <v>4200</v>
      </c>
      <c r="DG117" s="7" t="str">
        <f>VLOOKUP(C117,listaBolsa!$D$2:$BA$1248,36,0)</f>
        <v>DAGROW</v>
      </c>
      <c r="DH117" s="7">
        <f>VLOOKUP(C117,listaBolsa!$D$2:$BA$1248,40,0)</f>
        <v>4000</v>
      </c>
      <c r="DI117" s="253">
        <f>VLOOKUP(C117,listaBolsa!$D$2:$BA$1248,48,0)</f>
        <v>3.7900000000000003E-2</v>
      </c>
      <c r="DJ117" s="7" t="b">
        <f t="shared" si="116"/>
        <v>1</v>
      </c>
      <c r="DK117" s="7" t="b">
        <f t="shared" si="117"/>
        <v>0</v>
      </c>
      <c r="DL117" s="7" t="b">
        <f t="shared" si="118"/>
        <v>1</v>
      </c>
      <c r="DM117" s="7" t="b">
        <f t="shared" si="119"/>
        <v>1</v>
      </c>
      <c r="DN117" s="7" t="b">
        <f t="shared" si="120"/>
        <v>1</v>
      </c>
      <c r="DO117" s="7" t="b">
        <f t="shared" si="121"/>
        <v>1</v>
      </c>
      <c r="DP117" s="7" t="b">
        <f t="shared" si="122"/>
        <v>1</v>
      </c>
      <c r="DQ117" s="7" t="b">
        <f t="shared" si="123"/>
        <v>1</v>
      </c>
      <c r="DR117" s="7" t="b">
        <f t="shared" si="124"/>
        <v>0</v>
      </c>
    </row>
    <row r="118" spans="1:125" s="7" customFormat="1" ht="74.099999999999994" customHeight="1">
      <c r="A118" s="75">
        <v>109</v>
      </c>
      <c r="B118" s="538" t="s">
        <v>579</v>
      </c>
      <c r="C118" s="639" t="s">
        <v>583</v>
      </c>
      <c r="D118" s="336" t="s">
        <v>584</v>
      </c>
      <c r="E118" s="370" t="s">
        <v>568</v>
      </c>
      <c r="F118" s="75">
        <v>1</v>
      </c>
      <c r="G118" s="75" t="s">
        <v>192</v>
      </c>
      <c r="H118" s="106" t="s">
        <v>380</v>
      </c>
      <c r="I118" s="107">
        <v>4100</v>
      </c>
      <c r="J118" s="96"/>
      <c r="K118" s="96">
        <f t="shared" si="105"/>
        <v>4100</v>
      </c>
      <c r="L118" s="96">
        <f t="shared" si="106"/>
        <v>4100</v>
      </c>
      <c r="M118" s="96">
        <f t="shared" si="107"/>
        <v>4100</v>
      </c>
      <c r="N118" s="108" t="s">
        <v>381</v>
      </c>
      <c r="O118" s="109">
        <v>4000</v>
      </c>
      <c r="P118" s="110"/>
      <c r="Q118" s="110">
        <f t="shared" si="108"/>
        <v>4000</v>
      </c>
      <c r="R118" s="110">
        <f t="shared" si="109"/>
        <v>4000</v>
      </c>
      <c r="S118" s="110">
        <f t="shared" si="110"/>
        <v>4000</v>
      </c>
      <c r="T118" s="97" t="s">
        <v>382</v>
      </c>
      <c r="U118" s="98">
        <v>3500</v>
      </c>
      <c r="V118" s="99"/>
      <c r="W118" s="99">
        <f t="shared" si="111"/>
        <v>3500</v>
      </c>
      <c r="X118" s="99">
        <f t="shared" si="112"/>
        <v>3500</v>
      </c>
      <c r="Y118" s="99">
        <f t="shared" si="113"/>
        <v>3500</v>
      </c>
      <c r="Z118" s="100">
        <f t="shared" si="125"/>
        <v>3866.6666666666665</v>
      </c>
      <c r="AA118" s="100">
        <f t="shared" si="114"/>
        <v>3866.6666666666665</v>
      </c>
      <c r="AB118" s="78">
        <f t="shared" si="126"/>
        <v>321.45502536643181</v>
      </c>
      <c r="AC118" s="102">
        <f t="shared" si="115"/>
        <v>8.3134920353387542E-2</v>
      </c>
      <c r="AD118" s="5"/>
      <c r="AE118" s="7" t="s">
        <v>1053</v>
      </c>
      <c r="AF118" s="7" t="str">
        <f>VLOOKUP(C118,Estudio_Mercado_Ori!$C$12:$AH$1115,32,0)</f>
        <v>5HUERTAS</v>
      </c>
      <c r="BG118" s="7">
        <v>123</v>
      </c>
      <c r="DA118" s="7" t="str">
        <f>VLOOKUP(C118,listaBolsa!$D$2:$BA$1248,1,0)</f>
        <v>Semilla de Apio</v>
      </c>
      <c r="DB118" s="7">
        <f>VLOOKUP(C118,listaBolsa!$D$2:$BA$1248,2,0)</f>
        <v>0</v>
      </c>
      <c r="DC118" s="7" t="str">
        <f>VLOOKUP(C118,listaBolsa!$D$2:$BA$1248,10,0)</f>
        <v xml:space="preserve">JUNTOS DE LA MANO </v>
      </c>
      <c r="DD118" s="7">
        <f>VLOOKUP(C118,listaBolsa!$D$2:$BA$1248,14,0)</f>
        <v>4100</v>
      </c>
      <c r="DE118" s="7" t="str">
        <f>VLOOKUP(C118,listaBolsa!$D$2:$BA$1248,23,0)</f>
        <v>MYCBDE</v>
      </c>
      <c r="DF118" s="7">
        <f>VLOOKUP(C118,listaBolsa!$D$2:$BA$1248,29,0)</f>
        <v>4000</v>
      </c>
      <c r="DG118" s="7" t="str">
        <f>VLOOKUP(C118,listaBolsa!$D$2:$BA$1248,36,0)</f>
        <v>DAGROW</v>
      </c>
      <c r="DH118" s="7">
        <f>VLOOKUP(C118,listaBolsa!$D$2:$BA$1248,40,0)</f>
        <v>3500</v>
      </c>
      <c r="DI118" s="253">
        <f>VLOOKUP(C118,listaBolsa!$D$2:$BA$1248,48,0)</f>
        <v>8.3099999999999993E-2</v>
      </c>
      <c r="DJ118" s="7" t="b">
        <f t="shared" si="116"/>
        <v>1</v>
      </c>
      <c r="DK118" s="7" t="b">
        <f t="shared" si="117"/>
        <v>0</v>
      </c>
      <c r="DL118" s="7" t="b">
        <f t="shared" si="118"/>
        <v>1</v>
      </c>
      <c r="DM118" s="7" t="b">
        <f t="shared" si="119"/>
        <v>1</v>
      </c>
      <c r="DN118" s="7" t="b">
        <f t="shared" si="120"/>
        <v>1</v>
      </c>
      <c r="DO118" s="7" t="b">
        <f t="shared" si="121"/>
        <v>1</v>
      </c>
      <c r="DP118" s="7" t="b">
        <f t="shared" si="122"/>
        <v>1</v>
      </c>
      <c r="DQ118" s="7" t="b">
        <f t="shared" si="123"/>
        <v>1</v>
      </c>
      <c r="DR118" s="7" t="b">
        <f t="shared" si="124"/>
        <v>0</v>
      </c>
    </row>
    <row r="119" spans="1:125" s="177" customFormat="1" ht="103.15" customHeight="1">
      <c r="A119" s="75">
        <v>110</v>
      </c>
      <c r="B119" s="538" t="s">
        <v>579</v>
      </c>
      <c r="C119" s="336" t="s">
        <v>586</v>
      </c>
      <c r="D119" s="336" t="s">
        <v>587</v>
      </c>
      <c r="E119" s="370" t="s">
        <v>568</v>
      </c>
      <c r="F119" s="75">
        <v>1</v>
      </c>
      <c r="G119" s="75" t="s">
        <v>192</v>
      </c>
      <c r="H119" s="106" t="s">
        <v>380</v>
      </c>
      <c r="I119" s="107">
        <v>3900</v>
      </c>
      <c r="J119" s="96"/>
      <c r="K119" s="96">
        <f t="shared" si="105"/>
        <v>3900</v>
      </c>
      <c r="L119" s="96">
        <f t="shared" si="106"/>
        <v>3900</v>
      </c>
      <c r="M119" s="96">
        <f t="shared" si="107"/>
        <v>3900</v>
      </c>
      <c r="N119" s="108" t="s">
        <v>381</v>
      </c>
      <c r="O119" s="109">
        <v>3800</v>
      </c>
      <c r="P119" s="110"/>
      <c r="Q119" s="110">
        <f t="shared" si="108"/>
        <v>3800</v>
      </c>
      <c r="R119" s="110">
        <f t="shared" si="109"/>
        <v>3800</v>
      </c>
      <c r="S119" s="110">
        <f t="shared" si="110"/>
        <v>3800</v>
      </c>
      <c r="T119" s="97" t="s">
        <v>382</v>
      </c>
      <c r="U119" s="98">
        <v>3500</v>
      </c>
      <c r="V119" s="99"/>
      <c r="W119" s="99">
        <f t="shared" si="111"/>
        <v>3500</v>
      </c>
      <c r="X119" s="99">
        <f t="shared" si="112"/>
        <v>3500</v>
      </c>
      <c r="Y119" s="99">
        <f t="shared" si="113"/>
        <v>3500</v>
      </c>
      <c r="Z119" s="100">
        <f t="shared" si="125"/>
        <v>3733.3333333333335</v>
      </c>
      <c r="AA119" s="100">
        <f t="shared" si="114"/>
        <v>3733.3333333333335</v>
      </c>
      <c r="AB119" s="78">
        <f t="shared" si="126"/>
        <v>208.16659994661327</v>
      </c>
      <c r="AC119" s="102">
        <f t="shared" si="115"/>
        <v>5.5758910699985696E-2</v>
      </c>
      <c r="AD119" s="5"/>
      <c r="AE119" s="7" t="s">
        <v>1053</v>
      </c>
      <c r="AF119" s="7" t="str">
        <f>VLOOKUP(C119,Estudio_Mercado_Ori!$C$12:$AH$1115,32,0)</f>
        <v>6HUERTAS</v>
      </c>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v>124</v>
      </c>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t="str">
        <f>VLOOKUP(C119,listaBolsa!$D$2:$BA$1248,1,0)</f>
        <v>Semilla de Tomate Cherry</v>
      </c>
      <c r="DB119" s="7">
        <f>VLOOKUP(C119,listaBolsa!$D$2:$BA$1248,2,0)</f>
        <v>0</v>
      </c>
      <c r="DC119" s="7" t="str">
        <f>VLOOKUP(C119,listaBolsa!$D$2:$BA$1248,10,0)</f>
        <v xml:space="preserve">JUNTOS DE LA MANO </v>
      </c>
      <c r="DD119" s="7">
        <f>VLOOKUP(C119,listaBolsa!$D$2:$BA$1248,14,0)</f>
        <v>3900</v>
      </c>
      <c r="DE119" s="7" t="str">
        <f>VLOOKUP(C119,listaBolsa!$D$2:$BA$1248,23,0)</f>
        <v>MYCBDE</v>
      </c>
      <c r="DF119" s="7">
        <f>VLOOKUP(C119,listaBolsa!$D$2:$BA$1248,29,0)</f>
        <v>3800</v>
      </c>
      <c r="DG119" s="7" t="str">
        <f>VLOOKUP(C119,listaBolsa!$D$2:$BA$1248,36,0)</f>
        <v>DAGROW</v>
      </c>
      <c r="DH119" s="7">
        <f>VLOOKUP(C119,listaBolsa!$D$2:$BA$1248,40,0)</f>
        <v>3500</v>
      </c>
      <c r="DI119" s="253">
        <f>VLOOKUP(C119,listaBolsa!$D$2:$BA$1248,48,0)</f>
        <v>5.5800000000000002E-2</v>
      </c>
      <c r="DJ119" s="7" t="b">
        <f t="shared" si="116"/>
        <v>1</v>
      </c>
      <c r="DK119" s="7" t="b">
        <f t="shared" si="117"/>
        <v>0</v>
      </c>
      <c r="DL119" s="7" t="b">
        <f t="shared" si="118"/>
        <v>1</v>
      </c>
      <c r="DM119" s="7" t="b">
        <f t="shared" si="119"/>
        <v>1</v>
      </c>
      <c r="DN119" s="7" t="b">
        <f t="shared" si="120"/>
        <v>1</v>
      </c>
      <c r="DO119" s="7" t="b">
        <f t="shared" si="121"/>
        <v>1</v>
      </c>
      <c r="DP119" s="7" t="b">
        <f t="shared" si="122"/>
        <v>1</v>
      </c>
      <c r="DQ119" s="7" t="b">
        <f t="shared" si="123"/>
        <v>1</v>
      </c>
      <c r="DR119" s="7" t="b">
        <f t="shared" si="124"/>
        <v>0</v>
      </c>
      <c r="DS119" s="7"/>
      <c r="DT119" s="7"/>
      <c r="DU119" s="7"/>
    </row>
    <row r="120" spans="1:125" s="7" customFormat="1" ht="348" customHeight="1">
      <c r="A120" s="75">
        <v>111</v>
      </c>
      <c r="B120" s="538" t="s">
        <v>579</v>
      </c>
      <c r="C120" s="336" t="s">
        <v>589</v>
      </c>
      <c r="D120" s="336" t="s">
        <v>581</v>
      </c>
      <c r="E120" s="370" t="s">
        <v>568</v>
      </c>
      <c r="F120" s="75">
        <v>1</v>
      </c>
      <c r="G120" s="75" t="s">
        <v>192</v>
      </c>
      <c r="H120" s="106" t="s">
        <v>380</v>
      </c>
      <c r="I120" s="107">
        <v>16000</v>
      </c>
      <c r="J120" s="96"/>
      <c r="K120" s="96">
        <f t="shared" si="105"/>
        <v>16000</v>
      </c>
      <c r="L120" s="96">
        <f t="shared" si="106"/>
        <v>16000</v>
      </c>
      <c r="M120" s="96">
        <f t="shared" si="107"/>
        <v>16000</v>
      </c>
      <c r="N120" s="108" t="s">
        <v>381</v>
      </c>
      <c r="O120" s="109">
        <v>15000</v>
      </c>
      <c r="P120" s="110"/>
      <c r="Q120" s="110">
        <f t="shared" si="108"/>
        <v>15000</v>
      </c>
      <c r="R120" s="110">
        <f t="shared" si="109"/>
        <v>15000</v>
      </c>
      <c r="S120" s="110">
        <f t="shared" si="110"/>
        <v>15000</v>
      </c>
      <c r="T120" s="97" t="s">
        <v>263</v>
      </c>
      <c r="U120" s="98">
        <v>10504.20168067227</v>
      </c>
      <c r="V120" s="99">
        <f>U120*19%</f>
        <v>1995.7983193277312</v>
      </c>
      <c r="W120" s="99">
        <f t="shared" si="111"/>
        <v>12500</v>
      </c>
      <c r="X120" s="99">
        <f t="shared" si="112"/>
        <v>10504.20168067227</v>
      </c>
      <c r="Y120" s="99">
        <f t="shared" si="113"/>
        <v>12500</v>
      </c>
      <c r="Z120" s="100">
        <f t="shared" si="125"/>
        <v>14500</v>
      </c>
      <c r="AA120" s="100">
        <f t="shared" si="114"/>
        <v>14500</v>
      </c>
      <c r="AB120" s="78">
        <f t="shared" si="126"/>
        <v>1802.7756377319947</v>
      </c>
      <c r="AC120" s="102">
        <f t="shared" si="115"/>
        <v>0.12432935432634447</v>
      </c>
      <c r="AD120" s="5"/>
      <c r="AE120" s="7" t="s">
        <v>1053</v>
      </c>
      <c r="AF120" s="7" t="str">
        <f>VLOOKUP(C120,Estudio_Mercado_Ori!$C$12:$AH$1115,32,0)</f>
        <v>7HUERTAS</v>
      </c>
      <c r="BG120" s="7">
        <v>125</v>
      </c>
      <c r="DA120" s="7" t="str">
        <f>VLOOKUP(C120,listaBolsa!$D$2:$BA$1248,1,0)</f>
        <v>Semilla Guascas</v>
      </c>
      <c r="DB120" s="7">
        <f>VLOOKUP(C120,listaBolsa!$D$2:$BA$1248,2,0)</f>
        <v>0</v>
      </c>
      <c r="DC120" s="7" t="str">
        <f>VLOOKUP(C120,listaBolsa!$D$2:$BA$1248,10,0)</f>
        <v xml:space="preserve">JUNTOS DE LA MANO </v>
      </c>
      <c r="DD120" s="7">
        <f>VLOOKUP(C120,listaBolsa!$D$2:$BA$1248,14,0)</f>
        <v>16000</v>
      </c>
      <c r="DE120" s="7" t="str">
        <f>VLOOKUP(C120,listaBolsa!$D$2:$BA$1248,23,0)</f>
        <v>MYCBDE</v>
      </c>
      <c r="DF120" s="7">
        <f>VLOOKUP(C120,listaBolsa!$D$2:$BA$1248,29,0)</f>
        <v>15000</v>
      </c>
      <c r="DG120" s="7" t="str">
        <f>VLOOKUP(C120,listaBolsa!$D$2:$BA$1248,36,0)</f>
        <v>HOMCENTER</v>
      </c>
      <c r="DH120" s="7">
        <f>VLOOKUP(C120,listaBolsa!$D$2:$BA$1248,40,0)</f>
        <v>10504.2</v>
      </c>
      <c r="DI120" s="253">
        <f>VLOOKUP(C120,listaBolsa!$D$2:$BA$1248,48,0)</f>
        <v>0.12429999999999999</v>
      </c>
      <c r="DJ120" s="7" t="b">
        <f t="shared" si="116"/>
        <v>1</v>
      </c>
      <c r="DK120" s="7" t="b">
        <f t="shared" si="117"/>
        <v>0</v>
      </c>
      <c r="DL120" s="7" t="b">
        <f t="shared" si="118"/>
        <v>1</v>
      </c>
      <c r="DM120" s="7" t="b">
        <f t="shared" si="119"/>
        <v>1</v>
      </c>
      <c r="DN120" s="7" t="b">
        <f t="shared" si="120"/>
        <v>1</v>
      </c>
      <c r="DO120" s="7" t="b">
        <f t="shared" si="121"/>
        <v>1</v>
      </c>
      <c r="DP120" s="7" t="b">
        <f t="shared" si="122"/>
        <v>1</v>
      </c>
      <c r="DQ120" s="7" t="b">
        <f t="shared" si="123"/>
        <v>0</v>
      </c>
      <c r="DR120" s="7" t="b">
        <f t="shared" si="124"/>
        <v>0</v>
      </c>
    </row>
    <row r="121" spans="1:125" s="7" customFormat="1" ht="105" customHeight="1">
      <c r="A121" s="75">
        <v>112</v>
      </c>
      <c r="B121" s="538" t="s">
        <v>579</v>
      </c>
      <c r="C121" s="351" t="s">
        <v>591</v>
      </c>
      <c r="D121" s="351" t="s">
        <v>592</v>
      </c>
      <c r="E121" s="193" t="s">
        <v>568</v>
      </c>
      <c r="F121" s="75">
        <v>1</v>
      </c>
      <c r="G121" s="75" t="s">
        <v>192</v>
      </c>
      <c r="H121" s="106" t="s">
        <v>380</v>
      </c>
      <c r="I121" s="107">
        <v>3700</v>
      </c>
      <c r="J121" s="96"/>
      <c r="K121" s="96">
        <f t="shared" si="105"/>
        <v>3700</v>
      </c>
      <c r="L121" s="96">
        <f t="shared" si="106"/>
        <v>3700</v>
      </c>
      <c r="M121" s="96">
        <f t="shared" si="107"/>
        <v>3700</v>
      </c>
      <c r="N121" s="108" t="s">
        <v>381</v>
      </c>
      <c r="O121" s="109">
        <v>3800</v>
      </c>
      <c r="P121" s="110"/>
      <c r="Q121" s="110">
        <f t="shared" si="108"/>
        <v>3800</v>
      </c>
      <c r="R121" s="110">
        <f t="shared" si="109"/>
        <v>3800</v>
      </c>
      <c r="S121" s="110">
        <f t="shared" si="110"/>
        <v>3800</v>
      </c>
      <c r="T121" s="97" t="s">
        <v>382</v>
      </c>
      <c r="U121" s="98">
        <v>3500</v>
      </c>
      <c r="V121" s="99"/>
      <c r="W121" s="99">
        <f t="shared" si="111"/>
        <v>3500</v>
      </c>
      <c r="X121" s="99">
        <f t="shared" si="112"/>
        <v>3500</v>
      </c>
      <c r="Y121" s="99">
        <f t="shared" si="113"/>
        <v>3500</v>
      </c>
      <c r="Z121" s="100">
        <f t="shared" si="125"/>
        <v>3666.6666666666665</v>
      </c>
      <c r="AA121" s="100">
        <f t="shared" si="114"/>
        <v>3666.6666666666665</v>
      </c>
      <c r="AB121" s="78">
        <f t="shared" si="126"/>
        <v>152.75252316519467</v>
      </c>
      <c r="AC121" s="102">
        <f t="shared" si="115"/>
        <v>4.1659779045053094E-2</v>
      </c>
      <c r="AD121" s="5"/>
      <c r="AE121" s="7" t="s">
        <v>1053</v>
      </c>
      <c r="AF121" s="7" t="str">
        <f>VLOOKUP(C121,Estudio_Mercado_Ori!$C$12:$AH$1115,32,0)</f>
        <v>8HUERTAS</v>
      </c>
      <c r="BG121" s="7">
        <v>126</v>
      </c>
      <c r="DA121" s="7" t="str">
        <f>VLOOKUP(C121,listaBolsa!$D$2:$BA$1248,1,0)</f>
        <v>Semilla de Kale</v>
      </c>
      <c r="DB121" s="7">
        <f>VLOOKUP(C121,listaBolsa!$D$2:$BA$1248,2,0)</f>
        <v>0</v>
      </c>
      <c r="DC121" s="7" t="str">
        <f>VLOOKUP(C121,listaBolsa!$D$2:$BA$1248,10,0)</f>
        <v xml:space="preserve">JUNTOS DE LA MANO </v>
      </c>
      <c r="DD121" s="7">
        <f>VLOOKUP(C121,listaBolsa!$D$2:$BA$1248,14,0)</f>
        <v>3700</v>
      </c>
      <c r="DE121" s="7" t="str">
        <f>VLOOKUP(C121,listaBolsa!$D$2:$BA$1248,23,0)</f>
        <v>MYCBDE</v>
      </c>
      <c r="DF121" s="7">
        <f>VLOOKUP(C121,listaBolsa!$D$2:$BA$1248,29,0)</f>
        <v>3800</v>
      </c>
      <c r="DG121" s="7" t="str">
        <f>VLOOKUP(C121,listaBolsa!$D$2:$BA$1248,36,0)</f>
        <v>DAGROW</v>
      </c>
      <c r="DH121" s="7">
        <f>VLOOKUP(C121,listaBolsa!$D$2:$BA$1248,40,0)</f>
        <v>3500</v>
      </c>
      <c r="DI121" s="253">
        <f>VLOOKUP(C121,listaBolsa!$D$2:$BA$1248,48,0)</f>
        <v>4.1700000000000001E-2</v>
      </c>
      <c r="DJ121" s="7" t="b">
        <f t="shared" si="116"/>
        <v>1</v>
      </c>
      <c r="DK121" s="7" t="b">
        <f t="shared" si="117"/>
        <v>0</v>
      </c>
      <c r="DL121" s="7" t="b">
        <f t="shared" si="118"/>
        <v>1</v>
      </c>
      <c r="DM121" s="7" t="b">
        <f t="shared" si="119"/>
        <v>1</v>
      </c>
      <c r="DN121" s="7" t="b">
        <f t="shared" si="120"/>
        <v>1</v>
      </c>
      <c r="DO121" s="7" t="b">
        <f t="shared" si="121"/>
        <v>1</v>
      </c>
      <c r="DP121" s="7" t="b">
        <f t="shared" si="122"/>
        <v>1</v>
      </c>
      <c r="DQ121" s="7" t="b">
        <f t="shared" si="123"/>
        <v>1</v>
      </c>
      <c r="DR121" s="7" t="b">
        <f t="shared" si="124"/>
        <v>0</v>
      </c>
    </row>
    <row r="122" spans="1:125" s="7" customFormat="1" ht="105" customHeight="1">
      <c r="A122" s="75">
        <v>113</v>
      </c>
      <c r="B122" s="538" t="s">
        <v>579</v>
      </c>
      <c r="C122" s="351" t="s">
        <v>594</v>
      </c>
      <c r="D122" s="351" t="s">
        <v>595</v>
      </c>
      <c r="E122" s="193" t="s">
        <v>568</v>
      </c>
      <c r="F122" s="75">
        <v>1</v>
      </c>
      <c r="G122" s="75" t="s">
        <v>192</v>
      </c>
      <c r="H122" s="106" t="s">
        <v>380</v>
      </c>
      <c r="I122" s="107">
        <v>4100</v>
      </c>
      <c r="J122" s="96"/>
      <c r="K122" s="96">
        <f t="shared" si="105"/>
        <v>4100</v>
      </c>
      <c r="L122" s="96">
        <f t="shared" si="106"/>
        <v>4100</v>
      </c>
      <c r="M122" s="96">
        <f t="shared" si="107"/>
        <v>4100</v>
      </c>
      <c r="N122" s="108" t="s">
        <v>381</v>
      </c>
      <c r="O122" s="109">
        <v>4200</v>
      </c>
      <c r="P122" s="110"/>
      <c r="Q122" s="110">
        <f t="shared" si="108"/>
        <v>4200</v>
      </c>
      <c r="R122" s="110">
        <f t="shared" si="109"/>
        <v>4200</v>
      </c>
      <c r="S122" s="110">
        <f t="shared" si="110"/>
        <v>4200</v>
      </c>
      <c r="T122" s="97" t="s">
        <v>382</v>
      </c>
      <c r="U122" s="98">
        <v>4000</v>
      </c>
      <c r="V122" s="99"/>
      <c r="W122" s="99">
        <f t="shared" si="111"/>
        <v>4000</v>
      </c>
      <c r="X122" s="99">
        <f t="shared" si="112"/>
        <v>4000</v>
      </c>
      <c r="Y122" s="99">
        <f t="shared" si="113"/>
        <v>4000</v>
      </c>
      <c r="Z122" s="100">
        <f t="shared" si="125"/>
        <v>4100</v>
      </c>
      <c r="AA122" s="100">
        <f t="shared" si="114"/>
        <v>4100</v>
      </c>
      <c r="AB122" s="78">
        <f t="shared" si="126"/>
        <v>100</v>
      </c>
      <c r="AC122" s="102">
        <f t="shared" si="115"/>
        <v>2.4390243902439025E-2</v>
      </c>
      <c r="AD122" s="5"/>
      <c r="AE122" s="7" t="s">
        <v>1053</v>
      </c>
      <c r="AF122" s="7" t="str">
        <f>VLOOKUP(C122,Estudio_Mercado_Ori!$C$12:$AH$1115,32,0)</f>
        <v>9HUERTAS</v>
      </c>
      <c r="BG122" s="7">
        <v>127</v>
      </c>
      <c r="DA122" s="7" t="str">
        <f>VLOOKUP(C122,listaBolsa!$D$2:$BA$1248,1,0)</f>
        <v>Semilla de Albahaca Morada</v>
      </c>
      <c r="DB122" s="7">
        <f>VLOOKUP(C122,listaBolsa!$D$2:$BA$1248,2,0)</f>
        <v>0</v>
      </c>
      <c r="DC122" s="7" t="str">
        <f>VLOOKUP(C122,listaBolsa!$D$2:$BA$1248,10,0)</f>
        <v xml:space="preserve">JUNTOS DE LA MANO </v>
      </c>
      <c r="DD122" s="7">
        <f>VLOOKUP(C122,listaBolsa!$D$2:$BA$1248,14,0)</f>
        <v>4100</v>
      </c>
      <c r="DE122" s="7" t="str">
        <f>VLOOKUP(C122,listaBolsa!$D$2:$BA$1248,23,0)</f>
        <v>MYCBDE</v>
      </c>
      <c r="DF122" s="7">
        <f>VLOOKUP(C122,listaBolsa!$D$2:$BA$1248,29,0)</f>
        <v>4200</v>
      </c>
      <c r="DG122" s="7" t="str">
        <f>VLOOKUP(C122,listaBolsa!$D$2:$BA$1248,36,0)</f>
        <v>DAGROW</v>
      </c>
      <c r="DH122" s="7">
        <f>VLOOKUP(C122,listaBolsa!$D$2:$BA$1248,40,0)</f>
        <v>4000</v>
      </c>
      <c r="DI122" s="253">
        <f>VLOOKUP(C122,listaBolsa!$D$2:$BA$1248,48,0)</f>
        <v>2.4400000000000002E-2</v>
      </c>
      <c r="DJ122" s="7" t="b">
        <f t="shared" si="116"/>
        <v>1</v>
      </c>
      <c r="DK122" s="7" t="b">
        <f t="shared" si="117"/>
        <v>0</v>
      </c>
      <c r="DL122" s="7" t="b">
        <f t="shared" si="118"/>
        <v>1</v>
      </c>
      <c r="DM122" s="7" t="b">
        <f t="shared" si="119"/>
        <v>1</v>
      </c>
      <c r="DN122" s="7" t="b">
        <f t="shared" si="120"/>
        <v>1</v>
      </c>
      <c r="DO122" s="7" t="b">
        <f t="shared" si="121"/>
        <v>1</v>
      </c>
      <c r="DP122" s="7" t="b">
        <f t="shared" si="122"/>
        <v>1</v>
      </c>
      <c r="DQ122" s="7" t="b">
        <f t="shared" si="123"/>
        <v>1</v>
      </c>
      <c r="DR122" s="7" t="b">
        <f t="shared" si="124"/>
        <v>0</v>
      </c>
    </row>
    <row r="123" spans="1:125" s="7" customFormat="1" ht="84" customHeight="1">
      <c r="A123" s="75">
        <v>114</v>
      </c>
      <c r="B123" s="538" t="s">
        <v>579</v>
      </c>
      <c r="C123" s="351" t="s">
        <v>597</v>
      </c>
      <c r="D123" s="351" t="s">
        <v>598</v>
      </c>
      <c r="E123" s="193" t="s">
        <v>568</v>
      </c>
      <c r="F123" s="75">
        <v>1</v>
      </c>
      <c r="G123" s="75" t="s">
        <v>192</v>
      </c>
      <c r="H123" s="106" t="s">
        <v>380</v>
      </c>
      <c r="I123" s="107">
        <v>15500</v>
      </c>
      <c r="J123" s="96"/>
      <c r="K123" s="96">
        <f t="shared" si="105"/>
        <v>15500</v>
      </c>
      <c r="L123" s="96">
        <f t="shared" si="106"/>
        <v>15500</v>
      </c>
      <c r="M123" s="96">
        <f t="shared" si="107"/>
        <v>15500</v>
      </c>
      <c r="N123" s="108" t="s">
        <v>381</v>
      </c>
      <c r="O123" s="109">
        <v>14000</v>
      </c>
      <c r="P123" s="110"/>
      <c r="Q123" s="110">
        <f t="shared" si="108"/>
        <v>14000</v>
      </c>
      <c r="R123" s="110">
        <f t="shared" si="109"/>
        <v>14000</v>
      </c>
      <c r="S123" s="110">
        <f t="shared" si="110"/>
        <v>14000</v>
      </c>
      <c r="T123" s="97" t="s">
        <v>599</v>
      </c>
      <c r="U123" s="98">
        <v>16806.722689075632</v>
      </c>
      <c r="V123" s="99">
        <f>U123*19%</f>
        <v>3193.2773109243699</v>
      </c>
      <c r="W123" s="99">
        <f t="shared" si="111"/>
        <v>20000</v>
      </c>
      <c r="X123" s="99">
        <f t="shared" si="112"/>
        <v>16806.722689075632</v>
      </c>
      <c r="Y123" s="99">
        <f t="shared" si="113"/>
        <v>20000</v>
      </c>
      <c r="Z123" s="100">
        <f t="shared" si="125"/>
        <v>16500</v>
      </c>
      <c r="AA123" s="100">
        <f t="shared" si="114"/>
        <v>16500</v>
      </c>
      <c r="AB123" s="78">
        <f t="shared" si="126"/>
        <v>3122.4989991991993</v>
      </c>
      <c r="AC123" s="102">
        <f t="shared" si="115"/>
        <v>0.18924236358783025</v>
      </c>
      <c r="AD123" s="5"/>
      <c r="AE123" s="7" t="s">
        <v>1053</v>
      </c>
      <c r="AF123" s="7" t="str">
        <f>VLOOKUP(C123,Estudio_Mercado_Ori!$C$12:$AH$1115,32,0)</f>
        <v>10HUERTAS</v>
      </c>
      <c r="BG123" s="7">
        <v>128</v>
      </c>
      <c r="DA123" s="7" t="str">
        <f>VLOOKUP(C123,listaBolsa!$D$2:$BA$1248,1,0)</f>
        <v>Semilla de Alverja (Pisum sativum)</v>
      </c>
      <c r="DB123" s="7">
        <f>VLOOKUP(C123,listaBolsa!$D$2:$BA$1248,2,0)</f>
        <v>0</v>
      </c>
      <c r="DC123" s="7" t="str">
        <f>VLOOKUP(C123,listaBolsa!$D$2:$BA$1248,10,0)</f>
        <v xml:space="preserve">JUNTOS DE LA MANO </v>
      </c>
      <c r="DD123" s="7">
        <f>VLOOKUP(C123,listaBolsa!$D$2:$BA$1248,14,0)</f>
        <v>15500</v>
      </c>
      <c r="DE123" s="7" t="str">
        <f>VLOOKUP(C123,listaBolsa!$D$2:$BA$1248,23,0)</f>
        <v>MYCBDE</v>
      </c>
      <c r="DF123" s="7">
        <f>VLOOKUP(C123,listaBolsa!$D$2:$BA$1248,29,0)</f>
        <v>14000</v>
      </c>
      <c r="DG123" s="7" t="str">
        <f>VLOOKUP(C123,listaBolsa!$D$2:$BA$1248,36,0)</f>
        <v>MARK</v>
      </c>
      <c r="DH123" s="7">
        <f>VLOOKUP(C123,listaBolsa!$D$2:$BA$1248,40,0)</f>
        <v>16806.72</v>
      </c>
      <c r="DI123" s="253">
        <f>VLOOKUP(C123,listaBolsa!$D$2:$BA$1248,48,0)</f>
        <v>0.18920000000000001</v>
      </c>
      <c r="DJ123" s="7" t="b">
        <f t="shared" si="116"/>
        <v>1</v>
      </c>
      <c r="DK123" s="7" t="b">
        <f t="shared" si="117"/>
        <v>0</v>
      </c>
      <c r="DL123" s="7" t="b">
        <f t="shared" si="118"/>
        <v>1</v>
      </c>
      <c r="DM123" s="7" t="b">
        <f t="shared" si="119"/>
        <v>1</v>
      </c>
      <c r="DN123" s="7" t="b">
        <f t="shared" si="120"/>
        <v>1</v>
      </c>
      <c r="DO123" s="7" t="b">
        <f t="shared" si="121"/>
        <v>1</v>
      </c>
      <c r="DP123" s="7" t="b">
        <f t="shared" si="122"/>
        <v>1</v>
      </c>
      <c r="DQ123" s="7" t="b">
        <f t="shared" si="123"/>
        <v>0</v>
      </c>
      <c r="DR123" s="7" t="b">
        <f t="shared" si="124"/>
        <v>0</v>
      </c>
    </row>
    <row r="124" spans="1:125" s="7" customFormat="1" ht="84" customHeight="1">
      <c r="A124" s="75">
        <v>115</v>
      </c>
      <c r="B124" s="538" t="s">
        <v>579</v>
      </c>
      <c r="C124" s="351" t="s">
        <v>601</v>
      </c>
      <c r="D124" s="351" t="s">
        <v>602</v>
      </c>
      <c r="E124" s="193" t="s">
        <v>568</v>
      </c>
      <c r="F124" s="75">
        <v>1</v>
      </c>
      <c r="G124" s="75" t="s">
        <v>192</v>
      </c>
      <c r="H124" s="106" t="s">
        <v>603</v>
      </c>
      <c r="I124" s="107">
        <v>1500</v>
      </c>
      <c r="J124" s="96"/>
      <c r="K124" s="96">
        <f t="shared" si="105"/>
        <v>1500</v>
      </c>
      <c r="L124" s="96">
        <f t="shared" si="106"/>
        <v>1500</v>
      </c>
      <c r="M124" s="96">
        <f t="shared" si="107"/>
        <v>1500</v>
      </c>
      <c r="N124" s="108" t="s">
        <v>604</v>
      </c>
      <c r="O124" s="109">
        <v>1200</v>
      </c>
      <c r="P124" s="110"/>
      <c r="Q124" s="110">
        <f t="shared" si="108"/>
        <v>1200</v>
      </c>
      <c r="R124" s="110">
        <f t="shared" si="109"/>
        <v>1200</v>
      </c>
      <c r="S124" s="110">
        <f t="shared" si="110"/>
        <v>1200</v>
      </c>
      <c r="T124" s="97" t="s">
        <v>605</v>
      </c>
      <c r="U124" s="98">
        <v>1800</v>
      </c>
      <c r="V124" s="99"/>
      <c r="W124" s="99">
        <f t="shared" si="111"/>
        <v>1800</v>
      </c>
      <c r="X124" s="99">
        <f t="shared" si="112"/>
        <v>1800</v>
      </c>
      <c r="Y124" s="99">
        <f t="shared" si="113"/>
        <v>1800</v>
      </c>
      <c r="Z124" s="100">
        <f t="shared" si="125"/>
        <v>1500</v>
      </c>
      <c r="AA124" s="100">
        <f t="shared" si="114"/>
        <v>1500</v>
      </c>
      <c r="AB124" s="78">
        <f t="shared" si="126"/>
        <v>300</v>
      </c>
      <c r="AC124" s="102">
        <f t="shared" si="115"/>
        <v>0.2</v>
      </c>
      <c r="AD124" s="5"/>
      <c r="AE124" s="7" t="s">
        <v>1070</v>
      </c>
      <c r="AF124" s="7" t="str">
        <f>VLOOKUP(C124,Estudio_Mercado_Ori!$C$12:$AH$1115,32,0)</f>
        <v>11HUERTAS</v>
      </c>
      <c r="BG124" s="7">
        <v>129</v>
      </c>
      <c r="DA124" s="7" t="str">
        <f>VLOOKUP(C124,listaBolsa!$D$2:$BA$1248,1,0)</f>
        <v>Plántula de brócoli</v>
      </c>
      <c r="DB124" s="7">
        <f>VLOOKUP(C124,listaBolsa!$D$2:$BA$1248,2,0)</f>
        <v>0</v>
      </c>
      <c r="DC124" s="7" t="str">
        <f>VLOOKUP(C124,listaBolsa!$D$2:$BA$1248,10,0)</f>
        <v>AGRIPLANT</v>
      </c>
      <c r="DD124" s="7">
        <f>VLOOKUP(C124,listaBolsa!$D$2:$BA$1248,14,0)</f>
        <v>1500</v>
      </c>
      <c r="DE124" s="7" t="str">
        <f>VLOOKUP(C124,listaBolsa!$D$2:$BA$1248,23,0)</f>
        <v>SEMBRAMOS VIVEROS ONLINE</v>
      </c>
      <c r="DF124" s="7">
        <f>VLOOKUP(C124,listaBolsa!$D$2:$BA$1248,29,0)</f>
        <v>1200</v>
      </c>
      <c r="DG124" s="7" t="str">
        <f>VLOOKUP(C124,listaBolsa!$D$2:$BA$1248,36,0)</f>
        <v>PAQUA</v>
      </c>
      <c r="DH124" s="7">
        <f>VLOOKUP(C124,listaBolsa!$D$2:$BA$1248,40,0)</f>
        <v>1800</v>
      </c>
      <c r="DI124" s="253">
        <f>VLOOKUP(C124,listaBolsa!$D$2:$BA$1248,48,0)</f>
        <v>0.2</v>
      </c>
      <c r="DJ124" s="7" t="b">
        <f t="shared" si="116"/>
        <v>1</v>
      </c>
      <c r="DK124" s="7" t="b">
        <f t="shared" si="117"/>
        <v>0</v>
      </c>
      <c r="DL124" s="7" t="b">
        <f t="shared" si="118"/>
        <v>1</v>
      </c>
      <c r="DM124" s="7" t="b">
        <f t="shared" si="119"/>
        <v>1</v>
      </c>
      <c r="DN124" s="7" t="b">
        <f t="shared" si="120"/>
        <v>1</v>
      </c>
      <c r="DO124" s="7" t="b">
        <f t="shared" si="121"/>
        <v>1</v>
      </c>
      <c r="DP124" s="7" t="b">
        <f t="shared" si="122"/>
        <v>1</v>
      </c>
      <c r="DQ124" s="7" t="b">
        <f t="shared" si="123"/>
        <v>1</v>
      </c>
      <c r="DR124" s="7" t="b">
        <f t="shared" si="124"/>
        <v>1</v>
      </c>
    </row>
    <row r="125" spans="1:125" s="7" customFormat="1" ht="84" customHeight="1">
      <c r="A125" s="75">
        <v>116</v>
      </c>
      <c r="B125" s="538" t="s">
        <v>579</v>
      </c>
      <c r="C125" s="351" t="s">
        <v>607</v>
      </c>
      <c r="D125" s="351" t="s">
        <v>602</v>
      </c>
      <c r="E125" s="193" t="s">
        <v>568</v>
      </c>
      <c r="F125" s="75">
        <v>1</v>
      </c>
      <c r="G125" s="75" t="s">
        <v>192</v>
      </c>
      <c r="H125" s="106" t="s">
        <v>380</v>
      </c>
      <c r="I125" s="107">
        <v>220</v>
      </c>
      <c r="J125" s="96"/>
      <c r="K125" s="96">
        <f t="shared" si="105"/>
        <v>220</v>
      </c>
      <c r="L125" s="96">
        <f t="shared" si="106"/>
        <v>220</v>
      </c>
      <c r="M125" s="96">
        <f t="shared" si="107"/>
        <v>220</v>
      </c>
      <c r="N125" s="108" t="s">
        <v>381</v>
      </c>
      <c r="O125" s="109">
        <v>200</v>
      </c>
      <c r="P125" s="110"/>
      <c r="Q125" s="110">
        <f t="shared" si="108"/>
        <v>200</v>
      </c>
      <c r="R125" s="110">
        <f t="shared" si="109"/>
        <v>200</v>
      </c>
      <c r="S125" s="110">
        <f t="shared" si="110"/>
        <v>200</v>
      </c>
      <c r="T125" s="97" t="s">
        <v>382</v>
      </c>
      <c r="U125" s="98">
        <v>169</v>
      </c>
      <c r="V125" s="99"/>
      <c r="W125" s="99">
        <f t="shared" si="111"/>
        <v>169</v>
      </c>
      <c r="X125" s="99">
        <f t="shared" si="112"/>
        <v>169</v>
      </c>
      <c r="Y125" s="99">
        <f t="shared" si="113"/>
        <v>169</v>
      </c>
      <c r="Z125" s="100">
        <f t="shared" si="125"/>
        <v>196.33333333333334</v>
      </c>
      <c r="AA125" s="100">
        <f t="shared" si="114"/>
        <v>196.33333333333334</v>
      </c>
      <c r="AB125" s="78">
        <f t="shared" si="126"/>
        <v>25.696951829610761</v>
      </c>
      <c r="AC125" s="102">
        <f t="shared" si="115"/>
        <v>0.13088430473485957</v>
      </c>
      <c r="AD125" s="5"/>
      <c r="AE125" s="7" t="s">
        <v>1070</v>
      </c>
      <c r="AF125" s="7" t="str">
        <f>VLOOKUP(C125,Estudio_Mercado_Ori!$C$12:$AH$1115,32,0)</f>
        <v>12HUERTAS</v>
      </c>
      <c r="BG125" s="7">
        <v>1</v>
      </c>
      <c r="DA125" s="7" t="str">
        <f>VLOOKUP(C125,listaBolsa!$D$2:$BA$1248,1,0)</f>
        <v>Plántula de cebolla puerro</v>
      </c>
      <c r="DB125" s="7">
        <f>VLOOKUP(C125,listaBolsa!$D$2:$BA$1248,2,0)</f>
        <v>0</v>
      </c>
      <c r="DC125" s="7" t="str">
        <f>VLOOKUP(C125,listaBolsa!$D$2:$BA$1248,10,0)</f>
        <v xml:space="preserve">JUNTOS DE LA MANO </v>
      </c>
      <c r="DD125" s="7">
        <f>VLOOKUP(C125,listaBolsa!$D$2:$BA$1248,14,0)</f>
        <v>220</v>
      </c>
      <c r="DE125" s="7" t="str">
        <f>VLOOKUP(C125,listaBolsa!$D$2:$BA$1248,23,0)</f>
        <v>MYCBDE</v>
      </c>
      <c r="DF125" s="7">
        <f>VLOOKUP(C125,listaBolsa!$D$2:$BA$1248,29,0)</f>
        <v>200</v>
      </c>
      <c r="DG125" s="7" t="str">
        <f>VLOOKUP(C125,listaBolsa!$D$2:$BA$1248,36,0)</f>
        <v>DAGROW</v>
      </c>
      <c r="DH125" s="7">
        <f>VLOOKUP(C125,listaBolsa!$D$2:$BA$1248,40,0)</f>
        <v>169</v>
      </c>
      <c r="DI125" s="253">
        <f>VLOOKUP(C125,listaBolsa!$D$2:$BA$1248,48,0)</f>
        <v>0.13089999999999999</v>
      </c>
      <c r="DJ125" s="7" t="b">
        <f t="shared" si="116"/>
        <v>1</v>
      </c>
      <c r="DK125" s="7" t="b">
        <f t="shared" si="117"/>
        <v>0</v>
      </c>
      <c r="DL125" s="7" t="b">
        <f t="shared" si="118"/>
        <v>1</v>
      </c>
      <c r="DM125" s="7" t="b">
        <f t="shared" si="119"/>
        <v>1</v>
      </c>
      <c r="DN125" s="7" t="b">
        <f t="shared" si="120"/>
        <v>1</v>
      </c>
      <c r="DO125" s="7" t="b">
        <f t="shared" si="121"/>
        <v>1</v>
      </c>
      <c r="DP125" s="7" t="b">
        <f t="shared" si="122"/>
        <v>1</v>
      </c>
      <c r="DQ125" s="7" t="b">
        <f t="shared" si="123"/>
        <v>1</v>
      </c>
      <c r="DR125" s="7" t="b">
        <f t="shared" si="124"/>
        <v>0</v>
      </c>
    </row>
    <row r="126" spans="1:125" s="7" customFormat="1" ht="84" customHeight="1">
      <c r="A126" s="75">
        <v>117</v>
      </c>
      <c r="B126" s="538" t="s">
        <v>579</v>
      </c>
      <c r="C126" s="351" t="s">
        <v>609</v>
      </c>
      <c r="D126" s="351" t="s">
        <v>602</v>
      </c>
      <c r="E126" s="193" t="s">
        <v>568</v>
      </c>
      <c r="F126" s="75">
        <v>1</v>
      </c>
      <c r="G126" s="75" t="s">
        <v>192</v>
      </c>
      <c r="H126" s="106" t="s">
        <v>380</v>
      </c>
      <c r="I126" s="107">
        <v>220</v>
      </c>
      <c r="J126" s="96"/>
      <c r="K126" s="96">
        <f t="shared" si="105"/>
        <v>220</v>
      </c>
      <c r="L126" s="96">
        <f t="shared" si="106"/>
        <v>220</v>
      </c>
      <c r="M126" s="96">
        <f t="shared" si="107"/>
        <v>220</v>
      </c>
      <c r="N126" s="108" t="s">
        <v>381</v>
      </c>
      <c r="O126" s="109">
        <v>200</v>
      </c>
      <c r="P126" s="110"/>
      <c r="Q126" s="110">
        <f t="shared" si="108"/>
        <v>200</v>
      </c>
      <c r="R126" s="110">
        <f t="shared" si="109"/>
        <v>200</v>
      </c>
      <c r="S126" s="110">
        <f t="shared" si="110"/>
        <v>200</v>
      </c>
      <c r="T126" s="97" t="s">
        <v>610</v>
      </c>
      <c r="U126" s="98">
        <v>250</v>
      </c>
      <c r="V126" s="99"/>
      <c r="W126" s="99">
        <f t="shared" si="111"/>
        <v>250</v>
      </c>
      <c r="X126" s="99">
        <f t="shared" si="112"/>
        <v>250</v>
      </c>
      <c r="Y126" s="99">
        <f t="shared" si="113"/>
        <v>250</v>
      </c>
      <c r="Z126" s="100">
        <f t="shared" si="125"/>
        <v>223.33333333333334</v>
      </c>
      <c r="AA126" s="100">
        <f t="shared" si="114"/>
        <v>223.33333333333334</v>
      </c>
      <c r="AB126" s="78">
        <f t="shared" si="126"/>
        <v>25.166114784235834</v>
      </c>
      <c r="AC126" s="102">
        <f t="shared" si="115"/>
        <v>0.11268409604881716</v>
      </c>
      <c r="AD126" s="5"/>
      <c r="AE126" s="7" t="s">
        <v>1070</v>
      </c>
      <c r="AF126" s="7" t="str">
        <f>VLOOKUP(C126,Estudio_Mercado_Ori!$C$12:$AH$1115,32,0)</f>
        <v>13HUERTAS</v>
      </c>
      <c r="BG126" s="7">
        <v>2</v>
      </c>
      <c r="DA126" s="7" t="str">
        <f>VLOOKUP(C126,listaBolsa!$D$2:$BA$1248,1,0)</f>
        <v>Plántula de lechuga verde crespa</v>
      </c>
      <c r="DB126" s="7">
        <f>VLOOKUP(C126,listaBolsa!$D$2:$BA$1248,2,0)</f>
        <v>0</v>
      </c>
      <c r="DC126" s="7" t="str">
        <f>VLOOKUP(C126,listaBolsa!$D$2:$BA$1248,10,0)</f>
        <v xml:space="preserve">JUNTOS DE LA MANO </v>
      </c>
      <c r="DD126" s="7">
        <f>VLOOKUP(C126,listaBolsa!$D$2:$BA$1248,14,0)</f>
        <v>220</v>
      </c>
      <c r="DE126" s="7" t="str">
        <f>VLOOKUP(C126,listaBolsa!$D$2:$BA$1248,23,0)</f>
        <v>MYCBDE</v>
      </c>
      <c r="DF126" s="7">
        <f>VLOOKUP(C126,listaBolsa!$D$2:$BA$1248,29,0)</f>
        <v>200</v>
      </c>
      <c r="DG126" s="7" t="str">
        <f>VLOOKUP(C126,listaBolsa!$D$2:$BA$1248,36,0)</f>
        <v>FROM NATIVO</v>
      </c>
      <c r="DH126" s="7">
        <f>VLOOKUP(C126,listaBolsa!$D$2:$BA$1248,40,0)</f>
        <v>210.08</v>
      </c>
      <c r="DI126" s="253">
        <f>VLOOKUP(C126,listaBolsa!$D$2:$BA$1248,48,0)</f>
        <v>0.11269999999999999</v>
      </c>
      <c r="DJ126" s="7" t="b">
        <f t="shared" si="116"/>
        <v>1</v>
      </c>
      <c r="DK126" s="7" t="b">
        <f t="shared" si="117"/>
        <v>0</v>
      </c>
      <c r="DL126" s="7" t="b">
        <f t="shared" si="118"/>
        <v>1</v>
      </c>
      <c r="DM126" s="7" t="b">
        <f t="shared" si="119"/>
        <v>1</v>
      </c>
      <c r="DN126" s="7" t="b">
        <f t="shared" si="120"/>
        <v>1</v>
      </c>
      <c r="DO126" s="7" t="b">
        <f t="shared" si="121"/>
        <v>1</v>
      </c>
      <c r="DP126" s="7" t="b">
        <f t="shared" si="122"/>
        <v>1</v>
      </c>
      <c r="DQ126" s="7" t="b">
        <f t="shared" si="123"/>
        <v>0</v>
      </c>
      <c r="DR126" s="7" t="b">
        <f t="shared" si="124"/>
        <v>0</v>
      </c>
    </row>
    <row r="127" spans="1:125" s="7" customFormat="1" ht="84" customHeight="1">
      <c r="A127" s="75">
        <v>118</v>
      </c>
      <c r="B127" s="538" t="s">
        <v>579</v>
      </c>
      <c r="C127" s="351" t="s">
        <v>612</v>
      </c>
      <c r="D127" s="351" t="s">
        <v>602</v>
      </c>
      <c r="E127" s="193" t="s">
        <v>568</v>
      </c>
      <c r="F127" s="75">
        <v>1</v>
      </c>
      <c r="G127" s="75" t="s">
        <v>192</v>
      </c>
      <c r="H127" s="106" t="s">
        <v>380</v>
      </c>
      <c r="I127" s="107">
        <v>360</v>
      </c>
      <c r="J127" s="96"/>
      <c r="K127" s="96">
        <f t="shared" si="105"/>
        <v>360</v>
      </c>
      <c r="L127" s="96">
        <f t="shared" si="106"/>
        <v>360</v>
      </c>
      <c r="M127" s="96">
        <f t="shared" si="107"/>
        <v>360</v>
      </c>
      <c r="N127" s="108" t="s">
        <v>381</v>
      </c>
      <c r="O127" s="109">
        <v>380</v>
      </c>
      <c r="P127" s="110"/>
      <c r="Q127" s="110">
        <f t="shared" si="108"/>
        <v>380</v>
      </c>
      <c r="R127" s="110">
        <f t="shared" si="109"/>
        <v>380</v>
      </c>
      <c r="S127" s="110">
        <f t="shared" si="110"/>
        <v>380</v>
      </c>
      <c r="T127" s="97" t="s">
        <v>382</v>
      </c>
      <c r="U127" s="98">
        <v>350</v>
      </c>
      <c r="V127" s="99"/>
      <c r="W127" s="99">
        <f t="shared" si="111"/>
        <v>350</v>
      </c>
      <c r="X127" s="99">
        <f t="shared" si="112"/>
        <v>350</v>
      </c>
      <c r="Y127" s="99">
        <f t="shared" si="113"/>
        <v>350</v>
      </c>
      <c r="Z127" s="100">
        <f t="shared" si="125"/>
        <v>363.33333333333331</v>
      </c>
      <c r="AA127" s="100">
        <f t="shared" si="114"/>
        <v>363.33333333333331</v>
      </c>
      <c r="AB127" s="78">
        <f t="shared" si="126"/>
        <v>15.275252316519467</v>
      </c>
      <c r="AC127" s="102">
        <f t="shared" si="115"/>
        <v>4.2041978852805875E-2</v>
      </c>
      <c r="AD127" s="5"/>
      <c r="AE127" s="7" t="s">
        <v>1053</v>
      </c>
      <c r="AF127" s="7" t="str">
        <f>VLOOKUP(C127,Estudio_Mercado_Ori!$C$12:$AH$1115,32,0)</f>
        <v>14HUERTAS</v>
      </c>
      <c r="BG127" s="7">
        <v>3</v>
      </c>
      <c r="DA127" s="7" t="str">
        <f>VLOOKUP(C127,listaBolsa!$D$2:$BA$1248,1,0)</f>
        <v>plántula de menta</v>
      </c>
      <c r="DB127" s="7">
        <f>VLOOKUP(C127,listaBolsa!$D$2:$BA$1248,2,0)</f>
        <v>0</v>
      </c>
      <c r="DC127" s="7" t="str">
        <f>VLOOKUP(C127,listaBolsa!$D$2:$BA$1248,10,0)</f>
        <v xml:space="preserve">JUNTOS DE LA MANO </v>
      </c>
      <c r="DD127" s="7">
        <f>VLOOKUP(C127,listaBolsa!$D$2:$BA$1248,14,0)</f>
        <v>360</v>
      </c>
      <c r="DE127" s="7" t="str">
        <f>VLOOKUP(C127,listaBolsa!$D$2:$BA$1248,23,0)</f>
        <v>MYCBDE</v>
      </c>
      <c r="DF127" s="7">
        <f>VLOOKUP(C127,listaBolsa!$D$2:$BA$1248,29,0)</f>
        <v>380</v>
      </c>
      <c r="DG127" s="7" t="str">
        <f>VLOOKUP(C127,listaBolsa!$D$2:$BA$1248,36,0)</f>
        <v>DAGROW</v>
      </c>
      <c r="DH127" s="7">
        <f>VLOOKUP(C127,listaBolsa!$D$2:$BA$1248,40,0)</f>
        <v>350</v>
      </c>
      <c r="DI127" s="253">
        <f>VLOOKUP(C127,listaBolsa!$D$2:$BA$1248,48,0)</f>
        <v>4.2000000000000003E-2</v>
      </c>
      <c r="DJ127" s="7" t="b">
        <f t="shared" si="116"/>
        <v>1</v>
      </c>
      <c r="DK127" s="7" t="b">
        <f t="shared" si="117"/>
        <v>0</v>
      </c>
      <c r="DL127" s="7" t="b">
        <f t="shared" si="118"/>
        <v>1</v>
      </c>
      <c r="DM127" s="7" t="b">
        <f t="shared" si="119"/>
        <v>1</v>
      </c>
      <c r="DN127" s="7" t="b">
        <f t="shared" si="120"/>
        <v>1</v>
      </c>
      <c r="DO127" s="7" t="b">
        <f t="shared" si="121"/>
        <v>1</v>
      </c>
      <c r="DP127" s="7" t="b">
        <f t="shared" si="122"/>
        <v>1</v>
      </c>
      <c r="DQ127" s="7" t="b">
        <f t="shared" si="123"/>
        <v>1</v>
      </c>
      <c r="DR127" s="7" t="b">
        <f t="shared" si="124"/>
        <v>0</v>
      </c>
    </row>
    <row r="128" spans="1:125" s="7" customFormat="1" ht="84" customHeight="1">
      <c r="A128" s="75">
        <v>119</v>
      </c>
      <c r="B128" s="538" t="s">
        <v>579</v>
      </c>
      <c r="C128" s="351" t="s">
        <v>614</v>
      </c>
      <c r="D128" s="351" t="s">
        <v>602</v>
      </c>
      <c r="E128" s="193" t="s">
        <v>568</v>
      </c>
      <c r="F128" s="75">
        <v>1</v>
      </c>
      <c r="G128" s="75" t="s">
        <v>192</v>
      </c>
      <c r="H128" s="106" t="s">
        <v>380</v>
      </c>
      <c r="I128" s="107">
        <v>420</v>
      </c>
      <c r="J128" s="96"/>
      <c r="K128" s="96">
        <f t="shared" si="105"/>
        <v>420</v>
      </c>
      <c r="L128" s="96">
        <f t="shared" si="106"/>
        <v>420</v>
      </c>
      <c r="M128" s="96">
        <f t="shared" si="107"/>
        <v>420</v>
      </c>
      <c r="N128" s="108" t="s">
        <v>381</v>
      </c>
      <c r="O128" s="109">
        <v>400</v>
      </c>
      <c r="P128" s="110"/>
      <c r="Q128" s="110">
        <f t="shared" si="108"/>
        <v>400</v>
      </c>
      <c r="R128" s="110">
        <f t="shared" si="109"/>
        <v>400</v>
      </c>
      <c r="S128" s="110">
        <f t="shared" si="110"/>
        <v>400</v>
      </c>
      <c r="T128" s="97" t="s">
        <v>382</v>
      </c>
      <c r="U128" s="98">
        <v>350</v>
      </c>
      <c r="V128" s="99"/>
      <c r="W128" s="99">
        <f t="shared" si="111"/>
        <v>350</v>
      </c>
      <c r="X128" s="99">
        <f t="shared" si="112"/>
        <v>350</v>
      </c>
      <c r="Y128" s="99">
        <f t="shared" si="113"/>
        <v>350</v>
      </c>
      <c r="Z128" s="100">
        <f t="shared" si="125"/>
        <v>390</v>
      </c>
      <c r="AA128" s="100">
        <f t="shared" si="114"/>
        <v>390</v>
      </c>
      <c r="AB128" s="78">
        <f t="shared" si="126"/>
        <v>36.055512754639892</v>
      </c>
      <c r="AC128" s="102">
        <f t="shared" si="115"/>
        <v>9.2450032704204849E-2</v>
      </c>
      <c r="AD128" s="5"/>
      <c r="AE128" s="7" t="s">
        <v>1053</v>
      </c>
      <c r="AF128" s="7" t="str">
        <f>VLOOKUP(C128,Estudio_Mercado_Ori!$C$12:$AH$1115,32,0)</f>
        <v>15HUERTAS</v>
      </c>
      <c r="BG128" s="7">
        <v>4</v>
      </c>
      <c r="DA128" s="7" t="str">
        <f>VLOOKUP(C128,listaBolsa!$D$2:$BA$1248,1,0)</f>
        <v>plántula de caléndula</v>
      </c>
      <c r="DB128" s="7">
        <f>VLOOKUP(C128,listaBolsa!$D$2:$BA$1248,2,0)</f>
        <v>0</v>
      </c>
      <c r="DC128" s="7" t="str">
        <f>VLOOKUP(C128,listaBolsa!$D$2:$BA$1248,10,0)</f>
        <v xml:space="preserve">JUNTOS DE LA MANO </v>
      </c>
      <c r="DD128" s="7">
        <f>VLOOKUP(C128,listaBolsa!$D$2:$BA$1248,14,0)</f>
        <v>420</v>
      </c>
      <c r="DE128" s="7" t="str">
        <f>VLOOKUP(C128,listaBolsa!$D$2:$BA$1248,23,0)</f>
        <v>MYCBDE</v>
      </c>
      <c r="DF128" s="7">
        <f>VLOOKUP(C128,listaBolsa!$D$2:$BA$1248,29,0)</f>
        <v>400</v>
      </c>
      <c r="DG128" s="7" t="str">
        <f>VLOOKUP(C128,listaBolsa!$D$2:$BA$1248,36,0)</f>
        <v>DAGROW</v>
      </c>
      <c r="DH128" s="7">
        <f>VLOOKUP(C128,listaBolsa!$D$2:$BA$1248,40,0)</f>
        <v>350</v>
      </c>
      <c r="DI128" s="253">
        <f>VLOOKUP(C128,listaBolsa!$D$2:$BA$1248,48,0)</f>
        <v>9.2499999999999999E-2</v>
      </c>
      <c r="DJ128" s="7" t="b">
        <f t="shared" si="116"/>
        <v>1</v>
      </c>
      <c r="DK128" s="7" t="b">
        <f t="shared" si="117"/>
        <v>0</v>
      </c>
      <c r="DL128" s="7" t="b">
        <f t="shared" si="118"/>
        <v>1</v>
      </c>
      <c r="DM128" s="7" t="b">
        <f t="shared" si="119"/>
        <v>1</v>
      </c>
      <c r="DN128" s="7" t="b">
        <f t="shared" si="120"/>
        <v>1</v>
      </c>
      <c r="DO128" s="7" t="b">
        <f t="shared" si="121"/>
        <v>1</v>
      </c>
      <c r="DP128" s="7" t="b">
        <f t="shared" si="122"/>
        <v>1</v>
      </c>
      <c r="DQ128" s="7" t="b">
        <f t="shared" si="123"/>
        <v>1</v>
      </c>
      <c r="DR128" s="7" t="b">
        <f t="shared" si="124"/>
        <v>0</v>
      </c>
    </row>
    <row r="129" spans="1:122" s="7" customFormat="1" ht="84" customHeight="1">
      <c r="A129" s="75">
        <v>121</v>
      </c>
      <c r="B129" s="538" t="s">
        <v>579</v>
      </c>
      <c r="C129" s="351" t="s">
        <v>621</v>
      </c>
      <c r="D129" s="351" t="s">
        <v>622</v>
      </c>
      <c r="E129" s="193" t="s">
        <v>568</v>
      </c>
      <c r="F129" s="75">
        <v>1</v>
      </c>
      <c r="G129" s="75" t="s">
        <v>192</v>
      </c>
      <c r="H129" s="106" t="s">
        <v>603</v>
      </c>
      <c r="I129" s="107">
        <v>1500</v>
      </c>
      <c r="J129" s="96"/>
      <c r="K129" s="96">
        <f t="shared" si="105"/>
        <v>1500</v>
      </c>
      <c r="L129" s="96">
        <f t="shared" si="106"/>
        <v>1500</v>
      </c>
      <c r="M129" s="96">
        <f t="shared" si="107"/>
        <v>1500</v>
      </c>
      <c r="N129" s="108" t="s">
        <v>604</v>
      </c>
      <c r="O129" s="109">
        <v>1200</v>
      </c>
      <c r="P129" s="110"/>
      <c r="Q129" s="110">
        <f t="shared" si="108"/>
        <v>1200</v>
      </c>
      <c r="R129" s="110">
        <f t="shared" si="109"/>
        <v>1200</v>
      </c>
      <c r="S129" s="110">
        <f t="shared" si="110"/>
        <v>1200</v>
      </c>
      <c r="T129" s="97" t="s">
        <v>605</v>
      </c>
      <c r="U129" s="98">
        <v>1500</v>
      </c>
      <c r="V129" s="99"/>
      <c r="W129" s="99">
        <f t="shared" si="111"/>
        <v>1500</v>
      </c>
      <c r="X129" s="99">
        <f t="shared" si="112"/>
        <v>1500</v>
      </c>
      <c r="Y129" s="99">
        <f t="shared" si="113"/>
        <v>1500</v>
      </c>
      <c r="Z129" s="100">
        <f t="shared" si="125"/>
        <v>1400</v>
      </c>
      <c r="AA129" s="100">
        <f t="shared" si="114"/>
        <v>1400</v>
      </c>
      <c r="AB129" s="78">
        <f t="shared" si="126"/>
        <v>173.20508075688772</v>
      </c>
      <c r="AC129" s="102">
        <f t="shared" si="115"/>
        <v>0.12371791482634838</v>
      </c>
      <c r="AD129" s="5"/>
      <c r="AE129" s="7" t="s">
        <v>1053</v>
      </c>
      <c r="AF129" s="7" t="str">
        <f>VLOOKUP(C129,Estudio_Mercado_Ori!$C$12:$AH$1115,32,0)</f>
        <v>17HUERTAS</v>
      </c>
      <c r="BG129" s="7">
        <v>6</v>
      </c>
      <c r="DA129" s="7" t="str">
        <f>VLOOKUP(C129,listaBolsa!$D$2:$BA$1248,1,0)</f>
        <v>Plántula de Cilantro (Coriandrum sativum)</v>
      </c>
      <c r="DB129" s="7">
        <f>VLOOKUP(C129,listaBolsa!$D$2:$BA$1248,2,0)</f>
        <v>0</v>
      </c>
      <c r="DC129" s="7" t="str">
        <f>VLOOKUP(C129,listaBolsa!$D$2:$BA$1248,10,0)</f>
        <v>AGRIPLANT</v>
      </c>
      <c r="DD129" s="7">
        <f>VLOOKUP(C129,listaBolsa!$D$2:$BA$1248,14,0)</f>
        <v>1500</v>
      </c>
      <c r="DE129" s="7" t="str">
        <f>VLOOKUP(C129,listaBolsa!$D$2:$BA$1248,23,0)</f>
        <v>SEMBRAMOS VIVEROS ONLINE</v>
      </c>
      <c r="DF129" s="7">
        <f>VLOOKUP(C129,listaBolsa!$D$2:$BA$1248,29,0)</f>
        <v>1200</v>
      </c>
      <c r="DG129" s="7" t="str">
        <f>VLOOKUP(C129,listaBolsa!$D$2:$BA$1248,36,0)</f>
        <v>PAQUA</v>
      </c>
      <c r="DH129" s="7">
        <f>VLOOKUP(C129,listaBolsa!$D$2:$BA$1248,40,0)</f>
        <v>1500</v>
      </c>
      <c r="DI129" s="253">
        <f>VLOOKUP(C129,listaBolsa!$D$2:$BA$1248,48,0)</f>
        <v>0.1237</v>
      </c>
      <c r="DJ129" s="7" t="b">
        <f t="shared" si="116"/>
        <v>1</v>
      </c>
      <c r="DK129" s="7" t="b">
        <f t="shared" si="117"/>
        <v>0</v>
      </c>
      <c r="DL129" s="7" t="b">
        <f t="shared" si="118"/>
        <v>1</v>
      </c>
      <c r="DM129" s="7" t="b">
        <f t="shared" si="119"/>
        <v>1</v>
      </c>
      <c r="DN129" s="7" t="b">
        <f t="shared" si="120"/>
        <v>1</v>
      </c>
      <c r="DO129" s="7" t="b">
        <f t="shared" si="121"/>
        <v>1</v>
      </c>
      <c r="DP129" s="7" t="b">
        <f t="shared" si="122"/>
        <v>1</v>
      </c>
      <c r="DQ129" s="7" t="b">
        <f t="shared" si="123"/>
        <v>1</v>
      </c>
      <c r="DR129" s="7" t="b">
        <f t="shared" si="124"/>
        <v>0</v>
      </c>
    </row>
    <row r="130" spans="1:122" s="7" customFormat="1" ht="84" customHeight="1">
      <c r="A130" s="75">
        <v>122</v>
      </c>
      <c r="B130" s="538" t="s">
        <v>579</v>
      </c>
      <c r="C130" s="351" t="s">
        <v>624</v>
      </c>
      <c r="D130" s="351" t="s">
        <v>622</v>
      </c>
      <c r="E130" s="193" t="s">
        <v>568</v>
      </c>
      <c r="F130" s="75">
        <v>1</v>
      </c>
      <c r="G130" s="75" t="s">
        <v>192</v>
      </c>
      <c r="H130" s="106" t="s">
        <v>380</v>
      </c>
      <c r="I130" s="107">
        <v>290</v>
      </c>
      <c r="J130" s="96"/>
      <c r="K130" s="96">
        <f t="shared" si="105"/>
        <v>290</v>
      </c>
      <c r="L130" s="96">
        <f t="shared" si="106"/>
        <v>290</v>
      </c>
      <c r="M130" s="96">
        <f t="shared" si="107"/>
        <v>290</v>
      </c>
      <c r="N130" s="108" t="s">
        <v>381</v>
      </c>
      <c r="O130" s="109">
        <v>275</v>
      </c>
      <c r="P130" s="110"/>
      <c r="Q130" s="110">
        <f t="shared" si="108"/>
        <v>275</v>
      </c>
      <c r="R130" s="110">
        <f t="shared" si="109"/>
        <v>275</v>
      </c>
      <c r="S130" s="110">
        <f t="shared" si="110"/>
        <v>275</v>
      </c>
      <c r="T130" s="97" t="s">
        <v>610</v>
      </c>
      <c r="U130" s="98">
        <v>300</v>
      </c>
      <c r="V130" s="99"/>
      <c r="W130" s="99">
        <f t="shared" si="111"/>
        <v>300</v>
      </c>
      <c r="X130" s="99">
        <f t="shared" si="112"/>
        <v>300</v>
      </c>
      <c r="Y130" s="99">
        <f t="shared" si="113"/>
        <v>300</v>
      </c>
      <c r="Z130" s="100">
        <f t="shared" si="125"/>
        <v>288.33333333333331</v>
      </c>
      <c r="AA130" s="100">
        <f t="shared" si="114"/>
        <v>288.33333333333331</v>
      </c>
      <c r="AB130" s="78">
        <f t="shared" si="126"/>
        <v>12.583057392117915</v>
      </c>
      <c r="AC130" s="102">
        <f t="shared" si="115"/>
        <v>4.3640661475553469E-2</v>
      </c>
      <c r="AD130" s="5"/>
      <c r="AE130" s="7" t="s">
        <v>1082</v>
      </c>
      <c r="AF130" s="7" t="str">
        <f>VLOOKUP(C130,Estudio_Mercado_Ori!$C$12:$AH$1115,32,0)</f>
        <v>18HUERTAS</v>
      </c>
      <c r="BG130" s="7">
        <v>7</v>
      </c>
      <c r="DA130" s="7" t="str">
        <f>VLOOKUP(C130,listaBolsa!$D$2:$BA$1248,1,0)</f>
        <v>Plántula de Zanahoria (Daucus carota)</v>
      </c>
      <c r="DB130" s="7">
        <f>VLOOKUP(C130,listaBolsa!$D$2:$BA$1248,2,0)</f>
        <v>0</v>
      </c>
      <c r="DC130" s="7" t="str">
        <f>VLOOKUP(C130,listaBolsa!$D$2:$BA$1248,10,0)</f>
        <v xml:space="preserve">JUNTOS DE LA MANO </v>
      </c>
      <c r="DD130" s="7">
        <f>VLOOKUP(C130,listaBolsa!$D$2:$BA$1248,14,0)</f>
        <v>290</v>
      </c>
      <c r="DE130" s="7" t="str">
        <f>VLOOKUP(C130,listaBolsa!$D$2:$BA$1248,23,0)</f>
        <v>MYCBDE</v>
      </c>
      <c r="DF130" s="7">
        <f>VLOOKUP(C130,listaBolsa!$D$2:$BA$1248,29,0)</f>
        <v>275</v>
      </c>
      <c r="DG130" s="7" t="str">
        <f>VLOOKUP(C130,listaBolsa!$D$2:$BA$1248,36,0)</f>
        <v>FROM NATIVO</v>
      </c>
      <c r="DH130" s="7">
        <f>VLOOKUP(C130,listaBolsa!$D$2:$BA$1248,40,0)</f>
        <v>252.1</v>
      </c>
      <c r="DI130" s="253">
        <f>VLOOKUP(C130,listaBolsa!$D$2:$BA$1248,48,0)</f>
        <v>4.36E-2</v>
      </c>
      <c r="DJ130" s="7" t="b">
        <f t="shared" si="116"/>
        <v>1</v>
      </c>
      <c r="DK130" s="7" t="b">
        <f t="shared" si="117"/>
        <v>0</v>
      </c>
      <c r="DL130" s="7" t="b">
        <f t="shared" si="118"/>
        <v>1</v>
      </c>
      <c r="DM130" s="7" t="b">
        <f t="shared" si="119"/>
        <v>1</v>
      </c>
      <c r="DN130" s="7" t="b">
        <f t="shared" si="120"/>
        <v>1</v>
      </c>
      <c r="DO130" s="7" t="b">
        <f t="shared" si="121"/>
        <v>1</v>
      </c>
      <c r="DP130" s="7" t="b">
        <f t="shared" si="122"/>
        <v>1</v>
      </c>
      <c r="DQ130" s="7" t="b">
        <f t="shared" si="123"/>
        <v>0</v>
      </c>
      <c r="DR130" s="7" t="b">
        <f t="shared" si="124"/>
        <v>0</v>
      </c>
    </row>
    <row r="131" spans="1:122" s="7" customFormat="1" ht="79.5" customHeight="1">
      <c r="A131" s="75">
        <v>123</v>
      </c>
      <c r="B131" s="538" t="s">
        <v>579</v>
      </c>
      <c r="C131" s="351" t="s">
        <v>626</v>
      </c>
      <c r="D131" s="351" t="s">
        <v>622</v>
      </c>
      <c r="E131" s="193" t="s">
        <v>568</v>
      </c>
      <c r="F131" s="75">
        <v>1</v>
      </c>
      <c r="G131" s="75" t="s">
        <v>192</v>
      </c>
      <c r="H131" s="106" t="s">
        <v>380</v>
      </c>
      <c r="I131" s="107">
        <v>280</v>
      </c>
      <c r="J131" s="96"/>
      <c r="K131" s="96">
        <f t="shared" si="105"/>
        <v>280</v>
      </c>
      <c r="L131" s="96">
        <f t="shared" si="106"/>
        <v>280</v>
      </c>
      <c r="M131" s="96">
        <f t="shared" si="107"/>
        <v>280</v>
      </c>
      <c r="N131" s="108" t="s">
        <v>382</v>
      </c>
      <c r="O131" s="109">
        <v>216</v>
      </c>
      <c r="P131" s="110"/>
      <c r="Q131" s="110">
        <f t="shared" si="108"/>
        <v>216</v>
      </c>
      <c r="R131" s="110">
        <f t="shared" si="109"/>
        <v>216</v>
      </c>
      <c r="S131" s="110">
        <f t="shared" si="110"/>
        <v>216</v>
      </c>
      <c r="T131" s="97" t="s">
        <v>381</v>
      </c>
      <c r="U131" s="98">
        <v>250</v>
      </c>
      <c r="V131" s="99"/>
      <c r="W131" s="99">
        <f t="shared" si="111"/>
        <v>250</v>
      </c>
      <c r="X131" s="99">
        <f t="shared" si="112"/>
        <v>250</v>
      </c>
      <c r="Y131" s="99">
        <f t="shared" si="113"/>
        <v>250</v>
      </c>
      <c r="Z131" s="100">
        <f t="shared" si="125"/>
        <v>248.66666666666666</v>
      </c>
      <c r="AA131" s="100">
        <f t="shared" si="114"/>
        <v>248.66666666666666</v>
      </c>
      <c r="AB131" s="78">
        <f t="shared" si="126"/>
        <v>32.020826556060797</v>
      </c>
      <c r="AC131" s="102">
        <f t="shared" si="115"/>
        <v>0.12877007998415871</v>
      </c>
      <c r="AD131" s="5"/>
      <c r="AE131" s="7" t="s">
        <v>1053</v>
      </c>
      <c r="AF131" s="7" t="str">
        <f>VLOOKUP(C131,Estudio_Mercado_Ori!$C$12:$AH$1115,32,0)</f>
        <v>19HUERTAS</v>
      </c>
      <c r="BG131" s="7">
        <v>8</v>
      </c>
      <c r="DA131" s="7" t="str">
        <f>VLOOKUP(C131,listaBolsa!$D$2:$BA$1248,1,0)</f>
        <v>Plántula de Lechuga crespa morada (Lactuca sativa var. crispa)</v>
      </c>
      <c r="DB131" s="7">
        <f>VLOOKUP(C131,listaBolsa!$D$2:$BA$1248,2,0)</f>
        <v>0</v>
      </c>
      <c r="DC131" s="7" t="str">
        <f>VLOOKUP(C131,listaBolsa!$D$2:$BA$1248,10,0)</f>
        <v xml:space="preserve">JUNTOS DE LA MANO </v>
      </c>
      <c r="DD131" s="7">
        <f>VLOOKUP(C131,listaBolsa!$D$2:$BA$1248,14,0)</f>
        <v>280</v>
      </c>
      <c r="DE131" s="7" t="str">
        <f>VLOOKUP(C131,listaBolsa!$D$2:$BA$1248,23,0)</f>
        <v>DAGROW</v>
      </c>
      <c r="DF131" s="7">
        <f>VLOOKUP(C131,listaBolsa!$D$2:$BA$1248,29,0)</f>
        <v>216</v>
      </c>
      <c r="DG131" s="7" t="str">
        <f>VLOOKUP(C131,listaBolsa!$D$2:$BA$1248,36,0)</f>
        <v>MYCBDE</v>
      </c>
      <c r="DH131" s="7">
        <f>VLOOKUP(C131,listaBolsa!$D$2:$BA$1248,40,0)</f>
        <v>250</v>
      </c>
      <c r="DI131" s="253">
        <f>VLOOKUP(C131,listaBolsa!$D$2:$BA$1248,48,0)</f>
        <v>0.1288</v>
      </c>
      <c r="DJ131" s="7" t="b">
        <f t="shared" si="116"/>
        <v>1</v>
      </c>
      <c r="DK131" s="7" t="b">
        <f t="shared" si="117"/>
        <v>0</v>
      </c>
      <c r="DL131" s="7" t="b">
        <f t="shared" si="118"/>
        <v>1</v>
      </c>
      <c r="DM131" s="7" t="b">
        <f t="shared" si="119"/>
        <v>1</v>
      </c>
      <c r="DN131" s="7" t="b">
        <f t="shared" si="120"/>
        <v>1</v>
      </c>
      <c r="DO131" s="7" t="b">
        <f t="shared" si="121"/>
        <v>1</v>
      </c>
      <c r="DP131" s="7" t="b">
        <f t="shared" si="122"/>
        <v>1</v>
      </c>
      <c r="DQ131" s="7" t="b">
        <f t="shared" si="123"/>
        <v>1</v>
      </c>
      <c r="DR131" s="7" t="b">
        <f t="shared" si="124"/>
        <v>0</v>
      </c>
    </row>
    <row r="132" spans="1:122" s="7" customFormat="1" ht="79.5" customHeight="1">
      <c r="A132" s="75">
        <v>124</v>
      </c>
      <c r="B132" s="538" t="s">
        <v>579</v>
      </c>
      <c r="C132" s="351" t="s">
        <v>628</v>
      </c>
      <c r="D132" s="351" t="s">
        <v>622</v>
      </c>
      <c r="E132" s="193" t="s">
        <v>568</v>
      </c>
      <c r="F132" s="75">
        <v>1</v>
      </c>
      <c r="G132" s="75" t="s">
        <v>192</v>
      </c>
      <c r="H132" s="106" t="s">
        <v>380</v>
      </c>
      <c r="I132" s="107">
        <v>320</v>
      </c>
      <c r="J132" s="96"/>
      <c r="K132" s="96">
        <f t="shared" si="105"/>
        <v>320</v>
      </c>
      <c r="L132" s="96">
        <f t="shared" si="106"/>
        <v>320</v>
      </c>
      <c r="M132" s="96">
        <f t="shared" si="107"/>
        <v>320</v>
      </c>
      <c r="N132" s="108" t="s">
        <v>381</v>
      </c>
      <c r="O132" s="109">
        <v>300</v>
      </c>
      <c r="P132" s="110"/>
      <c r="Q132" s="110">
        <f t="shared" si="108"/>
        <v>300</v>
      </c>
      <c r="R132" s="110">
        <f t="shared" si="109"/>
        <v>300</v>
      </c>
      <c r="S132" s="110">
        <f t="shared" si="110"/>
        <v>300</v>
      </c>
      <c r="T132" s="97" t="s">
        <v>382</v>
      </c>
      <c r="U132" s="98">
        <v>246</v>
      </c>
      <c r="V132" s="99"/>
      <c r="W132" s="99">
        <f t="shared" si="111"/>
        <v>246</v>
      </c>
      <c r="X132" s="99">
        <f t="shared" si="112"/>
        <v>246</v>
      </c>
      <c r="Y132" s="99">
        <f t="shared" si="113"/>
        <v>246</v>
      </c>
      <c r="Z132" s="100">
        <f t="shared" si="125"/>
        <v>288.66666666666669</v>
      </c>
      <c r="AA132" s="100">
        <f t="shared" si="114"/>
        <v>288.66666666666669</v>
      </c>
      <c r="AB132" s="78">
        <f t="shared" si="126"/>
        <v>38.27967258654818</v>
      </c>
      <c r="AC132" s="102">
        <f t="shared" si="115"/>
        <v>0.1326085655423147</v>
      </c>
      <c r="AD132" s="5"/>
      <c r="AE132" s="7" t="s">
        <v>1053</v>
      </c>
      <c r="AF132" s="7" t="str">
        <f>VLOOKUP(C132,Estudio_Mercado_Ori!$C$12:$AH$1115,32,0)</f>
        <v>20HUERTAS</v>
      </c>
      <c r="BG132" s="7">
        <v>9</v>
      </c>
      <c r="DA132" s="7" t="str">
        <f>VLOOKUP(C132,listaBolsa!$D$2:$BA$1248,1,0)</f>
        <v>Plántula de Lechuga lisa verde (Lactuca sativa var. capitata)</v>
      </c>
      <c r="DB132" s="7">
        <f>VLOOKUP(C132,listaBolsa!$D$2:$BA$1248,2,0)</f>
        <v>0</v>
      </c>
      <c r="DC132" s="7" t="str">
        <f>VLOOKUP(C132,listaBolsa!$D$2:$BA$1248,10,0)</f>
        <v xml:space="preserve">JUNTOS DE LA MANO </v>
      </c>
      <c r="DD132" s="7">
        <f>VLOOKUP(C132,listaBolsa!$D$2:$BA$1248,14,0)</f>
        <v>320</v>
      </c>
      <c r="DE132" s="7" t="str">
        <f>VLOOKUP(C132,listaBolsa!$D$2:$BA$1248,23,0)</f>
        <v>MYCBDE</v>
      </c>
      <c r="DF132" s="7">
        <f>VLOOKUP(C132,listaBolsa!$D$2:$BA$1248,29,0)</f>
        <v>300</v>
      </c>
      <c r="DG132" s="7" t="str">
        <f>VLOOKUP(C132,listaBolsa!$D$2:$BA$1248,36,0)</f>
        <v>DAGROW</v>
      </c>
      <c r="DH132" s="7">
        <f>VLOOKUP(C132,listaBolsa!$D$2:$BA$1248,40,0)</f>
        <v>246</v>
      </c>
      <c r="DI132" s="253">
        <f>VLOOKUP(C132,listaBolsa!$D$2:$BA$1248,48,0)</f>
        <v>0.1326</v>
      </c>
      <c r="DJ132" s="7" t="b">
        <f t="shared" si="116"/>
        <v>1</v>
      </c>
      <c r="DK132" s="7" t="b">
        <f t="shared" si="117"/>
        <v>0</v>
      </c>
      <c r="DL132" s="7" t="b">
        <f t="shared" si="118"/>
        <v>1</v>
      </c>
      <c r="DM132" s="7" t="b">
        <f t="shared" si="119"/>
        <v>1</v>
      </c>
      <c r="DN132" s="7" t="b">
        <f t="shared" si="120"/>
        <v>1</v>
      </c>
      <c r="DO132" s="7" t="b">
        <f t="shared" si="121"/>
        <v>1</v>
      </c>
      <c r="DP132" s="7" t="b">
        <f t="shared" si="122"/>
        <v>1</v>
      </c>
      <c r="DQ132" s="7" t="b">
        <f t="shared" si="123"/>
        <v>1</v>
      </c>
      <c r="DR132" s="7" t="b">
        <f t="shared" si="124"/>
        <v>0</v>
      </c>
    </row>
    <row r="133" spans="1:122" s="7" customFormat="1" ht="79.5" customHeight="1">
      <c r="A133" s="75">
        <v>125</v>
      </c>
      <c r="B133" s="538" t="s">
        <v>579</v>
      </c>
      <c r="C133" s="351" t="s">
        <v>630</v>
      </c>
      <c r="D133" s="351" t="s">
        <v>622</v>
      </c>
      <c r="E133" s="193" t="s">
        <v>568</v>
      </c>
      <c r="F133" s="75">
        <v>1</v>
      </c>
      <c r="G133" s="75" t="s">
        <v>192</v>
      </c>
      <c r="H133" s="106" t="s">
        <v>380</v>
      </c>
      <c r="I133" s="107">
        <v>320</v>
      </c>
      <c r="J133" s="96"/>
      <c r="K133" s="96">
        <f t="shared" si="105"/>
        <v>320</v>
      </c>
      <c r="L133" s="96">
        <f t="shared" si="106"/>
        <v>320</v>
      </c>
      <c r="M133" s="96">
        <f t="shared" si="107"/>
        <v>320</v>
      </c>
      <c r="N133" s="108" t="s">
        <v>381</v>
      </c>
      <c r="O133" s="109">
        <v>300</v>
      </c>
      <c r="P133" s="110"/>
      <c r="Q133" s="110">
        <f t="shared" si="108"/>
        <v>300</v>
      </c>
      <c r="R133" s="110">
        <f t="shared" si="109"/>
        <v>300</v>
      </c>
      <c r="S133" s="110">
        <f t="shared" si="110"/>
        <v>300</v>
      </c>
      <c r="T133" s="97" t="s">
        <v>382</v>
      </c>
      <c r="U133" s="98">
        <v>255</v>
      </c>
      <c r="V133" s="99"/>
      <c r="W133" s="99">
        <f t="shared" si="111"/>
        <v>255</v>
      </c>
      <c r="X133" s="99">
        <f t="shared" si="112"/>
        <v>255</v>
      </c>
      <c r="Y133" s="99">
        <f t="shared" si="113"/>
        <v>255</v>
      </c>
      <c r="Z133" s="100">
        <f t="shared" si="125"/>
        <v>291.66666666666669</v>
      </c>
      <c r="AA133" s="100">
        <f t="shared" si="114"/>
        <v>291.66666666666669</v>
      </c>
      <c r="AB133" s="78">
        <f t="shared" si="126"/>
        <v>33.291640592396966</v>
      </c>
      <c r="AC133" s="102">
        <f t="shared" si="115"/>
        <v>0.11414276774536102</v>
      </c>
      <c r="AD133" s="5"/>
      <c r="AE133" s="7" t="s">
        <v>1053</v>
      </c>
      <c r="AF133" s="7" t="str">
        <f>VLOOKUP(C133,Estudio_Mercado_Ori!$C$12:$AH$1115,32,0)</f>
        <v>21HUERTAS</v>
      </c>
      <c r="BG133" s="7">
        <v>10</v>
      </c>
      <c r="DA133" s="7" t="str">
        <f>VLOOKUP(C133,listaBolsa!$D$2:$BA$1248,1,0)</f>
        <v>Plántula de Lechuga lisa morada (Lactuca sativa var. capitata)</v>
      </c>
      <c r="DB133" s="7">
        <f>VLOOKUP(C133,listaBolsa!$D$2:$BA$1248,2,0)</f>
        <v>0</v>
      </c>
      <c r="DC133" s="7" t="str">
        <f>VLOOKUP(C133,listaBolsa!$D$2:$BA$1248,10,0)</f>
        <v xml:space="preserve">JUNTOS DE LA MANO </v>
      </c>
      <c r="DD133" s="7">
        <f>VLOOKUP(C133,listaBolsa!$D$2:$BA$1248,14,0)</f>
        <v>320</v>
      </c>
      <c r="DE133" s="7" t="str">
        <f>VLOOKUP(C133,listaBolsa!$D$2:$BA$1248,23,0)</f>
        <v>MYCBDE</v>
      </c>
      <c r="DF133" s="7">
        <f>VLOOKUP(C133,listaBolsa!$D$2:$BA$1248,29,0)</f>
        <v>300</v>
      </c>
      <c r="DG133" s="7" t="str">
        <f>VLOOKUP(C133,listaBolsa!$D$2:$BA$1248,36,0)</f>
        <v>DAGROW</v>
      </c>
      <c r="DH133" s="7">
        <f>VLOOKUP(C133,listaBolsa!$D$2:$BA$1248,40,0)</f>
        <v>255</v>
      </c>
      <c r="DI133" s="253">
        <f>VLOOKUP(C133,listaBolsa!$D$2:$BA$1248,48,0)</f>
        <v>0.11409999999999999</v>
      </c>
      <c r="DJ133" s="7" t="b">
        <f t="shared" si="116"/>
        <v>1</v>
      </c>
      <c r="DK133" s="7" t="b">
        <f t="shared" si="117"/>
        <v>0</v>
      </c>
      <c r="DL133" s="7" t="b">
        <f t="shared" si="118"/>
        <v>1</v>
      </c>
      <c r="DM133" s="7" t="b">
        <f t="shared" si="119"/>
        <v>1</v>
      </c>
      <c r="DN133" s="7" t="b">
        <f t="shared" si="120"/>
        <v>1</v>
      </c>
      <c r="DO133" s="7" t="b">
        <f t="shared" si="121"/>
        <v>1</v>
      </c>
      <c r="DP133" s="7" t="b">
        <f t="shared" si="122"/>
        <v>1</v>
      </c>
      <c r="DQ133" s="7" t="b">
        <f t="shared" si="123"/>
        <v>1</v>
      </c>
      <c r="DR133" s="7" t="b">
        <f t="shared" si="124"/>
        <v>0</v>
      </c>
    </row>
    <row r="134" spans="1:122" s="7" customFormat="1" ht="79.5" customHeight="1">
      <c r="A134" s="75">
        <v>126</v>
      </c>
      <c r="B134" s="538" t="s">
        <v>579</v>
      </c>
      <c r="C134" s="351" t="s">
        <v>632</v>
      </c>
      <c r="D134" s="351" t="s">
        <v>622</v>
      </c>
      <c r="E134" s="193" t="s">
        <v>568</v>
      </c>
      <c r="F134" s="75">
        <v>1</v>
      </c>
      <c r="G134" s="75" t="s">
        <v>192</v>
      </c>
      <c r="H134" s="375" t="s">
        <v>603</v>
      </c>
      <c r="I134" s="397">
        <v>1500</v>
      </c>
      <c r="J134" s="96"/>
      <c r="K134" s="96">
        <f t="shared" si="105"/>
        <v>1500</v>
      </c>
      <c r="L134" s="96">
        <f t="shared" si="106"/>
        <v>1500</v>
      </c>
      <c r="M134" s="96">
        <f t="shared" si="107"/>
        <v>1500</v>
      </c>
      <c r="N134" s="381" t="s">
        <v>604</v>
      </c>
      <c r="O134" s="109">
        <v>1200</v>
      </c>
      <c r="P134" s="110"/>
      <c r="Q134" s="110">
        <f t="shared" si="108"/>
        <v>1200</v>
      </c>
      <c r="R134" s="110">
        <f t="shared" si="109"/>
        <v>1200</v>
      </c>
      <c r="S134" s="110">
        <f t="shared" si="110"/>
        <v>1200</v>
      </c>
      <c r="T134" s="387" t="s">
        <v>605</v>
      </c>
      <c r="U134" s="98">
        <v>1500</v>
      </c>
      <c r="V134" s="99"/>
      <c r="W134" s="99">
        <f t="shared" si="111"/>
        <v>1500</v>
      </c>
      <c r="X134" s="99">
        <f t="shared" si="112"/>
        <v>1500</v>
      </c>
      <c r="Y134" s="99">
        <f t="shared" si="113"/>
        <v>1500</v>
      </c>
      <c r="Z134" s="100">
        <f t="shared" si="125"/>
        <v>1400</v>
      </c>
      <c r="AA134" s="100">
        <f t="shared" si="114"/>
        <v>1400</v>
      </c>
      <c r="AB134" s="78">
        <f t="shared" si="126"/>
        <v>173.20508075688772</v>
      </c>
      <c r="AC134" s="102">
        <f t="shared" si="115"/>
        <v>0.12371791482634838</v>
      </c>
      <c r="AD134" s="5"/>
      <c r="AE134" s="7" t="s">
        <v>1053</v>
      </c>
      <c r="AF134" s="7" t="str">
        <f>VLOOKUP(C134,Estudio_Mercado_Ori!$C$12:$AH$1115,32,0)</f>
        <v>22HUERTAS</v>
      </c>
      <c r="BG134" s="7">
        <v>11</v>
      </c>
      <c r="DA134" s="7" t="str">
        <f>VLOOKUP(C134,listaBolsa!$D$2:$BA$1248,1,0)</f>
        <v>Plántula de Lechuga Batavia (Lactuca sativa var. capitata)</v>
      </c>
      <c r="DB134" s="7">
        <f>VLOOKUP(C134,listaBolsa!$D$2:$BA$1248,2,0)</f>
        <v>0</v>
      </c>
      <c r="DC134" s="7" t="str">
        <f>VLOOKUP(C134,listaBolsa!$D$2:$BA$1248,10,0)</f>
        <v>AGRIPLANT</v>
      </c>
      <c r="DD134" s="7">
        <f>VLOOKUP(C134,listaBolsa!$D$2:$BA$1248,14,0)</f>
        <v>1500</v>
      </c>
      <c r="DE134" s="7" t="str">
        <f>VLOOKUP(C134,listaBolsa!$D$2:$BA$1248,23,0)</f>
        <v>SEMBRAMOS VIVEROS ONLINE</v>
      </c>
      <c r="DF134" s="7">
        <f>VLOOKUP(C134,listaBolsa!$D$2:$BA$1248,29,0)</f>
        <v>1200</v>
      </c>
      <c r="DG134" s="7" t="str">
        <f>VLOOKUP(C134,listaBolsa!$D$2:$BA$1248,36,0)</f>
        <v>PAQUA</v>
      </c>
      <c r="DH134" s="7">
        <f>VLOOKUP(C134,listaBolsa!$D$2:$BA$1248,40,0)</f>
        <v>1500</v>
      </c>
      <c r="DI134" s="253">
        <f>VLOOKUP(C134,listaBolsa!$D$2:$BA$1248,48,0)</f>
        <v>0.1237</v>
      </c>
      <c r="DJ134" s="7" t="b">
        <f t="shared" si="116"/>
        <v>1</v>
      </c>
      <c r="DK134" s="7" t="b">
        <f t="shared" si="117"/>
        <v>0</v>
      </c>
      <c r="DL134" s="7" t="b">
        <f t="shared" si="118"/>
        <v>1</v>
      </c>
      <c r="DM134" s="7" t="b">
        <f t="shared" si="119"/>
        <v>1</v>
      </c>
      <c r="DN134" s="7" t="b">
        <f t="shared" si="120"/>
        <v>1</v>
      </c>
      <c r="DO134" s="7" t="b">
        <f t="shared" si="121"/>
        <v>1</v>
      </c>
      <c r="DP134" s="7" t="b">
        <f t="shared" si="122"/>
        <v>1</v>
      </c>
      <c r="DQ134" s="7" t="b">
        <f t="shared" si="123"/>
        <v>1</v>
      </c>
      <c r="DR134" s="7" t="b">
        <f t="shared" si="124"/>
        <v>0</v>
      </c>
    </row>
    <row r="135" spans="1:122" s="7" customFormat="1" ht="79.5" customHeight="1">
      <c r="A135" s="75">
        <v>127</v>
      </c>
      <c r="B135" s="538" t="s">
        <v>579</v>
      </c>
      <c r="C135" s="351" t="s">
        <v>634</v>
      </c>
      <c r="D135" s="351" t="s">
        <v>622</v>
      </c>
      <c r="E135" s="193" t="s">
        <v>568</v>
      </c>
      <c r="F135" s="75">
        <v>1</v>
      </c>
      <c r="G135" s="75" t="s">
        <v>192</v>
      </c>
      <c r="H135" s="106" t="s">
        <v>380</v>
      </c>
      <c r="I135" s="107">
        <v>240</v>
      </c>
      <c r="J135" s="96"/>
      <c r="K135" s="96">
        <f t="shared" si="105"/>
        <v>240</v>
      </c>
      <c r="L135" s="96">
        <f t="shared" si="106"/>
        <v>240</v>
      </c>
      <c r="M135" s="96">
        <f t="shared" si="107"/>
        <v>240</v>
      </c>
      <c r="N135" s="108" t="s">
        <v>381</v>
      </c>
      <c r="O135" s="109">
        <v>250</v>
      </c>
      <c r="P135" s="110"/>
      <c r="Q135" s="110">
        <f t="shared" si="108"/>
        <v>250</v>
      </c>
      <c r="R135" s="110">
        <f t="shared" si="109"/>
        <v>250</v>
      </c>
      <c r="S135" s="110">
        <f t="shared" si="110"/>
        <v>250</v>
      </c>
      <c r="T135" s="97" t="s">
        <v>382</v>
      </c>
      <c r="U135" s="98">
        <v>224</v>
      </c>
      <c r="V135" s="99"/>
      <c r="W135" s="99">
        <f t="shared" si="111"/>
        <v>224</v>
      </c>
      <c r="X135" s="99">
        <f t="shared" si="112"/>
        <v>224</v>
      </c>
      <c r="Y135" s="99">
        <f t="shared" si="113"/>
        <v>224</v>
      </c>
      <c r="Z135" s="100">
        <f t="shared" si="125"/>
        <v>238</v>
      </c>
      <c r="AA135" s="100">
        <f t="shared" si="114"/>
        <v>238</v>
      </c>
      <c r="AB135" s="78">
        <f t="shared" si="126"/>
        <v>13.114877048604001</v>
      </c>
      <c r="AC135" s="102">
        <f t="shared" si="115"/>
        <v>5.5104525414302524E-2</v>
      </c>
      <c r="AD135" s="5"/>
      <c r="AE135" s="7" t="s">
        <v>1053</v>
      </c>
      <c r="AF135" s="7" t="str">
        <f>VLOOKUP(C135,Estudio_Mercado_Ori!$C$12:$AH$1115,32,0)</f>
        <v>23HUERTAS</v>
      </c>
      <c r="BG135" s="7">
        <v>12</v>
      </c>
      <c r="DA135" s="7" t="str">
        <f>VLOOKUP(C135,listaBolsa!$D$2:$BA$1248,1,0)</f>
        <v>Plántula de Lechuga de cogollo (Lactuca sativa var. romana)</v>
      </c>
      <c r="DB135" s="7">
        <f>VLOOKUP(C135,listaBolsa!$D$2:$BA$1248,2,0)</f>
        <v>0</v>
      </c>
      <c r="DC135" s="7" t="str">
        <f>VLOOKUP(C135,listaBolsa!$D$2:$BA$1248,10,0)</f>
        <v xml:space="preserve">JUNTOS DE LA MANO </v>
      </c>
      <c r="DD135" s="7">
        <f>VLOOKUP(C135,listaBolsa!$D$2:$BA$1248,14,0)</f>
        <v>240</v>
      </c>
      <c r="DE135" s="7" t="str">
        <f>VLOOKUP(C135,listaBolsa!$D$2:$BA$1248,23,0)</f>
        <v>MYCBDE</v>
      </c>
      <c r="DF135" s="7">
        <f>VLOOKUP(C135,listaBolsa!$D$2:$BA$1248,29,0)</f>
        <v>250</v>
      </c>
      <c r="DG135" s="7" t="str">
        <f>VLOOKUP(C135,listaBolsa!$D$2:$BA$1248,36,0)</f>
        <v>DAGROW</v>
      </c>
      <c r="DH135" s="7">
        <f>VLOOKUP(C135,listaBolsa!$D$2:$BA$1248,40,0)</f>
        <v>224</v>
      </c>
      <c r="DI135" s="253">
        <f>VLOOKUP(C135,listaBolsa!$D$2:$BA$1248,48,0)</f>
        <v>5.5100000000000003E-2</v>
      </c>
      <c r="DJ135" s="7" t="b">
        <f t="shared" si="116"/>
        <v>1</v>
      </c>
      <c r="DK135" s="7" t="b">
        <f t="shared" si="117"/>
        <v>0</v>
      </c>
      <c r="DL135" s="7" t="b">
        <f t="shared" si="118"/>
        <v>1</v>
      </c>
      <c r="DM135" s="7" t="b">
        <f t="shared" si="119"/>
        <v>1</v>
      </c>
      <c r="DN135" s="7" t="b">
        <f t="shared" si="120"/>
        <v>1</v>
      </c>
      <c r="DO135" s="7" t="b">
        <f t="shared" si="121"/>
        <v>1</v>
      </c>
      <c r="DP135" s="7" t="b">
        <f t="shared" si="122"/>
        <v>1</v>
      </c>
      <c r="DQ135" s="7" t="b">
        <f t="shared" si="123"/>
        <v>1</v>
      </c>
      <c r="DR135" s="7" t="b">
        <f t="shared" si="124"/>
        <v>0</v>
      </c>
    </row>
    <row r="136" spans="1:122" s="7" customFormat="1" ht="79.5" customHeight="1">
      <c r="A136" s="75">
        <v>128</v>
      </c>
      <c r="B136" s="538" t="s">
        <v>579</v>
      </c>
      <c r="C136" s="351" t="s">
        <v>636</v>
      </c>
      <c r="D136" s="351" t="s">
        <v>622</v>
      </c>
      <c r="E136" s="193" t="s">
        <v>568</v>
      </c>
      <c r="F136" s="75">
        <v>1</v>
      </c>
      <c r="G136" s="75" t="s">
        <v>192</v>
      </c>
      <c r="H136" s="106" t="s">
        <v>603</v>
      </c>
      <c r="I136" s="107">
        <v>1500</v>
      </c>
      <c r="J136" s="96"/>
      <c r="K136" s="96">
        <f t="shared" si="105"/>
        <v>1500</v>
      </c>
      <c r="L136" s="96">
        <f t="shared" si="106"/>
        <v>1500</v>
      </c>
      <c r="M136" s="96">
        <f t="shared" si="107"/>
        <v>1500</v>
      </c>
      <c r="N136" s="108" t="s">
        <v>637</v>
      </c>
      <c r="O136" s="109">
        <v>1200</v>
      </c>
      <c r="P136" s="110"/>
      <c r="Q136" s="110">
        <f t="shared" si="108"/>
        <v>1200</v>
      </c>
      <c r="R136" s="110">
        <f t="shared" si="109"/>
        <v>1200</v>
      </c>
      <c r="S136" s="110">
        <f t="shared" si="110"/>
        <v>1200</v>
      </c>
      <c r="T136" s="97" t="s">
        <v>605</v>
      </c>
      <c r="U136" s="98">
        <v>1500</v>
      </c>
      <c r="V136" s="99"/>
      <c r="W136" s="99">
        <f t="shared" si="111"/>
        <v>1500</v>
      </c>
      <c r="X136" s="99">
        <f t="shared" si="112"/>
        <v>1500</v>
      </c>
      <c r="Y136" s="99">
        <f t="shared" si="113"/>
        <v>1500</v>
      </c>
      <c r="Z136" s="100">
        <f t="shared" si="125"/>
        <v>1400</v>
      </c>
      <c r="AA136" s="100">
        <f t="shared" si="114"/>
        <v>1400</v>
      </c>
      <c r="AB136" s="78">
        <f t="shared" si="126"/>
        <v>173.20508075688772</v>
      </c>
      <c r="AC136" s="102">
        <f t="shared" si="115"/>
        <v>0.12371791482634838</v>
      </c>
      <c r="AD136" s="5"/>
      <c r="AE136" s="7" t="s">
        <v>1053</v>
      </c>
      <c r="AF136" s="7" t="str">
        <f>VLOOKUP(C136,Estudio_Mercado_Ori!$C$12:$AH$1115,32,0)</f>
        <v>24HUERTAS</v>
      </c>
      <c r="BG136" s="7">
        <v>13</v>
      </c>
      <c r="DA136" s="7" t="str">
        <f>VLOOKUP(C136,listaBolsa!$D$2:$BA$1248,1,0)</f>
        <v>Plántula de Lechuga Mizuna (Brassica rapa var. nipposinica)</v>
      </c>
      <c r="DB136" s="7">
        <f>VLOOKUP(C136,listaBolsa!$D$2:$BA$1248,2,0)</f>
        <v>0</v>
      </c>
      <c r="DC136" s="7" t="str">
        <f>VLOOKUP(C136,listaBolsa!$D$2:$BA$1248,10,0)</f>
        <v>AGRIPLANT</v>
      </c>
      <c r="DD136" s="7">
        <f>VLOOKUP(C136,listaBolsa!$D$2:$BA$1248,14,0)</f>
        <v>1500</v>
      </c>
      <c r="DE136" s="7" t="str">
        <f>VLOOKUP(C136,listaBolsa!$D$2:$BA$1248,23,0)</f>
        <v>SEMBRAMOS VARIOS ONLINE</v>
      </c>
      <c r="DF136" s="7">
        <f>VLOOKUP(C136,listaBolsa!$D$2:$BA$1248,29,0)</f>
        <v>1200</v>
      </c>
      <c r="DG136" s="7" t="str">
        <f>VLOOKUP(C136,listaBolsa!$D$2:$BA$1248,36,0)</f>
        <v>PAQUA</v>
      </c>
      <c r="DH136" s="7">
        <f>VLOOKUP(C136,listaBolsa!$D$2:$BA$1248,40,0)</f>
        <v>1500</v>
      </c>
      <c r="DI136" s="253">
        <f>VLOOKUP(C136,listaBolsa!$D$2:$BA$1248,48,0)</f>
        <v>0.1237</v>
      </c>
      <c r="DJ136" s="7" t="b">
        <f t="shared" si="116"/>
        <v>1</v>
      </c>
      <c r="DK136" s="7" t="b">
        <f t="shared" si="117"/>
        <v>0</v>
      </c>
      <c r="DL136" s="7" t="b">
        <f t="shared" si="118"/>
        <v>1</v>
      </c>
      <c r="DM136" s="7" t="b">
        <f t="shared" si="119"/>
        <v>1</v>
      </c>
      <c r="DN136" s="7" t="b">
        <f t="shared" si="120"/>
        <v>1</v>
      </c>
      <c r="DO136" s="7" t="b">
        <f t="shared" si="121"/>
        <v>1</v>
      </c>
      <c r="DP136" s="7" t="b">
        <f t="shared" si="122"/>
        <v>1</v>
      </c>
      <c r="DQ136" s="7" t="b">
        <f t="shared" si="123"/>
        <v>1</v>
      </c>
      <c r="DR136" s="7" t="b">
        <f t="shared" si="124"/>
        <v>0</v>
      </c>
    </row>
    <row r="137" spans="1:122" s="7" customFormat="1" ht="79.5" customHeight="1">
      <c r="A137" s="75">
        <v>129</v>
      </c>
      <c r="B137" s="538" t="s">
        <v>579</v>
      </c>
      <c r="C137" s="351" t="s">
        <v>639</v>
      </c>
      <c r="D137" s="351" t="s">
        <v>622</v>
      </c>
      <c r="E137" s="193" t="s">
        <v>568</v>
      </c>
      <c r="F137" s="75">
        <v>1</v>
      </c>
      <c r="G137" s="75" t="s">
        <v>192</v>
      </c>
      <c r="H137" s="372" t="s">
        <v>380</v>
      </c>
      <c r="I137" s="107">
        <v>220</v>
      </c>
      <c r="J137" s="96"/>
      <c r="K137" s="96">
        <f t="shared" si="105"/>
        <v>220</v>
      </c>
      <c r="L137" s="96">
        <f t="shared" si="106"/>
        <v>220</v>
      </c>
      <c r="M137" s="96">
        <f t="shared" si="107"/>
        <v>220</v>
      </c>
      <c r="N137" s="399" t="s">
        <v>381</v>
      </c>
      <c r="O137" s="402">
        <v>200</v>
      </c>
      <c r="P137" s="110"/>
      <c r="Q137" s="110">
        <f t="shared" si="108"/>
        <v>200</v>
      </c>
      <c r="R137" s="110">
        <f t="shared" si="109"/>
        <v>200</v>
      </c>
      <c r="S137" s="110">
        <f t="shared" si="110"/>
        <v>200</v>
      </c>
      <c r="T137" s="387" t="s">
        <v>382</v>
      </c>
      <c r="U137" s="98">
        <v>154</v>
      </c>
      <c r="V137" s="99"/>
      <c r="W137" s="99">
        <f t="shared" si="111"/>
        <v>154</v>
      </c>
      <c r="X137" s="99">
        <f t="shared" si="112"/>
        <v>154</v>
      </c>
      <c r="Y137" s="99">
        <f t="shared" si="113"/>
        <v>154</v>
      </c>
      <c r="Z137" s="100">
        <f t="shared" si="125"/>
        <v>191.33333333333334</v>
      </c>
      <c r="AA137" s="100">
        <f t="shared" si="114"/>
        <v>191.33333333333334</v>
      </c>
      <c r="AB137" s="78">
        <f t="shared" si="126"/>
        <v>33.842773723992181</v>
      </c>
      <c r="AC137" s="102">
        <f t="shared" si="115"/>
        <v>0.17687860831354799</v>
      </c>
      <c r="AD137" s="5"/>
      <c r="AE137" s="7" t="s">
        <v>1053</v>
      </c>
      <c r="AF137" s="7" t="str">
        <f>VLOOKUP(C137,Estudio_Mercado_Ori!$C$12:$AH$1115,32,0)</f>
        <v>25HUERTAS</v>
      </c>
      <c r="BG137" s="7">
        <v>14</v>
      </c>
      <c r="DA137" s="7" t="str">
        <f>VLOOKUP(C137,listaBolsa!$D$2:$BA$1248,1,0)</f>
        <v>plántula de lechuga Escarola (Cichorium endivia)</v>
      </c>
      <c r="DB137" s="7">
        <f>VLOOKUP(C137,listaBolsa!$D$2:$BA$1248,2,0)</f>
        <v>0</v>
      </c>
      <c r="DC137" s="7" t="str">
        <f>VLOOKUP(C137,listaBolsa!$D$2:$BA$1248,10,0)</f>
        <v xml:space="preserve">JUNTOS DE LA MANO </v>
      </c>
      <c r="DD137" s="7">
        <f>VLOOKUP(C137,listaBolsa!$D$2:$BA$1248,14,0)</f>
        <v>220</v>
      </c>
      <c r="DE137" s="7" t="str">
        <f>VLOOKUP(C137,listaBolsa!$D$2:$BA$1248,23,0)</f>
        <v>MYCBDE</v>
      </c>
      <c r="DF137" s="7">
        <f>VLOOKUP(C137,listaBolsa!$D$2:$BA$1248,29,0)</f>
        <v>200</v>
      </c>
      <c r="DG137" s="7" t="str">
        <f>VLOOKUP(C137,listaBolsa!$D$2:$BA$1248,36,0)</f>
        <v>DAGROW</v>
      </c>
      <c r="DH137" s="7">
        <f>VLOOKUP(C137,listaBolsa!$D$2:$BA$1248,40,0)</f>
        <v>154</v>
      </c>
      <c r="DI137" s="253">
        <f>VLOOKUP(C137,listaBolsa!$D$2:$BA$1248,48,0)</f>
        <v>0.1769</v>
      </c>
      <c r="DJ137" s="7" t="b">
        <f t="shared" si="116"/>
        <v>1</v>
      </c>
      <c r="DK137" s="7" t="b">
        <f t="shared" si="117"/>
        <v>0</v>
      </c>
      <c r="DL137" s="7" t="b">
        <f t="shared" si="118"/>
        <v>1</v>
      </c>
      <c r="DM137" s="7" t="b">
        <f t="shared" si="119"/>
        <v>1</v>
      </c>
      <c r="DN137" s="7" t="b">
        <f t="shared" si="120"/>
        <v>1</v>
      </c>
      <c r="DO137" s="7" t="b">
        <f t="shared" si="121"/>
        <v>1</v>
      </c>
      <c r="DP137" s="7" t="b">
        <f t="shared" si="122"/>
        <v>1</v>
      </c>
      <c r="DQ137" s="7" t="b">
        <f t="shared" si="123"/>
        <v>1</v>
      </c>
      <c r="DR137" s="7" t="b">
        <f t="shared" si="124"/>
        <v>0</v>
      </c>
    </row>
    <row r="138" spans="1:122" s="7" customFormat="1" ht="79.5" customHeight="1">
      <c r="A138" s="75">
        <v>130</v>
      </c>
      <c r="B138" s="538" t="s">
        <v>579</v>
      </c>
      <c r="C138" s="351" t="s">
        <v>641</v>
      </c>
      <c r="D138" s="351" t="s">
        <v>622</v>
      </c>
      <c r="E138" s="193" t="s">
        <v>568</v>
      </c>
      <c r="F138" s="75">
        <v>1</v>
      </c>
      <c r="G138" s="75" t="s">
        <v>192</v>
      </c>
      <c r="H138" s="372" t="s">
        <v>380</v>
      </c>
      <c r="I138" s="107">
        <v>220</v>
      </c>
      <c r="J138" s="96"/>
      <c r="K138" s="96">
        <f t="shared" si="105"/>
        <v>220</v>
      </c>
      <c r="L138" s="96">
        <f t="shared" si="106"/>
        <v>220</v>
      </c>
      <c r="M138" s="96">
        <f t="shared" si="107"/>
        <v>220</v>
      </c>
      <c r="N138" s="399" t="s">
        <v>381</v>
      </c>
      <c r="O138" s="402">
        <v>200</v>
      </c>
      <c r="P138" s="110"/>
      <c r="Q138" s="110">
        <f t="shared" si="108"/>
        <v>200</v>
      </c>
      <c r="R138" s="110">
        <f t="shared" si="109"/>
        <v>200</v>
      </c>
      <c r="S138" s="110">
        <f t="shared" si="110"/>
        <v>200</v>
      </c>
      <c r="T138" s="387" t="s">
        <v>642</v>
      </c>
      <c r="U138" s="98">
        <v>168.0672268907563</v>
      </c>
      <c r="V138" s="99"/>
      <c r="W138" s="99">
        <f t="shared" si="111"/>
        <v>168.0672268907563</v>
      </c>
      <c r="X138" s="99">
        <f t="shared" si="112"/>
        <v>168.0672268907563</v>
      </c>
      <c r="Y138" s="99">
        <f t="shared" si="113"/>
        <v>168.0672268907563</v>
      </c>
      <c r="Z138" s="100">
        <f t="shared" si="125"/>
        <v>196.02240896358543</v>
      </c>
      <c r="AA138" s="100">
        <f t="shared" si="114"/>
        <v>196.02240896358543</v>
      </c>
      <c r="AB138" s="78">
        <f t="shared" si="126"/>
        <v>26.193876260373688</v>
      </c>
      <c r="AC138" s="102">
        <f t="shared" si="115"/>
        <v>0.13362694805592179</v>
      </c>
      <c r="AD138" s="5"/>
      <c r="AE138" s="7" t="s">
        <v>1082</v>
      </c>
      <c r="AF138" s="7" t="str">
        <f>VLOOKUP(C138,Estudio_Mercado_Ori!$C$12:$AH$1115,32,0)</f>
        <v>26HUERTAS</v>
      </c>
      <c r="BG138" s="7">
        <v>15</v>
      </c>
      <c r="DA138" s="7" t="str">
        <f>VLOOKUP(C138,listaBolsa!$D$2:$BA$1248,1,0)</f>
        <v>Plántula de Lechuga Romana (Lactuca sativa var. longifolia)</v>
      </c>
      <c r="DB138" s="7">
        <f>VLOOKUP(C138,listaBolsa!$D$2:$BA$1248,2,0)</f>
        <v>0</v>
      </c>
      <c r="DC138" s="7" t="str">
        <f>VLOOKUP(C138,listaBolsa!$D$2:$BA$1248,10,0)</f>
        <v xml:space="preserve">JUNTOS DE LA MANO </v>
      </c>
      <c r="DD138" s="7">
        <f>VLOOKUP(C138,listaBolsa!$D$2:$BA$1248,14,0)</f>
        <v>220</v>
      </c>
      <c r="DE138" s="7" t="str">
        <f>VLOOKUP(C138,listaBolsa!$D$2:$BA$1248,23,0)</f>
        <v>MYCBDE</v>
      </c>
      <c r="DF138" s="7">
        <f>VLOOKUP(C138,listaBolsa!$D$2:$BA$1248,29,0)</f>
        <v>200</v>
      </c>
      <c r="DG138" s="7" t="str">
        <f>VLOOKUP(C138,listaBolsa!$D$2:$BA$1248,36,0)</f>
        <v>PLANTULAMOS</v>
      </c>
      <c r="DH138" s="7">
        <f>VLOOKUP(C138,listaBolsa!$D$2:$BA$1248,40,0)</f>
        <v>168.07</v>
      </c>
      <c r="DI138" s="253">
        <f>VLOOKUP(C138,listaBolsa!$D$2:$BA$1248,48,0)</f>
        <v>5.5899999999999998E-2</v>
      </c>
      <c r="DJ138" s="7" t="b">
        <f t="shared" si="116"/>
        <v>1</v>
      </c>
      <c r="DK138" s="7" t="b">
        <f t="shared" si="117"/>
        <v>0</v>
      </c>
      <c r="DL138" s="7" t="b">
        <f t="shared" si="118"/>
        <v>1</v>
      </c>
      <c r="DM138" s="7" t="b">
        <f t="shared" si="119"/>
        <v>1</v>
      </c>
      <c r="DN138" s="7" t="b">
        <f t="shared" si="120"/>
        <v>1</v>
      </c>
      <c r="DO138" s="7" t="b">
        <f t="shared" si="121"/>
        <v>1</v>
      </c>
      <c r="DP138" s="7" t="b">
        <f t="shared" si="122"/>
        <v>1</v>
      </c>
      <c r="DQ138" s="7" t="b">
        <f t="shared" si="123"/>
        <v>0</v>
      </c>
      <c r="DR138" s="7" t="b">
        <f t="shared" si="124"/>
        <v>0</v>
      </c>
    </row>
    <row r="139" spans="1:122" s="7" customFormat="1" ht="246.6" customHeight="1">
      <c r="A139" s="75">
        <v>131</v>
      </c>
      <c r="B139" s="538" t="s">
        <v>579</v>
      </c>
      <c r="C139" s="351" t="s">
        <v>644</v>
      </c>
      <c r="D139" s="351" t="s">
        <v>622</v>
      </c>
      <c r="E139" s="193" t="s">
        <v>568</v>
      </c>
      <c r="F139" s="75">
        <v>1</v>
      </c>
      <c r="G139" s="75" t="s">
        <v>192</v>
      </c>
      <c r="H139" s="376" t="s">
        <v>380</v>
      </c>
      <c r="I139" s="107">
        <v>220</v>
      </c>
      <c r="J139" s="96"/>
      <c r="K139" s="96">
        <f t="shared" si="105"/>
        <v>220</v>
      </c>
      <c r="L139" s="96">
        <f t="shared" si="106"/>
        <v>220</v>
      </c>
      <c r="M139" s="96">
        <f t="shared" si="107"/>
        <v>220</v>
      </c>
      <c r="N139" s="398" t="s">
        <v>381</v>
      </c>
      <c r="O139" s="109">
        <v>200</v>
      </c>
      <c r="P139" s="110"/>
      <c r="Q139" s="110">
        <f t="shared" si="108"/>
        <v>200</v>
      </c>
      <c r="R139" s="110">
        <f t="shared" si="109"/>
        <v>200</v>
      </c>
      <c r="S139" s="110">
        <f t="shared" si="110"/>
        <v>200</v>
      </c>
      <c r="T139" s="387" t="s">
        <v>382</v>
      </c>
      <c r="U139" s="98">
        <v>147</v>
      </c>
      <c r="V139" s="99"/>
      <c r="W139" s="99">
        <f t="shared" si="111"/>
        <v>147</v>
      </c>
      <c r="X139" s="99">
        <f t="shared" si="112"/>
        <v>147</v>
      </c>
      <c r="Y139" s="99">
        <f t="shared" si="113"/>
        <v>147</v>
      </c>
      <c r="Z139" s="100">
        <f t="shared" si="125"/>
        <v>189</v>
      </c>
      <c r="AA139" s="100">
        <f t="shared" si="114"/>
        <v>189</v>
      </c>
      <c r="AB139" s="78">
        <f t="shared" si="126"/>
        <v>37.722672227720032</v>
      </c>
      <c r="AC139" s="102">
        <f t="shared" si="115"/>
        <v>0.19959085834772503</v>
      </c>
      <c r="AD139" s="5"/>
      <c r="AE139" s="7" t="s">
        <v>1053</v>
      </c>
      <c r="AF139" s="7" t="str">
        <f>VLOOKUP(C139,Estudio_Mercado_Ori!$C$12:$AH$1115,32,0)</f>
        <v>27HUERTAS</v>
      </c>
      <c r="BG139" s="7">
        <v>16</v>
      </c>
      <c r="DA139" s="7" t="str">
        <f>VLOOKUP(C139,listaBolsa!$D$2:$BA$1248,1,0)</f>
        <v>Plántula de Perejil liso (Petroselinum crispum var. neapolitanum)</v>
      </c>
      <c r="DB139" s="7">
        <f>VLOOKUP(C139,listaBolsa!$D$2:$BA$1248,2,0)</f>
        <v>0</v>
      </c>
      <c r="DC139" s="7" t="str">
        <f>VLOOKUP(C139,listaBolsa!$D$2:$BA$1248,10,0)</f>
        <v xml:space="preserve">JUNTOS DE LA MANO </v>
      </c>
      <c r="DD139" s="7">
        <f>VLOOKUP(C139,listaBolsa!$D$2:$BA$1248,14,0)</f>
        <v>220</v>
      </c>
      <c r="DE139" s="7" t="str">
        <f>VLOOKUP(C139,listaBolsa!$D$2:$BA$1248,23,0)</f>
        <v>MYCBDE</v>
      </c>
      <c r="DF139" s="7">
        <f>VLOOKUP(C139,listaBolsa!$D$2:$BA$1248,29,0)</f>
        <v>200</v>
      </c>
      <c r="DG139" s="7" t="str">
        <f>VLOOKUP(C139,listaBolsa!$D$2:$BA$1248,36,0)</f>
        <v>DAGROW</v>
      </c>
      <c r="DH139" s="7">
        <f>VLOOKUP(C139,listaBolsa!$D$2:$BA$1248,40,0)</f>
        <v>147</v>
      </c>
      <c r="DI139" s="253">
        <f>VLOOKUP(C139,listaBolsa!$D$2:$BA$1248,48,0)</f>
        <v>0.1996</v>
      </c>
      <c r="DJ139" s="7" t="b">
        <f t="shared" si="116"/>
        <v>1</v>
      </c>
      <c r="DK139" s="7" t="b">
        <f t="shared" si="117"/>
        <v>0</v>
      </c>
      <c r="DL139" s="7" t="b">
        <f t="shared" si="118"/>
        <v>1</v>
      </c>
      <c r="DM139" s="7" t="b">
        <f t="shared" si="119"/>
        <v>1</v>
      </c>
      <c r="DN139" s="7" t="b">
        <f t="shared" si="120"/>
        <v>1</v>
      </c>
      <c r="DO139" s="7" t="b">
        <f t="shared" si="121"/>
        <v>1</v>
      </c>
      <c r="DP139" s="7" t="b">
        <f t="shared" si="122"/>
        <v>1</v>
      </c>
      <c r="DQ139" s="7" t="b">
        <f t="shared" si="123"/>
        <v>1</v>
      </c>
      <c r="DR139" s="7" t="b">
        <f t="shared" si="124"/>
        <v>0</v>
      </c>
    </row>
    <row r="140" spans="1:122" s="7" customFormat="1" ht="79.5" customHeight="1">
      <c r="A140" s="75">
        <v>132</v>
      </c>
      <c r="B140" s="538" t="s">
        <v>579</v>
      </c>
      <c r="C140" s="351" t="s">
        <v>646</v>
      </c>
      <c r="D140" s="351" t="s">
        <v>622</v>
      </c>
      <c r="E140" s="193" t="s">
        <v>568</v>
      </c>
      <c r="F140" s="75">
        <v>1</v>
      </c>
      <c r="G140" s="75" t="s">
        <v>192</v>
      </c>
      <c r="H140" s="106" t="s">
        <v>380</v>
      </c>
      <c r="I140" s="107">
        <v>220</v>
      </c>
      <c r="J140" s="96"/>
      <c r="K140" s="96">
        <f t="shared" si="105"/>
        <v>220</v>
      </c>
      <c r="L140" s="96">
        <f t="shared" si="106"/>
        <v>220</v>
      </c>
      <c r="M140" s="96">
        <f t="shared" si="107"/>
        <v>220</v>
      </c>
      <c r="N140" s="108" t="s">
        <v>381</v>
      </c>
      <c r="O140" s="109">
        <v>200</v>
      </c>
      <c r="P140" s="110"/>
      <c r="Q140" s="110">
        <f t="shared" si="108"/>
        <v>200</v>
      </c>
      <c r="R140" s="110">
        <f t="shared" si="109"/>
        <v>200</v>
      </c>
      <c r="S140" s="110">
        <f t="shared" si="110"/>
        <v>200</v>
      </c>
      <c r="T140" s="97" t="s">
        <v>382</v>
      </c>
      <c r="U140" s="98">
        <v>147</v>
      </c>
      <c r="V140" s="99"/>
      <c r="W140" s="99">
        <f t="shared" si="111"/>
        <v>147</v>
      </c>
      <c r="X140" s="99">
        <f t="shared" si="112"/>
        <v>147</v>
      </c>
      <c r="Y140" s="99">
        <f t="shared" si="113"/>
        <v>147</v>
      </c>
      <c r="Z140" s="100">
        <f t="shared" si="125"/>
        <v>189</v>
      </c>
      <c r="AA140" s="100">
        <f t="shared" si="114"/>
        <v>189</v>
      </c>
      <c r="AB140" s="78">
        <f t="shared" si="126"/>
        <v>37.722672227720032</v>
      </c>
      <c r="AC140" s="102">
        <f t="shared" si="115"/>
        <v>0.19959085834772503</v>
      </c>
      <c r="AD140" s="5"/>
      <c r="AE140" s="7" t="s">
        <v>1053</v>
      </c>
      <c r="AF140" s="7" t="str">
        <f>VLOOKUP(C140,Estudio_Mercado_Ori!$C$12:$AH$1115,32,0)</f>
        <v>28HUERTAS</v>
      </c>
      <c r="BG140" s="7">
        <v>17</v>
      </c>
      <c r="DA140" s="7" t="str">
        <f>VLOOKUP(C140,listaBolsa!$D$2:$BA$1248,1,0)</f>
        <v>Plántula de Perejil crespo (Petroselinum crispum var. crispum)</v>
      </c>
      <c r="DB140" s="7">
        <f>VLOOKUP(C140,listaBolsa!$D$2:$BA$1248,2,0)</f>
        <v>0</v>
      </c>
      <c r="DC140" s="7" t="str">
        <f>VLOOKUP(C140,listaBolsa!$D$2:$BA$1248,10,0)</f>
        <v xml:space="preserve">JUNTOS DE LA MANO </v>
      </c>
      <c r="DD140" s="7">
        <f>VLOOKUP(C140,listaBolsa!$D$2:$BA$1248,14,0)</f>
        <v>220</v>
      </c>
      <c r="DE140" s="7" t="str">
        <f>VLOOKUP(C140,listaBolsa!$D$2:$BA$1248,23,0)</f>
        <v>MYCBDE</v>
      </c>
      <c r="DF140" s="7">
        <f>VLOOKUP(C140,listaBolsa!$D$2:$BA$1248,29,0)</f>
        <v>200</v>
      </c>
      <c r="DG140" s="7" t="str">
        <f>VLOOKUP(C140,listaBolsa!$D$2:$BA$1248,36,0)</f>
        <v>DAGROW</v>
      </c>
      <c r="DH140" s="7">
        <f>VLOOKUP(C140,listaBolsa!$D$2:$BA$1248,40,0)</f>
        <v>147</v>
      </c>
      <c r="DI140" s="253">
        <f>VLOOKUP(C140,listaBolsa!$D$2:$BA$1248,48,0)</f>
        <v>0.1996</v>
      </c>
      <c r="DJ140" s="7" t="b">
        <f t="shared" si="116"/>
        <v>1</v>
      </c>
      <c r="DK140" s="7" t="b">
        <f t="shared" si="117"/>
        <v>0</v>
      </c>
      <c r="DL140" s="7" t="b">
        <f t="shared" si="118"/>
        <v>1</v>
      </c>
      <c r="DM140" s="7" t="b">
        <f t="shared" si="119"/>
        <v>1</v>
      </c>
      <c r="DN140" s="7" t="b">
        <f t="shared" si="120"/>
        <v>1</v>
      </c>
      <c r="DO140" s="7" t="b">
        <f t="shared" si="121"/>
        <v>1</v>
      </c>
      <c r="DP140" s="7" t="b">
        <f t="shared" si="122"/>
        <v>1</v>
      </c>
      <c r="DQ140" s="7" t="b">
        <f t="shared" si="123"/>
        <v>1</v>
      </c>
      <c r="DR140" s="7" t="b">
        <f t="shared" si="124"/>
        <v>0</v>
      </c>
    </row>
    <row r="141" spans="1:122" s="7" customFormat="1" ht="79.5" customHeight="1">
      <c r="A141" s="75">
        <v>133</v>
      </c>
      <c r="B141" s="538" t="s">
        <v>579</v>
      </c>
      <c r="C141" s="351" t="s">
        <v>648</v>
      </c>
      <c r="D141" s="351" t="s">
        <v>622</v>
      </c>
      <c r="E141" s="193" t="s">
        <v>568</v>
      </c>
      <c r="F141" s="75">
        <v>1</v>
      </c>
      <c r="G141" s="75" t="s">
        <v>192</v>
      </c>
      <c r="H141" s="106" t="s">
        <v>380</v>
      </c>
      <c r="I141" s="107">
        <v>880</v>
      </c>
      <c r="J141" s="96">
        <f>I141*19%</f>
        <v>167.2</v>
      </c>
      <c r="K141" s="96">
        <f t="shared" si="105"/>
        <v>1047.2</v>
      </c>
      <c r="L141" s="96">
        <f t="shared" si="106"/>
        <v>880</v>
      </c>
      <c r="M141" s="96">
        <f t="shared" si="107"/>
        <v>1047.2</v>
      </c>
      <c r="N141" s="108" t="s">
        <v>381</v>
      </c>
      <c r="O141" s="109">
        <v>700</v>
      </c>
      <c r="P141" s="110">
        <f>O141*19%</f>
        <v>133</v>
      </c>
      <c r="Q141" s="110">
        <f t="shared" si="108"/>
        <v>833</v>
      </c>
      <c r="R141" s="110">
        <f t="shared" si="109"/>
        <v>700</v>
      </c>
      <c r="S141" s="110">
        <f t="shared" si="110"/>
        <v>833</v>
      </c>
      <c r="T141" s="97" t="s">
        <v>382</v>
      </c>
      <c r="U141" s="98">
        <v>616</v>
      </c>
      <c r="V141" s="99">
        <f>U141*19%</f>
        <v>117.04</v>
      </c>
      <c r="W141" s="99">
        <f t="shared" si="111"/>
        <v>733.04</v>
      </c>
      <c r="X141" s="99">
        <f t="shared" si="112"/>
        <v>616</v>
      </c>
      <c r="Y141" s="99">
        <f t="shared" si="113"/>
        <v>733.04</v>
      </c>
      <c r="Z141" s="100">
        <f t="shared" si="125"/>
        <v>871.07999999999993</v>
      </c>
      <c r="AA141" s="100">
        <f t="shared" si="114"/>
        <v>871.07999999999993</v>
      </c>
      <c r="AB141" s="78">
        <f t="shared" si="126"/>
        <v>160.50448965683245</v>
      </c>
      <c r="AC141" s="102">
        <f t="shared" si="115"/>
        <v>0.18425918360751303</v>
      </c>
      <c r="AD141" s="5"/>
      <c r="AE141" s="7" t="s">
        <v>1053</v>
      </c>
      <c r="AF141" s="7" t="str">
        <f>VLOOKUP(C141,Estudio_Mercado_Ori!$C$12:$AH$1115,32,0)</f>
        <v>29HUERTAS</v>
      </c>
      <c r="BG141" s="7">
        <v>18</v>
      </c>
      <c r="DA141" s="7" t="str">
        <f>VLOOKUP(C141,listaBolsa!$D$2:$BA$1248,1,0)</f>
        <v>Pántula de Zuchini amarillo (Cucurbita pepo)</v>
      </c>
      <c r="DB141" s="7">
        <f>VLOOKUP(C141,listaBolsa!$D$2:$BA$1248,2,0)</f>
        <v>0</v>
      </c>
      <c r="DC141" s="7" t="str">
        <f>VLOOKUP(C141,listaBolsa!$D$2:$BA$1248,10,0)</f>
        <v xml:space="preserve">JUNTOS DE LA MANO </v>
      </c>
      <c r="DD141" s="7">
        <f>VLOOKUP(C141,listaBolsa!$D$2:$BA$1248,14,0)</f>
        <v>880</v>
      </c>
      <c r="DE141" s="7" t="str">
        <f>VLOOKUP(C141,listaBolsa!$D$2:$BA$1248,23,0)</f>
        <v>MYCBDE</v>
      </c>
      <c r="DF141" s="7">
        <f>VLOOKUP(C141,listaBolsa!$D$2:$BA$1248,29,0)</f>
        <v>700</v>
      </c>
      <c r="DG141" s="7" t="str">
        <f>VLOOKUP(C141,listaBolsa!$D$2:$BA$1248,36,0)</f>
        <v>DAGROW</v>
      </c>
      <c r="DH141" s="7">
        <f>VLOOKUP(C141,listaBolsa!$D$2:$BA$1248,40,0)</f>
        <v>616</v>
      </c>
      <c r="DI141" s="253">
        <f>VLOOKUP(C141,listaBolsa!$D$2:$BA$1248,48,0)</f>
        <v>0.18429999999999999</v>
      </c>
      <c r="DJ141" s="7" t="b">
        <f t="shared" si="116"/>
        <v>1</v>
      </c>
      <c r="DK141" s="7" t="b">
        <f t="shared" si="117"/>
        <v>0</v>
      </c>
      <c r="DL141" s="7" t="b">
        <f t="shared" si="118"/>
        <v>1</v>
      </c>
      <c r="DM141" s="7" t="b">
        <f t="shared" si="119"/>
        <v>1</v>
      </c>
      <c r="DN141" s="7" t="b">
        <f t="shared" si="120"/>
        <v>1</v>
      </c>
      <c r="DO141" s="7" t="b">
        <f t="shared" si="121"/>
        <v>1</v>
      </c>
      <c r="DP141" s="7" t="b">
        <f t="shared" si="122"/>
        <v>1</v>
      </c>
      <c r="DQ141" s="7" t="b">
        <f t="shared" si="123"/>
        <v>1</v>
      </c>
      <c r="DR141" s="7" t="b">
        <f t="shared" si="124"/>
        <v>0</v>
      </c>
    </row>
    <row r="142" spans="1:122" s="7" customFormat="1" ht="79.5" customHeight="1">
      <c r="A142" s="75">
        <v>134</v>
      </c>
      <c r="B142" s="538" t="s">
        <v>579</v>
      </c>
      <c r="C142" s="351" t="s">
        <v>650</v>
      </c>
      <c r="D142" s="351" t="s">
        <v>622</v>
      </c>
      <c r="E142" s="193" t="s">
        <v>568</v>
      </c>
      <c r="F142" s="75">
        <v>1</v>
      </c>
      <c r="G142" s="75" t="s">
        <v>192</v>
      </c>
      <c r="H142" s="106" t="s">
        <v>380</v>
      </c>
      <c r="I142" s="107">
        <v>800</v>
      </c>
      <c r="J142" s="96"/>
      <c r="K142" s="96">
        <f t="shared" si="105"/>
        <v>800</v>
      </c>
      <c r="L142" s="96">
        <f t="shared" si="106"/>
        <v>800</v>
      </c>
      <c r="M142" s="96">
        <f t="shared" si="107"/>
        <v>800</v>
      </c>
      <c r="N142" s="108" t="s">
        <v>381</v>
      </c>
      <c r="O142" s="109">
        <v>700</v>
      </c>
      <c r="P142" s="110"/>
      <c r="Q142" s="110">
        <f t="shared" si="108"/>
        <v>700</v>
      </c>
      <c r="R142" s="110">
        <f t="shared" si="109"/>
        <v>700</v>
      </c>
      <c r="S142" s="110">
        <f t="shared" si="110"/>
        <v>700</v>
      </c>
      <c r="T142" s="97" t="s">
        <v>382</v>
      </c>
      <c r="U142" s="98">
        <v>616</v>
      </c>
      <c r="V142" s="99"/>
      <c r="W142" s="99">
        <f t="shared" si="111"/>
        <v>616</v>
      </c>
      <c r="X142" s="99">
        <f t="shared" si="112"/>
        <v>616</v>
      </c>
      <c r="Y142" s="99">
        <f t="shared" si="113"/>
        <v>616</v>
      </c>
      <c r="Z142" s="100">
        <f t="shared" si="125"/>
        <v>705.33333333333337</v>
      </c>
      <c r="AA142" s="100">
        <f t="shared" si="114"/>
        <v>705.33333333333337</v>
      </c>
      <c r="AB142" s="78">
        <f t="shared" si="126"/>
        <v>92.115869063551543</v>
      </c>
      <c r="AC142" s="102">
        <f t="shared" si="115"/>
        <v>0.13059905821864584</v>
      </c>
      <c r="AD142" s="5"/>
      <c r="AE142" s="7" t="s">
        <v>1053</v>
      </c>
      <c r="AF142" s="7" t="str">
        <f>VLOOKUP(C142,Estudio_Mercado_Ori!$C$12:$AH$1115,32,0)</f>
        <v>30HUERTAS</v>
      </c>
      <c r="BG142" s="7">
        <v>19</v>
      </c>
      <c r="DA142" s="7" t="str">
        <f>VLOOKUP(C142,listaBolsa!$D$2:$BA$1248,1,0)</f>
        <v>Plántula de Zuchini verde (Cucurbita pepo)</v>
      </c>
      <c r="DB142" s="7">
        <f>VLOOKUP(C142,listaBolsa!$D$2:$BA$1248,2,0)</f>
        <v>0</v>
      </c>
      <c r="DC142" s="7" t="str">
        <f>VLOOKUP(C142,listaBolsa!$D$2:$BA$1248,10,0)</f>
        <v xml:space="preserve">JUNTOS DE LA MANO </v>
      </c>
      <c r="DD142" s="7">
        <f>VLOOKUP(C142,listaBolsa!$D$2:$BA$1248,14,0)</f>
        <v>800</v>
      </c>
      <c r="DE142" s="7" t="str">
        <f>VLOOKUP(C142,listaBolsa!$D$2:$BA$1248,23,0)</f>
        <v>MYCBDE</v>
      </c>
      <c r="DF142" s="7">
        <f>VLOOKUP(C142,listaBolsa!$D$2:$BA$1248,29,0)</f>
        <v>700</v>
      </c>
      <c r="DG142" s="7" t="str">
        <f>VLOOKUP(C142,listaBolsa!$D$2:$BA$1248,36,0)</f>
        <v>DAGROW</v>
      </c>
      <c r="DH142" s="7">
        <f>VLOOKUP(C142,listaBolsa!$D$2:$BA$1248,40,0)</f>
        <v>616</v>
      </c>
      <c r="DI142" s="253">
        <f>VLOOKUP(C142,listaBolsa!$D$2:$BA$1248,48,0)</f>
        <v>0.13059999999999999</v>
      </c>
      <c r="DJ142" s="7" t="b">
        <f t="shared" si="116"/>
        <v>1</v>
      </c>
      <c r="DK142" s="7" t="b">
        <f t="shared" si="117"/>
        <v>0</v>
      </c>
      <c r="DL142" s="7" t="b">
        <f t="shared" si="118"/>
        <v>1</v>
      </c>
      <c r="DM142" s="7" t="b">
        <f t="shared" si="119"/>
        <v>1</v>
      </c>
      <c r="DN142" s="7" t="b">
        <f t="shared" si="120"/>
        <v>1</v>
      </c>
      <c r="DO142" s="7" t="b">
        <f t="shared" si="121"/>
        <v>1</v>
      </c>
      <c r="DP142" s="7" t="b">
        <f t="shared" si="122"/>
        <v>1</v>
      </c>
      <c r="DQ142" s="7" t="b">
        <f t="shared" si="123"/>
        <v>1</v>
      </c>
      <c r="DR142" s="7" t="b">
        <f t="shared" si="124"/>
        <v>0</v>
      </c>
    </row>
    <row r="143" spans="1:122" s="7" customFormat="1" ht="79.5" customHeight="1">
      <c r="A143" s="75">
        <v>135</v>
      </c>
      <c r="B143" s="538" t="s">
        <v>579</v>
      </c>
      <c r="C143" s="351" t="s">
        <v>652</v>
      </c>
      <c r="D143" s="351" t="s">
        <v>622</v>
      </c>
      <c r="E143" s="193" t="s">
        <v>568</v>
      </c>
      <c r="F143" s="75">
        <v>1</v>
      </c>
      <c r="G143" s="75" t="s">
        <v>192</v>
      </c>
      <c r="H143" s="106" t="s">
        <v>380</v>
      </c>
      <c r="I143" s="107">
        <v>280</v>
      </c>
      <c r="J143" s="96"/>
      <c r="K143" s="96">
        <f t="shared" si="105"/>
        <v>280</v>
      </c>
      <c r="L143" s="96">
        <f t="shared" si="106"/>
        <v>280</v>
      </c>
      <c r="M143" s="96">
        <f t="shared" si="107"/>
        <v>280</v>
      </c>
      <c r="N143" s="108" t="s">
        <v>381</v>
      </c>
      <c r="O143" s="109">
        <v>250</v>
      </c>
      <c r="P143" s="110"/>
      <c r="Q143" s="110">
        <f t="shared" si="108"/>
        <v>250</v>
      </c>
      <c r="R143" s="110">
        <f t="shared" si="109"/>
        <v>250</v>
      </c>
      <c r="S143" s="110">
        <f t="shared" si="110"/>
        <v>250</v>
      </c>
      <c r="T143" s="97" t="s">
        <v>382</v>
      </c>
      <c r="U143" s="98">
        <v>216</v>
      </c>
      <c r="V143" s="99"/>
      <c r="W143" s="99">
        <f t="shared" si="111"/>
        <v>216</v>
      </c>
      <c r="X143" s="99">
        <f t="shared" si="112"/>
        <v>216</v>
      </c>
      <c r="Y143" s="99">
        <f t="shared" si="113"/>
        <v>216</v>
      </c>
      <c r="Z143" s="100">
        <f t="shared" si="125"/>
        <v>248.66666666666666</v>
      </c>
      <c r="AA143" s="100">
        <f t="shared" si="114"/>
        <v>248.66666666666666</v>
      </c>
      <c r="AB143" s="78">
        <f t="shared" si="126"/>
        <v>32.020826556060797</v>
      </c>
      <c r="AC143" s="102">
        <f t="shared" si="115"/>
        <v>0.12877007998415871</v>
      </c>
      <c r="AD143" s="5"/>
      <c r="AE143" s="7" t="s">
        <v>1053</v>
      </c>
      <c r="AF143" s="7" t="str">
        <f>VLOOKUP(C143,Estudio_Mercado_Ori!$C$12:$AH$1115,32,0)</f>
        <v>31HUERTAS</v>
      </c>
      <c r="BG143" s="7">
        <v>20</v>
      </c>
      <c r="DA143" s="7" t="str">
        <f>VLOOKUP(C143,listaBolsa!$D$2:$BA$1248,1,0)</f>
        <v>Plántula de Brócoli Liso (Brassica oleracea var. italica)</v>
      </c>
      <c r="DB143" s="7">
        <f>VLOOKUP(C143,listaBolsa!$D$2:$BA$1248,2,0)</f>
        <v>0</v>
      </c>
      <c r="DC143" s="7" t="str">
        <f>VLOOKUP(C143,listaBolsa!$D$2:$BA$1248,10,0)</f>
        <v xml:space="preserve">JUNTOS DE LA MANO </v>
      </c>
      <c r="DD143" s="7">
        <f>VLOOKUP(C143,listaBolsa!$D$2:$BA$1248,14,0)</f>
        <v>280</v>
      </c>
      <c r="DE143" s="7" t="str">
        <f>VLOOKUP(C143,listaBolsa!$D$2:$BA$1248,23,0)</f>
        <v>MYCBDE</v>
      </c>
      <c r="DF143" s="7">
        <f>VLOOKUP(C143,listaBolsa!$D$2:$BA$1248,29,0)</f>
        <v>250</v>
      </c>
      <c r="DG143" s="7" t="str">
        <f>VLOOKUP(C143,listaBolsa!$D$2:$BA$1248,36,0)</f>
        <v>DAGROW</v>
      </c>
      <c r="DH143" s="7">
        <f>VLOOKUP(C143,listaBolsa!$D$2:$BA$1248,40,0)</f>
        <v>216</v>
      </c>
      <c r="DI143" s="253">
        <f>VLOOKUP(C143,listaBolsa!$D$2:$BA$1248,48,0)</f>
        <v>0.1288</v>
      </c>
      <c r="DJ143" s="7" t="b">
        <f t="shared" si="116"/>
        <v>1</v>
      </c>
      <c r="DK143" s="7" t="b">
        <f t="shared" si="117"/>
        <v>0</v>
      </c>
      <c r="DL143" s="7" t="b">
        <f t="shared" si="118"/>
        <v>1</v>
      </c>
      <c r="DM143" s="7" t="b">
        <f t="shared" si="119"/>
        <v>1</v>
      </c>
      <c r="DN143" s="7" t="b">
        <f t="shared" si="120"/>
        <v>1</v>
      </c>
      <c r="DO143" s="7" t="b">
        <f t="shared" si="121"/>
        <v>1</v>
      </c>
      <c r="DP143" s="7" t="b">
        <f t="shared" si="122"/>
        <v>1</v>
      </c>
      <c r="DQ143" s="7" t="b">
        <f t="shared" si="123"/>
        <v>1</v>
      </c>
      <c r="DR143" s="7" t="b">
        <f t="shared" si="124"/>
        <v>0</v>
      </c>
    </row>
    <row r="144" spans="1:122" s="7" customFormat="1" ht="79.5" customHeight="1">
      <c r="A144" s="75">
        <v>136</v>
      </c>
      <c r="B144" s="538" t="s">
        <v>579</v>
      </c>
      <c r="C144" s="351" t="s">
        <v>654</v>
      </c>
      <c r="D144" s="351" t="s">
        <v>622</v>
      </c>
      <c r="E144" s="193" t="s">
        <v>568</v>
      </c>
      <c r="F144" s="75">
        <v>1</v>
      </c>
      <c r="G144" s="75" t="s">
        <v>192</v>
      </c>
      <c r="H144" s="106" t="s">
        <v>603</v>
      </c>
      <c r="I144" s="107">
        <v>1500</v>
      </c>
      <c r="J144" s="96"/>
      <c r="K144" s="96">
        <f t="shared" si="105"/>
        <v>1500</v>
      </c>
      <c r="L144" s="96">
        <f t="shared" si="106"/>
        <v>1500</v>
      </c>
      <c r="M144" s="96">
        <f t="shared" si="107"/>
        <v>1500</v>
      </c>
      <c r="N144" s="108" t="s">
        <v>604</v>
      </c>
      <c r="O144" s="109">
        <v>1200</v>
      </c>
      <c r="P144" s="110"/>
      <c r="Q144" s="110">
        <f t="shared" si="108"/>
        <v>1200</v>
      </c>
      <c r="R144" s="110">
        <f t="shared" si="109"/>
        <v>1200</v>
      </c>
      <c r="S144" s="110">
        <f t="shared" si="110"/>
        <v>1200</v>
      </c>
      <c r="T144" s="97" t="s">
        <v>605</v>
      </c>
      <c r="U144" s="98">
        <v>1800</v>
      </c>
      <c r="V144" s="99"/>
      <c r="W144" s="99">
        <f t="shared" si="111"/>
        <v>1800</v>
      </c>
      <c r="X144" s="99">
        <f t="shared" si="112"/>
        <v>1800</v>
      </c>
      <c r="Y144" s="99">
        <f t="shared" si="113"/>
        <v>1800</v>
      </c>
      <c r="Z144" s="100">
        <f t="shared" si="125"/>
        <v>1500</v>
      </c>
      <c r="AA144" s="100">
        <f t="shared" si="114"/>
        <v>1500</v>
      </c>
      <c r="AB144" s="78">
        <f t="shared" si="126"/>
        <v>300</v>
      </c>
      <c r="AC144" s="102">
        <f t="shared" si="115"/>
        <v>0.2</v>
      </c>
      <c r="AD144" s="5"/>
      <c r="AE144" s="7" t="s">
        <v>1053</v>
      </c>
      <c r="AF144" s="7" t="str">
        <f>VLOOKUP(C144,Estudio_Mercado_Ori!$C$12:$AH$1115,32,0)</f>
        <v>32HUERTAS</v>
      </c>
      <c r="BG144" s="7">
        <v>21</v>
      </c>
      <c r="DA144" s="7" t="str">
        <f>VLOOKUP(C144,listaBolsa!$D$2:$BA$1248,1,0)</f>
        <v>Plántula de Brocoli Romanesco (Brassica oleracea var. botrytis)</v>
      </c>
      <c r="DB144" s="7">
        <f>VLOOKUP(C144,listaBolsa!$D$2:$BA$1248,2,0)</f>
        <v>0</v>
      </c>
      <c r="DC144" s="7" t="str">
        <f>VLOOKUP(C144,listaBolsa!$D$2:$BA$1248,10,0)</f>
        <v>AGRIPLANT</v>
      </c>
      <c r="DD144" s="7">
        <f>VLOOKUP(C144,listaBolsa!$D$2:$BA$1248,14,0)</f>
        <v>1500</v>
      </c>
      <c r="DE144" s="7" t="str">
        <f>VLOOKUP(C144,listaBolsa!$D$2:$BA$1248,23,0)</f>
        <v>SEMBRAMOS VIVEROS ONLINE</v>
      </c>
      <c r="DF144" s="7">
        <f>VLOOKUP(C144,listaBolsa!$D$2:$BA$1248,29,0)</f>
        <v>1200</v>
      </c>
      <c r="DG144" s="7" t="str">
        <f>VLOOKUP(C144,listaBolsa!$D$2:$BA$1248,36,0)</f>
        <v>PAQUA</v>
      </c>
      <c r="DH144" s="7">
        <f>VLOOKUP(C144,listaBolsa!$D$2:$BA$1248,40,0)</f>
        <v>1800</v>
      </c>
      <c r="DI144" s="253">
        <f>VLOOKUP(C144,listaBolsa!$D$2:$BA$1248,48,0)</f>
        <v>0.2</v>
      </c>
      <c r="DJ144" s="7" t="b">
        <f t="shared" si="116"/>
        <v>1</v>
      </c>
      <c r="DK144" s="7" t="b">
        <f t="shared" si="117"/>
        <v>0</v>
      </c>
      <c r="DL144" s="7" t="b">
        <f t="shared" si="118"/>
        <v>1</v>
      </c>
      <c r="DM144" s="7" t="b">
        <f t="shared" si="119"/>
        <v>1</v>
      </c>
      <c r="DN144" s="7" t="b">
        <f t="shared" si="120"/>
        <v>1</v>
      </c>
      <c r="DO144" s="7" t="b">
        <f t="shared" si="121"/>
        <v>1</v>
      </c>
      <c r="DP144" s="7" t="b">
        <f t="shared" si="122"/>
        <v>1</v>
      </c>
      <c r="DQ144" s="7" t="b">
        <f t="shared" si="123"/>
        <v>1</v>
      </c>
      <c r="DR144" s="7" t="b">
        <f t="shared" si="124"/>
        <v>1</v>
      </c>
    </row>
    <row r="145" spans="1:125" s="7" customFormat="1" ht="79.5" customHeight="1">
      <c r="A145" s="75">
        <v>137</v>
      </c>
      <c r="B145" s="538" t="s">
        <v>579</v>
      </c>
      <c r="C145" s="351" t="s">
        <v>656</v>
      </c>
      <c r="D145" s="351" t="s">
        <v>622</v>
      </c>
      <c r="E145" s="193" t="s">
        <v>568</v>
      </c>
      <c r="F145" s="75">
        <v>1</v>
      </c>
      <c r="G145" s="75" t="s">
        <v>192</v>
      </c>
      <c r="H145" s="106" t="s">
        <v>380</v>
      </c>
      <c r="I145" s="107">
        <v>2600</v>
      </c>
      <c r="J145" s="96"/>
      <c r="K145" s="96">
        <f t="shared" si="105"/>
        <v>2600</v>
      </c>
      <c r="L145" s="96">
        <f t="shared" si="106"/>
        <v>2600</v>
      </c>
      <c r="M145" s="96">
        <f t="shared" si="107"/>
        <v>2600</v>
      </c>
      <c r="N145" s="108" t="s">
        <v>381</v>
      </c>
      <c r="O145" s="109">
        <v>2500</v>
      </c>
      <c r="P145" s="110"/>
      <c r="Q145" s="110">
        <f t="shared" si="108"/>
        <v>2500</v>
      </c>
      <c r="R145" s="110">
        <f t="shared" si="109"/>
        <v>2500</v>
      </c>
      <c r="S145" s="110">
        <f t="shared" si="110"/>
        <v>2500</v>
      </c>
      <c r="T145" s="97" t="s">
        <v>382</v>
      </c>
      <c r="U145" s="98">
        <v>2387</v>
      </c>
      <c r="V145" s="99"/>
      <c r="W145" s="99">
        <f t="shared" si="111"/>
        <v>2387</v>
      </c>
      <c r="X145" s="99">
        <f t="shared" si="112"/>
        <v>2387</v>
      </c>
      <c r="Y145" s="99">
        <f t="shared" si="113"/>
        <v>2387</v>
      </c>
      <c r="Z145" s="100">
        <f t="shared" si="125"/>
        <v>2495.6666666666665</v>
      </c>
      <c r="AA145" s="100">
        <f t="shared" si="114"/>
        <v>2495.6666666666665</v>
      </c>
      <c r="AB145" s="78">
        <f t="shared" si="126"/>
        <v>106.56609842409232</v>
      </c>
      <c r="AC145" s="102">
        <f t="shared" si="115"/>
        <v>4.2700453489017895E-2</v>
      </c>
      <c r="AD145" s="5"/>
      <c r="AE145" s="7" t="s">
        <v>1053</v>
      </c>
      <c r="AF145" s="7" t="str">
        <f>VLOOKUP(C145,Estudio_Mercado_Ori!$C$12:$AH$1115,32,0)</f>
        <v>33HUERTAS</v>
      </c>
      <c r="BG145" s="7">
        <v>22</v>
      </c>
      <c r="DA145" s="7" t="str">
        <f>VLOOKUP(C145,listaBolsa!$D$2:$BA$1248,1,0)</f>
        <v>Plántula de Tomate Cherry (Solanum lycopersicum var. cerasiforme)</v>
      </c>
      <c r="DB145" s="7">
        <f>VLOOKUP(C145,listaBolsa!$D$2:$BA$1248,2,0)</f>
        <v>0</v>
      </c>
      <c r="DC145" s="7" t="str">
        <f>VLOOKUP(C145,listaBolsa!$D$2:$BA$1248,10,0)</f>
        <v xml:space="preserve">JUNTOS DE LA MANO </v>
      </c>
      <c r="DD145" s="7">
        <f>VLOOKUP(C145,listaBolsa!$D$2:$BA$1248,14,0)</f>
        <v>2600</v>
      </c>
      <c r="DE145" s="7" t="str">
        <f>VLOOKUP(C145,listaBolsa!$D$2:$BA$1248,23,0)</f>
        <v>MYCBDE</v>
      </c>
      <c r="DF145" s="7">
        <f>VLOOKUP(C145,listaBolsa!$D$2:$BA$1248,29,0)</f>
        <v>2500</v>
      </c>
      <c r="DG145" s="7" t="str">
        <f>VLOOKUP(C145,listaBolsa!$D$2:$BA$1248,36,0)</f>
        <v>DAGROW</v>
      </c>
      <c r="DH145" s="7">
        <f>VLOOKUP(C145,listaBolsa!$D$2:$BA$1248,40,0)</f>
        <v>2387</v>
      </c>
      <c r="DI145" s="253">
        <f>VLOOKUP(C145,listaBolsa!$D$2:$BA$1248,48,0)</f>
        <v>4.2700000000000002E-2</v>
      </c>
      <c r="DJ145" s="7" t="b">
        <f t="shared" si="116"/>
        <v>1</v>
      </c>
      <c r="DK145" s="7" t="b">
        <f t="shared" si="117"/>
        <v>0</v>
      </c>
      <c r="DL145" s="7" t="b">
        <f t="shared" si="118"/>
        <v>1</v>
      </c>
      <c r="DM145" s="7" t="b">
        <f t="shared" si="119"/>
        <v>1</v>
      </c>
      <c r="DN145" s="7" t="b">
        <f t="shared" si="120"/>
        <v>1</v>
      </c>
      <c r="DO145" s="7" t="b">
        <f t="shared" si="121"/>
        <v>1</v>
      </c>
      <c r="DP145" s="7" t="b">
        <f t="shared" si="122"/>
        <v>1</v>
      </c>
      <c r="DQ145" s="7" t="b">
        <f t="shared" si="123"/>
        <v>1</v>
      </c>
      <c r="DR145" s="7" t="b">
        <f t="shared" si="124"/>
        <v>0</v>
      </c>
    </row>
    <row r="146" spans="1:125" s="7" customFormat="1" ht="79.5" customHeight="1">
      <c r="A146" s="75">
        <v>138</v>
      </c>
      <c r="B146" s="538" t="s">
        <v>579</v>
      </c>
      <c r="C146" s="351" t="s">
        <v>658</v>
      </c>
      <c r="D146" s="351" t="s">
        <v>622</v>
      </c>
      <c r="E146" s="193" t="s">
        <v>568</v>
      </c>
      <c r="F146" s="75">
        <v>1</v>
      </c>
      <c r="G146" s="75" t="s">
        <v>192</v>
      </c>
      <c r="H146" s="106" t="s">
        <v>380</v>
      </c>
      <c r="I146" s="107">
        <v>220</v>
      </c>
      <c r="J146" s="96"/>
      <c r="K146" s="96">
        <f t="shared" ref="K146:K177" si="127">I146+J146</f>
        <v>220</v>
      </c>
      <c r="L146" s="96">
        <f t="shared" ref="L146:L177" si="128">IF(B146="","",(I146*F146))</f>
        <v>220</v>
      </c>
      <c r="M146" s="96">
        <f t="shared" ref="M146:M177" si="129">IF(B146="","",(K146*F146))</f>
        <v>220</v>
      </c>
      <c r="N146" s="108" t="s">
        <v>381</v>
      </c>
      <c r="O146" s="109">
        <v>200</v>
      </c>
      <c r="P146" s="110"/>
      <c r="Q146" s="110">
        <f t="shared" ref="Q146:Q177" si="130">O146+P146</f>
        <v>200</v>
      </c>
      <c r="R146" s="110">
        <f t="shared" ref="R146:R177" si="131">IF(B146="","",(O146*F146))</f>
        <v>200</v>
      </c>
      <c r="S146" s="110">
        <f t="shared" ref="S146:S177" si="132">IF(B146="","",(Q146*F146))</f>
        <v>200</v>
      </c>
      <c r="T146" s="97" t="s">
        <v>382</v>
      </c>
      <c r="U146" s="98">
        <v>147</v>
      </c>
      <c r="V146" s="99"/>
      <c r="W146" s="99">
        <f t="shared" ref="W146:W175" si="133">U146+V146</f>
        <v>147</v>
      </c>
      <c r="X146" s="99">
        <f t="shared" ref="X146:X175" si="134">IF(B146="","",(U146*F146))</f>
        <v>147</v>
      </c>
      <c r="Y146" s="99">
        <f t="shared" ref="Y146:Y175" si="135">IF(B146="","",(W146*F146))</f>
        <v>147</v>
      </c>
      <c r="Z146" s="100">
        <f t="shared" si="125"/>
        <v>189</v>
      </c>
      <c r="AA146" s="100">
        <f t="shared" ref="AA146:AA177" si="136">IF(B146="","",Z146*F146)</f>
        <v>189</v>
      </c>
      <c r="AB146" s="78">
        <f t="shared" si="126"/>
        <v>37.722672227720032</v>
      </c>
      <c r="AC146" s="102">
        <f t="shared" ref="AC146:AC177" si="137">IF(B146="","",(AB146/AA146))</f>
        <v>0.19959085834772503</v>
      </c>
      <c r="AD146" s="5"/>
      <c r="AE146" s="7" t="s">
        <v>1053</v>
      </c>
      <c r="AF146" s="7" t="str">
        <f>VLOOKUP(C146,Estudio_Mercado_Ori!$C$12:$AH$1115,32,0)</f>
        <v>34HUERTAS</v>
      </c>
      <c r="BG146" s="7">
        <v>23</v>
      </c>
      <c r="DA146" s="7" t="str">
        <f>VLOOKUP(C146,listaBolsa!$D$2:$BA$1248,1,0)</f>
        <v>Plántula de Rúgula ( Eruca vesicaria)</v>
      </c>
      <c r="DB146" s="7">
        <f>VLOOKUP(C146,listaBolsa!$D$2:$BA$1248,2,0)</f>
        <v>0</v>
      </c>
      <c r="DC146" s="7" t="str">
        <f>VLOOKUP(C146,listaBolsa!$D$2:$BA$1248,10,0)</f>
        <v xml:space="preserve">JUNTOS DE LA MANO </v>
      </c>
      <c r="DD146" s="7">
        <f>VLOOKUP(C146,listaBolsa!$D$2:$BA$1248,14,0)</f>
        <v>220</v>
      </c>
      <c r="DE146" s="7" t="str">
        <f>VLOOKUP(C146,listaBolsa!$D$2:$BA$1248,23,0)</f>
        <v>MYCBDE</v>
      </c>
      <c r="DF146" s="7">
        <f>VLOOKUP(C146,listaBolsa!$D$2:$BA$1248,29,0)</f>
        <v>200</v>
      </c>
      <c r="DG146" s="7" t="str">
        <f>VLOOKUP(C146,listaBolsa!$D$2:$BA$1248,36,0)</f>
        <v>DAGROW</v>
      </c>
      <c r="DH146" s="7">
        <f>VLOOKUP(C146,listaBolsa!$D$2:$BA$1248,40,0)</f>
        <v>147</v>
      </c>
      <c r="DI146" s="253">
        <f>VLOOKUP(C146,listaBolsa!$D$2:$BA$1248,48,0)</f>
        <v>0.1996</v>
      </c>
      <c r="DJ146" s="7" t="b">
        <f t="shared" ref="DJ146:DJ172" si="138">DA146=C146</f>
        <v>1</v>
      </c>
      <c r="DK146" s="7" t="b">
        <f t="shared" ref="DK146:DK172" si="139">DB146=D146</f>
        <v>0</v>
      </c>
      <c r="DL146" s="7" t="b">
        <f t="shared" ref="DL146:DL177" si="140">DC146=H146</f>
        <v>1</v>
      </c>
      <c r="DM146" s="7" t="b">
        <f t="shared" ref="DM146:DM177" si="141">DD146=I146</f>
        <v>1</v>
      </c>
      <c r="DN146" s="7" t="b">
        <f t="shared" ref="DN146:DN177" si="142">DE146=N146</f>
        <v>1</v>
      </c>
      <c r="DO146" s="7" t="b">
        <f t="shared" ref="DO146:DO177" si="143">DF146=O146</f>
        <v>1</v>
      </c>
      <c r="DP146" s="7" t="b">
        <f t="shared" ref="DP146:DP177" si="144">DG146=T146</f>
        <v>1</v>
      </c>
      <c r="DQ146" s="7" t="b">
        <f t="shared" ref="DQ146:DQ177" si="145">DH146=U146</f>
        <v>1</v>
      </c>
      <c r="DR146" s="7" t="b">
        <f t="shared" ref="DR146:DR177" si="146">DI146=AC146</f>
        <v>0</v>
      </c>
    </row>
    <row r="147" spans="1:125" s="7" customFormat="1" ht="79.5" customHeight="1">
      <c r="A147" s="75">
        <v>139</v>
      </c>
      <c r="B147" s="538" t="s">
        <v>579</v>
      </c>
      <c r="C147" s="351" t="s">
        <v>660</v>
      </c>
      <c r="D147" s="351" t="s">
        <v>622</v>
      </c>
      <c r="E147" s="193" t="s">
        <v>568</v>
      </c>
      <c r="F147" s="75">
        <v>1</v>
      </c>
      <c r="G147" s="75" t="s">
        <v>192</v>
      </c>
      <c r="H147" s="106" t="s">
        <v>380</v>
      </c>
      <c r="I147" s="107">
        <v>260</v>
      </c>
      <c r="J147" s="96"/>
      <c r="K147" s="96">
        <f t="shared" si="127"/>
        <v>260</v>
      </c>
      <c r="L147" s="96">
        <f t="shared" si="128"/>
        <v>260</v>
      </c>
      <c r="M147" s="96">
        <f t="shared" si="129"/>
        <v>260</v>
      </c>
      <c r="N147" s="108" t="s">
        <v>381</v>
      </c>
      <c r="O147" s="109">
        <v>250</v>
      </c>
      <c r="P147" s="110"/>
      <c r="Q147" s="110">
        <f t="shared" si="130"/>
        <v>250</v>
      </c>
      <c r="R147" s="110">
        <f t="shared" si="131"/>
        <v>250</v>
      </c>
      <c r="S147" s="110">
        <f t="shared" si="132"/>
        <v>250</v>
      </c>
      <c r="T147" s="97" t="s">
        <v>382</v>
      </c>
      <c r="U147" s="98">
        <v>350</v>
      </c>
      <c r="V147" s="99"/>
      <c r="W147" s="99">
        <f t="shared" si="133"/>
        <v>350</v>
      </c>
      <c r="X147" s="99">
        <f t="shared" si="134"/>
        <v>350</v>
      </c>
      <c r="Y147" s="99">
        <f t="shared" si="135"/>
        <v>350</v>
      </c>
      <c r="Z147" s="100">
        <f t="shared" ref="Z147:Z178" si="147">IF(A147="","",AVERAGE(K147,Q147,W147))</f>
        <v>286.66666666666669</v>
      </c>
      <c r="AA147" s="100">
        <f t="shared" si="136"/>
        <v>286.66666666666669</v>
      </c>
      <c r="AB147" s="78">
        <f t="shared" ref="AB147:AB178" si="148">IF(B147="","",STDEV(M147,S147,Y147))</f>
        <v>55.075705472860975</v>
      </c>
      <c r="AC147" s="102">
        <f t="shared" si="137"/>
        <v>0.19212455397509642</v>
      </c>
      <c r="AD147" s="5"/>
      <c r="AE147" s="7" t="s">
        <v>1053</v>
      </c>
      <c r="AF147" s="7" t="str">
        <f>VLOOKUP(C147,Estudio_Mercado_Ori!$C$12:$AH$1115,32,0)</f>
        <v>35HUERTAS</v>
      </c>
      <c r="BG147" s="7">
        <v>24</v>
      </c>
      <c r="DA147" s="7" t="str">
        <f>VLOOKUP(C147,listaBolsa!$D$2:$BA$1248,1,0)</f>
        <v>Plántula de Tomillo (Thymus vulgaris)</v>
      </c>
      <c r="DB147" s="7">
        <f>VLOOKUP(C147,listaBolsa!$D$2:$BA$1248,2,0)</f>
        <v>0</v>
      </c>
      <c r="DC147" s="7" t="str">
        <f>VLOOKUP(C147,listaBolsa!$D$2:$BA$1248,10,0)</f>
        <v xml:space="preserve">JUNTOS DE LA MANO </v>
      </c>
      <c r="DD147" s="7">
        <f>VLOOKUP(C147,listaBolsa!$D$2:$BA$1248,14,0)</f>
        <v>260</v>
      </c>
      <c r="DE147" s="7" t="str">
        <f>VLOOKUP(C147,listaBolsa!$D$2:$BA$1248,23,0)</f>
        <v>MYCBDE</v>
      </c>
      <c r="DF147" s="7">
        <f>VLOOKUP(C147,listaBolsa!$D$2:$BA$1248,29,0)</f>
        <v>250</v>
      </c>
      <c r="DG147" s="7" t="str">
        <f>VLOOKUP(C147,listaBolsa!$D$2:$BA$1248,36,0)</f>
        <v>DAGROW</v>
      </c>
      <c r="DH147" s="7">
        <f>VLOOKUP(C147,listaBolsa!$D$2:$BA$1248,40,0)</f>
        <v>350</v>
      </c>
      <c r="DI147" s="253">
        <f>VLOOKUP(C147,listaBolsa!$D$2:$BA$1248,48,0)</f>
        <v>0.19209999999999999</v>
      </c>
      <c r="DJ147" s="7" t="b">
        <f t="shared" si="138"/>
        <v>1</v>
      </c>
      <c r="DK147" s="7" t="b">
        <f t="shared" si="139"/>
        <v>0</v>
      </c>
      <c r="DL147" s="7" t="b">
        <f t="shared" si="140"/>
        <v>1</v>
      </c>
      <c r="DM147" s="7" t="b">
        <f t="shared" si="141"/>
        <v>1</v>
      </c>
      <c r="DN147" s="7" t="b">
        <f t="shared" si="142"/>
        <v>1</v>
      </c>
      <c r="DO147" s="7" t="b">
        <f t="shared" si="143"/>
        <v>1</v>
      </c>
      <c r="DP147" s="7" t="b">
        <f t="shared" si="144"/>
        <v>1</v>
      </c>
      <c r="DQ147" s="7" t="b">
        <f t="shared" si="145"/>
        <v>1</v>
      </c>
      <c r="DR147" s="7" t="b">
        <f t="shared" si="146"/>
        <v>0</v>
      </c>
    </row>
    <row r="148" spans="1:125" s="7" customFormat="1" ht="79.5" customHeight="1">
      <c r="A148" s="75">
        <v>140</v>
      </c>
      <c r="B148" s="538" t="s">
        <v>579</v>
      </c>
      <c r="C148" s="351" t="s">
        <v>662</v>
      </c>
      <c r="D148" s="351" t="s">
        <v>622</v>
      </c>
      <c r="E148" s="193" t="s">
        <v>568</v>
      </c>
      <c r="F148" s="75">
        <v>1</v>
      </c>
      <c r="G148" s="75" t="s">
        <v>192</v>
      </c>
      <c r="H148" s="106" t="s">
        <v>380</v>
      </c>
      <c r="I148" s="107">
        <v>280</v>
      </c>
      <c r="J148" s="96"/>
      <c r="K148" s="96">
        <f t="shared" si="127"/>
        <v>280</v>
      </c>
      <c r="L148" s="96">
        <f t="shared" si="128"/>
        <v>280</v>
      </c>
      <c r="M148" s="96">
        <f t="shared" si="129"/>
        <v>280</v>
      </c>
      <c r="N148" s="108" t="s">
        <v>381</v>
      </c>
      <c r="O148" s="109">
        <v>250</v>
      </c>
      <c r="P148" s="110"/>
      <c r="Q148" s="110">
        <f t="shared" si="130"/>
        <v>250</v>
      </c>
      <c r="R148" s="110">
        <f t="shared" si="131"/>
        <v>250</v>
      </c>
      <c r="S148" s="110">
        <f t="shared" si="132"/>
        <v>250</v>
      </c>
      <c r="T148" s="97" t="s">
        <v>382</v>
      </c>
      <c r="U148" s="98">
        <v>193</v>
      </c>
      <c r="V148" s="99"/>
      <c r="W148" s="99">
        <f t="shared" si="133"/>
        <v>193</v>
      </c>
      <c r="X148" s="99">
        <f t="shared" si="134"/>
        <v>193</v>
      </c>
      <c r="Y148" s="99">
        <f t="shared" si="135"/>
        <v>193</v>
      </c>
      <c r="Z148" s="100">
        <f t="shared" si="147"/>
        <v>241</v>
      </c>
      <c r="AA148" s="100">
        <f t="shared" si="136"/>
        <v>241</v>
      </c>
      <c r="AB148" s="78">
        <f t="shared" si="148"/>
        <v>44.192759587968709</v>
      </c>
      <c r="AC148" s="102">
        <f t="shared" si="137"/>
        <v>0.18337244642310668</v>
      </c>
      <c r="AD148" s="5"/>
      <c r="AE148" s="7" t="s">
        <v>1053</v>
      </c>
      <c r="AF148" s="7" t="str">
        <f>VLOOKUP(C148,Estudio_Mercado_Ori!$C$12:$AH$1115,32,0)</f>
        <v>36HUERTAS</v>
      </c>
      <c r="BG148" s="7">
        <v>25</v>
      </c>
      <c r="DA148" s="7" t="str">
        <f>VLOOKUP(C148,listaBolsa!$D$2:$BA$1248,1,0)</f>
        <v>Plántula de Apio (Apium graveolens)</v>
      </c>
      <c r="DB148" s="7">
        <f>VLOOKUP(C148,listaBolsa!$D$2:$BA$1248,2,0)</f>
        <v>0</v>
      </c>
      <c r="DC148" s="7" t="str">
        <f>VLOOKUP(C148,listaBolsa!$D$2:$BA$1248,10,0)</f>
        <v xml:space="preserve">JUNTOS DE LA MANO </v>
      </c>
      <c r="DD148" s="7">
        <f>VLOOKUP(C148,listaBolsa!$D$2:$BA$1248,14,0)</f>
        <v>280</v>
      </c>
      <c r="DE148" s="7" t="str">
        <f>VLOOKUP(C148,listaBolsa!$D$2:$BA$1248,23,0)</f>
        <v>MYCBDE</v>
      </c>
      <c r="DF148" s="7">
        <f>VLOOKUP(C148,listaBolsa!$D$2:$BA$1248,29,0)</f>
        <v>250</v>
      </c>
      <c r="DG148" s="7" t="str">
        <f>VLOOKUP(C148,listaBolsa!$D$2:$BA$1248,36,0)</f>
        <v>DAGROW</v>
      </c>
      <c r="DH148" s="7">
        <f>VLOOKUP(C148,listaBolsa!$D$2:$BA$1248,40,0)</f>
        <v>193</v>
      </c>
      <c r="DI148" s="253">
        <f>VLOOKUP(C148,listaBolsa!$D$2:$BA$1248,48,0)</f>
        <v>0.18340000000000001</v>
      </c>
      <c r="DJ148" s="7" t="b">
        <f t="shared" si="138"/>
        <v>1</v>
      </c>
      <c r="DK148" s="7" t="b">
        <f t="shared" si="139"/>
        <v>0</v>
      </c>
      <c r="DL148" s="7" t="b">
        <f t="shared" si="140"/>
        <v>1</v>
      </c>
      <c r="DM148" s="7" t="b">
        <f t="shared" si="141"/>
        <v>1</v>
      </c>
      <c r="DN148" s="7" t="b">
        <f t="shared" si="142"/>
        <v>1</v>
      </c>
      <c r="DO148" s="7" t="b">
        <f t="shared" si="143"/>
        <v>1</v>
      </c>
      <c r="DP148" s="7" t="b">
        <f t="shared" si="144"/>
        <v>1</v>
      </c>
      <c r="DQ148" s="7" t="b">
        <f t="shared" si="145"/>
        <v>1</v>
      </c>
      <c r="DR148" s="7" t="b">
        <f t="shared" si="146"/>
        <v>0</v>
      </c>
    </row>
    <row r="149" spans="1:125" s="7" customFormat="1" ht="79.5" customHeight="1">
      <c r="A149" s="75">
        <v>141</v>
      </c>
      <c r="B149" s="538" t="s">
        <v>579</v>
      </c>
      <c r="C149" s="411" t="s">
        <v>664</v>
      </c>
      <c r="D149" s="351" t="s">
        <v>622</v>
      </c>
      <c r="E149" s="193" t="s">
        <v>568</v>
      </c>
      <c r="F149" s="75">
        <v>1</v>
      </c>
      <c r="G149" s="75" t="s">
        <v>192</v>
      </c>
      <c r="H149" s="106" t="s">
        <v>665</v>
      </c>
      <c r="I149" s="107">
        <v>6722.6890756302528</v>
      </c>
      <c r="J149" s="96"/>
      <c r="K149" s="96">
        <f t="shared" si="127"/>
        <v>6722.6890756302528</v>
      </c>
      <c r="L149" s="96">
        <f t="shared" si="128"/>
        <v>6722.6890756302528</v>
      </c>
      <c r="M149" s="96">
        <f t="shared" si="129"/>
        <v>6722.6890756302528</v>
      </c>
      <c r="N149" s="108" t="s">
        <v>666</v>
      </c>
      <c r="O149" s="109">
        <v>6722.6890756302528</v>
      </c>
      <c r="P149" s="110"/>
      <c r="Q149" s="110">
        <f t="shared" si="130"/>
        <v>6722.6890756302528</v>
      </c>
      <c r="R149" s="110">
        <f t="shared" si="131"/>
        <v>6722.6890756302528</v>
      </c>
      <c r="S149" s="110">
        <f t="shared" si="132"/>
        <v>6722.6890756302528</v>
      </c>
      <c r="T149" s="97" t="s">
        <v>667</v>
      </c>
      <c r="U149" s="98">
        <v>8000</v>
      </c>
      <c r="V149" s="99"/>
      <c r="W149" s="99">
        <f t="shared" si="133"/>
        <v>8000</v>
      </c>
      <c r="X149" s="99">
        <f t="shared" si="134"/>
        <v>8000</v>
      </c>
      <c r="Y149" s="99">
        <f t="shared" si="135"/>
        <v>8000</v>
      </c>
      <c r="Z149" s="100">
        <f t="shared" si="147"/>
        <v>7148.4593837535022</v>
      </c>
      <c r="AA149" s="100">
        <f t="shared" si="136"/>
        <v>7148.4593837535022</v>
      </c>
      <c r="AB149" s="78">
        <f t="shared" si="148"/>
        <v>737.45580602372331</v>
      </c>
      <c r="AC149" s="102">
        <f t="shared" si="137"/>
        <v>0.10316290076429044</v>
      </c>
      <c r="AD149" s="5"/>
      <c r="AE149" s="7" t="s">
        <v>1082</v>
      </c>
      <c r="AF149" s="7" t="str">
        <f>VLOOKUP(C149,Estudio_Mercado_Ori!$C$12:$AH$1115,32,0)</f>
        <v>37HUERTAS</v>
      </c>
      <c r="BG149" s="7">
        <v>26</v>
      </c>
      <c r="DA149" s="7" t="str">
        <f>VLOOKUP(C149,listaBolsa!$D$2:$BA$1248,1,0)</f>
        <v>Plántula de Frijol Cargamanto (Phaseolus vulgaris)</v>
      </c>
      <c r="DB149" s="7">
        <f>VLOOKUP(C149,listaBolsa!$D$2:$BA$1248,2,0)</f>
        <v>0</v>
      </c>
      <c r="DC149" s="7" t="str">
        <f>VLOOKUP(C149,listaBolsa!$D$2:$BA$1248,10,0)</f>
        <v>MY GARDEN</v>
      </c>
      <c r="DD149" s="7">
        <f>VLOOKUP(C149,listaBolsa!$D$2:$BA$1248,14,0)</f>
        <v>6722.69</v>
      </c>
      <c r="DE149" s="7" t="str">
        <f>VLOOKUP(C149,listaBolsa!$D$2:$BA$1248,23,0)</f>
        <v>HOGAR SEMILLA</v>
      </c>
      <c r="DF149" s="7">
        <f>VLOOKUP(C149,listaBolsa!$D$2:$BA$1248,29,0)</f>
        <v>8000</v>
      </c>
      <c r="DG149" s="7" t="str">
        <f>VLOOKUP(C149,listaBolsa!$D$2:$BA$1248,36,0)</f>
        <v>ZELVA</v>
      </c>
      <c r="DH149" s="7">
        <f>VLOOKUP(C149,listaBolsa!$D$2:$BA$1248,40,0)</f>
        <v>8000</v>
      </c>
      <c r="DI149" s="253">
        <f>VLOOKUP(C149,listaBolsa!$D$2:$BA$1248,48,0)</f>
        <v>0</v>
      </c>
      <c r="DJ149" s="7" t="b">
        <f t="shared" si="138"/>
        <v>1</v>
      </c>
      <c r="DK149" s="7" t="b">
        <f t="shared" si="139"/>
        <v>0</v>
      </c>
      <c r="DL149" s="7" t="b">
        <f t="shared" si="140"/>
        <v>1</v>
      </c>
      <c r="DM149" s="7" t="b">
        <f t="shared" si="141"/>
        <v>0</v>
      </c>
      <c r="DN149" s="7" t="b">
        <f t="shared" si="142"/>
        <v>1</v>
      </c>
      <c r="DO149" s="7" t="b">
        <f t="shared" si="143"/>
        <v>0</v>
      </c>
      <c r="DP149" s="7" t="b">
        <f t="shared" si="144"/>
        <v>1</v>
      </c>
      <c r="DQ149" s="7" t="b">
        <f t="shared" si="145"/>
        <v>1</v>
      </c>
      <c r="DR149" s="7" t="b">
        <f t="shared" si="146"/>
        <v>0</v>
      </c>
    </row>
    <row r="150" spans="1:125" s="7" customFormat="1" ht="79.5" customHeight="1">
      <c r="A150" s="75">
        <v>142</v>
      </c>
      <c r="B150" s="538" t="s">
        <v>579</v>
      </c>
      <c r="C150" s="351" t="s">
        <v>669</v>
      </c>
      <c r="D150" s="351" t="s">
        <v>622</v>
      </c>
      <c r="E150" s="193" t="s">
        <v>568</v>
      </c>
      <c r="F150" s="75">
        <v>1</v>
      </c>
      <c r="G150" s="75" t="s">
        <v>192</v>
      </c>
      <c r="H150" s="106" t="s">
        <v>603</v>
      </c>
      <c r="I150" s="107">
        <v>1500</v>
      </c>
      <c r="J150" s="96"/>
      <c r="K150" s="96">
        <f t="shared" si="127"/>
        <v>1500</v>
      </c>
      <c r="L150" s="96">
        <f t="shared" si="128"/>
        <v>1500</v>
      </c>
      <c r="M150" s="96">
        <f t="shared" si="129"/>
        <v>1500</v>
      </c>
      <c r="N150" s="108" t="s">
        <v>604</v>
      </c>
      <c r="O150" s="109">
        <v>1200</v>
      </c>
      <c r="P150" s="110"/>
      <c r="Q150" s="110">
        <f t="shared" si="130"/>
        <v>1200</v>
      </c>
      <c r="R150" s="110">
        <f t="shared" si="131"/>
        <v>1200</v>
      </c>
      <c r="S150" s="110">
        <f t="shared" si="132"/>
        <v>1200</v>
      </c>
      <c r="T150" s="97" t="s">
        <v>605</v>
      </c>
      <c r="U150" s="98">
        <v>1500</v>
      </c>
      <c r="V150" s="99"/>
      <c r="W150" s="99">
        <f t="shared" si="133"/>
        <v>1500</v>
      </c>
      <c r="X150" s="99">
        <f t="shared" si="134"/>
        <v>1500</v>
      </c>
      <c r="Y150" s="99">
        <f t="shared" si="135"/>
        <v>1500</v>
      </c>
      <c r="Z150" s="100">
        <f t="shared" si="147"/>
        <v>1400</v>
      </c>
      <c r="AA150" s="100">
        <f t="shared" si="136"/>
        <v>1400</v>
      </c>
      <c r="AB150" s="78">
        <f t="shared" si="148"/>
        <v>173.20508075688772</v>
      </c>
      <c r="AC150" s="102">
        <f t="shared" si="137"/>
        <v>0.12371791482634838</v>
      </c>
      <c r="AD150" s="5"/>
      <c r="AE150" s="7" t="s">
        <v>1053</v>
      </c>
      <c r="AF150" s="7" t="str">
        <f>VLOOKUP(C150,Estudio_Mercado_Ori!$C$12:$AH$1115,32,0)</f>
        <v>38HUERTAS</v>
      </c>
      <c r="BG150" s="7">
        <v>27</v>
      </c>
      <c r="DA150" s="7" t="str">
        <f>VLOOKUP(C150,listaBolsa!$D$2:$BA$1248,1,0)</f>
        <v>Plántula de Kale Liso (Brassica oleracea var. acephala) </v>
      </c>
      <c r="DB150" s="7">
        <f>VLOOKUP(C150,listaBolsa!$D$2:$BA$1248,2,0)</f>
        <v>0</v>
      </c>
      <c r="DC150" s="7" t="str">
        <f>VLOOKUP(C150,listaBolsa!$D$2:$BA$1248,10,0)</f>
        <v>AGRIPLANT</v>
      </c>
      <c r="DD150" s="7">
        <f>VLOOKUP(C150,listaBolsa!$D$2:$BA$1248,14,0)</f>
        <v>1500</v>
      </c>
      <c r="DE150" s="7" t="str">
        <f>VLOOKUP(C150,listaBolsa!$D$2:$BA$1248,23,0)</f>
        <v>SEMBRAMOS VIVEROS ONLINE</v>
      </c>
      <c r="DF150" s="7">
        <f>VLOOKUP(C150,listaBolsa!$D$2:$BA$1248,29,0)</f>
        <v>1200</v>
      </c>
      <c r="DG150" s="7" t="str">
        <f>VLOOKUP(C150,listaBolsa!$D$2:$BA$1248,36,0)</f>
        <v>PAQUA</v>
      </c>
      <c r="DH150" s="7">
        <f>VLOOKUP(C150,listaBolsa!$D$2:$BA$1248,40,0)</f>
        <v>1500</v>
      </c>
      <c r="DI150" s="253">
        <f>VLOOKUP(C150,listaBolsa!$D$2:$BA$1248,48,0)</f>
        <v>0.1237</v>
      </c>
      <c r="DJ150" s="7" t="b">
        <f t="shared" si="138"/>
        <v>1</v>
      </c>
      <c r="DK150" s="7" t="b">
        <f t="shared" si="139"/>
        <v>0</v>
      </c>
      <c r="DL150" s="7" t="b">
        <f t="shared" si="140"/>
        <v>1</v>
      </c>
      <c r="DM150" s="7" t="b">
        <f t="shared" si="141"/>
        <v>1</v>
      </c>
      <c r="DN150" s="7" t="b">
        <f t="shared" si="142"/>
        <v>1</v>
      </c>
      <c r="DO150" s="7" t="b">
        <f t="shared" si="143"/>
        <v>1</v>
      </c>
      <c r="DP150" s="7" t="b">
        <f t="shared" si="144"/>
        <v>1</v>
      </c>
      <c r="DQ150" s="7" t="b">
        <f t="shared" si="145"/>
        <v>1</v>
      </c>
      <c r="DR150" s="7" t="b">
        <f t="shared" si="146"/>
        <v>0</v>
      </c>
    </row>
    <row r="151" spans="1:125" s="7" customFormat="1" ht="79.5" customHeight="1">
      <c r="A151" s="75">
        <v>143</v>
      </c>
      <c r="B151" s="538" t="s">
        <v>579</v>
      </c>
      <c r="C151" s="351" t="s">
        <v>671</v>
      </c>
      <c r="D151" s="351" t="s">
        <v>622</v>
      </c>
      <c r="E151" s="193" t="s">
        <v>568</v>
      </c>
      <c r="F151" s="75">
        <v>1</v>
      </c>
      <c r="G151" s="75" t="s">
        <v>192</v>
      </c>
      <c r="H151" s="106" t="s">
        <v>603</v>
      </c>
      <c r="I151" s="107">
        <v>1500</v>
      </c>
      <c r="J151" s="96"/>
      <c r="K151" s="96">
        <f t="shared" si="127"/>
        <v>1500</v>
      </c>
      <c r="L151" s="96">
        <f t="shared" si="128"/>
        <v>1500</v>
      </c>
      <c r="M151" s="96">
        <f t="shared" si="129"/>
        <v>1500</v>
      </c>
      <c r="N151" s="108" t="s">
        <v>604</v>
      </c>
      <c r="O151" s="109">
        <v>1200</v>
      </c>
      <c r="P151" s="110"/>
      <c r="Q151" s="110">
        <f t="shared" si="130"/>
        <v>1200</v>
      </c>
      <c r="R151" s="110">
        <f t="shared" si="131"/>
        <v>1200</v>
      </c>
      <c r="S151" s="110">
        <f t="shared" si="132"/>
        <v>1200</v>
      </c>
      <c r="T151" s="97" t="s">
        <v>605</v>
      </c>
      <c r="U151" s="98">
        <v>1500</v>
      </c>
      <c r="V151" s="99"/>
      <c r="W151" s="99">
        <f t="shared" si="133"/>
        <v>1500</v>
      </c>
      <c r="X151" s="99">
        <f t="shared" si="134"/>
        <v>1500</v>
      </c>
      <c r="Y151" s="99">
        <f t="shared" si="135"/>
        <v>1500</v>
      </c>
      <c r="Z151" s="100">
        <f t="shared" si="147"/>
        <v>1400</v>
      </c>
      <c r="AA151" s="100">
        <f t="shared" si="136"/>
        <v>1400</v>
      </c>
      <c r="AB151" s="78">
        <f t="shared" si="148"/>
        <v>173.20508075688772</v>
      </c>
      <c r="AC151" s="102">
        <f t="shared" si="137"/>
        <v>0.12371791482634838</v>
      </c>
      <c r="AD151" s="5"/>
      <c r="AE151" s="7" t="s">
        <v>1053</v>
      </c>
      <c r="AF151" s="7" t="str">
        <f>VLOOKUP(C151,Estudio_Mercado_Ori!$C$12:$AH$1115,32,0)</f>
        <v>39HUERTAS</v>
      </c>
      <c r="BG151" s="7">
        <v>28</v>
      </c>
      <c r="DA151" s="7" t="str">
        <f>VLOOKUP(C151,listaBolsa!$D$2:$BA$1248,1,0)</f>
        <v>Plántula de Kale Crespo (Brassica oleracea var. sabellica)</v>
      </c>
      <c r="DB151" s="7">
        <f>VLOOKUP(C151,listaBolsa!$D$2:$BA$1248,2,0)</f>
        <v>0</v>
      </c>
      <c r="DC151" s="7" t="str">
        <f>VLOOKUP(C151,listaBolsa!$D$2:$BA$1248,10,0)</f>
        <v>AGRIPLANT</v>
      </c>
      <c r="DD151" s="7">
        <f>VLOOKUP(C151,listaBolsa!$D$2:$BA$1248,14,0)</f>
        <v>1500</v>
      </c>
      <c r="DE151" s="7" t="str">
        <f>VLOOKUP(C151,listaBolsa!$D$2:$BA$1248,23,0)</f>
        <v>SEMBRAMOS VIVEROS ONLINE</v>
      </c>
      <c r="DF151" s="7">
        <f>VLOOKUP(C151,listaBolsa!$D$2:$BA$1248,29,0)</f>
        <v>1200</v>
      </c>
      <c r="DG151" s="7" t="str">
        <f>VLOOKUP(C151,listaBolsa!$D$2:$BA$1248,36,0)</f>
        <v>PAQUA</v>
      </c>
      <c r="DH151" s="7">
        <f>VLOOKUP(C151,listaBolsa!$D$2:$BA$1248,40,0)</f>
        <v>1500</v>
      </c>
      <c r="DI151" s="253">
        <f>VLOOKUP(C151,listaBolsa!$D$2:$BA$1248,48,0)</f>
        <v>0.1237</v>
      </c>
      <c r="DJ151" s="7" t="b">
        <f t="shared" si="138"/>
        <v>1</v>
      </c>
      <c r="DK151" s="7" t="b">
        <f t="shared" si="139"/>
        <v>0</v>
      </c>
      <c r="DL151" s="7" t="b">
        <f t="shared" si="140"/>
        <v>1</v>
      </c>
      <c r="DM151" s="7" t="b">
        <f t="shared" si="141"/>
        <v>1</v>
      </c>
      <c r="DN151" s="7" t="b">
        <f t="shared" si="142"/>
        <v>1</v>
      </c>
      <c r="DO151" s="7" t="b">
        <f t="shared" si="143"/>
        <v>1</v>
      </c>
      <c r="DP151" s="7" t="b">
        <f t="shared" si="144"/>
        <v>1</v>
      </c>
      <c r="DQ151" s="7" t="b">
        <f t="shared" si="145"/>
        <v>1</v>
      </c>
      <c r="DR151" s="7" t="b">
        <f t="shared" si="146"/>
        <v>0</v>
      </c>
    </row>
    <row r="152" spans="1:125" s="7" customFormat="1" ht="79.5" customHeight="1">
      <c r="A152" s="75">
        <v>144</v>
      </c>
      <c r="B152" s="538" t="s">
        <v>579</v>
      </c>
      <c r="C152" s="351" t="s">
        <v>673</v>
      </c>
      <c r="D152" s="351" t="s">
        <v>622</v>
      </c>
      <c r="E152" s="193" t="s">
        <v>568</v>
      </c>
      <c r="F152" s="75">
        <v>1</v>
      </c>
      <c r="G152" s="75" t="s">
        <v>192</v>
      </c>
      <c r="H152" s="106" t="s">
        <v>380</v>
      </c>
      <c r="I152" s="107">
        <v>460</v>
      </c>
      <c r="J152" s="96"/>
      <c r="K152" s="96">
        <f t="shared" si="127"/>
        <v>460</v>
      </c>
      <c r="L152" s="96">
        <f t="shared" si="128"/>
        <v>460</v>
      </c>
      <c r="M152" s="96">
        <f t="shared" si="129"/>
        <v>460</v>
      </c>
      <c r="N152" s="108" t="s">
        <v>381</v>
      </c>
      <c r="O152" s="109">
        <v>400</v>
      </c>
      <c r="P152" s="110"/>
      <c r="Q152" s="110">
        <f t="shared" si="130"/>
        <v>400</v>
      </c>
      <c r="R152" s="110">
        <f t="shared" si="131"/>
        <v>400</v>
      </c>
      <c r="S152" s="110">
        <f t="shared" si="132"/>
        <v>400</v>
      </c>
      <c r="T152" s="97" t="s">
        <v>382</v>
      </c>
      <c r="U152" s="98">
        <v>350</v>
      </c>
      <c r="V152" s="99"/>
      <c r="W152" s="99">
        <f t="shared" si="133"/>
        <v>350</v>
      </c>
      <c r="X152" s="99">
        <f t="shared" si="134"/>
        <v>350</v>
      </c>
      <c r="Y152" s="99">
        <f t="shared" si="135"/>
        <v>350</v>
      </c>
      <c r="Z152" s="100">
        <f t="shared" si="147"/>
        <v>403.33333333333331</v>
      </c>
      <c r="AA152" s="100">
        <f t="shared" si="136"/>
        <v>403.33333333333331</v>
      </c>
      <c r="AB152" s="78">
        <f t="shared" si="148"/>
        <v>55.07570547286111</v>
      </c>
      <c r="AC152" s="102">
        <f t="shared" si="137"/>
        <v>0.13655133588312673</v>
      </c>
      <c r="AD152" s="5"/>
      <c r="AE152" s="7" t="s">
        <v>1053</v>
      </c>
      <c r="AF152" s="7" t="str">
        <f>VLOOKUP(C152,Estudio_Mercado_Ori!$C$12:$AH$1115,32,0)</f>
        <v>40HUERTAS</v>
      </c>
      <c r="BG152" s="7">
        <v>29</v>
      </c>
      <c r="DA152" s="7" t="str">
        <f>VLOOKUP(C152,listaBolsa!$D$2:$BA$1248,1,0)</f>
        <v>Plántula de Caléndula (Calendula officinalis)</v>
      </c>
      <c r="DB152" s="7">
        <f>VLOOKUP(C152,listaBolsa!$D$2:$BA$1248,2,0)</f>
        <v>0</v>
      </c>
      <c r="DC152" s="7" t="str">
        <f>VLOOKUP(C152,listaBolsa!$D$2:$BA$1248,10,0)</f>
        <v xml:space="preserve">JUNTOS DE LA MANO </v>
      </c>
      <c r="DD152" s="7">
        <f>VLOOKUP(C152,listaBolsa!$D$2:$BA$1248,14,0)</f>
        <v>460</v>
      </c>
      <c r="DE152" s="7" t="str">
        <f>VLOOKUP(C152,listaBolsa!$D$2:$BA$1248,23,0)</f>
        <v>MYCBDE</v>
      </c>
      <c r="DF152" s="7">
        <f>VLOOKUP(C152,listaBolsa!$D$2:$BA$1248,29,0)</f>
        <v>400</v>
      </c>
      <c r="DG152" s="7" t="str">
        <f>VLOOKUP(C152,listaBolsa!$D$2:$BA$1248,36,0)</f>
        <v>DAGROW</v>
      </c>
      <c r="DH152" s="7">
        <f>VLOOKUP(C152,listaBolsa!$D$2:$BA$1248,40,0)</f>
        <v>350</v>
      </c>
      <c r="DI152" s="253">
        <f>VLOOKUP(C152,listaBolsa!$D$2:$BA$1248,48,0)</f>
        <v>0.1366</v>
      </c>
      <c r="DJ152" s="7" t="b">
        <f t="shared" si="138"/>
        <v>1</v>
      </c>
      <c r="DK152" s="7" t="b">
        <f t="shared" si="139"/>
        <v>0</v>
      </c>
      <c r="DL152" s="7" t="b">
        <f t="shared" si="140"/>
        <v>1</v>
      </c>
      <c r="DM152" s="7" t="b">
        <f t="shared" si="141"/>
        <v>1</v>
      </c>
      <c r="DN152" s="7" t="b">
        <f t="shared" si="142"/>
        <v>1</v>
      </c>
      <c r="DO152" s="7" t="b">
        <f t="shared" si="143"/>
        <v>1</v>
      </c>
      <c r="DP152" s="7" t="b">
        <f t="shared" si="144"/>
        <v>1</v>
      </c>
      <c r="DQ152" s="7" t="b">
        <f t="shared" si="145"/>
        <v>1</v>
      </c>
      <c r="DR152" s="7" t="b">
        <f t="shared" si="146"/>
        <v>0</v>
      </c>
    </row>
    <row r="153" spans="1:125" s="7" customFormat="1" ht="79.5" customHeight="1">
      <c r="A153" s="75">
        <v>145</v>
      </c>
      <c r="B153" s="538" t="s">
        <v>579</v>
      </c>
      <c r="C153" s="351" t="s">
        <v>675</v>
      </c>
      <c r="D153" s="351" t="s">
        <v>622</v>
      </c>
      <c r="E153" s="193" t="s">
        <v>568</v>
      </c>
      <c r="F153" s="75">
        <v>1</v>
      </c>
      <c r="G153" s="75" t="s">
        <v>192</v>
      </c>
      <c r="H153" s="106" t="s">
        <v>603</v>
      </c>
      <c r="I153" s="107">
        <v>1500</v>
      </c>
      <c r="J153" s="96"/>
      <c r="K153" s="96">
        <f t="shared" si="127"/>
        <v>1500</v>
      </c>
      <c r="L153" s="96">
        <f t="shared" si="128"/>
        <v>1500</v>
      </c>
      <c r="M153" s="96">
        <f t="shared" si="129"/>
        <v>1500</v>
      </c>
      <c r="N153" s="108" t="s">
        <v>604</v>
      </c>
      <c r="O153" s="109">
        <v>1200</v>
      </c>
      <c r="P153" s="110"/>
      <c r="Q153" s="110">
        <f t="shared" si="130"/>
        <v>1200</v>
      </c>
      <c r="R153" s="110">
        <f t="shared" si="131"/>
        <v>1200</v>
      </c>
      <c r="S153" s="110">
        <f t="shared" si="132"/>
        <v>1200</v>
      </c>
      <c r="T153" s="97" t="s">
        <v>676</v>
      </c>
      <c r="U153" s="98">
        <v>1400</v>
      </c>
      <c r="V153" s="99"/>
      <c r="W153" s="99">
        <f t="shared" si="133"/>
        <v>1400</v>
      </c>
      <c r="X153" s="99">
        <f t="shared" si="134"/>
        <v>1400</v>
      </c>
      <c r="Y153" s="99">
        <f t="shared" si="135"/>
        <v>1400</v>
      </c>
      <c r="Z153" s="100">
        <f t="shared" si="147"/>
        <v>1366.6666666666667</v>
      </c>
      <c r="AA153" s="100">
        <f t="shared" si="136"/>
        <v>1366.6666666666667</v>
      </c>
      <c r="AB153" s="78">
        <f t="shared" si="148"/>
        <v>152.75252316519467</v>
      </c>
      <c r="AC153" s="102">
        <f t="shared" si="137"/>
        <v>0.11177013890136195</v>
      </c>
      <c r="AD153" s="5"/>
      <c r="AE153" s="7" t="s">
        <v>1053</v>
      </c>
      <c r="AF153" s="7" t="str">
        <f>VLOOKUP(C153,Estudio_Mercado_Ori!$C$12:$AH$1115,32,0)</f>
        <v>41HUERTAS</v>
      </c>
      <c r="BG153" s="7">
        <v>30</v>
      </c>
      <c r="DA153" s="7" t="str">
        <f>VLOOKUP(C153,listaBolsa!$D$2:$BA$1248,1,0)</f>
        <v>Plántula de Acelga Blanca (Beta vulgaris var. cicla)</v>
      </c>
      <c r="DB153" s="7">
        <f>VLOOKUP(C153,listaBolsa!$D$2:$BA$1248,2,0)</f>
        <v>0</v>
      </c>
      <c r="DC153" s="7" t="str">
        <f>VLOOKUP(C153,listaBolsa!$D$2:$BA$1248,10,0)</f>
        <v>AGRIPLANT</v>
      </c>
      <c r="DD153" s="7">
        <f>VLOOKUP(C153,listaBolsa!$D$2:$BA$1248,14,0)</f>
        <v>1500</v>
      </c>
      <c r="DE153" s="7" t="str">
        <f>VLOOKUP(C153,listaBolsa!$D$2:$BA$1248,23,0)</f>
        <v>SEMBRAMOS VIVEROS ONLINE</v>
      </c>
      <c r="DF153" s="7">
        <f>VLOOKUP(C153,listaBolsa!$D$2:$BA$1248,29,0)</f>
        <v>1200</v>
      </c>
      <c r="DG153" s="7" t="str">
        <f>VLOOKUP(C153,listaBolsa!$D$2:$BA$1248,36,0)</f>
        <v>FRUTOS CAMPESTRES</v>
      </c>
      <c r="DH153" s="7">
        <f>VLOOKUP(C153,listaBolsa!$D$2:$BA$1248,40,0)</f>
        <v>1400</v>
      </c>
      <c r="DI153" s="253">
        <f>VLOOKUP(C153,listaBolsa!$D$2:$BA$1248,48,0)</f>
        <v>0.1118</v>
      </c>
      <c r="DJ153" s="7" t="b">
        <f t="shared" si="138"/>
        <v>1</v>
      </c>
      <c r="DK153" s="7" t="b">
        <f t="shared" si="139"/>
        <v>0</v>
      </c>
      <c r="DL153" s="7" t="b">
        <f t="shared" si="140"/>
        <v>1</v>
      </c>
      <c r="DM153" s="7" t="b">
        <f t="shared" si="141"/>
        <v>1</v>
      </c>
      <c r="DN153" s="7" t="b">
        <f t="shared" si="142"/>
        <v>1</v>
      </c>
      <c r="DO153" s="7" t="b">
        <f t="shared" si="143"/>
        <v>1</v>
      </c>
      <c r="DP153" s="7" t="b">
        <f t="shared" si="144"/>
        <v>1</v>
      </c>
      <c r="DQ153" s="7" t="b">
        <f t="shared" si="145"/>
        <v>1</v>
      </c>
      <c r="DR153" s="7" t="b">
        <f t="shared" si="146"/>
        <v>0</v>
      </c>
    </row>
    <row r="154" spans="1:125" s="7" customFormat="1" ht="79.5" customHeight="1">
      <c r="A154" s="75">
        <v>146</v>
      </c>
      <c r="B154" s="538" t="s">
        <v>579</v>
      </c>
      <c r="C154" s="351" t="s">
        <v>678</v>
      </c>
      <c r="D154" s="351" t="s">
        <v>622</v>
      </c>
      <c r="E154" s="193" t="s">
        <v>568</v>
      </c>
      <c r="F154" s="75">
        <v>1</v>
      </c>
      <c r="G154" s="75" t="s">
        <v>192</v>
      </c>
      <c r="H154" s="106" t="s">
        <v>603</v>
      </c>
      <c r="I154" s="107">
        <v>1500</v>
      </c>
      <c r="J154" s="96"/>
      <c r="K154" s="96">
        <f t="shared" si="127"/>
        <v>1500</v>
      </c>
      <c r="L154" s="96">
        <f t="shared" si="128"/>
        <v>1500</v>
      </c>
      <c r="M154" s="96">
        <f t="shared" si="129"/>
        <v>1500</v>
      </c>
      <c r="N154" s="108" t="s">
        <v>604</v>
      </c>
      <c r="O154" s="109">
        <v>1200</v>
      </c>
      <c r="P154" s="110"/>
      <c r="Q154" s="110">
        <f t="shared" si="130"/>
        <v>1200</v>
      </c>
      <c r="R154" s="110">
        <f t="shared" si="131"/>
        <v>1200</v>
      </c>
      <c r="S154" s="110">
        <f t="shared" si="132"/>
        <v>1200</v>
      </c>
      <c r="T154" s="97" t="s">
        <v>605</v>
      </c>
      <c r="U154" s="98">
        <v>1500</v>
      </c>
      <c r="V154" s="99"/>
      <c r="W154" s="99">
        <f t="shared" si="133"/>
        <v>1500</v>
      </c>
      <c r="X154" s="99">
        <f t="shared" si="134"/>
        <v>1500</v>
      </c>
      <c r="Y154" s="99">
        <f t="shared" si="135"/>
        <v>1500</v>
      </c>
      <c r="Z154" s="100">
        <f t="shared" si="147"/>
        <v>1400</v>
      </c>
      <c r="AA154" s="100">
        <f t="shared" si="136"/>
        <v>1400</v>
      </c>
      <c r="AB154" s="78">
        <f t="shared" si="148"/>
        <v>173.20508075688772</v>
      </c>
      <c r="AC154" s="102">
        <f t="shared" si="137"/>
        <v>0.12371791482634838</v>
      </c>
      <c r="AD154" s="5"/>
      <c r="AE154" s="7" t="s">
        <v>1053</v>
      </c>
      <c r="AF154" s="7" t="str">
        <f>VLOOKUP(C154,Estudio_Mercado_Ori!$C$12:$AH$1115,32,0)</f>
        <v>42HUERTAS</v>
      </c>
      <c r="BG154" s="7">
        <v>31</v>
      </c>
      <c r="DA154" s="7" t="str">
        <f>VLOOKUP(C154,listaBolsa!$D$2:$BA$1248,1,0)</f>
        <v>Plántula de Acelga de colores (Beta vulgaris var. cicla)</v>
      </c>
      <c r="DB154" s="7">
        <f>VLOOKUP(C154,listaBolsa!$D$2:$BA$1248,2,0)</f>
        <v>0</v>
      </c>
      <c r="DC154" s="7" t="str">
        <f>VLOOKUP(C154,listaBolsa!$D$2:$BA$1248,10,0)</f>
        <v>AGRIPLANT</v>
      </c>
      <c r="DD154" s="7">
        <f>VLOOKUP(C154,listaBolsa!$D$2:$BA$1248,14,0)</f>
        <v>1500</v>
      </c>
      <c r="DE154" s="7" t="str">
        <f>VLOOKUP(C154,listaBolsa!$D$2:$BA$1248,23,0)</f>
        <v>SEMBRAMOS VIVEROS ONLINE</v>
      </c>
      <c r="DF154" s="7">
        <f>VLOOKUP(C154,listaBolsa!$D$2:$BA$1248,29,0)</f>
        <v>1200</v>
      </c>
      <c r="DG154" s="7" t="str">
        <f>VLOOKUP(C154,listaBolsa!$D$2:$BA$1248,36,0)</f>
        <v>PAQUA</v>
      </c>
      <c r="DH154" s="7">
        <f>VLOOKUP(C154,listaBolsa!$D$2:$BA$1248,40,0)</f>
        <v>1500</v>
      </c>
      <c r="DI154" s="253">
        <f>VLOOKUP(C154,listaBolsa!$D$2:$BA$1248,48,0)</f>
        <v>0.1237</v>
      </c>
      <c r="DJ154" s="7" t="b">
        <f t="shared" si="138"/>
        <v>1</v>
      </c>
      <c r="DK154" s="7" t="b">
        <f t="shared" si="139"/>
        <v>0</v>
      </c>
      <c r="DL154" s="7" t="b">
        <f t="shared" si="140"/>
        <v>1</v>
      </c>
      <c r="DM154" s="7" t="b">
        <f t="shared" si="141"/>
        <v>1</v>
      </c>
      <c r="DN154" s="7" t="b">
        <f t="shared" si="142"/>
        <v>1</v>
      </c>
      <c r="DO154" s="7" t="b">
        <f t="shared" si="143"/>
        <v>1</v>
      </c>
      <c r="DP154" s="7" t="b">
        <f t="shared" si="144"/>
        <v>1</v>
      </c>
      <c r="DQ154" s="7" t="b">
        <f t="shared" si="145"/>
        <v>1</v>
      </c>
      <c r="DR154" s="7" t="b">
        <f t="shared" si="146"/>
        <v>0</v>
      </c>
    </row>
    <row r="155" spans="1:125" s="7" customFormat="1" ht="79.5" customHeight="1">
      <c r="A155" s="75">
        <v>147</v>
      </c>
      <c r="B155" s="538" t="s">
        <v>579</v>
      </c>
      <c r="C155" s="351" t="s">
        <v>680</v>
      </c>
      <c r="D155" s="351" t="s">
        <v>622</v>
      </c>
      <c r="E155" s="193" t="s">
        <v>568</v>
      </c>
      <c r="F155" s="75">
        <v>1</v>
      </c>
      <c r="G155" s="75" t="s">
        <v>192</v>
      </c>
      <c r="H155" s="106" t="s">
        <v>380</v>
      </c>
      <c r="I155" s="107">
        <v>4000</v>
      </c>
      <c r="J155" s="96"/>
      <c r="K155" s="96">
        <f t="shared" si="127"/>
        <v>4000</v>
      </c>
      <c r="L155" s="96">
        <f t="shared" si="128"/>
        <v>4000</v>
      </c>
      <c r="M155" s="96">
        <f t="shared" si="129"/>
        <v>4000</v>
      </c>
      <c r="N155" s="108" t="s">
        <v>381</v>
      </c>
      <c r="O155" s="109">
        <v>3800</v>
      </c>
      <c r="P155" s="110"/>
      <c r="Q155" s="110">
        <f t="shared" si="130"/>
        <v>3800</v>
      </c>
      <c r="R155" s="110">
        <f t="shared" si="131"/>
        <v>3800</v>
      </c>
      <c r="S155" s="110">
        <f t="shared" si="132"/>
        <v>3800</v>
      </c>
      <c r="T155" s="97" t="s">
        <v>382</v>
      </c>
      <c r="U155" s="98">
        <v>3500</v>
      </c>
      <c r="V155" s="99"/>
      <c r="W155" s="99">
        <f t="shared" si="133"/>
        <v>3500</v>
      </c>
      <c r="X155" s="99">
        <f t="shared" si="134"/>
        <v>3500</v>
      </c>
      <c r="Y155" s="99">
        <f t="shared" si="135"/>
        <v>3500</v>
      </c>
      <c r="Z155" s="100">
        <f t="shared" si="147"/>
        <v>3766.6666666666665</v>
      </c>
      <c r="AA155" s="100">
        <f t="shared" si="136"/>
        <v>3766.6666666666665</v>
      </c>
      <c r="AB155" s="78">
        <f t="shared" si="148"/>
        <v>251.66114784235833</v>
      </c>
      <c r="AC155" s="102">
        <f t="shared" si="137"/>
        <v>6.6812694117440272E-2</v>
      </c>
      <c r="AD155" s="5"/>
      <c r="AE155" s="7" t="s">
        <v>1053</v>
      </c>
      <c r="AF155" s="7" t="str">
        <f>VLOOKUP(C155,Estudio_Mercado_Ori!$C$12:$AH$1115,32,0)</f>
        <v>43HUERTAS</v>
      </c>
      <c r="BG155" s="7">
        <v>32</v>
      </c>
      <c r="DA155" s="7" t="str">
        <f>VLOOKUP(C155,listaBolsa!$D$2:$BA$1248,1,0)</f>
        <v>Plántula de Lulo (Solanum quitoense)</v>
      </c>
      <c r="DB155" s="7">
        <f>VLOOKUP(C155,listaBolsa!$D$2:$BA$1248,2,0)</f>
        <v>0</v>
      </c>
      <c r="DC155" s="7" t="str">
        <f>VLOOKUP(C155,listaBolsa!$D$2:$BA$1248,10,0)</f>
        <v xml:space="preserve">JUNTOS DE LA MANO </v>
      </c>
      <c r="DD155" s="7">
        <f>VLOOKUP(C155,listaBolsa!$D$2:$BA$1248,14,0)</f>
        <v>4000</v>
      </c>
      <c r="DE155" s="7" t="str">
        <f>VLOOKUP(C155,listaBolsa!$D$2:$BA$1248,23,0)</f>
        <v>MYCBDE</v>
      </c>
      <c r="DF155" s="7">
        <f>VLOOKUP(C155,listaBolsa!$D$2:$BA$1248,29,0)</f>
        <v>3800</v>
      </c>
      <c r="DG155" s="7" t="str">
        <f>VLOOKUP(C155,listaBolsa!$D$2:$BA$1248,36,0)</f>
        <v>DAGROW</v>
      </c>
      <c r="DH155" s="7">
        <f>VLOOKUP(C155,listaBolsa!$D$2:$BA$1248,40,0)</f>
        <v>3500</v>
      </c>
      <c r="DI155" s="253">
        <f>VLOOKUP(C155,listaBolsa!$D$2:$BA$1248,48,0)</f>
        <v>6.6799999999999998E-2</v>
      </c>
      <c r="DJ155" s="7" t="b">
        <f t="shared" si="138"/>
        <v>1</v>
      </c>
      <c r="DK155" s="7" t="b">
        <f t="shared" si="139"/>
        <v>0</v>
      </c>
      <c r="DL155" s="7" t="b">
        <f t="shared" si="140"/>
        <v>1</v>
      </c>
      <c r="DM155" s="7" t="b">
        <f t="shared" si="141"/>
        <v>1</v>
      </c>
      <c r="DN155" s="7" t="b">
        <f t="shared" si="142"/>
        <v>1</v>
      </c>
      <c r="DO155" s="7" t="b">
        <f t="shared" si="143"/>
        <v>1</v>
      </c>
      <c r="DP155" s="7" t="b">
        <f t="shared" si="144"/>
        <v>1</v>
      </c>
      <c r="DQ155" s="7" t="b">
        <f t="shared" si="145"/>
        <v>1</v>
      </c>
      <c r="DR155" s="7" t="b">
        <f t="shared" si="146"/>
        <v>0</v>
      </c>
    </row>
    <row r="156" spans="1:125" s="7" customFormat="1" ht="79.5" customHeight="1">
      <c r="A156" s="75">
        <v>148</v>
      </c>
      <c r="B156" s="538" t="s">
        <v>579</v>
      </c>
      <c r="C156" s="351" t="s">
        <v>682</v>
      </c>
      <c r="D156" s="351" t="s">
        <v>683</v>
      </c>
      <c r="E156" s="193" t="s">
        <v>568</v>
      </c>
      <c r="F156" s="75">
        <v>1</v>
      </c>
      <c r="G156" s="75" t="s">
        <v>192</v>
      </c>
      <c r="H156" s="371" t="s">
        <v>1083</v>
      </c>
      <c r="I156" s="331">
        <v>21008.400000000001</v>
      </c>
      <c r="J156" s="96">
        <f>I156*19%</f>
        <v>3991.5960000000005</v>
      </c>
      <c r="K156" s="96">
        <f t="shared" si="127"/>
        <v>24999.996000000003</v>
      </c>
      <c r="L156" s="96">
        <f t="shared" si="128"/>
        <v>21008.400000000001</v>
      </c>
      <c r="M156" s="96">
        <f t="shared" si="129"/>
        <v>24999.996000000003</v>
      </c>
      <c r="N156" s="108" t="s">
        <v>381</v>
      </c>
      <c r="O156" s="109">
        <v>25000</v>
      </c>
      <c r="P156" s="110"/>
      <c r="Q156" s="110">
        <f t="shared" si="130"/>
        <v>25000</v>
      </c>
      <c r="R156" s="110">
        <f t="shared" si="131"/>
        <v>25000</v>
      </c>
      <c r="S156" s="110">
        <f t="shared" si="132"/>
        <v>25000</v>
      </c>
      <c r="T156" s="97" t="s">
        <v>382</v>
      </c>
      <c r="U156" s="98">
        <v>22400</v>
      </c>
      <c r="V156" s="99"/>
      <c r="W156" s="99">
        <f t="shared" si="133"/>
        <v>22400</v>
      </c>
      <c r="X156" s="99">
        <f t="shared" si="134"/>
        <v>22400</v>
      </c>
      <c r="Y156" s="99">
        <f t="shared" si="135"/>
        <v>22400</v>
      </c>
      <c r="Z156" s="100">
        <f t="shared" si="147"/>
        <v>24133.331999999999</v>
      </c>
      <c r="AA156" s="100">
        <f t="shared" si="136"/>
        <v>24133.331999999999</v>
      </c>
      <c r="AB156" s="78">
        <f t="shared" si="148"/>
        <v>1501.1095451938218</v>
      </c>
      <c r="AC156" s="102">
        <f t="shared" si="137"/>
        <v>6.2200675198676329E-2</v>
      </c>
      <c r="AD156" s="5"/>
      <c r="AE156" s="7" t="s">
        <v>1084</v>
      </c>
      <c r="AF156" s="7" t="str">
        <f>VLOOKUP(C156,Estudio_Mercado_Ori!$C$12:$AH$1115,32,0)</f>
        <v>44HUERTAS</v>
      </c>
      <c r="BG156" s="7">
        <v>33</v>
      </c>
      <c r="DA156" s="7" t="str">
        <f>VLOOKUP(C156,listaBolsa!$D$2:$BA$1248,1,0)</f>
        <v>Cal dolomita</v>
      </c>
      <c r="DB156" s="7">
        <f>VLOOKUP(C156,listaBolsa!$D$2:$BA$1248,2,0)</f>
        <v>0</v>
      </c>
      <c r="DC156" s="7" t="str">
        <f>VLOOKUP(C156,listaBolsa!$D$2:$BA$1248,10,0)</f>
        <v xml:space="preserve">JUNTOS DE LA MANO </v>
      </c>
      <c r="DD156" s="7">
        <f>VLOOKUP(C156,listaBolsa!$D$2:$BA$1248,14,0)</f>
        <v>26000</v>
      </c>
      <c r="DE156" s="7" t="str">
        <f>VLOOKUP(C156,listaBolsa!$D$2:$BA$1248,23,0)</f>
        <v>MYCBDE</v>
      </c>
      <c r="DF156" s="7">
        <f>VLOOKUP(C156,listaBolsa!$D$2:$BA$1248,29,0)</f>
        <v>25000</v>
      </c>
      <c r="DG156" s="7" t="str">
        <f>VLOOKUP(C156,listaBolsa!$D$2:$BA$1248,36,0)</f>
        <v>DAGROW</v>
      </c>
      <c r="DH156" s="7">
        <f>VLOOKUP(C156,listaBolsa!$D$2:$BA$1248,40,0)</f>
        <v>22400</v>
      </c>
      <c r="DI156" s="253">
        <f>VLOOKUP(C156,listaBolsa!$D$2:$BA$1248,48,0)</f>
        <v>7.5999999999999998E-2</v>
      </c>
      <c r="DJ156" s="7" t="b">
        <f t="shared" si="138"/>
        <v>1</v>
      </c>
      <c r="DK156" s="7" t="b">
        <f t="shared" si="139"/>
        <v>0</v>
      </c>
      <c r="DL156" s="7" t="b">
        <f t="shared" si="140"/>
        <v>0</v>
      </c>
      <c r="DM156" s="7" t="b">
        <f t="shared" si="141"/>
        <v>0</v>
      </c>
      <c r="DN156" s="7" t="b">
        <f t="shared" si="142"/>
        <v>1</v>
      </c>
      <c r="DO156" s="7" t="b">
        <f t="shared" si="143"/>
        <v>1</v>
      </c>
      <c r="DP156" s="7" t="b">
        <f t="shared" si="144"/>
        <v>1</v>
      </c>
      <c r="DQ156" s="7" t="b">
        <f t="shared" si="145"/>
        <v>1</v>
      </c>
      <c r="DR156" s="7" t="b">
        <f t="shared" si="146"/>
        <v>0</v>
      </c>
    </row>
    <row r="157" spans="1:125" s="7" customFormat="1" ht="79.5" customHeight="1">
      <c r="A157" s="75">
        <v>149</v>
      </c>
      <c r="B157" s="538" t="s">
        <v>579</v>
      </c>
      <c r="C157" s="351" t="s">
        <v>685</v>
      </c>
      <c r="D157" s="351" t="s">
        <v>686</v>
      </c>
      <c r="E157" s="193" t="s">
        <v>568</v>
      </c>
      <c r="F157" s="75">
        <v>1</v>
      </c>
      <c r="G157" s="75" t="s">
        <v>192</v>
      </c>
      <c r="H157" s="106" t="s">
        <v>380</v>
      </c>
      <c r="I157" s="107">
        <v>20000</v>
      </c>
      <c r="J157" s="96"/>
      <c r="K157" s="96">
        <f t="shared" si="127"/>
        <v>20000</v>
      </c>
      <c r="L157" s="96">
        <f t="shared" si="128"/>
        <v>20000</v>
      </c>
      <c r="M157" s="96">
        <f t="shared" si="129"/>
        <v>20000</v>
      </c>
      <c r="N157" s="108" t="s">
        <v>381</v>
      </c>
      <c r="O157" s="109">
        <v>18000</v>
      </c>
      <c r="P157" s="110"/>
      <c r="Q157" s="110">
        <f t="shared" si="130"/>
        <v>18000</v>
      </c>
      <c r="R157" s="110">
        <f t="shared" si="131"/>
        <v>18000</v>
      </c>
      <c r="S157" s="110">
        <f t="shared" si="132"/>
        <v>18000</v>
      </c>
      <c r="T157" s="97" t="s">
        <v>382</v>
      </c>
      <c r="U157" s="98">
        <v>14000</v>
      </c>
      <c r="V157" s="99"/>
      <c r="W157" s="99">
        <f t="shared" si="133"/>
        <v>14000</v>
      </c>
      <c r="X157" s="99">
        <f t="shared" si="134"/>
        <v>14000</v>
      </c>
      <c r="Y157" s="99">
        <f t="shared" si="135"/>
        <v>14000</v>
      </c>
      <c r="Z157" s="100">
        <f t="shared" si="147"/>
        <v>17333.333333333332</v>
      </c>
      <c r="AA157" s="100">
        <f t="shared" si="136"/>
        <v>17333.333333333332</v>
      </c>
      <c r="AB157" s="78">
        <f t="shared" si="148"/>
        <v>3055.05046330389</v>
      </c>
      <c r="AC157" s="102">
        <f t="shared" si="137"/>
        <v>0.1762529113444552</v>
      </c>
      <c r="AD157" s="5"/>
      <c r="AE157" s="7" t="s">
        <v>1053</v>
      </c>
      <c r="AF157" s="7" t="str">
        <f>VLOOKUP(C157,Estudio_Mercado_Ori!$C$12:$AH$1115,32,0)</f>
        <v>45HUERTAS</v>
      </c>
      <c r="BG157" s="7">
        <v>34</v>
      </c>
      <c r="DA157" s="7" t="str">
        <f>VLOOKUP(C157,listaBolsa!$D$2:$BA$1248,1,0)</f>
        <v xml:space="preserve">Bulto de compost. </v>
      </c>
      <c r="DB157" s="7">
        <f>VLOOKUP(C157,listaBolsa!$D$2:$BA$1248,2,0)</f>
        <v>0</v>
      </c>
      <c r="DC157" s="7" t="str">
        <f>VLOOKUP(C157,listaBolsa!$D$2:$BA$1248,10,0)</f>
        <v xml:space="preserve">JUNTOS DE LA MANO </v>
      </c>
      <c r="DD157" s="7">
        <f>VLOOKUP(C157,listaBolsa!$D$2:$BA$1248,14,0)</f>
        <v>20000</v>
      </c>
      <c r="DE157" s="7" t="str">
        <f>VLOOKUP(C157,listaBolsa!$D$2:$BA$1248,23,0)</f>
        <v>MYCBDE</v>
      </c>
      <c r="DF157" s="7">
        <f>VLOOKUP(C157,listaBolsa!$D$2:$BA$1248,29,0)</f>
        <v>18000</v>
      </c>
      <c r="DG157" s="7" t="str">
        <f>VLOOKUP(C157,listaBolsa!$D$2:$BA$1248,36,0)</f>
        <v>DAGROW</v>
      </c>
      <c r="DH157" s="7">
        <f>VLOOKUP(C157,listaBolsa!$D$2:$BA$1248,40,0)</f>
        <v>14000</v>
      </c>
      <c r="DI157" s="253">
        <f>VLOOKUP(C157,listaBolsa!$D$2:$BA$1248,48,0)</f>
        <v>0.17630000000000001</v>
      </c>
      <c r="DJ157" s="7" t="b">
        <f t="shared" si="138"/>
        <v>1</v>
      </c>
      <c r="DK157" s="7" t="b">
        <f t="shared" si="139"/>
        <v>0</v>
      </c>
      <c r="DL157" s="7" t="b">
        <f t="shared" si="140"/>
        <v>1</v>
      </c>
      <c r="DM157" s="7" t="b">
        <f t="shared" si="141"/>
        <v>1</v>
      </c>
      <c r="DN157" s="7" t="b">
        <f t="shared" si="142"/>
        <v>1</v>
      </c>
      <c r="DO157" s="7" t="b">
        <f t="shared" si="143"/>
        <v>1</v>
      </c>
      <c r="DP157" s="7" t="b">
        <f t="shared" si="144"/>
        <v>1</v>
      </c>
      <c r="DQ157" s="7" t="b">
        <f t="shared" si="145"/>
        <v>1</v>
      </c>
      <c r="DR157" s="7" t="b">
        <f t="shared" si="146"/>
        <v>0</v>
      </c>
    </row>
    <row r="158" spans="1:125" s="7" customFormat="1" ht="79.5" customHeight="1">
      <c r="A158" s="75">
        <v>150</v>
      </c>
      <c r="B158" s="538" t="s">
        <v>579</v>
      </c>
      <c r="C158" s="351" t="s">
        <v>688</v>
      </c>
      <c r="D158" s="351" t="s">
        <v>689</v>
      </c>
      <c r="E158" s="193" t="s">
        <v>568</v>
      </c>
      <c r="F158" s="75">
        <v>1</v>
      </c>
      <c r="G158" s="75" t="s">
        <v>192</v>
      </c>
      <c r="H158" s="371" t="s">
        <v>230</v>
      </c>
      <c r="I158" s="331">
        <v>135672.26999999999</v>
      </c>
      <c r="J158" s="96">
        <f t="shared" ref="J158:J166" si="149">I158*19%</f>
        <v>25777.731299999999</v>
      </c>
      <c r="K158" s="96">
        <f t="shared" si="127"/>
        <v>161450.0013</v>
      </c>
      <c r="L158" s="96">
        <f t="shared" si="128"/>
        <v>135672.26999999999</v>
      </c>
      <c r="M158" s="96">
        <f t="shared" si="129"/>
        <v>161450.0013</v>
      </c>
      <c r="N158" s="374" t="s">
        <v>768</v>
      </c>
      <c r="O158" s="332">
        <v>124365.55</v>
      </c>
      <c r="P158" s="110">
        <f t="shared" ref="P158:P166" si="150">O158*19%</f>
        <v>23629.4545</v>
      </c>
      <c r="Q158" s="110">
        <f t="shared" si="130"/>
        <v>147995.00450000001</v>
      </c>
      <c r="R158" s="110">
        <f t="shared" si="131"/>
        <v>124365.55</v>
      </c>
      <c r="S158" s="110">
        <f t="shared" si="132"/>
        <v>147995.00450000001</v>
      </c>
      <c r="T158" s="383" t="s">
        <v>769</v>
      </c>
      <c r="U158" s="333">
        <v>135672.26999999999</v>
      </c>
      <c r="V158" s="99">
        <f t="shared" ref="V158:V166" si="151">U158*19%</f>
        <v>25777.731299999999</v>
      </c>
      <c r="W158" s="99">
        <f t="shared" si="133"/>
        <v>161450.0013</v>
      </c>
      <c r="X158" s="99">
        <f t="shared" si="134"/>
        <v>135672.26999999999</v>
      </c>
      <c r="Y158" s="99">
        <f t="shared" si="135"/>
        <v>161450.0013</v>
      </c>
      <c r="Z158" s="100">
        <f t="shared" si="147"/>
        <v>156965.00236666668</v>
      </c>
      <c r="AA158" s="100">
        <f t="shared" si="136"/>
        <v>156965.00236666668</v>
      </c>
      <c r="AB158" s="78">
        <f t="shared" si="148"/>
        <v>7768.2460244255499</v>
      </c>
      <c r="AC158" s="102">
        <f t="shared" si="137"/>
        <v>4.9490306165696121E-2</v>
      </c>
      <c r="AD158" s="5" t="s">
        <v>1085</v>
      </c>
      <c r="AE158" s="334" t="s">
        <v>1047</v>
      </c>
      <c r="AF158" s="7" t="str">
        <f>VLOOKUP(C158,Estudio_Mercado_Ori!$C$12:$AH$1115,32,0)</f>
        <v>46HUERTAS</v>
      </c>
      <c r="BG158" s="7">
        <v>35</v>
      </c>
      <c r="DA158" s="7" t="str">
        <f>VLOOKUP(C158,listaBolsa!$D$2:$BA$1248,1,0)</f>
        <v>Malla plástica tipo diamante 15 mt</v>
      </c>
      <c r="DB158" s="7">
        <f>VLOOKUP(C158,listaBolsa!$D$2:$BA$1248,2,0)</f>
        <v>0</v>
      </c>
      <c r="DC158" s="7" t="str">
        <f>VLOOKUP(C158,listaBolsa!$D$2:$BA$1248,10,0)</f>
        <v xml:space="preserve">JUNTOS DE LA MANO </v>
      </c>
      <c r="DD158" s="7">
        <f>VLOOKUP(C158,listaBolsa!$D$2:$BA$1248,14,0)</f>
        <v>250000</v>
      </c>
      <c r="DE158" s="7" t="str">
        <f>VLOOKUP(C158,listaBolsa!$D$2:$BA$1248,23,0)</f>
        <v>MYCBDE</v>
      </c>
      <c r="DF158" s="7">
        <f>VLOOKUP(C158,listaBolsa!$D$2:$BA$1248,29,0)</f>
        <v>285600</v>
      </c>
      <c r="DG158" s="7" t="str">
        <f>VLOOKUP(C158,listaBolsa!$D$2:$BA$1248,36,0)</f>
        <v>DAGROW</v>
      </c>
      <c r="DH158" s="7">
        <f>VLOOKUP(C158,listaBolsa!$D$2:$BA$1248,40,0)</f>
        <v>224000</v>
      </c>
      <c r="DI158" s="253">
        <f>VLOOKUP(C158,listaBolsa!$D$2:$BA$1248,48,0)</f>
        <v>5.5100000000000003E-2</v>
      </c>
      <c r="DJ158" s="7" t="b">
        <f t="shared" si="138"/>
        <v>1</v>
      </c>
      <c r="DK158" s="7" t="b">
        <f t="shared" si="139"/>
        <v>0</v>
      </c>
      <c r="DL158" s="7" t="b">
        <f t="shared" si="140"/>
        <v>0</v>
      </c>
      <c r="DM158" s="7" t="b">
        <f t="shared" si="141"/>
        <v>0</v>
      </c>
      <c r="DN158" s="7" t="b">
        <f t="shared" si="142"/>
        <v>0</v>
      </c>
      <c r="DO158" s="7" t="b">
        <f t="shared" si="143"/>
        <v>0</v>
      </c>
      <c r="DP158" s="7" t="b">
        <f t="shared" si="144"/>
        <v>0</v>
      </c>
      <c r="DQ158" s="7" t="b">
        <f t="shared" si="145"/>
        <v>0</v>
      </c>
      <c r="DR158" s="7" t="b">
        <f t="shared" si="146"/>
        <v>0</v>
      </c>
      <c r="DU158" s="341">
        <f>19300*(15/1.55)</f>
        <v>186774.19354838709</v>
      </c>
    </row>
    <row r="159" spans="1:125" s="7" customFormat="1" ht="79.5" customHeight="1">
      <c r="A159" s="75">
        <v>151</v>
      </c>
      <c r="B159" s="538" t="s">
        <v>579</v>
      </c>
      <c r="C159" s="351" t="s">
        <v>691</v>
      </c>
      <c r="D159" s="351" t="s">
        <v>692</v>
      </c>
      <c r="E159" s="193" t="s">
        <v>568</v>
      </c>
      <c r="F159" s="75">
        <v>1</v>
      </c>
      <c r="G159" s="75" t="s">
        <v>192</v>
      </c>
      <c r="H159" s="106" t="s">
        <v>693</v>
      </c>
      <c r="I159" s="107">
        <v>11596.638655462189</v>
      </c>
      <c r="J159" s="96">
        <f t="shared" si="149"/>
        <v>2203.361344537816</v>
      </c>
      <c r="K159" s="96">
        <f t="shared" si="127"/>
        <v>13800.000000000005</v>
      </c>
      <c r="L159" s="96">
        <f t="shared" si="128"/>
        <v>11596.638655462189</v>
      </c>
      <c r="M159" s="96">
        <f t="shared" si="129"/>
        <v>13800.000000000005</v>
      </c>
      <c r="N159" s="108" t="s">
        <v>694</v>
      </c>
      <c r="O159" s="109">
        <v>13949.57983193277</v>
      </c>
      <c r="P159" s="110">
        <f t="shared" si="150"/>
        <v>2650.4201680672263</v>
      </c>
      <c r="Q159" s="110">
        <f t="shared" si="130"/>
        <v>16599.999999999996</v>
      </c>
      <c r="R159" s="110">
        <f t="shared" si="131"/>
        <v>13949.57983193277</v>
      </c>
      <c r="S159" s="110">
        <f t="shared" si="132"/>
        <v>16599.999999999996</v>
      </c>
      <c r="T159" s="97" t="s">
        <v>695</v>
      </c>
      <c r="U159" s="98">
        <v>10420.16806722689</v>
      </c>
      <c r="V159" s="99">
        <f t="shared" si="151"/>
        <v>1979.8319327731092</v>
      </c>
      <c r="W159" s="99">
        <f t="shared" si="133"/>
        <v>12400</v>
      </c>
      <c r="X159" s="99">
        <f t="shared" si="134"/>
        <v>10420.16806722689</v>
      </c>
      <c r="Y159" s="99">
        <f t="shared" si="135"/>
        <v>12400</v>
      </c>
      <c r="Z159" s="100">
        <f t="shared" si="147"/>
        <v>14266.666666666666</v>
      </c>
      <c r="AA159" s="100">
        <f t="shared" si="136"/>
        <v>14266.666666666666</v>
      </c>
      <c r="AB159" s="78">
        <f t="shared" si="148"/>
        <v>2138.5353243127206</v>
      </c>
      <c r="AC159" s="102">
        <f t="shared" si="137"/>
        <v>0.1498973358163122</v>
      </c>
      <c r="AD159" s="5"/>
      <c r="AE159" s="7" t="s">
        <v>1053</v>
      </c>
      <c r="AF159" s="7" t="str">
        <f>VLOOKUP(C159,Estudio_Mercado_Ori!$C$12:$AH$1115,32,0)</f>
        <v>47HUERTAS</v>
      </c>
      <c r="BG159" s="7">
        <v>36</v>
      </c>
      <c r="DA159" s="7" t="str">
        <f>VLOOKUP(C159,listaBolsa!$D$2:$BA$1248,1,0)</f>
        <v>Bandeja de germinación 32 cavidades</v>
      </c>
      <c r="DB159" s="7">
        <f>VLOOKUP(C159,listaBolsa!$D$2:$BA$1248,2,0)</f>
        <v>0</v>
      </c>
      <c r="DC159" s="7" t="str">
        <f>VLOOKUP(C159,listaBolsa!$D$2:$BA$1248,10,0)</f>
        <v>LARES</v>
      </c>
      <c r="DD159" s="7">
        <f>VLOOKUP(C159,listaBolsa!$D$2:$BA$1248,14,0)</f>
        <v>11596.64</v>
      </c>
      <c r="DE159" s="7" t="str">
        <f>VLOOKUP(C159,listaBolsa!$D$2:$BA$1248,23,0)</f>
        <v>TERMOFORMADOS</v>
      </c>
      <c r="DF159" s="7">
        <f>VLOOKUP(C159,listaBolsa!$D$2:$BA$1248,29,0)</f>
        <v>16600</v>
      </c>
      <c r="DG159" s="7" t="str">
        <f>VLOOKUP(C159,listaBolsa!$D$2:$BA$1248,36,0)</f>
        <v>TIERRAGRO</v>
      </c>
      <c r="DH159" s="7">
        <f>VLOOKUP(C159,listaBolsa!$D$2:$BA$1248,40,0)</f>
        <v>10420.17</v>
      </c>
      <c r="DI159" s="253">
        <f>VLOOKUP(C159,listaBolsa!$D$2:$BA$1248,48,0)</f>
        <v>0.14990000000000001</v>
      </c>
      <c r="DJ159" s="7" t="b">
        <f t="shared" si="138"/>
        <v>1</v>
      </c>
      <c r="DK159" s="7" t="b">
        <f t="shared" si="139"/>
        <v>0</v>
      </c>
      <c r="DL159" s="7" t="b">
        <f t="shared" si="140"/>
        <v>0</v>
      </c>
      <c r="DM159" s="7" t="b">
        <f t="shared" si="141"/>
        <v>0</v>
      </c>
      <c r="DN159" s="7" t="b">
        <f t="shared" si="142"/>
        <v>1</v>
      </c>
      <c r="DO159" s="7" t="b">
        <f t="shared" si="143"/>
        <v>0</v>
      </c>
      <c r="DP159" s="7" t="b">
        <f t="shared" si="144"/>
        <v>1</v>
      </c>
      <c r="DQ159" s="7" t="b">
        <f t="shared" si="145"/>
        <v>0</v>
      </c>
      <c r="DR159" s="7" t="b">
        <f t="shared" si="146"/>
        <v>0</v>
      </c>
    </row>
    <row r="160" spans="1:125" s="7" customFormat="1" ht="79.5" customHeight="1">
      <c r="A160" s="75">
        <v>152</v>
      </c>
      <c r="B160" s="538" t="s">
        <v>579</v>
      </c>
      <c r="C160" s="351" t="s">
        <v>697</v>
      </c>
      <c r="D160" s="351" t="s">
        <v>698</v>
      </c>
      <c r="E160" s="193" t="s">
        <v>568</v>
      </c>
      <c r="F160" s="75">
        <v>1</v>
      </c>
      <c r="G160" s="75" t="s">
        <v>192</v>
      </c>
      <c r="H160" s="106" t="s">
        <v>699</v>
      </c>
      <c r="I160" s="107">
        <v>15041.17647058824</v>
      </c>
      <c r="J160" s="96">
        <f t="shared" si="149"/>
        <v>2857.8235294117658</v>
      </c>
      <c r="K160" s="96">
        <f t="shared" si="127"/>
        <v>17899.000000000007</v>
      </c>
      <c r="L160" s="96">
        <f t="shared" si="128"/>
        <v>15041.17647058824</v>
      </c>
      <c r="M160" s="96">
        <f t="shared" si="129"/>
        <v>17899.000000000007</v>
      </c>
      <c r="N160" s="108" t="s">
        <v>285</v>
      </c>
      <c r="O160" s="109">
        <v>15450.42016806723</v>
      </c>
      <c r="P160" s="110">
        <f t="shared" si="150"/>
        <v>2935.5798319327737</v>
      </c>
      <c r="Q160" s="110">
        <f t="shared" si="130"/>
        <v>18386.000000000004</v>
      </c>
      <c r="R160" s="110">
        <f t="shared" si="131"/>
        <v>15450.42016806723</v>
      </c>
      <c r="S160" s="110">
        <f t="shared" si="132"/>
        <v>18386.000000000004</v>
      </c>
      <c r="T160" s="97" t="s">
        <v>700</v>
      </c>
      <c r="U160" s="98">
        <v>15729.411764705879</v>
      </c>
      <c r="V160" s="99">
        <f t="shared" si="151"/>
        <v>2988.5882352941171</v>
      </c>
      <c r="W160" s="99">
        <f t="shared" si="133"/>
        <v>18717.999999999996</v>
      </c>
      <c r="X160" s="99">
        <f t="shared" si="134"/>
        <v>15729.411764705879</v>
      </c>
      <c r="Y160" s="99">
        <f t="shared" si="135"/>
        <v>18717.999999999996</v>
      </c>
      <c r="Z160" s="100">
        <f t="shared" si="147"/>
        <v>18334.333333333339</v>
      </c>
      <c r="AA160" s="100">
        <f t="shared" si="136"/>
        <v>18334.333333333339</v>
      </c>
      <c r="AB160" s="78">
        <f t="shared" si="148"/>
        <v>411.93729296256845</v>
      </c>
      <c r="AC160" s="102">
        <f t="shared" si="137"/>
        <v>2.2468081357156972E-2</v>
      </c>
      <c r="AD160" s="5"/>
      <c r="AE160" s="7" t="s">
        <v>1053</v>
      </c>
      <c r="AF160" s="7" t="str">
        <f>VLOOKUP(C160,Estudio_Mercado_Ori!$C$12:$AH$1115,32,0)</f>
        <v>48HUERTAS</v>
      </c>
      <c r="BG160" s="7">
        <v>37</v>
      </c>
      <c r="DA160" s="7" t="str">
        <f>VLOOKUP(C160,listaBolsa!$D$2:$BA$1248,1,0)</f>
        <v xml:space="preserve">Palín Hoyador </v>
      </c>
      <c r="DB160" s="7">
        <f>VLOOKUP(C160,listaBolsa!$D$2:$BA$1248,2,0)</f>
        <v>0</v>
      </c>
      <c r="DC160" s="7" t="str">
        <f>VLOOKUP(C160,listaBolsa!$D$2:$BA$1248,10,0)</f>
        <v>FERRAGRO</v>
      </c>
      <c r="DD160" s="7">
        <f>VLOOKUP(C160,listaBolsa!$D$2:$BA$1248,14,0)</f>
        <v>15041.18</v>
      </c>
      <c r="DE160" s="7" t="str">
        <f>VLOOKUP(C160,listaBolsa!$D$2:$BA$1248,23,0)</f>
        <v>FALABELLA COLOMBIA</v>
      </c>
      <c r="DF160" s="7">
        <f>VLOOKUP(C160,listaBolsa!$D$2:$BA$1248,29,0)</f>
        <v>18386</v>
      </c>
      <c r="DG160" s="7" t="str">
        <f>VLOOKUP(C160,listaBolsa!$D$2:$BA$1248,36,0)</f>
        <v>MACHO</v>
      </c>
      <c r="DH160" s="7">
        <f>VLOOKUP(C160,listaBolsa!$D$2:$BA$1248,40,0)</f>
        <v>15729.41</v>
      </c>
      <c r="DI160" s="253">
        <f>VLOOKUP(C160,listaBolsa!$D$2:$BA$1248,48,0)</f>
        <v>2.2499999999999999E-2</v>
      </c>
      <c r="DJ160" s="7" t="b">
        <f t="shared" si="138"/>
        <v>1</v>
      </c>
      <c r="DK160" s="7" t="b">
        <f t="shared" si="139"/>
        <v>0</v>
      </c>
      <c r="DL160" s="7" t="b">
        <f t="shared" si="140"/>
        <v>1</v>
      </c>
      <c r="DM160" s="7" t="b">
        <f t="shared" si="141"/>
        <v>0</v>
      </c>
      <c r="DN160" s="7" t="b">
        <f t="shared" si="142"/>
        <v>1</v>
      </c>
      <c r="DO160" s="7" t="b">
        <f t="shared" si="143"/>
        <v>0</v>
      </c>
      <c r="DP160" s="7" t="b">
        <f t="shared" si="144"/>
        <v>1</v>
      </c>
      <c r="DQ160" s="7" t="b">
        <f t="shared" si="145"/>
        <v>0</v>
      </c>
      <c r="DR160" s="7" t="b">
        <f t="shared" si="146"/>
        <v>0</v>
      </c>
    </row>
    <row r="161" spans="1:122" s="7" customFormat="1" ht="79.5" customHeight="1">
      <c r="A161" s="75">
        <v>153</v>
      </c>
      <c r="B161" s="538" t="s">
        <v>579</v>
      </c>
      <c r="C161" s="351" t="s">
        <v>702</v>
      </c>
      <c r="D161" s="351" t="s">
        <v>703</v>
      </c>
      <c r="E161" s="193" t="s">
        <v>568</v>
      </c>
      <c r="F161" s="75">
        <v>1</v>
      </c>
      <c r="G161" s="75" t="s">
        <v>192</v>
      </c>
      <c r="H161" s="106" t="s">
        <v>704</v>
      </c>
      <c r="I161" s="107">
        <v>103823.5294117647</v>
      </c>
      <c r="J161" s="96">
        <f t="shared" si="149"/>
        <v>19726.470588235294</v>
      </c>
      <c r="K161" s="96">
        <f t="shared" si="127"/>
        <v>123550</v>
      </c>
      <c r="L161" s="96">
        <f t="shared" si="128"/>
        <v>103823.5294117647</v>
      </c>
      <c r="M161" s="96">
        <f t="shared" si="129"/>
        <v>123550</v>
      </c>
      <c r="N161" s="108" t="s">
        <v>705</v>
      </c>
      <c r="O161" s="109">
        <v>98823.529411764714</v>
      </c>
      <c r="P161" s="110">
        <f t="shared" si="150"/>
        <v>18776.470588235297</v>
      </c>
      <c r="Q161" s="110">
        <f t="shared" si="130"/>
        <v>117600.00000000001</v>
      </c>
      <c r="R161" s="110">
        <f t="shared" si="131"/>
        <v>98823.529411764714</v>
      </c>
      <c r="S161" s="110">
        <f t="shared" si="132"/>
        <v>117600.00000000001</v>
      </c>
      <c r="T161" s="97" t="s">
        <v>706</v>
      </c>
      <c r="U161" s="98">
        <v>96415.966386554632</v>
      </c>
      <c r="V161" s="99">
        <f t="shared" si="151"/>
        <v>18319.033613445379</v>
      </c>
      <c r="W161" s="99">
        <f t="shared" si="133"/>
        <v>114735.00000000001</v>
      </c>
      <c r="X161" s="99">
        <f t="shared" si="134"/>
        <v>96415.966386554632</v>
      </c>
      <c r="Y161" s="99">
        <f t="shared" si="135"/>
        <v>114735.00000000001</v>
      </c>
      <c r="Z161" s="100">
        <f t="shared" si="147"/>
        <v>118628.33333333333</v>
      </c>
      <c r="AA161" s="100">
        <f t="shared" si="136"/>
        <v>118628.33333333333</v>
      </c>
      <c r="AB161" s="78">
        <f t="shared" si="148"/>
        <v>4496.5718423409253</v>
      </c>
      <c r="AC161" s="102">
        <f t="shared" si="137"/>
        <v>3.7904703842597399E-2</v>
      </c>
      <c r="AD161" s="5"/>
      <c r="AE161" s="7" t="s">
        <v>1046</v>
      </c>
      <c r="AF161" s="7" t="str">
        <f>VLOOKUP(C161,Estudio_Mercado_Ori!$C$12:$AH$1115,32,0)</f>
        <v>49HUERTAS</v>
      </c>
      <c r="BG161" s="7">
        <v>38</v>
      </c>
      <c r="DA161" s="7" t="str">
        <f>VLOOKUP(C161,listaBolsa!$D$2:$BA$1248,1,0)</f>
        <v>Barra Agrícola</v>
      </c>
      <c r="DB161" s="7">
        <f>VLOOKUP(C161,listaBolsa!$D$2:$BA$1248,2,0)</f>
        <v>0</v>
      </c>
      <c r="DC161" s="7" t="str">
        <f>VLOOKUP(C161,listaBolsa!$D$2:$BA$1248,10,0)</f>
        <v>ATRIAL</v>
      </c>
      <c r="DD161" s="7">
        <f>VLOOKUP(C161,listaBolsa!$D$2:$BA$1248,14,0)</f>
        <v>103823.53</v>
      </c>
      <c r="DE161" s="7" t="str">
        <f>VLOOKUP(C161,listaBolsa!$D$2:$BA$1248,23,0)</f>
        <v>HERRAGRO</v>
      </c>
      <c r="DF161" s="7">
        <f>VLOOKUP(C161,listaBolsa!$D$2:$BA$1248,29,0)</f>
        <v>117600</v>
      </c>
      <c r="DG161" s="7" t="str">
        <f>VLOOKUP(C161,listaBolsa!$D$2:$BA$1248,36,0)</f>
        <v>CASA ANDINA</v>
      </c>
      <c r="DH161" s="7">
        <f>VLOOKUP(C161,listaBolsa!$D$2:$BA$1248,40,0)</f>
        <v>96415.97</v>
      </c>
      <c r="DI161" s="253">
        <f>VLOOKUP(C161,listaBolsa!$D$2:$BA$1248,48,0)</f>
        <v>3.7900000000000003E-2</v>
      </c>
      <c r="DJ161" s="7" t="b">
        <f t="shared" si="138"/>
        <v>1</v>
      </c>
      <c r="DK161" s="7" t="b">
        <f t="shared" si="139"/>
        <v>0</v>
      </c>
      <c r="DL161" s="7" t="b">
        <f t="shared" si="140"/>
        <v>1</v>
      </c>
      <c r="DM161" s="7" t="b">
        <f t="shared" si="141"/>
        <v>0</v>
      </c>
      <c r="DN161" s="7" t="b">
        <f t="shared" si="142"/>
        <v>1</v>
      </c>
      <c r="DO161" s="7" t="b">
        <f t="shared" si="143"/>
        <v>0</v>
      </c>
      <c r="DP161" s="7" t="b">
        <f t="shared" si="144"/>
        <v>1</v>
      </c>
      <c r="DQ161" s="7" t="b">
        <f t="shared" si="145"/>
        <v>0</v>
      </c>
      <c r="DR161" s="7" t="b">
        <f t="shared" si="146"/>
        <v>0</v>
      </c>
    </row>
    <row r="162" spans="1:122" s="7" customFormat="1" ht="79.5" customHeight="1">
      <c r="A162" s="75">
        <v>154</v>
      </c>
      <c r="B162" s="538" t="s">
        <v>579</v>
      </c>
      <c r="C162" s="351" t="s">
        <v>708</v>
      </c>
      <c r="D162" s="351" t="s">
        <v>709</v>
      </c>
      <c r="E162" s="193" t="s">
        <v>568</v>
      </c>
      <c r="F162" s="75">
        <v>1</v>
      </c>
      <c r="G162" s="75" t="s">
        <v>192</v>
      </c>
      <c r="H162" s="337" t="s">
        <v>230</v>
      </c>
      <c r="I162" s="338">
        <v>57899</v>
      </c>
      <c r="J162" s="96">
        <f t="shared" si="149"/>
        <v>11000.81</v>
      </c>
      <c r="K162" s="96">
        <f t="shared" si="127"/>
        <v>68899.81</v>
      </c>
      <c r="L162" s="96">
        <f t="shared" si="128"/>
        <v>57899</v>
      </c>
      <c r="M162" s="96">
        <f t="shared" si="129"/>
        <v>68899.81</v>
      </c>
      <c r="N162" s="339" t="s">
        <v>239</v>
      </c>
      <c r="O162" s="332">
        <v>44201.68</v>
      </c>
      <c r="P162" s="110">
        <f t="shared" si="150"/>
        <v>8398.3191999999999</v>
      </c>
      <c r="Q162" s="110">
        <f t="shared" si="130"/>
        <v>52599.999199999998</v>
      </c>
      <c r="R162" s="110">
        <f t="shared" si="131"/>
        <v>44201.68</v>
      </c>
      <c r="S162" s="110">
        <f t="shared" si="132"/>
        <v>52599.999199999998</v>
      </c>
      <c r="T162" s="340" t="s">
        <v>1086</v>
      </c>
      <c r="U162" s="333">
        <v>45859.66</v>
      </c>
      <c r="V162" s="99">
        <f t="shared" si="151"/>
        <v>8713.3353999999999</v>
      </c>
      <c r="W162" s="99">
        <f t="shared" si="133"/>
        <v>54572.9954</v>
      </c>
      <c r="X162" s="99">
        <f t="shared" si="134"/>
        <v>45859.66</v>
      </c>
      <c r="Y162" s="99">
        <f t="shared" si="135"/>
        <v>54572.9954</v>
      </c>
      <c r="Z162" s="100">
        <f t="shared" si="147"/>
        <v>58690.934866666656</v>
      </c>
      <c r="AA162" s="100">
        <f t="shared" si="136"/>
        <v>58690.934866666656</v>
      </c>
      <c r="AB162" s="78">
        <f t="shared" si="148"/>
        <v>8896.0118658474748</v>
      </c>
      <c r="AC162" s="102">
        <f t="shared" si="137"/>
        <v>0.15157386547100204</v>
      </c>
      <c r="AD162" s="5"/>
      <c r="AE162" s="334" t="s">
        <v>1047</v>
      </c>
      <c r="AF162" s="7" t="str">
        <f>VLOOKUP(C162,Estudio_Mercado_Ori!$C$12:$AH$1115,32,0)</f>
        <v>50HUERTAS</v>
      </c>
      <c r="BG162" s="7">
        <v>39</v>
      </c>
      <c r="DA162" s="7" t="str">
        <f>VLOOKUP(C162,listaBolsa!$D$2:$BA$1248,1,0)</f>
        <v>Pala</v>
      </c>
      <c r="DB162" s="7">
        <f>VLOOKUP(C162,listaBolsa!$D$2:$BA$1248,2,0)</f>
        <v>0</v>
      </c>
      <c r="DC162" s="7" t="str">
        <f>VLOOKUP(C162,listaBolsa!$D$2:$BA$1248,10,0)</f>
        <v xml:space="preserve">JUNTOS DE LA MANO </v>
      </c>
      <c r="DD162" s="7">
        <f>VLOOKUP(C162,listaBolsa!$D$2:$BA$1248,14,0)</f>
        <v>81500</v>
      </c>
      <c r="DE162" s="7" t="str">
        <f>VLOOKUP(C162,listaBolsa!$D$2:$BA$1248,23,0)</f>
        <v>MYCBDE</v>
      </c>
      <c r="DF162" s="7">
        <f>VLOOKUP(C162,listaBolsa!$D$2:$BA$1248,29,0)</f>
        <v>99960</v>
      </c>
      <c r="DG162" s="7" t="str">
        <f>VLOOKUP(C162,listaBolsa!$D$2:$BA$1248,36,0)</f>
        <v>DAGROW</v>
      </c>
      <c r="DH162" s="7">
        <f>VLOOKUP(C162,listaBolsa!$D$2:$BA$1248,40,0)</f>
        <v>96460</v>
      </c>
      <c r="DI162" s="253">
        <f>VLOOKUP(C162,listaBolsa!$D$2:$BA$1248,48,0)</f>
        <v>9.1800000000000007E-2</v>
      </c>
      <c r="DJ162" s="7" t="b">
        <f t="shared" si="138"/>
        <v>1</v>
      </c>
      <c r="DK162" s="7" t="b">
        <f t="shared" si="139"/>
        <v>0</v>
      </c>
      <c r="DL162" s="7" t="b">
        <f t="shared" si="140"/>
        <v>0</v>
      </c>
      <c r="DM162" s="7" t="b">
        <f t="shared" si="141"/>
        <v>0</v>
      </c>
      <c r="DN162" s="7" t="b">
        <f t="shared" si="142"/>
        <v>0</v>
      </c>
      <c r="DO162" s="7" t="b">
        <f t="shared" si="143"/>
        <v>0</v>
      </c>
      <c r="DP162" s="7" t="b">
        <f t="shared" si="144"/>
        <v>0</v>
      </c>
      <c r="DQ162" s="7" t="b">
        <f t="shared" si="145"/>
        <v>0</v>
      </c>
      <c r="DR162" s="7" t="b">
        <f t="shared" si="146"/>
        <v>0</v>
      </c>
    </row>
    <row r="163" spans="1:122" s="7" customFormat="1" ht="79.5" customHeight="1">
      <c r="A163" s="75">
        <v>155</v>
      </c>
      <c r="B163" s="538" t="s">
        <v>579</v>
      </c>
      <c r="C163" s="351" t="s">
        <v>711</v>
      </c>
      <c r="D163" s="351" t="s">
        <v>712</v>
      </c>
      <c r="E163" s="193" t="s">
        <v>568</v>
      </c>
      <c r="F163" s="75">
        <v>1</v>
      </c>
      <c r="G163" s="75" t="s">
        <v>192</v>
      </c>
      <c r="H163" s="391" t="s">
        <v>230</v>
      </c>
      <c r="I163" s="331">
        <v>83949.58</v>
      </c>
      <c r="J163" s="96">
        <f t="shared" si="149"/>
        <v>15950.4202</v>
      </c>
      <c r="K163" s="96">
        <f t="shared" si="127"/>
        <v>99900.000200000009</v>
      </c>
      <c r="L163" s="96">
        <f t="shared" si="128"/>
        <v>83949.58</v>
      </c>
      <c r="M163" s="96">
        <f t="shared" si="129"/>
        <v>99900.000200000009</v>
      </c>
      <c r="N163" s="374" t="s">
        <v>769</v>
      </c>
      <c r="O163" s="332">
        <v>83949.58</v>
      </c>
      <c r="P163" s="110">
        <f t="shared" si="150"/>
        <v>15950.4202</v>
      </c>
      <c r="Q163" s="110">
        <f t="shared" si="130"/>
        <v>99900.000200000009</v>
      </c>
      <c r="R163" s="110">
        <f t="shared" si="131"/>
        <v>83949.58</v>
      </c>
      <c r="S163" s="110">
        <f t="shared" si="132"/>
        <v>99900.000200000009</v>
      </c>
      <c r="T163" s="383" t="s">
        <v>1087</v>
      </c>
      <c r="U163" s="333">
        <v>68000</v>
      </c>
      <c r="V163" s="99">
        <f t="shared" si="151"/>
        <v>12920</v>
      </c>
      <c r="W163" s="99">
        <f t="shared" si="133"/>
        <v>80920</v>
      </c>
      <c r="X163" s="99">
        <f t="shared" si="134"/>
        <v>68000</v>
      </c>
      <c r="Y163" s="99">
        <f t="shared" si="135"/>
        <v>80920</v>
      </c>
      <c r="Z163" s="100">
        <f t="shared" si="147"/>
        <v>93573.333466666678</v>
      </c>
      <c r="AA163" s="100">
        <f t="shared" si="136"/>
        <v>93573.333466666678</v>
      </c>
      <c r="AB163" s="78">
        <f t="shared" si="148"/>
        <v>10958.108224689156</v>
      </c>
      <c r="AC163" s="102">
        <f t="shared" si="137"/>
        <v>0.11710716951846893</v>
      </c>
      <c r="AD163" s="5"/>
      <c r="AE163" s="334" t="s">
        <v>1047</v>
      </c>
      <c r="AF163" s="7" t="str">
        <f>VLOOKUP(C163,Estudio_Mercado_Ori!$C$12:$AH$1115,32,0)</f>
        <v>51HUERTAS</v>
      </c>
      <c r="BG163" s="7">
        <v>40</v>
      </c>
      <c r="DA163" s="7" t="str">
        <f>VLOOKUP(C163,listaBolsa!$D$2:$BA$1248,1,0)</f>
        <v>Azadón</v>
      </c>
      <c r="DB163" s="7">
        <f>VLOOKUP(C163,listaBolsa!$D$2:$BA$1248,2,0)</f>
        <v>0</v>
      </c>
      <c r="DC163" s="7" t="str">
        <f>VLOOKUP(C163,listaBolsa!$D$2:$BA$1248,10,0)</f>
        <v xml:space="preserve">JUNTOS DE LA MANO </v>
      </c>
      <c r="DD163" s="7">
        <f>VLOOKUP(C163,listaBolsa!$D$2:$BA$1248,14,0)</f>
        <v>140000</v>
      </c>
      <c r="DE163" s="7" t="str">
        <f>VLOOKUP(C163,listaBolsa!$D$2:$BA$1248,23,0)</f>
        <v>DAGROW</v>
      </c>
      <c r="DF163" s="7">
        <f>VLOOKUP(C163,listaBolsa!$D$2:$BA$1248,29,0)</f>
        <v>166433</v>
      </c>
      <c r="DG163" s="7" t="str">
        <f>VLOOKUP(C163,listaBolsa!$D$2:$BA$1248,36,0)</f>
        <v>MYCBDE</v>
      </c>
      <c r="DH163" s="7">
        <f>VLOOKUP(C163,listaBolsa!$D$2:$BA$1248,40,0)</f>
        <v>142000</v>
      </c>
      <c r="DI163" s="253">
        <f>VLOOKUP(C163,listaBolsa!$D$2:$BA$1248,48,0)</f>
        <v>8.5000000000000006E-3</v>
      </c>
      <c r="DJ163" s="7" t="b">
        <f t="shared" si="138"/>
        <v>1</v>
      </c>
      <c r="DK163" s="7" t="b">
        <f t="shared" si="139"/>
        <v>0</v>
      </c>
      <c r="DL163" s="7" t="b">
        <f t="shared" si="140"/>
        <v>0</v>
      </c>
      <c r="DM163" s="7" t="b">
        <f t="shared" si="141"/>
        <v>0</v>
      </c>
      <c r="DN163" s="7" t="b">
        <f t="shared" si="142"/>
        <v>0</v>
      </c>
      <c r="DO163" s="7" t="b">
        <f t="shared" si="143"/>
        <v>0</v>
      </c>
      <c r="DP163" s="7" t="b">
        <f t="shared" si="144"/>
        <v>0</v>
      </c>
      <c r="DQ163" s="7" t="b">
        <f t="shared" si="145"/>
        <v>0</v>
      </c>
      <c r="DR163" s="7" t="b">
        <f t="shared" si="146"/>
        <v>0</v>
      </c>
    </row>
    <row r="164" spans="1:122" s="7" customFormat="1" ht="30.6" customHeight="1">
      <c r="A164" s="75">
        <v>156</v>
      </c>
      <c r="B164" s="538" t="s">
        <v>579</v>
      </c>
      <c r="C164" s="351" t="s">
        <v>714</v>
      </c>
      <c r="D164" s="351" t="s">
        <v>715</v>
      </c>
      <c r="E164" s="193" t="s">
        <v>568</v>
      </c>
      <c r="F164" s="75">
        <v>1</v>
      </c>
      <c r="G164" s="75" t="s">
        <v>192</v>
      </c>
      <c r="H164" s="337" t="s">
        <v>1088</v>
      </c>
      <c r="I164" s="331">
        <v>16359.66</v>
      </c>
      <c r="J164" s="96">
        <f t="shared" si="149"/>
        <v>3108.3353999999999</v>
      </c>
      <c r="K164" s="96">
        <f t="shared" si="127"/>
        <v>19467.9954</v>
      </c>
      <c r="L164" s="96">
        <f t="shared" si="128"/>
        <v>16359.66</v>
      </c>
      <c r="M164" s="96">
        <f t="shared" si="129"/>
        <v>19467.9954</v>
      </c>
      <c r="N164" s="339" t="s">
        <v>1089</v>
      </c>
      <c r="O164" s="332">
        <v>19319.330000000002</v>
      </c>
      <c r="P164" s="110">
        <f t="shared" si="150"/>
        <v>3670.6727000000005</v>
      </c>
      <c r="Q164" s="110">
        <f t="shared" si="130"/>
        <v>22990.002700000001</v>
      </c>
      <c r="R164" s="110">
        <f t="shared" si="131"/>
        <v>19319.330000000002</v>
      </c>
      <c r="S164" s="110">
        <f t="shared" si="132"/>
        <v>22990.002700000001</v>
      </c>
      <c r="T164" s="385" t="s">
        <v>1090</v>
      </c>
      <c r="U164" s="333">
        <v>18651.259999999998</v>
      </c>
      <c r="V164" s="99">
        <f t="shared" si="151"/>
        <v>3543.7393999999999</v>
      </c>
      <c r="W164" s="99">
        <f t="shared" si="133"/>
        <v>22194.999399999997</v>
      </c>
      <c r="X164" s="99">
        <f t="shared" si="134"/>
        <v>18651.259999999998</v>
      </c>
      <c r="Y164" s="99">
        <f t="shared" si="135"/>
        <v>22194.999399999997</v>
      </c>
      <c r="Z164" s="100">
        <f t="shared" si="147"/>
        <v>21550.999166666665</v>
      </c>
      <c r="AA164" s="100">
        <f t="shared" si="136"/>
        <v>21550.999166666665</v>
      </c>
      <c r="AB164" s="78">
        <f t="shared" si="148"/>
        <v>1847.2103509653043</v>
      </c>
      <c r="AC164" s="102">
        <f t="shared" si="137"/>
        <v>8.5713443570747255E-2</v>
      </c>
      <c r="AD164" s="5"/>
      <c r="AE164" s="334" t="s">
        <v>1047</v>
      </c>
      <c r="AF164" s="7" t="str">
        <f>VLOOKUP(C164,Estudio_Mercado_Ori!$C$12:$AH$1115,32,0)</f>
        <v>52HUERTAS</v>
      </c>
      <c r="BG164" s="7">
        <v>41</v>
      </c>
      <c r="DA164" s="7" t="str">
        <f>VLOOKUP(C164,listaBolsa!$D$2:$BA$1248,1,0)</f>
        <v>Rastrillo de garra de 12 dientes para jardín</v>
      </c>
      <c r="DB164" s="7">
        <f>VLOOKUP(C164,listaBolsa!$D$2:$BA$1248,2,0)</f>
        <v>0</v>
      </c>
      <c r="DC164" s="7" t="str">
        <f>VLOOKUP(C164,listaBolsa!$D$2:$BA$1248,10,0)</f>
        <v xml:space="preserve">JUNTOS DE LA MANO </v>
      </c>
      <c r="DD164" s="7">
        <f>VLOOKUP(C164,listaBolsa!$D$2:$BA$1248,14,0)</f>
        <v>56000</v>
      </c>
      <c r="DE164" s="7" t="str">
        <f>VLOOKUP(C164,listaBolsa!$D$2:$BA$1248,23,0)</f>
        <v>MYCBDE</v>
      </c>
      <c r="DF164" s="7">
        <f>VLOOKUP(C164,listaBolsa!$D$2:$BA$1248,29,0)</f>
        <v>71400</v>
      </c>
      <c r="DG164" s="7" t="str">
        <f>VLOOKUP(C164,listaBolsa!$D$2:$BA$1248,36,0)</f>
        <v>DAGROW</v>
      </c>
      <c r="DH164" s="7">
        <f>VLOOKUP(C164,listaBolsa!$D$2:$BA$1248,40,0)</f>
        <v>58660</v>
      </c>
      <c r="DI164" s="253">
        <f>VLOOKUP(C164,listaBolsa!$D$2:$BA$1248,48,0)</f>
        <v>3.5000000000000003E-2</v>
      </c>
      <c r="DJ164" s="7" t="b">
        <f t="shared" si="138"/>
        <v>1</v>
      </c>
      <c r="DK164" s="7" t="b">
        <f t="shared" si="139"/>
        <v>0</v>
      </c>
      <c r="DL164" s="7" t="b">
        <f t="shared" si="140"/>
        <v>0</v>
      </c>
      <c r="DM164" s="7" t="b">
        <f t="shared" si="141"/>
        <v>0</v>
      </c>
      <c r="DN164" s="7" t="b">
        <f t="shared" si="142"/>
        <v>0</v>
      </c>
      <c r="DO164" s="7" t="b">
        <f t="shared" si="143"/>
        <v>0</v>
      </c>
      <c r="DP164" s="7" t="b">
        <f t="shared" si="144"/>
        <v>0</v>
      </c>
      <c r="DQ164" s="7" t="b">
        <f t="shared" si="145"/>
        <v>0</v>
      </c>
      <c r="DR164" s="7" t="b">
        <f t="shared" si="146"/>
        <v>0</v>
      </c>
    </row>
    <row r="165" spans="1:122" s="7" customFormat="1" ht="99.6" customHeight="1">
      <c r="A165" s="75">
        <v>157</v>
      </c>
      <c r="B165" s="538" t="s">
        <v>579</v>
      </c>
      <c r="C165" s="336" t="s">
        <v>717</v>
      </c>
      <c r="D165" s="336" t="s">
        <v>718</v>
      </c>
      <c r="E165" s="193" t="s">
        <v>568</v>
      </c>
      <c r="F165" s="75">
        <v>1</v>
      </c>
      <c r="G165" s="75" t="s">
        <v>192</v>
      </c>
      <c r="H165" s="372" t="s">
        <v>382</v>
      </c>
      <c r="I165" s="107">
        <v>7140</v>
      </c>
      <c r="J165" s="96">
        <f t="shared" si="149"/>
        <v>1356.6</v>
      </c>
      <c r="K165" s="96">
        <f t="shared" si="127"/>
        <v>8496.6</v>
      </c>
      <c r="L165" s="96">
        <f t="shared" si="128"/>
        <v>7140</v>
      </c>
      <c r="M165" s="96">
        <f t="shared" si="129"/>
        <v>8496.6</v>
      </c>
      <c r="N165" s="381" t="s">
        <v>381</v>
      </c>
      <c r="O165" s="109">
        <v>8500</v>
      </c>
      <c r="P165" s="110">
        <f t="shared" si="150"/>
        <v>1615</v>
      </c>
      <c r="Q165" s="110">
        <f t="shared" si="130"/>
        <v>10115</v>
      </c>
      <c r="R165" s="110">
        <f t="shared" si="131"/>
        <v>8500</v>
      </c>
      <c r="S165" s="110">
        <f t="shared" si="132"/>
        <v>10115</v>
      </c>
      <c r="T165" s="387" t="s">
        <v>380</v>
      </c>
      <c r="U165" s="98">
        <v>8300</v>
      </c>
      <c r="V165" s="99">
        <f t="shared" si="151"/>
        <v>1577</v>
      </c>
      <c r="W165" s="99">
        <f t="shared" si="133"/>
        <v>9877</v>
      </c>
      <c r="X165" s="99">
        <f t="shared" si="134"/>
        <v>8300</v>
      </c>
      <c r="Y165" s="99">
        <f t="shared" si="135"/>
        <v>9877</v>
      </c>
      <c r="Z165" s="100">
        <f t="shared" si="147"/>
        <v>9496.1999999999989</v>
      </c>
      <c r="AA165" s="100">
        <f t="shared" si="136"/>
        <v>9496.1999999999989</v>
      </c>
      <c r="AB165" s="78">
        <f t="shared" si="148"/>
        <v>873.81984413264479</v>
      </c>
      <c r="AC165" s="102">
        <f t="shared" si="137"/>
        <v>9.2017843361833676E-2</v>
      </c>
      <c r="AD165" s="5"/>
      <c r="AF165" s="7" t="str">
        <f>VLOOKUP(C165,Estudio_Mercado_Ori!$C$12:$AH$1115,32,0)</f>
        <v>53HUERTAS</v>
      </c>
      <c r="BG165" s="7">
        <v>42</v>
      </c>
      <c r="DA165" s="7" t="e">
        <f>VLOOKUP(C165,listaBolsa!$D$2:$BA$1248,1,0)</f>
        <v>#N/A</v>
      </c>
      <c r="DB165" s="7" t="e">
        <f>VLOOKUP(C165,listaBolsa!$D$2:$BA$1248,2,0)</f>
        <v>#N/A</v>
      </c>
      <c r="DC165" s="7" t="e">
        <f>VLOOKUP(C165,listaBolsa!$D$2:$BA$1248,10,0)</f>
        <v>#N/A</v>
      </c>
      <c r="DD165" s="7" t="e">
        <f>VLOOKUP(C165,listaBolsa!$D$2:$BA$1248,14,0)</f>
        <v>#N/A</v>
      </c>
      <c r="DE165" s="7" t="e">
        <f>VLOOKUP(C165,listaBolsa!$D$2:$BA$1248,23,0)</f>
        <v>#N/A</v>
      </c>
      <c r="DF165" s="7" t="e">
        <f>VLOOKUP(C165,listaBolsa!$D$2:$BA$1248,29,0)</f>
        <v>#N/A</v>
      </c>
      <c r="DG165" s="7" t="e">
        <f>VLOOKUP(C165,listaBolsa!$D$2:$BA$1248,36,0)</f>
        <v>#N/A</v>
      </c>
      <c r="DH165" s="7" t="e">
        <f>VLOOKUP(C165,listaBolsa!$D$2:$BA$1248,40,0)</f>
        <v>#N/A</v>
      </c>
      <c r="DI165" s="252" t="e">
        <f>VLOOKUP(C165,listaBolsa!$D$2:$BA$1248,48,0)</f>
        <v>#N/A</v>
      </c>
      <c r="DJ165" s="7" t="e">
        <f t="shared" si="138"/>
        <v>#N/A</v>
      </c>
      <c r="DK165" s="7" t="e">
        <f t="shared" si="139"/>
        <v>#N/A</v>
      </c>
      <c r="DL165" s="7" t="e">
        <f t="shared" si="140"/>
        <v>#N/A</v>
      </c>
      <c r="DM165" s="7" t="e">
        <f t="shared" si="141"/>
        <v>#N/A</v>
      </c>
      <c r="DN165" s="7" t="e">
        <f t="shared" si="142"/>
        <v>#N/A</v>
      </c>
      <c r="DO165" s="7" t="e">
        <f t="shared" si="143"/>
        <v>#N/A</v>
      </c>
      <c r="DP165" s="7" t="e">
        <f t="shared" si="144"/>
        <v>#N/A</v>
      </c>
      <c r="DQ165" s="7" t="e">
        <f t="shared" si="145"/>
        <v>#N/A</v>
      </c>
      <c r="DR165" s="7" t="e">
        <f t="shared" si="146"/>
        <v>#N/A</v>
      </c>
    </row>
    <row r="166" spans="1:122" s="7" customFormat="1" ht="30.6" customHeight="1">
      <c r="A166" s="75">
        <v>158</v>
      </c>
      <c r="B166" s="538" t="s">
        <v>579</v>
      </c>
      <c r="C166" s="351" t="s">
        <v>720</v>
      </c>
      <c r="D166" s="351" t="s">
        <v>721</v>
      </c>
      <c r="E166" s="193" t="s">
        <v>568</v>
      </c>
      <c r="F166" s="75">
        <v>1</v>
      </c>
      <c r="G166" s="75" t="s">
        <v>192</v>
      </c>
      <c r="H166" s="106" t="s">
        <v>380</v>
      </c>
      <c r="I166" s="107">
        <v>50000</v>
      </c>
      <c r="J166" s="96">
        <f t="shared" si="149"/>
        <v>9500</v>
      </c>
      <c r="K166" s="96">
        <f t="shared" si="127"/>
        <v>59500</v>
      </c>
      <c r="L166" s="96">
        <f t="shared" si="128"/>
        <v>50000</v>
      </c>
      <c r="M166" s="96">
        <f t="shared" si="129"/>
        <v>59500</v>
      </c>
      <c r="N166" s="108" t="s">
        <v>381</v>
      </c>
      <c r="O166" s="109">
        <v>49000</v>
      </c>
      <c r="P166" s="110">
        <f t="shared" si="150"/>
        <v>9310</v>
      </c>
      <c r="Q166" s="110">
        <f t="shared" si="130"/>
        <v>58310</v>
      </c>
      <c r="R166" s="110">
        <f t="shared" si="131"/>
        <v>49000</v>
      </c>
      <c r="S166" s="110">
        <f t="shared" si="132"/>
        <v>58310</v>
      </c>
      <c r="T166" s="97" t="s">
        <v>382</v>
      </c>
      <c r="U166" s="98">
        <v>47600</v>
      </c>
      <c r="V166" s="99">
        <f t="shared" si="151"/>
        <v>9044</v>
      </c>
      <c r="W166" s="99">
        <f t="shared" si="133"/>
        <v>56644</v>
      </c>
      <c r="X166" s="99">
        <f t="shared" si="134"/>
        <v>47600</v>
      </c>
      <c r="Y166" s="99">
        <f t="shared" si="135"/>
        <v>56644</v>
      </c>
      <c r="Z166" s="100">
        <f t="shared" si="147"/>
        <v>58151.333333333336</v>
      </c>
      <c r="AA166" s="100">
        <f t="shared" si="136"/>
        <v>58151.333333333336</v>
      </c>
      <c r="AB166" s="78">
        <f t="shared" si="148"/>
        <v>1434.5958780553265</v>
      </c>
      <c r="AC166" s="102">
        <f t="shared" si="137"/>
        <v>2.4670042728547233E-2</v>
      </c>
      <c r="AD166" s="5"/>
      <c r="AE166" s="7" t="s">
        <v>1046</v>
      </c>
      <c r="AF166" s="7" t="str">
        <f>VLOOKUP(C166,Estudio_Mercado_Ori!$C$12:$AH$1115,32,0)</f>
        <v>54HUERTAS</v>
      </c>
      <c r="BG166" s="7">
        <v>43</v>
      </c>
      <c r="DA166" s="7" t="str">
        <f>VLOOKUP(C166,listaBolsa!$D$2:$BA$1248,1,0)</f>
        <v>Regadera Plástica de 5 litros</v>
      </c>
      <c r="DB166" s="7">
        <f>VLOOKUP(C166,listaBolsa!$D$2:$BA$1248,2,0)</f>
        <v>0</v>
      </c>
      <c r="DC166" s="7" t="str">
        <f>VLOOKUP(C166,listaBolsa!$D$2:$BA$1248,10,0)</f>
        <v xml:space="preserve">JUNTOS DE LA MANO </v>
      </c>
      <c r="DD166" s="7">
        <f>VLOOKUP(C166,listaBolsa!$D$2:$BA$1248,14,0)</f>
        <v>50000</v>
      </c>
      <c r="DE166" s="7" t="str">
        <f>VLOOKUP(C166,listaBolsa!$D$2:$BA$1248,23,0)</f>
        <v>MYCBDE</v>
      </c>
      <c r="DF166" s="7">
        <f>VLOOKUP(C166,listaBolsa!$D$2:$BA$1248,29,0)</f>
        <v>58310</v>
      </c>
      <c r="DG166" s="7" t="str">
        <f>VLOOKUP(C166,listaBolsa!$D$2:$BA$1248,36,0)</f>
        <v>DAGROW</v>
      </c>
      <c r="DH166" s="7">
        <f>VLOOKUP(C166,listaBolsa!$D$2:$BA$1248,40,0)</f>
        <v>47600</v>
      </c>
      <c r="DI166" s="253">
        <f>VLOOKUP(C166,listaBolsa!$D$2:$BA$1248,48,0)</f>
        <v>2.47E-2</v>
      </c>
      <c r="DJ166" s="7" t="b">
        <f t="shared" si="138"/>
        <v>1</v>
      </c>
      <c r="DK166" s="7" t="b">
        <f t="shared" si="139"/>
        <v>0</v>
      </c>
      <c r="DL166" s="7" t="b">
        <f t="shared" si="140"/>
        <v>1</v>
      </c>
      <c r="DM166" s="7" t="b">
        <f t="shared" si="141"/>
        <v>1</v>
      </c>
      <c r="DN166" s="7" t="b">
        <f t="shared" si="142"/>
        <v>1</v>
      </c>
      <c r="DO166" s="7" t="b">
        <f t="shared" si="143"/>
        <v>0</v>
      </c>
      <c r="DP166" s="7" t="b">
        <f t="shared" si="144"/>
        <v>1</v>
      </c>
      <c r="DQ166" s="7" t="b">
        <f t="shared" si="145"/>
        <v>1</v>
      </c>
      <c r="DR166" s="7" t="b">
        <f t="shared" si="146"/>
        <v>0</v>
      </c>
    </row>
    <row r="167" spans="1:122" s="7" customFormat="1" ht="30.6" customHeight="1">
      <c r="A167" s="75">
        <v>159</v>
      </c>
      <c r="B167" s="538" t="s">
        <v>579</v>
      </c>
      <c r="C167" s="351" t="s">
        <v>723</v>
      </c>
      <c r="D167" s="351" t="s">
        <v>724</v>
      </c>
      <c r="E167" s="193" t="s">
        <v>568</v>
      </c>
      <c r="F167" s="75">
        <v>1</v>
      </c>
      <c r="G167" s="75" t="s">
        <v>192</v>
      </c>
      <c r="H167" s="106" t="s">
        <v>380</v>
      </c>
      <c r="I167" s="107">
        <v>26000</v>
      </c>
      <c r="J167" s="96"/>
      <c r="K167" s="96">
        <f t="shared" si="127"/>
        <v>26000</v>
      </c>
      <c r="L167" s="96">
        <f t="shared" si="128"/>
        <v>26000</v>
      </c>
      <c r="M167" s="96">
        <f t="shared" si="129"/>
        <v>26000</v>
      </c>
      <c r="N167" s="108" t="s">
        <v>381</v>
      </c>
      <c r="O167" s="109">
        <v>28000</v>
      </c>
      <c r="P167" s="110"/>
      <c r="Q167" s="110">
        <f t="shared" si="130"/>
        <v>28000</v>
      </c>
      <c r="R167" s="110">
        <f t="shared" si="131"/>
        <v>28000</v>
      </c>
      <c r="S167" s="110">
        <f t="shared" si="132"/>
        <v>28000</v>
      </c>
      <c r="T167" s="97" t="s">
        <v>382</v>
      </c>
      <c r="U167" s="98">
        <v>25000</v>
      </c>
      <c r="V167" s="99"/>
      <c r="W167" s="99">
        <f t="shared" si="133"/>
        <v>25000</v>
      </c>
      <c r="X167" s="99">
        <f t="shared" si="134"/>
        <v>25000</v>
      </c>
      <c r="Y167" s="99">
        <f t="shared" si="135"/>
        <v>25000</v>
      </c>
      <c r="Z167" s="100">
        <f t="shared" si="147"/>
        <v>26333.333333333332</v>
      </c>
      <c r="AA167" s="100">
        <f t="shared" si="136"/>
        <v>26333.333333333332</v>
      </c>
      <c r="AB167" s="78">
        <f t="shared" si="148"/>
        <v>1527.5252316519466</v>
      </c>
      <c r="AC167" s="102">
        <f t="shared" si="137"/>
        <v>5.8007287277922023E-2</v>
      </c>
      <c r="AD167" s="5"/>
      <c r="AE167" s="7" t="s">
        <v>1053</v>
      </c>
      <c r="AF167" s="7" t="str">
        <f>VLOOKUP(C167,Estudio_Mercado_Ori!$C$12:$AH$1115,32,0)</f>
        <v>55HUERTAS</v>
      </c>
      <c r="BG167" s="7">
        <v>44</v>
      </c>
      <c r="DA167" s="7" t="str">
        <f>VLOOKUP(C167,listaBolsa!$D$2:$BA$1248,1,0)</f>
        <v>Tierra negra preparada, Bulto 40 kg</v>
      </c>
      <c r="DB167" s="7">
        <f>VLOOKUP(C167,listaBolsa!$D$2:$BA$1248,2,0)</f>
        <v>0</v>
      </c>
      <c r="DC167" s="7" t="str">
        <f>VLOOKUP(C167,listaBolsa!$D$2:$BA$1248,10,0)</f>
        <v xml:space="preserve">JUNTOS DE LA MANO </v>
      </c>
      <c r="DD167" s="7">
        <f>VLOOKUP(C167,listaBolsa!$D$2:$BA$1248,14,0)</f>
        <v>26000</v>
      </c>
      <c r="DE167" s="7" t="str">
        <f>VLOOKUP(C167,listaBolsa!$D$2:$BA$1248,23,0)</f>
        <v>MYCBDE</v>
      </c>
      <c r="DF167" s="7">
        <f>VLOOKUP(C167,listaBolsa!$D$2:$BA$1248,29,0)</f>
        <v>28000</v>
      </c>
      <c r="DG167" s="7" t="str">
        <f>VLOOKUP(C167,listaBolsa!$D$2:$BA$1248,36,0)</f>
        <v>DAGROW</v>
      </c>
      <c r="DH167" s="7">
        <f>VLOOKUP(C167,listaBolsa!$D$2:$BA$1248,40,0)</f>
        <v>25000</v>
      </c>
      <c r="DI167" s="253">
        <f>VLOOKUP(C167,listaBolsa!$D$2:$BA$1248,48,0)</f>
        <v>5.8000000000000003E-2</v>
      </c>
      <c r="DJ167" s="7" t="b">
        <f t="shared" si="138"/>
        <v>1</v>
      </c>
      <c r="DK167" s="7" t="b">
        <f t="shared" si="139"/>
        <v>0</v>
      </c>
      <c r="DL167" s="7" t="b">
        <f t="shared" si="140"/>
        <v>1</v>
      </c>
      <c r="DM167" s="7" t="b">
        <f t="shared" si="141"/>
        <v>1</v>
      </c>
      <c r="DN167" s="7" t="b">
        <f t="shared" si="142"/>
        <v>1</v>
      </c>
      <c r="DO167" s="7" t="b">
        <f t="shared" si="143"/>
        <v>1</v>
      </c>
      <c r="DP167" s="7" t="b">
        <f t="shared" si="144"/>
        <v>1</v>
      </c>
      <c r="DQ167" s="7" t="b">
        <f t="shared" si="145"/>
        <v>1</v>
      </c>
      <c r="DR167" s="7" t="b">
        <f t="shared" si="146"/>
        <v>0</v>
      </c>
    </row>
    <row r="168" spans="1:122" s="7" customFormat="1" ht="30.6" customHeight="1">
      <c r="A168" s="75">
        <v>160</v>
      </c>
      <c r="B168" s="538" t="s">
        <v>579</v>
      </c>
      <c r="C168" s="640" t="s">
        <v>726</v>
      </c>
      <c r="D168" s="640" t="s">
        <v>727</v>
      </c>
      <c r="E168" s="193" t="s">
        <v>568</v>
      </c>
      <c r="F168" s="75">
        <v>1</v>
      </c>
      <c r="G168" s="75" t="s">
        <v>192</v>
      </c>
      <c r="H168" s="106" t="s">
        <v>380</v>
      </c>
      <c r="I168" s="107">
        <v>2200</v>
      </c>
      <c r="J168" s="96"/>
      <c r="K168" s="96">
        <f t="shared" si="127"/>
        <v>2200</v>
      </c>
      <c r="L168" s="96">
        <f t="shared" si="128"/>
        <v>2200</v>
      </c>
      <c r="M168" s="96">
        <f t="shared" si="129"/>
        <v>2200</v>
      </c>
      <c r="N168" s="108" t="s">
        <v>381</v>
      </c>
      <c r="O168" s="109">
        <v>2000</v>
      </c>
      <c r="P168" s="110"/>
      <c r="Q168" s="110">
        <f t="shared" si="130"/>
        <v>2000</v>
      </c>
      <c r="R168" s="110">
        <f t="shared" si="131"/>
        <v>2000</v>
      </c>
      <c r="S168" s="110">
        <f t="shared" si="132"/>
        <v>2000</v>
      </c>
      <c r="T168" s="97" t="s">
        <v>728</v>
      </c>
      <c r="U168" s="98">
        <v>2016.806722689076</v>
      </c>
      <c r="V168" s="99">
        <f>U168*19%</f>
        <v>383.19327731092443</v>
      </c>
      <c r="W168" s="99">
        <f t="shared" si="133"/>
        <v>2400.0000000000005</v>
      </c>
      <c r="X168" s="99">
        <f t="shared" si="134"/>
        <v>2016.806722689076</v>
      </c>
      <c r="Y168" s="99">
        <f t="shared" si="135"/>
        <v>2400.0000000000005</v>
      </c>
      <c r="Z168" s="100">
        <f t="shared" si="147"/>
        <v>2200</v>
      </c>
      <c r="AA168" s="100">
        <f t="shared" si="136"/>
        <v>2200</v>
      </c>
      <c r="AB168" s="78">
        <f t="shared" si="148"/>
        <v>200.00000000000023</v>
      </c>
      <c r="AC168" s="102">
        <f t="shared" si="137"/>
        <v>9.0909090909091009E-2</v>
      </c>
      <c r="AD168" s="5"/>
      <c r="AE168" s="7" t="s">
        <v>1053</v>
      </c>
      <c r="AF168" s="7" t="str">
        <f>VLOOKUP(C168,Estudio_Mercado_Ori!$C$12:$AH$1115,32,0)</f>
        <v>56HUERTAS</v>
      </c>
      <c r="BG168" s="7">
        <v>45</v>
      </c>
      <c r="DA168" s="7" t="str">
        <f>VLOOKUP(C168,listaBolsa!$D$2:$BA$1248,1,0)</f>
        <v>Abono bocashi para acelerar compostaje</v>
      </c>
      <c r="DB168" s="7">
        <f>VLOOKUP(C168,listaBolsa!$D$2:$BA$1248,2,0)</f>
        <v>0</v>
      </c>
      <c r="DC168" s="7" t="str">
        <f>VLOOKUP(C168,listaBolsa!$D$2:$BA$1248,10,0)</f>
        <v xml:space="preserve">JUNTOS DE LA MANO </v>
      </c>
      <c r="DD168" s="7">
        <f>VLOOKUP(C168,listaBolsa!$D$2:$BA$1248,14,0)</f>
        <v>2200</v>
      </c>
      <c r="DE168" s="7" t="str">
        <f>VLOOKUP(C168,listaBolsa!$D$2:$BA$1248,23,0)</f>
        <v>MYCBDE</v>
      </c>
      <c r="DF168" s="7">
        <f>VLOOKUP(C168,listaBolsa!$D$2:$BA$1248,29,0)</f>
        <v>2000</v>
      </c>
      <c r="DG168" s="7" t="str">
        <f>VLOOKUP(C168,listaBolsa!$D$2:$BA$1248,36,0)</f>
        <v>DISTRIBUCIONES LADAM SAS</v>
      </c>
      <c r="DH168" s="7">
        <f>VLOOKUP(C168,listaBolsa!$D$2:$BA$1248,40,0)</f>
        <v>2016.81</v>
      </c>
      <c r="DI168" s="253">
        <f>VLOOKUP(C168,listaBolsa!$D$2:$BA$1248,48,0)</f>
        <v>9.0899999999999995E-2</v>
      </c>
      <c r="DJ168" s="7" t="b">
        <f t="shared" si="138"/>
        <v>1</v>
      </c>
      <c r="DK168" s="7" t="b">
        <f t="shared" si="139"/>
        <v>0</v>
      </c>
      <c r="DL168" s="7" t="b">
        <f t="shared" si="140"/>
        <v>1</v>
      </c>
      <c r="DM168" s="7" t="b">
        <f t="shared" si="141"/>
        <v>1</v>
      </c>
      <c r="DN168" s="7" t="b">
        <f t="shared" si="142"/>
        <v>1</v>
      </c>
      <c r="DO168" s="7" t="b">
        <f t="shared" si="143"/>
        <v>1</v>
      </c>
      <c r="DP168" s="7" t="b">
        <f t="shared" si="144"/>
        <v>1</v>
      </c>
      <c r="DQ168" s="7" t="b">
        <f t="shared" si="145"/>
        <v>0</v>
      </c>
      <c r="DR168" s="7" t="b">
        <f t="shared" si="146"/>
        <v>0</v>
      </c>
    </row>
    <row r="169" spans="1:122" s="7" customFormat="1" ht="80.45" customHeight="1">
      <c r="A169" s="75">
        <v>161</v>
      </c>
      <c r="B169" s="538" t="s">
        <v>579</v>
      </c>
      <c r="C169" s="351" t="s">
        <v>730</v>
      </c>
      <c r="D169" s="351" t="s">
        <v>731</v>
      </c>
      <c r="E169" s="193" t="s">
        <v>568</v>
      </c>
      <c r="F169" s="75">
        <v>1</v>
      </c>
      <c r="G169" s="75" t="s">
        <v>192</v>
      </c>
      <c r="H169" s="378" t="s">
        <v>230</v>
      </c>
      <c r="I169" s="331">
        <v>56638.66</v>
      </c>
      <c r="J169" s="96">
        <f>I169*19%</f>
        <v>10761.3454</v>
      </c>
      <c r="K169" s="96">
        <f t="shared" si="127"/>
        <v>67400.005400000009</v>
      </c>
      <c r="L169" s="96">
        <f t="shared" si="128"/>
        <v>56638.66</v>
      </c>
      <c r="M169" s="96">
        <f t="shared" si="129"/>
        <v>67400.005400000009</v>
      </c>
      <c r="N169" s="108" t="s">
        <v>381</v>
      </c>
      <c r="O169" s="109">
        <v>73000</v>
      </c>
      <c r="P169" s="110">
        <f>O169*19%</f>
        <v>13870</v>
      </c>
      <c r="Q169" s="110">
        <f t="shared" si="130"/>
        <v>86870</v>
      </c>
      <c r="R169" s="110">
        <f t="shared" si="131"/>
        <v>73000</v>
      </c>
      <c r="S169" s="110">
        <f t="shared" si="132"/>
        <v>86870</v>
      </c>
      <c r="T169" s="97" t="s">
        <v>382</v>
      </c>
      <c r="U169" s="98">
        <v>70000</v>
      </c>
      <c r="V169" s="99">
        <f>U169*19%</f>
        <v>13300</v>
      </c>
      <c r="W169" s="99">
        <f t="shared" si="133"/>
        <v>83300</v>
      </c>
      <c r="X169" s="99">
        <f t="shared" si="134"/>
        <v>70000</v>
      </c>
      <c r="Y169" s="99">
        <f t="shared" si="135"/>
        <v>83300</v>
      </c>
      <c r="Z169" s="100">
        <f t="shared" si="147"/>
        <v>79190.001800000013</v>
      </c>
      <c r="AA169" s="100">
        <f t="shared" si="136"/>
        <v>79190.001800000013</v>
      </c>
      <c r="AB169" s="78">
        <f t="shared" si="148"/>
        <v>10365.289978288463</v>
      </c>
      <c r="AC169" s="102">
        <f t="shared" si="137"/>
        <v>0.13089139717999679</v>
      </c>
      <c r="AD169" s="5"/>
      <c r="AE169" s="7" t="s">
        <v>1091</v>
      </c>
      <c r="AF169" s="7" t="str">
        <f>VLOOKUP(C169,Estudio_Mercado_Ori!$C$12:$AH$1115,32,0)</f>
        <v>57HUERTAS</v>
      </c>
      <c r="BG169" s="7">
        <v>46</v>
      </c>
      <c r="DA169" s="7" t="str">
        <f>VLOOKUP(C169,listaBolsa!$D$2:$BA$1248,1,0)</f>
        <v>Polisombra negra 10 mt</v>
      </c>
      <c r="DB169" s="7">
        <f>VLOOKUP(C169,listaBolsa!$D$2:$BA$1248,2,0)</f>
        <v>0</v>
      </c>
      <c r="DC169" s="7" t="str">
        <f>VLOOKUP(C169,listaBolsa!$D$2:$BA$1248,10,0)</f>
        <v xml:space="preserve">JUNTOS DE LA MANO </v>
      </c>
      <c r="DD169" s="7">
        <f>VLOOKUP(C169,listaBolsa!$D$2:$BA$1248,14,0)</f>
        <v>75000</v>
      </c>
      <c r="DE169" s="7" t="str">
        <f>VLOOKUP(C169,listaBolsa!$D$2:$BA$1248,23,0)</f>
        <v>MYCBDE</v>
      </c>
      <c r="DF169" s="7">
        <f>VLOOKUP(C169,listaBolsa!$D$2:$BA$1248,29,0)</f>
        <v>86870</v>
      </c>
      <c r="DG169" s="7" t="str">
        <f>VLOOKUP(C169,listaBolsa!$D$2:$BA$1248,36,0)</f>
        <v>DAGROW</v>
      </c>
      <c r="DH169" s="7">
        <f>VLOOKUP(C169,listaBolsa!$D$2:$BA$1248,40,0)</f>
        <v>70000</v>
      </c>
      <c r="DI169" s="253">
        <f>VLOOKUP(C169,listaBolsa!$D$2:$BA$1248,48,0)</f>
        <v>3.4599999999999999E-2</v>
      </c>
      <c r="DJ169" s="7" t="b">
        <f t="shared" si="138"/>
        <v>1</v>
      </c>
      <c r="DK169" s="7" t="b">
        <f t="shared" si="139"/>
        <v>0</v>
      </c>
      <c r="DL169" s="7" t="b">
        <f t="shared" si="140"/>
        <v>0</v>
      </c>
      <c r="DM169" s="7" t="b">
        <f t="shared" si="141"/>
        <v>0</v>
      </c>
      <c r="DN169" s="7" t="b">
        <f t="shared" si="142"/>
        <v>1</v>
      </c>
      <c r="DO169" s="7" t="b">
        <f t="shared" si="143"/>
        <v>0</v>
      </c>
      <c r="DP169" s="7" t="b">
        <f t="shared" si="144"/>
        <v>1</v>
      </c>
      <c r="DQ169" s="7" t="b">
        <f t="shared" si="145"/>
        <v>1</v>
      </c>
      <c r="DR169" s="7" t="b">
        <f t="shared" si="146"/>
        <v>0</v>
      </c>
    </row>
    <row r="170" spans="1:122" s="7" customFormat="1" ht="30.6" customHeight="1">
      <c r="A170" s="75">
        <v>162</v>
      </c>
      <c r="B170" s="538" t="s">
        <v>579</v>
      </c>
      <c r="C170" s="351" t="s">
        <v>733</v>
      </c>
      <c r="D170" s="351" t="s">
        <v>734</v>
      </c>
      <c r="E170" s="193" t="s">
        <v>568</v>
      </c>
      <c r="F170" s="75">
        <v>1</v>
      </c>
      <c r="G170" s="75" t="s">
        <v>192</v>
      </c>
      <c r="H170" s="106" t="s">
        <v>380</v>
      </c>
      <c r="I170" s="107">
        <v>22000</v>
      </c>
      <c r="J170" s="96"/>
      <c r="K170" s="96">
        <f t="shared" si="127"/>
        <v>22000</v>
      </c>
      <c r="L170" s="96">
        <f t="shared" si="128"/>
        <v>22000</v>
      </c>
      <c r="M170" s="96">
        <f t="shared" si="129"/>
        <v>22000</v>
      </c>
      <c r="N170" s="108" t="s">
        <v>381</v>
      </c>
      <c r="O170" s="109">
        <v>24000</v>
      </c>
      <c r="P170" s="110"/>
      <c r="Q170" s="110">
        <f t="shared" si="130"/>
        <v>24000</v>
      </c>
      <c r="R170" s="110">
        <f t="shared" si="131"/>
        <v>24000</v>
      </c>
      <c r="S170" s="110">
        <f t="shared" si="132"/>
        <v>24000</v>
      </c>
      <c r="T170" s="386" t="s">
        <v>382</v>
      </c>
      <c r="U170" s="388">
        <v>20000</v>
      </c>
      <c r="V170" s="99"/>
      <c r="W170" s="99">
        <f t="shared" si="133"/>
        <v>20000</v>
      </c>
      <c r="X170" s="99">
        <f t="shared" si="134"/>
        <v>20000</v>
      </c>
      <c r="Y170" s="99">
        <f t="shared" si="135"/>
        <v>20000</v>
      </c>
      <c r="Z170" s="100">
        <f t="shared" si="147"/>
        <v>22000</v>
      </c>
      <c r="AA170" s="100">
        <f t="shared" si="136"/>
        <v>22000</v>
      </c>
      <c r="AB170" s="78">
        <f t="shared" si="148"/>
        <v>2000</v>
      </c>
      <c r="AC170" s="102">
        <f t="shared" si="137"/>
        <v>9.0909090909090912E-2</v>
      </c>
      <c r="AD170" s="5"/>
      <c r="AE170" s="7" t="s">
        <v>1053</v>
      </c>
      <c r="AF170" s="7" t="str">
        <f>VLOOKUP(C170,Estudio_Mercado_Ori!$C$12:$AH$1115,32,0)</f>
        <v>58HUERTAS</v>
      </c>
      <c r="BG170" s="7">
        <v>47</v>
      </c>
      <c r="DA170" s="7" t="str">
        <f>VLOOKUP(C170,listaBolsa!$D$2:$BA$1248,1,0)</f>
        <v>Cascarilla quemada 4 kg</v>
      </c>
      <c r="DB170" s="7">
        <f>VLOOKUP(C170,listaBolsa!$D$2:$BA$1248,2,0)</f>
        <v>0</v>
      </c>
      <c r="DC170" s="7" t="str">
        <f>VLOOKUP(C170,listaBolsa!$D$2:$BA$1248,10,0)</f>
        <v xml:space="preserve">JUNTOS DE LA MANO </v>
      </c>
      <c r="DD170" s="7">
        <f>VLOOKUP(C170,listaBolsa!$D$2:$BA$1248,14,0)</f>
        <v>22000</v>
      </c>
      <c r="DE170" s="7" t="str">
        <f>VLOOKUP(C170,listaBolsa!$D$2:$BA$1248,23,0)</f>
        <v>MYCBDE</v>
      </c>
      <c r="DF170" s="7">
        <f>VLOOKUP(C170,listaBolsa!$D$2:$BA$1248,29,0)</f>
        <v>24000</v>
      </c>
      <c r="DG170" s="7" t="str">
        <f>VLOOKUP(C170,listaBolsa!$D$2:$BA$1248,36,0)</f>
        <v>DAGROW</v>
      </c>
      <c r="DH170" s="7">
        <f>VLOOKUP(C170,listaBolsa!$D$2:$BA$1248,40,0)</f>
        <v>20000</v>
      </c>
      <c r="DI170" s="253">
        <f>VLOOKUP(C170,listaBolsa!$D$2:$BA$1248,48,0)</f>
        <v>9.0899999999999995E-2</v>
      </c>
      <c r="DJ170" s="7" t="b">
        <f t="shared" si="138"/>
        <v>1</v>
      </c>
      <c r="DK170" s="7" t="b">
        <f t="shared" si="139"/>
        <v>0</v>
      </c>
      <c r="DL170" s="7" t="b">
        <f t="shared" si="140"/>
        <v>1</v>
      </c>
      <c r="DM170" s="7" t="b">
        <f t="shared" si="141"/>
        <v>1</v>
      </c>
      <c r="DN170" s="7" t="b">
        <f t="shared" si="142"/>
        <v>1</v>
      </c>
      <c r="DO170" s="7" t="b">
        <f t="shared" si="143"/>
        <v>1</v>
      </c>
      <c r="DP170" s="7" t="b">
        <f t="shared" si="144"/>
        <v>1</v>
      </c>
      <c r="DQ170" s="7" t="b">
        <f t="shared" si="145"/>
        <v>1</v>
      </c>
      <c r="DR170" s="7" t="b">
        <f t="shared" si="146"/>
        <v>0</v>
      </c>
    </row>
    <row r="171" spans="1:122" s="7" customFormat="1" ht="30.6" customHeight="1">
      <c r="A171" s="75">
        <v>163</v>
      </c>
      <c r="B171" s="538" t="s">
        <v>579</v>
      </c>
      <c r="C171" s="351" t="s">
        <v>736</v>
      </c>
      <c r="D171" s="351" t="s">
        <v>737</v>
      </c>
      <c r="E171" s="193" t="s">
        <v>568</v>
      </c>
      <c r="F171" s="75">
        <v>1</v>
      </c>
      <c r="G171" s="75" t="s">
        <v>192</v>
      </c>
      <c r="H171" s="106" t="s">
        <v>380</v>
      </c>
      <c r="I171" s="107">
        <v>17500</v>
      </c>
      <c r="J171" s="96"/>
      <c r="K171" s="96">
        <f t="shared" si="127"/>
        <v>17500</v>
      </c>
      <c r="L171" s="96">
        <f t="shared" si="128"/>
        <v>17500</v>
      </c>
      <c r="M171" s="96">
        <f t="shared" si="129"/>
        <v>17500</v>
      </c>
      <c r="N171" s="108" t="s">
        <v>381</v>
      </c>
      <c r="O171" s="109">
        <v>18000</v>
      </c>
      <c r="P171" s="110"/>
      <c r="Q171" s="110">
        <f t="shared" si="130"/>
        <v>18000</v>
      </c>
      <c r="R171" s="110">
        <f t="shared" si="131"/>
        <v>18000</v>
      </c>
      <c r="S171" s="110">
        <f t="shared" si="132"/>
        <v>18000</v>
      </c>
      <c r="T171" s="97" t="s">
        <v>382</v>
      </c>
      <c r="U171" s="98">
        <v>15000</v>
      </c>
      <c r="V171" s="99"/>
      <c r="W171" s="99">
        <f t="shared" si="133"/>
        <v>15000</v>
      </c>
      <c r="X171" s="99">
        <f t="shared" si="134"/>
        <v>15000</v>
      </c>
      <c r="Y171" s="99">
        <f t="shared" si="135"/>
        <v>15000</v>
      </c>
      <c r="Z171" s="100">
        <f t="shared" si="147"/>
        <v>16833.333333333332</v>
      </c>
      <c r="AA171" s="100">
        <f t="shared" si="136"/>
        <v>16833.333333333332</v>
      </c>
      <c r="AB171" s="78">
        <f t="shared" si="148"/>
        <v>1607.2751268321592</v>
      </c>
      <c r="AC171" s="102">
        <f t="shared" si="137"/>
        <v>9.5481690702900551E-2</v>
      </c>
      <c r="AD171" s="5"/>
      <c r="AE171" s="7" t="s">
        <v>1053</v>
      </c>
      <c r="AF171" s="7" t="str">
        <f>VLOOKUP(C171,Estudio_Mercado_Ori!$C$12:$AH$1115,32,0)</f>
        <v>59HUERTAS</v>
      </c>
      <c r="BG171" s="7">
        <v>48</v>
      </c>
      <c r="DA171" s="7" t="str">
        <f>VLOOKUP(C171,listaBolsa!$D$2:$BA$1248,1,0)</f>
        <v>Humus 10 kg</v>
      </c>
      <c r="DB171" s="7">
        <f>VLOOKUP(C171,listaBolsa!$D$2:$BA$1248,2,0)</f>
        <v>0</v>
      </c>
      <c r="DC171" s="7" t="str">
        <f>VLOOKUP(C171,listaBolsa!$D$2:$BA$1248,10,0)</f>
        <v xml:space="preserve">JUNTOS DE LA MANO </v>
      </c>
      <c r="DD171" s="7">
        <f>VLOOKUP(C171,listaBolsa!$D$2:$BA$1248,14,0)</f>
        <v>17500</v>
      </c>
      <c r="DE171" s="7" t="str">
        <f>VLOOKUP(C171,listaBolsa!$D$2:$BA$1248,23,0)</f>
        <v>MYCBDE</v>
      </c>
      <c r="DF171" s="7">
        <f>VLOOKUP(C171,listaBolsa!$D$2:$BA$1248,29,0)</f>
        <v>18000</v>
      </c>
      <c r="DG171" s="7" t="str">
        <f>VLOOKUP(C171,listaBolsa!$D$2:$BA$1248,36,0)</f>
        <v>DAGROW</v>
      </c>
      <c r="DH171" s="7">
        <f>VLOOKUP(C171,listaBolsa!$D$2:$BA$1248,40,0)</f>
        <v>15000</v>
      </c>
      <c r="DI171" s="253">
        <f>VLOOKUP(C171,listaBolsa!$D$2:$BA$1248,48,0)</f>
        <v>9.5500000000000002E-2</v>
      </c>
      <c r="DJ171" s="7" t="b">
        <f t="shared" si="138"/>
        <v>1</v>
      </c>
      <c r="DK171" s="7" t="b">
        <f t="shared" si="139"/>
        <v>0</v>
      </c>
      <c r="DL171" s="7" t="b">
        <f t="shared" si="140"/>
        <v>1</v>
      </c>
      <c r="DM171" s="7" t="b">
        <f t="shared" si="141"/>
        <v>1</v>
      </c>
      <c r="DN171" s="7" t="b">
        <f t="shared" si="142"/>
        <v>1</v>
      </c>
      <c r="DO171" s="7" t="b">
        <f t="shared" si="143"/>
        <v>1</v>
      </c>
      <c r="DP171" s="7" t="b">
        <f t="shared" si="144"/>
        <v>1</v>
      </c>
      <c r="DQ171" s="7" t="b">
        <f t="shared" si="145"/>
        <v>1</v>
      </c>
      <c r="DR171" s="7" t="b">
        <f t="shared" si="146"/>
        <v>0</v>
      </c>
    </row>
    <row r="172" spans="1:122" s="7" customFormat="1" ht="30.6" customHeight="1">
      <c r="A172" s="75">
        <v>164</v>
      </c>
      <c r="B172" s="538" t="s">
        <v>579</v>
      </c>
      <c r="C172" s="351" t="s">
        <v>739</v>
      </c>
      <c r="D172" s="351" t="s">
        <v>740</v>
      </c>
      <c r="E172" s="193" t="s">
        <v>568</v>
      </c>
      <c r="F172" s="75">
        <v>1</v>
      </c>
      <c r="G172" s="75" t="s">
        <v>192</v>
      </c>
      <c r="H172" s="106" t="s">
        <v>380</v>
      </c>
      <c r="I172" s="107">
        <v>12000</v>
      </c>
      <c r="J172" s="96"/>
      <c r="K172" s="96">
        <f t="shared" si="127"/>
        <v>12000</v>
      </c>
      <c r="L172" s="96">
        <f t="shared" si="128"/>
        <v>12000</v>
      </c>
      <c r="M172" s="96">
        <f t="shared" si="129"/>
        <v>12000</v>
      </c>
      <c r="N172" s="108" t="s">
        <v>381</v>
      </c>
      <c r="O172" s="109">
        <v>10000</v>
      </c>
      <c r="P172" s="110"/>
      <c r="Q172" s="110">
        <f t="shared" si="130"/>
        <v>10000</v>
      </c>
      <c r="R172" s="110">
        <f t="shared" si="131"/>
        <v>10000</v>
      </c>
      <c r="S172" s="110">
        <f t="shared" si="132"/>
        <v>10000</v>
      </c>
      <c r="T172" s="97" t="s">
        <v>382</v>
      </c>
      <c r="U172" s="98">
        <v>8000</v>
      </c>
      <c r="V172" s="99"/>
      <c r="W172" s="99">
        <f t="shared" si="133"/>
        <v>8000</v>
      </c>
      <c r="X172" s="99">
        <f t="shared" si="134"/>
        <v>8000</v>
      </c>
      <c r="Y172" s="99">
        <f t="shared" si="135"/>
        <v>8000</v>
      </c>
      <c r="Z172" s="100">
        <f t="shared" si="147"/>
        <v>10000</v>
      </c>
      <c r="AA172" s="100">
        <f t="shared" si="136"/>
        <v>10000</v>
      </c>
      <c r="AB172" s="78">
        <f t="shared" si="148"/>
        <v>2000</v>
      </c>
      <c r="AC172" s="102">
        <f t="shared" si="137"/>
        <v>0.2</v>
      </c>
      <c r="AD172" s="5"/>
      <c r="AE172" s="7" t="s">
        <v>1053</v>
      </c>
      <c r="AF172" s="7" t="str">
        <f>VLOOKUP(C172,Estudio_Mercado_Ori!$C$12:$AH$1115,32,0)</f>
        <v>60HUERTAS</v>
      </c>
      <c r="BG172" s="7">
        <v>49</v>
      </c>
      <c r="DA172" s="7" t="str">
        <f>VLOOKUP(C172,listaBolsa!$D$2:$BA$1248,1,0)</f>
        <v>Fibra de coco 4 lt</v>
      </c>
      <c r="DB172" s="7">
        <f>VLOOKUP(C172,listaBolsa!$D$2:$BA$1248,2,0)</f>
        <v>0</v>
      </c>
      <c r="DC172" s="7" t="str">
        <f>VLOOKUP(C172,listaBolsa!$D$2:$BA$1248,10,0)</f>
        <v xml:space="preserve">JUNTOS DE LA MANO </v>
      </c>
      <c r="DD172" s="7">
        <f>VLOOKUP(C172,listaBolsa!$D$2:$BA$1248,14,0)</f>
        <v>12000</v>
      </c>
      <c r="DE172" s="7" t="str">
        <f>VLOOKUP(C172,listaBolsa!$D$2:$BA$1248,23,0)</f>
        <v>MYCBDE</v>
      </c>
      <c r="DF172" s="7">
        <f>VLOOKUP(C172,listaBolsa!$D$2:$BA$1248,29,0)</f>
        <v>10000</v>
      </c>
      <c r="DG172" s="7" t="str">
        <f>VLOOKUP(C172,listaBolsa!$D$2:$BA$1248,36,0)</f>
        <v>DAGROW</v>
      </c>
      <c r="DH172" s="7">
        <f>VLOOKUP(C172,listaBolsa!$D$2:$BA$1248,40,0)</f>
        <v>8000</v>
      </c>
      <c r="DI172" s="253">
        <f>VLOOKUP(C172,listaBolsa!$D$2:$BA$1248,48,0)</f>
        <v>0.2</v>
      </c>
      <c r="DJ172" s="7" t="b">
        <f t="shared" si="138"/>
        <v>1</v>
      </c>
      <c r="DK172" s="7" t="b">
        <f t="shared" si="139"/>
        <v>0</v>
      </c>
      <c r="DL172" s="7" t="b">
        <f t="shared" si="140"/>
        <v>1</v>
      </c>
      <c r="DM172" s="7" t="b">
        <f t="shared" si="141"/>
        <v>1</v>
      </c>
      <c r="DN172" s="7" t="b">
        <f t="shared" si="142"/>
        <v>1</v>
      </c>
      <c r="DO172" s="7" t="b">
        <f t="shared" si="143"/>
        <v>1</v>
      </c>
      <c r="DP172" s="7" t="b">
        <f t="shared" si="144"/>
        <v>1</v>
      </c>
      <c r="DQ172" s="7" t="b">
        <f t="shared" si="145"/>
        <v>1</v>
      </c>
      <c r="DR172" s="7" t="b">
        <f t="shared" si="146"/>
        <v>1</v>
      </c>
    </row>
    <row r="173" spans="1:122" s="7" customFormat="1" ht="30.6" customHeight="1">
      <c r="A173" s="75">
        <v>165</v>
      </c>
      <c r="B173" s="538" t="s">
        <v>579</v>
      </c>
      <c r="C173" s="351" t="s">
        <v>742</v>
      </c>
      <c r="D173" s="351" t="s">
        <v>743</v>
      </c>
      <c r="E173" s="193" t="s">
        <v>568</v>
      </c>
      <c r="F173" s="75">
        <v>1</v>
      </c>
      <c r="G173" s="75" t="s">
        <v>192</v>
      </c>
      <c r="H173" s="371" t="s">
        <v>1092</v>
      </c>
      <c r="I173" s="331">
        <v>33613.449999999997</v>
      </c>
      <c r="J173" s="96">
        <f t="shared" ref="J173:J182" si="152">I173*19%</f>
        <v>6386.5554999999995</v>
      </c>
      <c r="K173" s="96">
        <f t="shared" si="127"/>
        <v>40000.005499999999</v>
      </c>
      <c r="L173" s="96">
        <f t="shared" si="128"/>
        <v>33613.449999999997</v>
      </c>
      <c r="M173" s="96">
        <f t="shared" si="129"/>
        <v>40000.005499999999</v>
      </c>
      <c r="N173" s="5" t="s">
        <v>230</v>
      </c>
      <c r="O173" s="401">
        <v>29327.73</v>
      </c>
      <c r="P173" s="110">
        <f t="shared" ref="P173:P182" si="153">O173*19%</f>
        <v>5572.2686999999996</v>
      </c>
      <c r="Q173" s="110">
        <f t="shared" si="130"/>
        <v>34899.998699999996</v>
      </c>
      <c r="R173" s="110">
        <f t="shared" si="131"/>
        <v>29327.73</v>
      </c>
      <c r="S173" s="110">
        <f t="shared" si="132"/>
        <v>34899.998699999996</v>
      </c>
      <c r="T173" s="383" t="s">
        <v>769</v>
      </c>
      <c r="U173" s="333">
        <v>31008.400000000001</v>
      </c>
      <c r="V173" s="99">
        <f>U173*19%</f>
        <v>5891.5960000000005</v>
      </c>
      <c r="W173" s="99">
        <f t="shared" si="133"/>
        <v>36899.995999999999</v>
      </c>
      <c r="X173" s="99">
        <f t="shared" si="134"/>
        <v>31008.400000000001</v>
      </c>
      <c r="Y173" s="99">
        <f t="shared" si="135"/>
        <v>36899.995999999999</v>
      </c>
      <c r="Z173" s="100">
        <f t="shared" si="147"/>
        <v>37266.666733333332</v>
      </c>
      <c r="AA173" s="100">
        <f t="shared" si="136"/>
        <v>37266.666733333332</v>
      </c>
      <c r="AB173" s="78">
        <f t="shared" si="148"/>
        <v>2569.6989921047116</v>
      </c>
      <c r="AC173" s="102">
        <f t="shared" si="137"/>
        <v>6.8954355657632055E-2</v>
      </c>
      <c r="AD173" s="5"/>
      <c r="AE173" s="7" t="s">
        <v>1093</v>
      </c>
      <c r="AF173" s="7" t="str">
        <f>VLOOKUP(C173,Estudio_Mercado_Ori!$C$12:$AH$1115,32,0)</f>
        <v>61HUERTAS</v>
      </c>
      <c r="BG173" s="7">
        <v>50</v>
      </c>
      <c r="DA173" s="7" t="str">
        <f>VLOOKUP(C172,listaBolsa!$D$2:$BA$1248,1,0)</f>
        <v>Fibra de coco 4 lt</v>
      </c>
      <c r="DB173" s="7">
        <f>VLOOKUP(C172,listaBolsa!$D$2:$BA$1248,2,0)</f>
        <v>0</v>
      </c>
      <c r="DC173" s="7" t="str">
        <f>VLOOKUP(C172,listaBolsa!$D$2:$BA$1248,10,0)</f>
        <v xml:space="preserve">JUNTOS DE LA MANO </v>
      </c>
      <c r="DD173" s="7">
        <f>VLOOKUP(C172,listaBolsa!$D$2:$BA$1248,14,0)</f>
        <v>12000</v>
      </c>
      <c r="DE173" s="7" t="str">
        <f>VLOOKUP(C172,listaBolsa!$D$2:$BA$1248,23,0)</f>
        <v>MYCBDE</v>
      </c>
      <c r="DF173" s="7">
        <f>VLOOKUP(C172,listaBolsa!$D$2:$BA$1248,29,0)</f>
        <v>10000</v>
      </c>
      <c r="DG173" s="7" t="str">
        <f>VLOOKUP(C172,listaBolsa!$D$2:$BA$1248,36,0)</f>
        <v>DAGROW</v>
      </c>
      <c r="DH173" s="7">
        <f>VLOOKUP(C172,listaBolsa!$D$2:$BA$1248,40,0)</f>
        <v>8000</v>
      </c>
      <c r="DI173" s="253">
        <f>VLOOKUP(C172,listaBolsa!$D$2:$BA$1248,48,0)</f>
        <v>0.2</v>
      </c>
      <c r="DJ173" s="7" t="b">
        <f>DA173=C172</f>
        <v>1</v>
      </c>
      <c r="DK173" s="7" t="b">
        <f t="shared" ref="DK173:DK203" si="154">DB173=D173</f>
        <v>0</v>
      </c>
      <c r="DL173" s="7" t="b">
        <f t="shared" si="140"/>
        <v>0</v>
      </c>
      <c r="DM173" s="7" t="b">
        <f t="shared" si="141"/>
        <v>0</v>
      </c>
      <c r="DN173" s="7" t="b">
        <f t="shared" si="142"/>
        <v>0</v>
      </c>
      <c r="DO173" s="7" t="b">
        <f t="shared" si="143"/>
        <v>0</v>
      </c>
      <c r="DP173" s="7" t="b">
        <f t="shared" si="144"/>
        <v>0</v>
      </c>
      <c r="DQ173" s="7" t="b">
        <f t="shared" si="145"/>
        <v>0</v>
      </c>
      <c r="DR173" s="7" t="b">
        <f t="shared" si="146"/>
        <v>0</v>
      </c>
    </row>
    <row r="174" spans="1:122" s="7" customFormat="1" ht="30.6" customHeight="1">
      <c r="A174" s="75">
        <v>166</v>
      </c>
      <c r="B174" s="538" t="s">
        <v>579</v>
      </c>
      <c r="C174" s="336" t="s">
        <v>745</v>
      </c>
      <c r="D174" s="336" t="s">
        <v>746</v>
      </c>
      <c r="E174" s="193" t="s">
        <v>568</v>
      </c>
      <c r="F174" s="75">
        <v>1</v>
      </c>
      <c r="G174" s="75" t="s">
        <v>192</v>
      </c>
      <c r="H174" s="371" t="s">
        <v>1094</v>
      </c>
      <c r="I174" s="331">
        <v>14201.68</v>
      </c>
      <c r="J174" s="96">
        <f t="shared" si="152"/>
        <v>2698.3191999999999</v>
      </c>
      <c r="K174" s="96">
        <f t="shared" si="127"/>
        <v>16899.999199999998</v>
      </c>
      <c r="L174" s="96">
        <f t="shared" si="128"/>
        <v>14201.68</v>
      </c>
      <c r="M174" s="96">
        <f t="shared" si="129"/>
        <v>16899.999199999998</v>
      </c>
      <c r="N174" s="374" t="s">
        <v>1095</v>
      </c>
      <c r="O174" s="332">
        <v>10084.030000000001</v>
      </c>
      <c r="P174" s="110">
        <f t="shared" si="153"/>
        <v>1915.9657000000002</v>
      </c>
      <c r="Q174" s="110">
        <f t="shared" si="130"/>
        <v>11999.995700000001</v>
      </c>
      <c r="R174" s="110">
        <f t="shared" si="131"/>
        <v>10084.030000000001</v>
      </c>
      <c r="S174" s="110">
        <f t="shared" si="132"/>
        <v>11999.995700000001</v>
      </c>
      <c r="T174" s="383" t="s">
        <v>230</v>
      </c>
      <c r="U174" s="333">
        <v>14621.85</v>
      </c>
      <c r="V174" s="99">
        <f>U174*19%</f>
        <v>2778.1514999999999</v>
      </c>
      <c r="W174" s="99">
        <f t="shared" si="133"/>
        <v>17400.001499999998</v>
      </c>
      <c r="X174" s="99">
        <f t="shared" si="134"/>
        <v>14621.85</v>
      </c>
      <c r="Y174" s="99">
        <f t="shared" si="135"/>
        <v>17400.001499999998</v>
      </c>
      <c r="Z174" s="100">
        <f t="shared" si="147"/>
        <v>15433.332133333332</v>
      </c>
      <c r="AA174" s="100">
        <f t="shared" si="136"/>
        <v>15433.332133333332</v>
      </c>
      <c r="AB174" s="78">
        <f t="shared" si="148"/>
        <v>2983.8481652627465</v>
      </c>
      <c r="AC174" s="102">
        <f t="shared" si="137"/>
        <v>0.193337909110253</v>
      </c>
      <c r="AD174" s="5"/>
      <c r="AE174" s="334" t="s">
        <v>1047</v>
      </c>
      <c r="AF174" s="7" t="str">
        <f>VLOOKUP(C174,Estudio_Mercado_Ori!$C$12:$AH$1115,32,0)</f>
        <v>62HUERTAS</v>
      </c>
      <c r="BG174" s="7">
        <v>51</v>
      </c>
      <c r="DA174" s="7" t="str">
        <f>VLOOKUP(C174,listaBolsa!$D$2:$BA$1248,1,0)</f>
        <v>Plástico calibre 6</v>
      </c>
      <c r="DB174" s="7">
        <f>VLOOKUP(C174,listaBolsa!$D$2:$BA$1248,2,0)</f>
        <v>0</v>
      </c>
      <c r="DC174" s="7" t="str">
        <f>VLOOKUP(C174,listaBolsa!$D$2:$BA$1248,10,0)</f>
        <v xml:space="preserve">JUNTOS DE LA MANO </v>
      </c>
      <c r="DD174" s="7">
        <f>VLOOKUP(C174,listaBolsa!$D$2:$BA$1248,14,0)</f>
        <v>69000</v>
      </c>
      <c r="DE174" s="7" t="str">
        <f>VLOOKUP(C174,listaBolsa!$D$2:$BA$1248,23,0)</f>
        <v>DAGROW</v>
      </c>
      <c r="DF174" s="7">
        <f>VLOOKUP(C174,listaBolsa!$D$2:$BA$1248,29,0)</f>
        <v>83300</v>
      </c>
      <c r="DG174" s="7" t="str">
        <f>VLOOKUP(C174,listaBolsa!$D$2:$BA$1248,36,0)</f>
        <v>MYCBDE</v>
      </c>
      <c r="DH174" s="7">
        <f>VLOOKUP(C174,listaBolsa!$D$2:$BA$1248,40,0)</f>
        <v>72000</v>
      </c>
      <c r="DI174" s="253">
        <f>VLOOKUP(C174,listaBolsa!$D$2:$BA$1248,48,0)</f>
        <v>2.1700000000000001E-2</v>
      </c>
      <c r="DJ174" s="7" t="b">
        <f t="shared" ref="DJ174:DJ197" si="155">DA174=C174</f>
        <v>1</v>
      </c>
      <c r="DK174" s="7" t="b">
        <f t="shared" si="154"/>
        <v>0</v>
      </c>
      <c r="DL174" s="7" t="b">
        <f t="shared" si="140"/>
        <v>0</v>
      </c>
      <c r="DM174" s="7" t="b">
        <f t="shared" si="141"/>
        <v>0</v>
      </c>
      <c r="DN174" s="7" t="b">
        <f t="shared" si="142"/>
        <v>0</v>
      </c>
      <c r="DO174" s="7" t="b">
        <f t="shared" si="143"/>
        <v>0</v>
      </c>
      <c r="DP174" s="7" t="b">
        <f t="shared" si="144"/>
        <v>0</v>
      </c>
      <c r="DQ174" s="7" t="b">
        <f t="shared" si="145"/>
        <v>0</v>
      </c>
      <c r="DR174" s="7" t="b">
        <f t="shared" si="146"/>
        <v>0</v>
      </c>
    </row>
    <row r="175" spans="1:122" s="7" customFormat="1" ht="68.45" customHeight="1">
      <c r="A175" s="75">
        <v>167</v>
      </c>
      <c r="B175" s="538" t="s">
        <v>579</v>
      </c>
      <c r="C175" s="351" t="s">
        <v>748</v>
      </c>
      <c r="D175" s="351" t="s">
        <v>749</v>
      </c>
      <c r="E175" s="193" t="s">
        <v>568</v>
      </c>
      <c r="F175" s="75">
        <v>1</v>
      </c>
      <c r="G175" s="75" t="s">
        <v>192</v>
      </c>
      <c r="H175" s="391" t="s">
        <v>1096</v>
      </c>
      <c r="I175" s="396">
        <v>45760</v>
      </c>
      <c r="J175" s="96">
        <f t="shared" si="152"/>
        <v>8694.4</v>
      </c>
      <c r="K175" s="96">
        <f t="shared" si="127"/>
        <v>54454.400000000001</v>
      </c>
      <c r="L175" s="96">
        <f t="shared" si="128"/>
        <v>45760</v>
      </c>
      <c r="M175" s="96">
        <f t="shared" si="129"/>
        <v>54454.400000000001</v>
      </c>
      <c r="N175" s="374" t="s">
        <v>1097</v>
      </c>
      <c r="O175" s="332">
        <v>28750</v>
      </c>
      <c r="P175" s="110">
        <f t="shared" si="153"/>
        <v>5462.5</v>
      </c>
      <c r="Q175" s="110">
        <f t="shared" si="130"/>
        <v>34212.5</v>
      </c>
      <c r="R175" s="110">
        <f t="shared" si="131"/>
        <v>28750</v>
      </c>
      <c r="S175" s="110">
        <f t="shared" si="132"/>
        <v>34212.5</v>
      </c>
      <c r="T175" s="383" t="s">
        <v>1098</v>
      </c>
      <c r="U175" s="333">
        <v>34705.879999999997</v>
      </c>
      <c r="V175" s="99">
        <f>U175*19%</f>
        <v>6594.1171999999997</v>
      </c>
      <c r="W175" s="99">
        <f t="shared" si="133"/>
        <v>41299.997199999998</v>
      </c>
      <c r="X175" s="99">
        <f t="shared" si="134"/>
        <v>34705.879999999997</v>
      </c>
      <c r="Y175" s="99">
        <f t="shared" si="135"/>
        <v>41299.997199999998</v>
      </c>
      <c r="Z175" s="100">
        <f t="shared" si="147"/>
        <v>43322.299066666666</v>
      </c>
      <c r="AA175" s="100">
        <f t="shared" si="136"/>
        <v>43322.299066666666</v>
      </c>
      <c r="AB175" s="78">
        <f t="shared" si="148"/>
        <v>10271.363469980146</v>
      </c>
      <c r="AC175" s="102">
        <f t="shared" si="137"/>
        <v>0.23709183702771691</v>
      </c>
      <c r="AD175" s="5"/>
      <c r="AE175" s="7" t="s">
        <v>1099</v>
      </c>
      <c r="AF175" s="7" t="str">
        <f>VLOOKUP(C175,Estudio_Mercado_Ori!$C$12:$AH$1115,32,0)</f>
        <v>63HUERTAS</v>
      </c>
      <c r="BG175" s="7">
        <v>52</v>
      </c>
      <c r="DA175" s="7" t="str">
        <f>VLOOKUP(C175,listaBolsa!$D$2:$BA$1248,1,0)</f>
        <v>Kit de jardinería</v>
      </c>
      <c r="DB175" s="7">
        <f>VLOOKUP(C175,listaBolsa!$D$2:$BA$1248,2,0)</f>
        <v>0</v>
      </c>
      <c r="DC175" s="7" t="str">
        <f>VLOOKUP(C175,listaBolsa!$D$2:$BA$1248,10,0)</f>
        <v xml:space="preserve">JUNTOS DE LA MANO </v>
      </c>
      <c r="DD175" s="7">
        <f>VLOOKUP(C175,listaBolsa!$D$2:$BA$1248,14,0)</f>
        <v>137000</v>
      </c>
      <c r="DE175" s="7" t="str">
        <f>VLOOKUP(C175,listaBolsa!$D$2:$BA$1248,23,0)</f>
        <v>MYCBDE</v>
      </c>
      <c r="DF175" s="7">
        <f>VLOOKUP(C175,listaBolsa!$D$2:$BA$1248,29,0)</f>
        <v>166600</v>
      </c>
      <c r="DG175" s="7" t="str">
        <f>VLOOKUP(C175,listaBolsa!$D$2:$BA$1248,36,0)</f>
        <v>DAGROW</v>
      </c>
      <c r="DH175" s="7">
        <f>VLOOKUP(C175,listaBolsa!$D$2:$BA$1248,40,0)</f>
        <v>138600</v>
      </c>
      <c r="DI175" s="253">
        <f>VLOOKUP(C175,listaBolsa!$D$2:$BA$1248,48,0)</f>
        <v>1.0800000000000001E-2</v>
      </c>
      <c r="DJ175" s="7" t="b">
        <f t="shared" si="155"/>
        <v>1</v>
      </c>
      <c r="DK175" s="7" t="b">
        <f t="shared" si="154"/>
        <v>0</v>
      </c>
      <c r="DL175" s="7" t="b">
        <f t="shared" si="140"/>
        <v>0</v>
      </c>
      <c r="DM175" s="7" t="b">
        <f t="shared" si="141"/>
        <v>0</v>
      </c>
      <c r="DN175" s="7" t="b">
        <f t="shared" si="142"/>
        <v>0</v>
      </c>
      <c r="DO175" s="7" t="b">
        <f t="shared" si="143"/>
        <v>0</v>
      </c>
      <c r="DP175" s="7" t="b">
        <f t="shared" si="144"/>
        <v>0</v>
      </c>
      <c r="DQ175" s="7" t="b">
        <f t="shared" si="145"/>
        <v>0</v>
      </c>
      <c r="DR175" s="7" t="b">
        <f t="shared" si="146"/>
        <v>0</v>
      </c>
    </row>
    <row r="176" spans="1:122" s="7" customFormat="1" ht="30.6" customHeight="1">
      <c r="A176" s="75">
        <v>168</v>
      </c>
      <c r="B176" s="538" t="s">
        <v>579</v>
      </c>
      <c r="C176" s="351" t="s">
        <v>751</v>
      </c>
      <c r="D176" s="351" t="s">
        <v>752</v>
      </c>
      <c r="E176" s="193" t="s">
        <v>568</v>
      </c>
      <c r="F176" s="75">
        <v>1</v>
      </c>
      <c r="G176" s="75" t="s">
        <v>192</v>
      </c>
      <c r="H176" s="374" t="s">
        <v>230</v>
      </c>
      <c r="I176" s="332">
        <v>125966.39</v>
      </c>
      <c r="J176" s="96">
        <f t="shared" si="152"/>
        <v>23933.614099999999</v>
      </c>
      <c r="K176" s="96">
        <f t="shared" si="127"/>
        <v>149900.00409999999</v>
      </c>
      <c r="L176" s="96">
        <f t="shared" si="128"/>
        <v>125966.39</v>
      </c>
      <c r="M176" s="96">
        <f t="shared" si="129"/>
        <v>149900.00409999999</v>
      </c>
      <c r="N176" s="383" t="s">
        <v>769</v>
      </c>
      <c r="O176" s="333">
        <v>125966.39</v>
      </c>
      <c r="P176" s="110">
        <f t="shared" si="153"/>
        <v>23933.614099999999</v>
      </c>
      <c r="Q176" s="110">
        <f t="shared" si="130"/>
        <v>149900.00409999999</v>
      </c>
      <c r="R176" s="110">
        <f t="shared" si="131"/>
        <v>125966.39</v>
      </c>
      <c r="S176" s="110">
        <f t="shared" si="132"/>
        <v>149900.00409999999</v>
      </c>
      <c r="T176" s="97"/>
      <c r="U176" s="98"/>
      <c r="V176" s="99"/>
      <c r="W176" s="99"/>
      <c r="X176" s="99"/>
      <c r="Y176" s="99"/>
      <c r="Z176" s="100">
        <f t="shared" si="147"/>
        <v>149900.00409999999</v>
      </c>
      <c r="AA176" s="100">
        <f t="shared" si="136"/>
        <v>149900.00409999999</v>
      </c>
      <c r="AB176" s="78">
        <f t="shared" si="148"/>
        <v>0</v>
      </c>
      <c r="AC176" s="102">
        <f t="shared" si="137"/>
        <v>0</v>
      </c>
      <c r="AD176" s="5"/>
      <c r="AE176" s="334" t="s">
        <v>1047</v>
      </c>
      <c r="AF176" s="7" t="str">
        <f>VLOOKUP(C176,Estudio_Mercado_Ori!$C$12:$AH$1115,32,0)</f>
        <v>64HUERTAS</v>
      </c>
      <c r="BG176" s="7">
        <v>53</v>
      </c>
      <c r="DA176" s="7" t="str">
        <f>VLOOKUP(C176,listaBolsa!$D$2:$BA$1248,1,0)</f>
        <v>Tijeras de poda larga</v>
      </c>
      <c r="DB176" s="7">
        <f>VLOOKUP(C176,listaBolsa!$D$2:$BA$1248,2,0)</f>
        <v>0</v>
      </c>
      <c r="DC176" s="7" t="str">
        <f>VLOOKUP(C176,listaBolsa!$D$2:$BA$1248,10,0)</f>
        <v xml:space="preserve">JUNTOS DE LA MANO </v>
      </c>
      <c r="DD176" s="7">
        <f>VLOOKUP(C176,listaBolsa!$D$2:$BA$1248,14,0)</f>
        <v>173000</v>
      </c>
      <c r="DE176" s="7" t="str">
        <f>VLOOKUP(C176,listaBolsa!$D$2:$BA$1248,23,0)</f>
        <v>MYCBDE</v>
      </c>
      <c r="DF176" s="7">
        <f>VLOOKUP(C176,listaBolsa!$D$2:$BA$1248,29,0)</f>
        <v>208250</v>
      </c>
      <c r="DG176" s="7" t="str">
        <f>VLOOKUP(C176,listaBolsa!$D$2:$BA$1248,36,0)</f>
        <v>DAGROW</v>
      </c>
      <c r="DH176" s="7">
        <f>VLOOKUP(C176,listaBolsa!$D$2:$BA$1248,40,0)</f>
        <v>180600</v>
      </c>
      <c r="DI176" s="253">
        <f>VLOOKUP(C176,listaBolsa!$D$2:$BA$1248,48,0)</f>
        <v>2.24E-2</v>
      </c>
      <c r="DJ176" s="7" t="b">
        <f t="shared" si="155"/>
        <v>1</v>
      </c>
      <c r="DK176" s="7" t="b">
        <f t="shared" si="154"/>
        <v>0</v>
      </c>
      <c r="DL176" s="7" t="b">
        <f t="shared" si="140"/>
        <v>0</v>
      </c>
      <c r="DM176" s="7" t="b">
        <f t="shared" si="141"/>
        <v>0</v>
      </c>
      <c r="DN176" s="7" t="b">
        <f t="shared" si="142"/>
        <v>0</v>
      </c>
      <c r="DO176" s="7" t="b">
        <f t="shared" si="143"/>
        <v>0</v>
      </c>
      <c r="DP176" s="7" t="b">
        <f t="shared" si="144"/>
        <v>0</v>
      </c>
      <c r="DQ176" s="7" t="b">
        <f t="shared" si="145"/>
        <v>0</v>
      </c>
      <c r="DR176" s="7" t="b">
        <f t="shared" si="146"/>
        <v>0</v>
      </c>
    </row>
    <row r="177" spans="1:122" s="7" customFormat="1" ht="30.6" customHeight="1">
      <c r="A177" s="75">
        <v>169</v>
      </c>
      <c r="B177" s="538" t="s">
        <v>579</v>
      </c>
      <c r="C177" s="351" t="s">
        <v>754</v>
      </c>
      <c r="D177" s="351" t="s">
        <v>755</v>
      </c>
      <c r="E177" s="193" t="s">
        <v>568</v>
      </c>
      <c r="F177" s="75">
        <v>1</v>
      </c>
      <c r="G177" s="75" t="s">
        <v>192</v>
      </c>
      <c r="H177" s="106" t="s">
        <v>380</v>
      </c>
      <c r="I177" s="107">
        <v>162000</v>
      </c>
      <c r="J177" s="96">
        <f t="shared" si="152"/>
        <v>30780</v>
      </c>
      <c r="K177" s="96">
        <f t="shared" si="127"/>
        <v>192780</v>
      </c>
      <c r="L177" s="96">
        <f t="shared" si="128"/>
        <v>162000</v>
      </c>
      <c r="M177" s="96">
        <f t="shared" si="129"/>
        <v>192780</v>
      </c>
      <c r="N177" s="108" t="s">
        <v>381</v>
      </c>
      <c r="O177" s="109">
        <v>160000</v>
      </c>
      <c r="P177" s="110">
        <f t="shared" si="153"/>
        <v>30400</v>
      </c>
      <c r="Q177" s="110">
        <f t="shared" si="130"/>
        <v>190400</v>
      </c>
      <c r="R177" s="110">
        <f t="shared" si="131"/>
        <v>160000</v>
      </c>
      <c r="S177" s="110">
        <f t="shared" si="132"/>
        <v>190400</v>
      </c>
      <c r="T177" s="97" t="s">
        <v>382</v>
      </c>
      <c r="U177" s="98">
        <v>154000</v>
      </c>
      <c r="V177" s="99">
        <f t="shared" ref="V177:V182" si="156">U177*19%</f>
        <v>29260</v>
      </c>
      <c r="W177" s="99">
        <f t="shared" ref="W177:W208" si="157">U177+V177</f>
        <v>183260</v>
      </c>
      <c r="X177" s="99">
        <f t="shared" ref="X177:X208" si="158">IF(B177="","",(U177*F177))</f>
        <v>154000</v>
      </c>
      <c r="Y177" s="99">
        <f t="shared" ref="Y177:Y208" si="159">IF(B177="","",(W177*F177))</f>
        <v>183260</v>
      </c>
      <c r="Z177" s="100">
        <f t="shared" si="147"/>
        <v>188813.33333333334</v>
      </c>
      <c r="AA177" s="100">
        <f t="shared" si="136"/>
        <v>188813.33333333334</v>
      </c>
      <c r="AB177" s="78">
        <f t="shared" si="148"/>
        <v>4954.3650787293964</v>
      </c>
      <c r="AC177" s="102">
        <f t="shared" si="137"/>
        <v>2.6239487388228566E-2</v>
      </c>
      <c r="AD177" s="5"/>
      <c r="AE177" s="7" t="s">
        <v>1046</v>
      </c>
      <c r="AF177" s="7" t="str">
        <f>VLOOKUP(C177,Estudio_Mercado_Ori!$C$12:$AH$1115,32,0)</f>
        <v>65HUERTAS</v>
      </c>
      <c r="BG177" s="7">
        <v>54</v>
      </c>
      <c r="DA177" s="7" t="str">
        <f>VLOOKUP(C177,listaBolsa!$D$2:$BA$1248,1,0)</f>
        <v>Carretilla  tipo zorra</v>
      </c>
      <c r="DB177" s="7">
        <f>VLOOKUP(C177,listaBolsa!$D$2:$BA$1248,2,0)</f>
        <v>0</v>
      </c>
      <c r="DC177" s="7" t="str">
        <f>VLOOKUP(C177,listaBolsa!$D$2:$BA$1248,10,0)</f>
        <v xml:space="preserve">JUNTOS DE LA MANO </v>
      </c>
      <c r="DD177" s="7">
        <f>VLOOKUP(C177,listaBolsa!$D$2:$BA$1248,14,0)</f>
        <v>162000</v>
      </c>
      <c r="DE177" s="7" t="str">
        <f>VLOOKUP(C177,listaBolsa!$D$2:$BA$1248,23,0)</f>
        <v>MYCBDE</v>
      </c>
      <c r="DF177" s="7">
        <f>VLOOKUP(C177,listaBolsa!$D$2:$BA$1248,29,0)</f>
        <v>190400</v>
      </c>
      <c r="DG177" s="7" t="str">
        <f>VLOOKUP(C177,listaBolsa!$D$2:$BA$1248,36,0)</f>
        <v>DAGROW</v>
      </c>
      <c r="DH177" s="7">
        <f>VLOOKUP(C177,listaBolsa!$D$2:$BA$1248,40,0)</f>
        <v>154000</v>
      </c>
      <c r="DI177" s="253">
        <f>VLOOKUP(C177,listaBolsa!$D$2:$BA$1248,48,0)</f>
        <v>2.6200000000000001E-2</v>
      </c>
      <c r="DJ177" s="7" t="b">
        <f t="shared" si="155"/>
        <v>1</v>
      </c>
      <c r="DK177" s="7" t="b">
        <f t="shared" si="154"/>
        <v>0</v>
      </c>
      <c r="DL177" s="7" t="b">
        <f t="shared" si="140"/>
        <v>1</v>
      </c>
      <c r="DM177" s="7" t="b">
        <f t="shared" si="141"/>
        <v>1</v>
      </c>
      <c r="DN177" s="7" t="b">
        <f t="shared" si="142"/>
        <v>1</v>
      </c>
      <c r="DO177" s="7" t="b">
        <f t="shared" si="143"/>
        <v>0</v>
      </c>
      <c r="DP177" s="7" t="b">
        <f t="shared" si="144"/>
        <v>1</v>
      </c>
      <c r="DQ177" s="7" t="b">
        <f t="shared" si="145"/>
        <v>1</v>
      </c>
      <c r="DR177" s="7" t="b">
        <f t="shared" si="146"/>
        <v>0</v>
      </c>
    </row>
    <row r="178" spans="1:122" s="7" customFormat="1" ht="42" customHeight="1">
      <c r="A178" s="75">
        <v>170</v>
      </c>
      <c r="B178" s="538" t="s">
        <v>579</v>
      </c>
      <c r="C178" s="351" t="s">
        <v>757</v>
      </c>
      <c r="D178" s="351" t="s">
        <v>758</v>
      </c>
      <c r="E178" s="193" t="s">
        <v>568</v>
      </c>
      <c r="F178" s="75">
        <v>1</v>
      </c>
      <c r="G178" s="75" t="s">
        <v>192</v>
      </c>
      <c r="H178" s="106" t="s">
        <v>230</v>
      </c>
      <c r="I178" s="107">
        <v>10840.336134453781</v>
      </c>
      <c r="J178" s="96">
        <f t="shared" si="152"/>
        <v>2059.6638655462184</v>
      </c>
      <c r="K178" s="96">
        <f t="shared" ref="K178:K209" si="160">I178+J178</f>
        <v>12900</v>
      </c>
      <c r="L178" s="96">
        <f t="shared" ref="L178:L209" si="161">IF(B178="","",(I178*F178))</f>
        <v>10840.336134453781</v>
      </c>
      <c r="M178" s="96">
        <f t="shared" ref="M178:M209" si="162">IF(B178="","",(K178*F178))</f>
        <v>12900</v>
      </c>
      <c r="N178" s="108" t="s">
        <v>759</v>
      </c>
      <c r="O178" s="109">
        <v>10084.033613445379</v>
      </c>
      <c r="P178" s="110">
        <f t="shared" si="153"/>
        <v>1915.966386554622</v>
      </c>
      <c r="Q178" s="110">
        <f t="shared" ref="Q178:Q209" si="163">O178+P178</f>
        <v>12000.000000000002</v>
      </c>
      <c r="R178" s="110">
        <f t="shared" ref="R178:R209" si="164">IF(B178="","",(O178*F178))</f>
        <v>10084.033613445379</v>
      </c>
      <c r="S178" s="110">
        <f t="shared" ref="S178:S209" si="165">IF(B178="","",(Q178*F178))</f>
        <v>12000.000000000002</v>
      </c>
      <c r="T178" s="97" t="s">
        <v>224</v>
      </c>
      <c r="U178" s="98">
        <v>10000</v>
      </c>
      <c r="V178" s="99">
        <f t="shared" si="156"/>
        <v>1900</v>
      </c>
      <c r="W178" s="99">
        <f t="shared" si="157"/>
        <v>11900</v>
      </c>
      <c r="X178" s="99">
        <f t="shared" si="158"/>
        <v>10000</v>
      </c>
      <c r="Y178" s="99">
        <f t="shared" si="159"/>
        <v>11900</v>
      </c>
      <c r="Z178" s="100">
        <f t="shared" si="147"/>
        <v>12266.666666666666</v>
      </c>
      <c r="AA178" s="100">
        <f t="shared" ref="AA178:AA209" si="166">IF(B178="","",Z178*F178)</f>
        <v>12266.666666666666</v>
      </c>
      <c r="AB178" s="78">
        <f t="shared" si="148"/>
        <v>550.75705472860977</v>
      </c>
      <c r="AC178" s="102">
        <f t="shared" ref="AC178:AC209" si="167">IF(B178="","",(AB178/AA178))</f>
        <v>4.4898672939832324E-2</v>
      </c>
      <c r="AD178" s="5"/>
      <c r="AE178" s="7" t="s">
        <v>1053</v>
      </c>
      <c r="AF178" s="7" t="str">
        <f>VLOOKUP(C178,Estudio_Mercado_Ori!$C$12:$AH$1115,32,0)</f>
        <v>66HUERTAS</v>
      </c>
      <c r="BG178" s="7">
        <v>55</v>
      </c>
      <c r="DA178" s="7" t="str">
        <f>VLOOKUP(C178,listaBolsa!$D$2:$BA$1248,1,0)</f>
        <v>Alambre dulce</v>
      </c>
      <c r="DB178" s="7">
        <f>VLOOKUP(C178,listaBolsa!$D$2:$BA$1248,2,0)</f>
        <v>0</v>
      </c>
      <c r="DC178" s="7" t="str">
        <f>VLOOKUP(C178,listaBolsa!$D$2:$BA$1248,10,0)</f>
        <v>HOMMECENTER</v>
      </c>
      <c r="DD178" s="7">
        <f>VLOOKUP(C178,listaBolsa!$D$2:$BA$1248,14,0)</f>
        <v>10840.34</v>
      </c>
      <c r="DE178" s="7" t="str">
        <f>VLOOKUP(C178,listaBolsa!$D$2:$BA$1248,23,0)</f>
        <v>FERRETERIA PEÑA</v>
      </c>
      <c r="DF178" s="7">
        <f>VLOOKUP(C178,listaBolsa!$D$2:$BA$1248,29,0)</f>
        <v>12000</v>
      </c>
      <c r="DG178" s="7" t="str">
        <f>VLOOKUP(C178,listaBolsa!$D$2:$BA$1248,36,0)</f>
        <v>COMADERAS</v>
      </c>
      <c r="DH178" s="7">
        <f>VLOOKUP(C178,listaBolsa!$D$2:$BA$1248,40,0)</f>
        <v>10000</v>
      </c>
      <c r="DI178" s="253">
        <f>VLOOKUP(C178,listaBolsa!$D$2:$BA$1248,48,0)</f>
        <v>4.4900000000000002E-2</v>
      </c>
      <c r="DJ178" s="7" t="b">
        <f t="shared" si="155"/>
        <v>1</v>
      </c>
      <c r="DK178" s="7" t="b">
        <f t="shared" si="154"/>
        <v>0</v>
      </c>
      <c r="DL178" s="7" t="b">
        <f t="shared" ref="DL178:DL209" si="168">DC178=H178</f>
        <v>0</v>
      </c>
      <c r="DM178" s="7" t="b">
        <f t="shared" ref="DM178:DM209" si="169">DD178=I178</f>
        <v>0</v>
      </c>
      <c r="DN178" s="7" t="b">
        <f t="shared" ref="DN178:DN209" si="170">DE178=N178</f>
        <v>1</v>
      </c>
      <c r="DO178" s="7" t="b">
        <f t="shared" ref="DO178:DO209" si="171">DF178=O178</f>
        <v>0</v>
      </c>
      <c r="DP178" s="7" t="b">
        <f t="shared" ref="DP178:DP209" si="172">DG178=T178</f>
        <v>1</v>
      </c>
      <c r="DQ178" s="7" t="b">
        <f t="shared" ref="DQ178:DQ209" si="173">DH178=U178</f>
        <v>1</v>
      </c>
      <c r="DR178" s="7" t="b">
        <f t="shared" ref="DR178:DR209" si="174">DI178=AC178</f>
        <v>0</v>
      </c>
    </row>
    <row r="179" spans="1:122" s="7" customFormat="1" ht="42" customHeight="1">
      <c r="A179" s="75">
        <v>171</v>
      </c>
      <c r="B179" s="538" t="s">
        <v>579</v>
      </c>
      <c r="C179" s="351" t="s">
        <v>761</v>
      </c>
      <c r="D179" s="351" t="s">
        <v>762</v>
      </c>
      <c r="E179" s="193" t="s">
        <v>568</v>
      </c>
      <c r="F179" s="75">
        <v>1</v>
      </c>
      <c r="G179" s="75" t="s">
        <v>192</v>
      </c>
      <c r="H179" s="106" t="s">
        <v>695</v>
      </c>
      <c r="I179" s="107">
        <v>124285.7142857143</v>
      </c>
      <c r="J179" s="96">
        <f t="shared" si="152"/>
        <v>23614.285714285717</v>
      </c>
      <c r="K179" s="96">
        <f t="shared" si="160"/>
        <v>147900.00000000003</v>
      </c>
      <c r="L179" s="96">
        <f t="shared" si="161"/>
        <v>124285.7142857143</v>
      </c>
      <c r="M179" s="96">
        <f t="shared" si="162"/>
        <v>147900.00000000003</v>
      </c>
      <c r="N179" s="108" t="s">
        <v>763</v>
      </c>
      <c r="O179" s="109">
        <v>142857.1428571429</v>
      </c>
      <c r="P179" s="110">
        <f t="shared" si="153"/>
        <v>27142.857142857152</v>
      </c>
      <c r="Q179" s="110">
        <f t="shared" si="163"/>
        <v>170000.00000000006</v>
      </c>
      <c r="R179" s="110">
        <f t="shared" si="164"/>
        <v>142857.1428571429</v>
      </c>
      <c r="S179" s="110">
        <f t="shared" si="165"/>
        <v>170000.00000000006</v>
      </c>
      <c r="T179" s="97" t="s">
        <v>764</v>
      </c>
      <c r="U179" s="98">
        <v>131596.63865546219</v>
      </c>
      <c r="V179" s="99">
        <f t="shared" si="156"/>
        <v>25003.361344537814</v>
      </c>
      <c r="W179" s="99">
        <f t="shared" si="157"/>
        <v>156600</v>
      </c>
      <c r="X179" s="99">
        <f t="shared" si="158"/>
        <v>131596.63865546219</v>
      </c>
      <c r="Y179" s="99">
        <f t="shared" si="159"/>
        <v>156600</v>
      </c>
      <c r="Z179" s="100">
        <f t="shared" ref="Z179:Z210" si="175">IF(A179="","",AVERAGE(K179,Q179,W179))</f>
        <v>158166.66666666672</v>
      </c>
      <c r="AA179" s="100">
        <f t="shared" si="166"/>
        <v>158166.66666666672</v>
      </c>
      <c r="AB179" s="78">
        <f t="shared" ref="AB179:AB210" si="176">IF(B179="","",STDEV(M179,S179,Y179))</f>
        <v>11132.984026456417</v>
      </c>
      <c r="AC179" s="102">
        <f t="shared" si="167"/>
        <v>7.0387675615109044E-2</v>
      </c>
      <c r="AD179" s="5"/>
      <c r="AE179" s="7" t="s">
        <v>1046</v>
      </c>
      <c r="AF179" s="7" t="str">
        <f>VLOOKUP(C179,Estudio_Mercado_Ori!$C$12:$AH$1115,32,0)</f>
        <v>67HUERTAS</v>
      </c>
      <c r="BG179" s="7">
        <v>56</v>
      </c>
      <c r="DA179" s="7" t="str">
        <f>VLOOKUP(C179,listaBolsa!$D$2:$BA$1248,1,0)</f>
        <v>Aspersora de 10 litros</v>
      </c>
      <c r="DB179" s="7">
        <f>VLOOKUP(C179,listaBolsa!$D$2:$BA$1248,2,0)</f>
        <v>0</v>
      </c>
      <c r="DC179" s="7" t="str">
        <f>VLOOKUP(C179,listaBolsa!$D$2:$BA$1248,10,0)</f>
        <v>TIERRAGRO</v>
      </c>
      <c r="DD179" s="7">
        <f>VLOOKUP(C179,listaBolsa!$D$2:$BA$1248,14,0)</f>
        <v>124285.71</v>
      </c>
      <c r="DE179" s="7" t="str">
        <f>VLOOKUP(C179,listaBolsa!$D$2:$BA$1248,23,0)</f>
        <v>PROGEN</v>
      </c>
      <c r="DF179" s="7">
        <f>VLOOKUP(C179,listaBolsa!$D$2:$BA$1248,29,0)</f>
        <v>170000</v>
      </c>
      <c r="DG179" s="7" t="str">
        <f>VLOOKUP(C179,listaBolsa!$D$2:$BA$1248,36,0)</f>
        <v>AGROTECNICO</v>
      </c>
      <c r="DH179" s="7">
        <f>VLOOKUP(C179,listaBolsa!$D$2:$BA$1248,40,0)</f>
        <v>131596.64000000001</v>
      </c>
      <c r="DI179" s="253">
        <f>VLOOKUP(C179,listaBolsa!$D$2:$BA$1248,48,0)</f>
        <v>7.0400000000000004E-2</v>
      </c>
      <c r="DJ179" s="7" t="b">
        <f t="shared" si="155"/>
        <v>1</v>
      </c>
      <c r="DK179" s="7" t="b">
        <f t="shared" si="154"/>
        <v>0</v>
      </c>
      <c r="DL179" s="7" t="b">
        <f t="shared" si="168"/>
        <v>1</v>
      </c>
      <c r="DM179" s="7" t="b">
        <f t="shared" si="169"/>
        <v>0</v>
      </c>
      <c r="DN179" s="7" t="b">
        <f t="shared" si="170"/>
        <v>1</v>
      </c>
      <c r="DO179" s="7" t="b">
        <f t="shared" si="171"/>
        <v>0</v>
      </c>
      <c r="DP179" s="7" t="b">
        <f t="shared" si="172"/>
        <v>1</v>
      </c>
      <c r="DQ179" s="7" t="b">
        <f t="shared" si="173"/>
        <v>0</v>
      </c>
      <c r="DR179" s="7" t="b">
        <f t="shared" si="174"/>
        <v>0</v>
      </c>
    </row>
    <row r="180" spans="1:122" s="7" customFormat="1" ht="42" customHeight="1">
      <c r="A180" s="75">
        <v>172</v>
      </c>
      <c r="B180" s="538" t="s">
        <v>579</v>
      </c>
      <c r="C180" s="351" t="s">
        <v>766</v>
      </c>
      <c r="D180" s="351" t="s">
        <v>767</v>
      </c>
      <c r="E180" s="193" t="s">
        <v>568</v>
      </c>
      <c r="F180" s="75">
        <v>1</v>
      </c>
      <c r="G180" s="75" t="s">
        <v>192</v>
      </c>
      <c r="H180" s="372" t="s">
        <v>284</v>
      </c>
      <c r="I180" s="107">
        <v>54537.815126050416</v>
      </c>
      <c r="J180" s="96">
        <f t="shared" si="152"/>
        <v>10362.18487394958</v>
      </c>
      <c r="K180" s="96">
        <f t="shared" si="160"/>
        <v>64900</v>
      </c>
      <c r="L180" s="96">
        <f t="shared" si="161"/>
        <v>54537.815126050416</v>
      </c>
      <c r="M180" s="96">
        <f t="shared" si="162"/>
        <v>64900</v>
      </c>
      <c r="N180" s="382" t="s">
        <v>768</v>
      </c>
      <c r="O180" s="109">
        <v>54537.815126050416</v>
      </c>
      <c r="P180" s="110">
        <f t="shared" si="153"/>
        <v>10362.18487394958</v>
      </c>
      <c r="Q180" s="110">
        <f t="shared" si="163"/>
        <v>64900</v>
      </c>
      <c r="R180" s="110">
        <f t="shared" si="164"/>
        <v>54537.815126050416</v>
      </c>
      <c r="S180" s="110">
        <f t="shared" si="165"/>
        <v>64900</v>
      </c>
      <c r="T180" s="390" t="s">
        <v>769</v>
      </c>
      <c r="U180" s="333">
        <v>62521.01</v>
      </c>
      <c r="V180" s="99">
        <f t="shared" si="156"/>
        <v>11878.991900000001</v>
      </c>
      <c r="W180" s="99">
        <f t="shared" si="157"/>
        <v>74400.001900000003</v>
      </c>
      <c r="X180" s="99">
        <f t="shared" si="158"/>
        <v>62521.01</v>
      </c>
      <c r="Y180" s="99">
        <f t="shared" si="159"/>
        <v>74400.001900000003</v>
      </c>
      <c r="Z180" s="100">
        <f t="shared" si="175"/>
        <v>68066.667300000001</v>
      </c>
      <c r="AA180" s="100">
        <f t="shared" si="166"/>
        <v>68066.667300000001</v>
      </c>
      <c r="AB180" s="78">
        <f t="shared" si="176"/>
        <v>5484.8286542669575</v>
      </c>
      <c r="AC180" s="102">
        <f t="shared" si="167"/>
        <v>8.0580243926045098E-2</v>
      </c>
      <c r="AD180" s="5"/>
      <c r="AE180" s="7" t="s">
        <v>1046</v>
      </c>
      <c r="AF180" s="7" t="str">
        <f>VLOOKUP(C180,Estudio_Mercado_Ori!$C$12:$AH$1115,32,0)</f>
        <v>68HUERTAS</v>
      </c>
      <c r="BG180" s="7">
        <v>57</v>
      </c>
      <c r="DA180" s="7" t="str">
        <f>VLOOKUP(C180,listaBolsa!$D$2:$BA$1248,1,0)</f>
        <v>Aspersora de 5 litros</v>
      </c>
      <c r="DB180" s="7">
        <f>VLOOKUP(C180,listaBolsa!$D$2:$BA$1248,2,0)</f>
        <v>0</v>
      </c>
      <c r="DC180" s="7" t="str">
        <f>VLOOKUP(C180,listaBolsa!$D$2:$BA$1248,10,0)</f>
        <v>HOMMECENTER</v>
      </c>
      <c r="DD180" s="7">
        <f>VLOOKUP(C180,listaBolsa!$D$2:$BA$1248,14,0)</f>
        <v>54537.82</v>
      </c>
      <c r="DE180" s="7" t="str">
        <f>VLOOKUP(C180,listaBolsa!$D$2:$BA$1248,23,0)</f>
        <v>EASY</v>
      </c>
      <c r="DF180" s="7">
        <f>VLOOKUP(C180,listaBolsa!$D$2:$BA$1248,29,0)</f>
        <v>64900</v>
      </c>
      <c r="DG180" s="7" t="str">
        <f>VLOOKUP(C180,listaBolsa!$D$2:$BA$1248,36,0)</f>
        <v>FALABELLA</v>
      </c>
      <c r="DH180" s="7">
        <f>VLOOKUP(C180,listaBolsa!$D$2:$BA$1248,40,0)</f>
        <v>52538.66</v>
      </c>
      <c r="DI180" s="253">
        <f>VLOOKUP(C180,listaBolsa!$D$2:$BA$1248,48,0)</f>
        <v>2.1399999999999999E-2</v>
      </c>
      <c r="DJ180" s="7" t="b">
        <f t="shared" si="155"/>
        <v>1</v>
      </c>
      <c r="DK180" s="7" t="b">
        <f t="shared" si="154"/>
        <v>0</v>
      </c>
      <c r="DL180" s="7" t="b">
        <f t="shared" si="168"/>
        <v>1</v>
      </c>
      <c r="DM180" s="7" t="b">
        <f t="shared" si="169"/>
        <v>0</v>
      </c>
      <c r="DN180" s="7" t="b">
        <f t="shared" si="170"/>
        <v>1</v>
      </c>
      <c r="DO180" s="7" t="b">
        <f t="shared" si="171"/>
        <v>0</v>
      </c>
      <c r="DP180" s="7" t="b">
        <f t="shared" si="172"/>
        <v>1</v>
      </c>
      <c r="DQ180" s="7" t="b">
        <f t="shared" si="173"/>
        <v>0</v>
      </c>
      <c r="DR180" s="7" t="b">
        <f t="shared" si="174"/>
        <v>0</v>
      </c>
    </row>
    <row r="181" spans="1:122" s="7" customFormat="1" ht="42" customHeight="1">
      <c r="A181" s="75">
        <v>173</v>
      </c>
      <c r="B181" s="538" t="s">
        <v>579</v>
      </c>
      <c r="C181" s="351" t="s">
        <v>378</v>
      </c>
      <c r="D181" s="351" t="s">
        <v>379</v>
      </c>
      <c r="E181" s="193" t="s">
        <v>568</v>
      </c>
      <c r="F181" s="75">
        <v>1</v>
      </c>
      <c r="G181" s="75" t="s">
        <v>192</v>
      </c>
      <c r="H181" s="106" t="s">
        <v>380</v>
      </c>
      <c r="I181" s="107">
        <v>18000</v>
      </c>
      <c r="J181" s="96">
        <f t="shared" si="152"/>
        <v>3420</v>
      </c>
      <c r="K181" s="96">
        <f t="shared" si="160"/>
        <v>21420</v>
      </c>
      <c r="L181" s="96">
        <f t="shared" si="161"/>
        <v>18000</v>
      </c>
      <c r="M181" s="96">
        <f t="shared" si="162"/>
        <v>21420</v>
      </c>
      <c r="N181" s="108" t="s">
        <v>381</v>
      </c>
      <c r="O181" s="109">
        <v>17000</v>
      </c>
      <c r="P181" s="110">
        <f t="shared" si="153"/>
        <v>3230</v>
      </c>
      <c r="Q181" s="110">
        <f t="shared" si="163"/>
        <v>20230</v>
      </c>
      <c r="R181" s="110">
        <f t="shared" si="164"/>
        <v>17000</v>
      </c>
      <c r="S181" s="110">
        <f t="shared" si="165"/>
        <v>20230</v>
      </c>
      <c r="T181" s="97" t="s">
        <v>382</v>
      </c>
      <c r="U181" s="98">
        <v>15260</v>
      </c>
      <c r="V181" s="99">
        <f t="shared" si="156"/>
        <v>2899.4</v>
      </c>
      <c r="W181" s="99">
        <f t="shared" si="157"/>
        <v>18159.400000000001</v>
      </c>
      <c r="X181" s="99">
        <f t="shared" si="158"/>
        <v>15260</v>
      </c>
      <c r="Y181" s="99">
        <f t="shared" si="159"/>
        <v>18159.400000000001</v>
      </c>
      <c r="Z181" s="100">
        <f t="shared" si="175"/>
        <v>19936.466666666667</v>
      </c>
      <c r="AA181" s="100">
        <f t="shared" si="166"/>
        <v>19936.466666666667</v>
      </c>
      <c r="AB181" s="78">
        <f t="shared" si="176"/>
        <v>1649.9998343434252</v>
      </c>
      <c r="AC181" s="102">
        <f t="shared" si="167"/>
        <v>8.2762901868774399E-2</v>
      </c>
      <c r="AD181" s="5"/>
      <c r="AF181" s="7" t="str">
        <f>VLOOKUP(C181,Estudio_Mercado_Ori!$C$12:$AH$1115,32,0)</f>
        <v>53PROCEDAS</v>
      </c>
      <c r="BG181" s="7">
        <v>58</v>
      </c>
      <c r="DA181" s="7" t="e">
        <f>VLOOKUP(C181,listaBolsa!$D$2:$BA$1248,1,0)</f>
        <v>#N/A</v>
      </c>
      <c r="DB181" s="7" t="e">
        <f>VLOOKUP(C181,listaBolsa!$D$2:$BA$1248,2,0)</f>
        <v>#N/A</v>
      </c>
      <c r="DC181" s="7" t="e">
        <f>VLOOKUP(C181,listaBolsa!$D$2:$BA$1248,10,0)</f>
        <v>#N/A</v>
      </c>
      <c r="DD181" s="7" t="e">
        <f>VLOOKUP(C181,listaBolsa!$D$2:$BA$1248,14,0)</f>
        <v>#N/A</v>
      </c>
      <c r="DE181" s="7" t="e">
        <f>VLOOKUP(C181,listaBolsa!$D$2:$BA$1248,23,0)</f>
        <v>#N/A</v>
      </c>
      <c r="DF181" s="7" t="e">
        <f>VLOOKUP(C181,listaBolsa!$D$2:$BA$1248,29,0)</f>
        <v>#N/A</v>
      </c>
      <c r="DG181" s="7" t="e">
        <f>VLOOKUP(C181,listaBolsa!$D$2:$BA$1248,36,0)</f>
        <v>#N/A</v>
      </c>
      <c r="DH181" s="7" t="e">
        <f>VLOOKUP(C181,listaBolsa!$D$2:$BA$1248,40,0)</f>
        <v>#N/A</v>
      </c>
      <c r="DI181" s="252" t="e">
        <f>VLOOKUP(C181,listaBolsa!$D$2:$BA$1248,48,0)</f>
        <v>#N/A</v>
      </c>
      <c r="DJ181" s="7" t="e">
        <f t="shared" si="155"/>
        <v>#N/A</v>
      </c>
      <c r="DK181" s="7" t="e">
        <f t="shared" si="154"/>
        <v>#N/A</v>
      </c>
      <c r="DL181" s="7" t="e">
        <f t="shared" si="168"/>
        <v>#N/A</v>
      </c>
      <c r="DM181" s="7" t="e">
        <f t="shared" si="169"/>
        <v>#N/A</v>
      </c>
      <c r="DN181" s="7" t="e">
        <f t="shared" si="170"/>
        <v>#N/A</v>
      </c>
      <c r="DO181" s="7" t="e">
        <f t="shared" si="171"/>
        <v>#N/A</v>
      </c>
      <c r="DP181" s="7" t="e">
        <f t="shared" si="172"/>
        <v>#N/A</v>
      </c>
      <c r="DQ181" s="7" t="e">
        <f t="shared" si="173"/>
        <v>#N/A</v>
      </c>
      <c r="DR181" s="7" t="e">
        <f t="shared" si="174"/>
        <v>#N/A</v>
      </c>
    </row>
    <row r="182" spans="1:122" s="7" customFormat="1" ht="42" customHeight="1">
      <c r="A182" s="75">
        <v>174</v>
      </c>
      <c r="B182" s="538" t="s">
        <v>579</v>
      </c>
      <c r="C182" s="351" t="s">
        <v>772</v>
      </c>
      <c r="D182" s="351" t="s">
        <v>773</v>
      </c>
      <c r="E182" s="193" t="s">
        <v>568</v>
      </c>
      <c r="F182" s="75">
        <v>1</v>
      </c>
      <c r="G182" s="75" t="s">
        <v>192</v>
      </c>
      <c r="H182" s="375" t="s">
        <v>380</v>
      </c>
      <c r="I182" s="107">
        <v>340000</v>
      </c>
      <c r="J182" s="96">
        <f t="shared" si="152"/>
        <v>64600</v>
      </c>
      <c r="K182" s="96">
        <f t="shared" si="160"/>
        <v>404600</v>
      </c>
      <c r="L182" s="96">
        <f t="shared" si="161"/>
        <v>340000</v>
      </c>
      <c r="M182" s="96">
        <f t="shared" si="162"/>
        <v>404600</v>
      </c>
      <c r="N182" s="382" t="s">
        <v>381</v>
      </c>
      <c r="O182" s="109">
        <v>350000</v>
      </c>
      <c r="P182" s="110">
        <f t="shared" si="153"/>
        <v>66500</v>
      </c>
      <c r="Q182" s="110">
        <f t="shared" si="163"/>
        <v>416500</v>
      </c>
      <c r="R182" s="110">
        <f t="shared" si="164"/>
        <v>350000</v>
      </c>
      <c r="S182" s="110">
        <f t="shared" si="165"/>
        <v>416500</v>
      </c>
      <c r="T182" s="374" t="s">
        <v>769</v>
      </c>
      <c r="U182" s="332">
        <v>302521.01</v>
      </c>
      <c r="V182" s="99">
        <f t="shared" si="156"/>
        <v>57478.991900000001</v>
      </c>
      <c r="W182" s="99">
        <f t="shared" si="157"/>
        <v>360000.00190000003</v>
      </c>
      <c r="X182" s="99">
        <f t="shared" si="158"/>
        <v>302521.01</v>
      </c>
      <c r="Y182" s="99">
        <f t="shared" si="159"/>
        <v>360000.00190000003</v>
      </c>
      <c r="Z182" s="100">
        <f t="shared" si="175"/>
        <v>393700.00063333334</v>
      </c>
      <c r="AA182" s="100">
        <f t="shared" si="166"/>
        <v>393700.00063333334</v>
      </c>
      <c r="AB182" s="78">
        <f t="shared" si="176"/>
        <v>29785.398032760953</v>
      </c>
      <c r="AC182" s="102">
        <f t="shared" si="167"/>
        <v>7.5655062191633426E-2</v>
      </c>
      <c r="AD182" s="5"/>
      <c r="AE182" s="334" t="s">
        <v>1100</v>
      </c>
      <c r="AF182" s="7" t="str">
        <f>VLOOKUP(C182,Estudio_Mercado_Ori!$C$12:$AH$1115,32,0)</f>
        <v>70HUERTAS</v>
      </c>
      <c r="BG182" s="7">
        <v>59</v>
      </c>
      <c r="DA182" s="7" t="str">
        <f>VLOOKUP(C182,listaBolsa!$D$2:$BA$1248,1,0)</f>
        <v>Vermicompostera</v>
      </c>
      <c r="DB182" s="7">
        <f>VLOOKUP(C182,listaBolsa!$D$2:$BA$1248,2,0)</f>
        <v>0</v>
      </c>
      <c r="DC182" s="7" t="str">
        <f>VLOOKUP(C182,listaBolsa!$D$2:$BA$1248,10,0)</f>
        <v xml:space="preserve">JUNTOS DE LA MANO </v>
      </c>
      <c r="DD182" s="7">
        <f>VLOOKUP(C182,listaBolsa!$D$2:$BA$1248,14,0)</f>
        <v>340000</v>
      </c>
      <c r="DE182" s="7" t="str">
        <f>VLOOKUP(C182,listaBolsa!$D$2:$BA$1248,23,0)</f>
        <v>MYCBDE</v>
      </c>
      <c r="DF182" s="7">
        <f>VLOOKUP(C182,listaBolsa!$D$2:$BA$1248,29,0)</f>
        <v>416500</v>
      </c>
      <c r="DG182" s="7" t="str">
        <f>VLOOKUP(C182,listaBolsa!$D$2:$BA$1248,36,0)</f>
        <v>DAGROW</v>
      </c>
      <c r="DH182" s="7">
        <f>VLOOKUP(C182,listaBolsa!$D$2:$BA$1248,40,0)</f>
        <v>364000</v>
      </c>
      <c r="DI182" s="253">
        <f>VLOOKUP(C182,listaBolsa!$D$2:$BA$1248,48,0)</f>
        <v>3.4299999999999997E-2</v>
      </c>
      <c r="DJ182" s="7" t="b">
        <f t="shared" si="155"/>
        <v>1</v>
      </c>
      <c r="DK182" s="7" t="b">
        <f t="shared" si="154"/>
        <v>0</v>
      </c>
      <c r="DL182" s="7" t="b">
        <f t="shared" si="168"/>
        <v>1</v>
      </c>
      <c r="DM182" s="7" t="b">
        <f t="shared" si="169"/>
        <v>1</v>
      </c>
      <c r="DN182" s="7" t="b">
        <f t="shared" si="170"/>
        <v>1</v>
      </c>
      <c r="DO182" s="7" t="b">
        <f t="shared" si="171"/>
        <v>0</v>
      </c>
      <c r="DP182" s="7" t="b">
        <f t="shared" si="172"/>
        <v>0</v>
      </c>
      <c r="DQ182" s="7" t="b">
        <f t="shared" si="173"/>
        <v>0</v>
      </c>
      <c r="DR182" s="7" t="b">
        <f t="shared" si="174"/>
        <v>0</v>
      </c>
    </row>
    <row r="183" spans="1:122" s="7" customFormat="1" ht="42" customHeight="1">
      <c r="A183" s="75">
        <v>175</v>
      </c>
      <c r="B183" s="538" t="s">
        <v>579</v>
      </c>
      <c r="C183" s="351" t="s">
        <v>775</v>
      </c>
      <c r="D183" s="351" t="s">
        <v>776</v>
      </c>
      <c r="E183" s="193" t="s">
        <v>568</v>
      </c>
      <c r="F183" s="75">
        <v>1</v>
      </c>
      <c r="G183" s="75" t="s">
        <v>192</v>
      </c>
      <c r="H183" s="106" t="s">
        <v>380</v>
      </c>
      <c r="I183" s="107">
        <v>60000</v>
      </c>
      <c r="J183" s="96"/>
      <c r="K183" s="96">
        <f t="shared" si="160"/>
        <v>60000</v>
      </c>
      <c r="L183" s="96">
        <f t="shared" si="161"/>
        <v>60000</v>
      </c>
      <c r="M183" s="96">
        <f t="shared" si="162"/>
        <v>60000</v>
      </c>
      <c r="N183" s="108" t="s">
        <v>381</v>
      </c>
      <c r="O183" s="109">
        <v>58300</v>
      </c>
      <c r="P183" s="110"/>
      <c r="Q183" s="110">
        <f t="shared" si="163"/>
        <v>58300</v>
      </c>
      <c r="R183" s="110">
        <f t="shared" si="164"/>
        <v>58300</v>
      </c>
      <c r="S183" s="110">
        <f t="shared" si="165"/>
        <v>58300</v>
      </c>
      <c r="T183" s="383" t="s">
        <v>1101</v>
      </c>
      <c r="U183" s="333">
        <v>42100.84</v>
      </c>
      <c r="V183" s="99"/>
      <c r="W183" s="99">
        <f t="shared" si="157"/>
        <v>42100.84</v>
      </c>
      <c r="X183" s="99">
        <f t="shared" si="158"/>
        <v>42100.84</v>
      </c>
      <c r="Y183" s="99">
        <f t="shared" si="159"/>
        <v>42100.84</v>
      </c>
      <c r="Z183" s="100">
        <f t="shared" si="175"/>
        <v>53466.946666666663</v>
      </c>
      <c r="AA183" s="100">
        <f t="shared" si="166"/>
        <v>53466.946666666663</v>
      </c>
      <c r="AB183" s="78">
        <f t="shared" si="176"/>
        <v>9879.9689052412214</v>
      </c>
      <c r="AC183" s="102">
        <f t="shared" si="167"/>
        <v>0.18478648064264294</v>
      </c>
      <c r="AD183" s="5"/>
      <c r="AE183" s="334" t="s">
        <v>1102</v>
      </c>
      <c r="AF183" s="7" t="str">
        <f>VLOOKUP(C183,Estudio_Mercado_Ori!$C$12:$AH$1115,32,0)</f>
        <v>71HUERTAS</v>
      </c>
      <c r="BG183" s="7">
        <v>60</v>
      </c>
      <c r="DA183" s="7" t="str">
        <f>VLOOKUP(C183,listaBolsa!$D$2:$BA$1248,1,0)</f>
        <v xml:space="preserve">Fertilizante foliar en litro </v>
      </c>
      <c r="DB183" s="7">
        <f>VLOOKUP(C183,listaBolsa!$D$2:$BA$1248,2,0)</f>
        <v>0</v>
      </c>
      <c r="DC183" s="7" t="str">
        <f>VLOOKUP(C183,listaBolsa!$D$2:$BA$1248,10,0)</f>
        <v xml:space="preserve">JUNTOS DE LA MANO </v>
      </c>
      <c r="DD183" s="7">
        <f>VLOOKUP(C183,listaBolsa!$D$2:$BA$1248,14,0)</f>
        <v>60000</v>
      </c>
      <c r="DE183" s="7" t="str">
        <f>VLOOKUP(C183,listaBolsa!$D$2:$BA$1248,23,0)</f>
        <v>MYCBDE</v>
      </c>
      <c r="DF183" s="7">
        <f>VLOOKUP(C183,listaBolsa!$D$2:$BA$1248,29,0)</f>
        <v>58300</v>
      </c>
      <c r="DG183" s="7" t="str">
        <f>VLOOKUP(C183,listaBolsa!$D$2:$BA$1248,36,0)</f>
        <v>DAGROW</v>
      </c>
      <c r="DH183" s="7">
        <f>VLOOKUP(C183,listaBolsa!$D$2:$BA$1248,40,0)</f>
        <v>60000</v>
      </c>
      <c r="DI183" s="253">
        <f>VLOOKUP(C183,listaBolsa!$D$2:$BA$1248,48,0)</f>
        <v>1.6500000000000001E-2</v>
      </c>
      <c r="DJ183" s="7" t="b">
        <f t="shared" si="155"/>
        <v>1</v>
      </c>
      <c r="DK183" s="7" t="b">
        <f t="shared" si="154"/>
        <v>0</v>
      </c>
      <c r="DL183" s="7" t="b">
        <f t="shared" si="168"/>
        <v>1</v>
      </c>
      <c r="DM183" s="7" t="b">
        <f t="shared" si="169"/>
        <v>1</v>
      </c>
      <c r="DN183" s="7" t="b">
        <f t="shared" si="170"/>
        <v>1</v>
      </c>
      <c r="DO183" s="7" t="b">
        <f t="shared" si="171"/>
        <v>1</v>
      </c>
      <c r="DP183" s="7" t="b">
        <f t="shared" si="172"/>
        <v>0</v>
      </c>
      <c r="DQ183" s="7" t="b">
        <f t="shared" si="173"/>
        <v>0</v>
      </c>
      <c r="DR183" s="7" t="b">
        <f t="shared" si="174"/>
        <v>0</v>
      </c>
    </row>
    <row r="184" spans="1:122" s="7" customFormat="1" ht="42" customHeight="1">
      <c r="A184" s="75">
        <v>176</v>
      </c>
      <c r="B184" s="538" t="s">
        <v>579</v>
      </c>
      <c r="C184" s="351" t="s">
        <v>778</v>
      </c>
      <c r="D184" s="351" t="s">
        <v>779</v>
      </c>
      <c r="E184" s="193" t="s">
        <v>568</v>
      </c>
      <c r="F184" s="75">
        <v>1</v>
      </c>
      <c r="G184" s="75" t="s">
        <v>192</v>
      </c>
      <c r="H184" s="106" t="s">
        <v>380</v>
      </c>
      <c r="I184" s="107">
        <v>38000</v>
      </c>
      <c r="J184" s="96">
        <f t="shared" ref="J184:J190" si="177">I184*19%</f>
        <v>7220</v>
      </c>
      <c r="K184" s="96">
        <f t="shared" si="160"/>
        <v>45220</v>
      </c>
      <c r="L184" s="96">
        <f t="shared" si="161"/>
        <v>38000</v>
      </c>
      <c r="M184" s="96">
        <f t="shared" si="162"/>
        <v>45220</v>
      </c>
      <c r="N184" s="108" t="s">
        <v>381</v>
      </c>
      <c r="O184" s="109">
        <v>36000</v>
      </c>
      <c r="P184" s="110">
        <f t="shared" ref="P184:P190" si="178">O184*19%</f>
        <v>6840</v>
      </c>
      <c r="Q184" s="110">
        <f t="shared" si="163"/>
        <v>42840</v>
      </c>
      <c r="R184" s="110">
        <f t="shared" si="164"/>
        <v>36000</v>
      </c>
      <c r="S184" s="110">
        <f t="shared" si="165"/>
        <v>42840</v>
      </c>
      <c r="T184" s="97" t="s">
        <v>382</v>
      </c>
      <c r="U184" s="98">
        <v>32000</v>
      </c>
      <c r="V184" s="99">
        <f t="shared" ref="V184:V190" si="179">U184*19%</f>
        <v>6080</v>
      </c>
      <c r="W184" s="99">
        <f t="shared" si="157"/>
        <v>38080</v>
      </c>
      <c r="X184" s="99">
        <f t="shared" si="158"/>
        <v>32000</v>
      </c>
      <c r="Y184" s="99">
        <f t="shared" si="159"/>
        <v>38080</v>
      </c>
      <c r="Z184" s="100">
        <f t="shared" si="175"/>
        <v>42046.666666666664</v>
      </c>
      <c r="AA184" s="100">
        <f t="shared" si="166"/>
        <v>42046.666666666664</v>
      </c>
      <c r="AB184" s="78">
        <f t="shared" si="176"/>
        <v>3635.5100513316329</v>
      </c>
      <c r="AC184" s="102">
        <f t="shared" si="167"/>
        <v>8.6463692357657357E-2</v>
      </c>
      <c r="AD184" s="5"/>
      <c r="AE184" s="7" t="s">
        <v>1053</v>
      </c>
      <c r="AF184" s="7" t="str">
        <f>VLOOKUP(C184,Estudio_Mercado_Ori!$C$12:$AH$1115,32,0)</f>
        <v>72HUERTAS</v>
      </c>
      <c r="BG184" s="7">
        <v>61</v>
      </c>
      <c r="DA184" s="7" t="str">
        <f>VLOOKUP(C184,listaBolsa!$D$2:$BA$1248,1,0)</f>
        <v>Regadera 8 litros</v>
      </c>
      <c r="DB184" s="7">
        <f>VLOOKUP(C184,listaBolsa!$D$2:$BA$1248,2,0)</f>
        <v>0</v>
      </c>
      <c r="DC184" s="7" t="str">
        <f>VLOOKUP(C184,listaBolsa!$D$2:$BA$1248,10,0)</f>
        <v xml:space="preserve">JUNTOS DE LA MANO </v>
      </c>
      <c r="DD184" s="7">
        <f>VLOOKUP(C184,listaBolsa!$D$2:$BA$1248,14,0)</f>
        <v>38000</v>
      </c>
      <c r="DE184" s="7" t="str">
        <f>VLOOKUP(C184,listaBolsa!$D$2:$BA$1248,23,0)</f>
        <v>MYCBDE</v>
      </c>
      <c r="DF184" s="7">
        <f>VLOOKUP(C184,listaBolsa!$D$2:$BA$1248,29,0)</f>
        <v>42840</v>
      </c>
      <c r="DG184" s="7" t="str">
        <f>VLOOKUP(C184,listaBolsa!$D$2:$BA$1248,36,0)</f>
        <v>DAGROW</v>
      </c>
      <c r="DH184" s="7">
        <f>VLOOKUP(C184,listaBolsa!$D$2:$BA$1248,40,0)</f>
        <v>32000</v>
      </c>
      <c r="DI184" s="253">
        <f>VLOOKUP(C184,listaBolsa!$D$2:$BA$1248,48,0)</f>
        <v>8.6499999999999994E-2</v>
      </c>
      <c r="DJ184" s="7" t="b">
        <f t="shared" si="155"/>
        <v>1</v>
      </c>
      <c r="DK184" s="7" t="b">
        <f t="shared" si="154"/>
        <v>0</v>
      </c>
      <c r="DL184" s="7" t="b">
        <f t="shared" si="168"/>
        <v>1</v>
      </c>
      <c r="DM184" s="7" t="b">
        <f t="shared" si="169"/>
        <v>1</v>
      </c>
      <c r="DN184" s="7" t="b">
        <f t="shared" si="170"/>
        <v>1</v>
      </c>
      <c r="DO184" s="7" t="b">
        <f t="shared" si="171"/>
        <v>0</v>
      </c>
      <c r="DP184" s="7" t="b">
        <f t="shared" si="172"/>
        <v>1</v>
      </c>
      <c r="DQ184" s="7" t="b">
        <f t="shared" si="173"/>
        <v>1</v>
      </c>
      <c r="DR184" s="7" t="b">
        <f t="shared" si="174"/>
        <v>0</v>
      </c>
    </row>
    <row r="185" spans="1:122" s="7" customFormat="1" ht="42" customHeight="1">
      <c r="A185" s="75">
        <v>177</v>
      </c>
      <c r="B185" s="538" t="s">
        <v>579</v>
      </c>
      <c r="C185" s="351" t="s">
        <v>781</v>
      </c>
      <c r="D185" s="351" t="s">
        <v>782</v>
      </c>
      <c r="E185" s="193" t="s">
        <v>568</v>
      </c>
      <c r="F185" s="75">
        <v>1</v>
      </c>
      <c r="G185" s="75" t="s">
        <v>192</v>
      </c>
      <c r="H185" s="106" t="s">
        <v>380</v>
      </c>
      <c r="I185" s="107">
        <v>39000</v>
      </c>
      <c r="J185" s="96">
        <f t="shared" si="177"/>
        <v>7410</v>
      </c>
      <c r="K185" s="96">
        <f t="shared" si="160"/>
        <v>46410</v>
      </c>
      <c r="L185" s="96">
        <f t="shared" si="161"/>
        <v>39000</v>
      </c>
      <c r="M185" s="96">
        <f t="shared" si="162"/>
        <v>46410</v>
      </c>
      <c r="N185" s="108" t="s">
        <v>381</v>
      </c>
      <c r="O185" s="109">
        <v>38000</v>
      </c>
      <c r="P185" s="110">
        <f t="shared" si="178"/>
        <v>7220</v>
      </c>
      <c r="Q185" s="110">
        <f t="shared" si="163"/>
        <v>45220</v>
      </c>
      <c r="R185" s="110">
        <f t="shared" si="164"/>
        <v>38000</v>
      </c>
      <c r="S185" s="110">
        <f t="shared" si="165"/>
        <v>45220</v>
      </c>
      <c r="T185" s="97" t="s">
        <v>382</v>
      </c>
      <c r="U185" s="98">
        <v>35000</v>
      </c>
      <c r="V185" s="99">
        <f t="shared" si="179"/>
        <v>6650</v>
      </c>
      <c r="W185" s="99">
        <f t="shared" si="157"/>
        <v>41650</v>
      </c>
      <c r="X185" s="99">
        <f t="shared" si="158"/>
        <v>35000</v>
      </c>
      <c r="Y185" s="99">
        <f t="shared" si="159"/>
        <v>41650</v>
      </c>
      <c r="Z185" s="100">
        <f t="shared" si="175"/>
        <v>44426.666666666664</v>
      </c>
      <c r="AA185" s="100">
        <f t="shared" si="166"/>
        <v>44426.666666666664</v>
      </c>
      <c r="AB185" s="78">
        <f t="shared" si="176"/>
        <v>2477.1825393646977</v>
      </c>
      <c r="AC185" s="102">
        <f t="shared" si="167"/>
        <v>5.5758910699985696E-2</v>
      </c>
      <c r="AD185" s="5"/>
      <c r="AE185" s="7" t="s">
        <v>1053</v>
      </c>
      <c r="AF185" s="7" t="str">
        <f>VLOOKUP(C185,Estudio_Mercado_Ori!$C$12:$AH$1115,32,0)</f>
        <v>73HUERTAS</v>
      </c>
      <c r="BG185" s="7">
        <v>62</v>
      </c>
      <c r="DA185" s="7" t="str">
        <f>VLOOKUP(C185,listaBolsa!$D$2:$BA$1248,1,0)</f>
        <v>Canastilla plástica 13 cm</v>
      </c>
      <c r="DB185" s="7">
        <f>VLOOKUP(C185,listaBolsa!$D$2:$BA$1248,2,0)</f>
        <v>0</v>
      </c>
      <c r="DC185" s="7" t="str">
        <f>VLOOKUP(C185,listaBolsa!$D$2:$BA$1248,10,0)</f>
        <v xml:space="preserve">JUNTOS DE LA MANO </v>
      </c>
      <c r="DD185" s="7">
        <f>VLOOKUP(C185,listaBolsa!$D$2:$BA$1248,14,0)</f>
        <v>39000</v>
      </c>
      <c r="DE185" s="7" t="str">
        <f>VLOOKUP(C185,listaBolsa!$D$2:$BA$1248,23,0)</f>
        <v>MYCBDE</v>
      </c>
      <c r="DF185" s="7">
        <f>VLOOKUP(C185,listaBolsa!$D$2:$BA$1248,29,0)</f>
        <v>45220</v>
      </c>
      <c r="DG185" s="7" t="str">
        <f>VLOOKUP(C185,listaBolsa!$D$2:$BA$1248,36,0)</f>
        <v>DAGROW</v>
      </c>
      <c r="DH185" s="7">
        <f>VLOOKUP(C185,listaBolsa!$D$2:$BA$1248,40,0)</f>
        <v>35000</v>
      </c>
      <c r="DI185" s="253">
        <f>VLOOKUP(C185,listaBolsa!$D$2:$BA$1248,48,0)</f>
        <v>5.5800000000000002E-2</v>
      </c>
      <c r="DJ185" s="7" t="b">
        <f t="shared" si="155"/>
        <v>1</v>
      </c>
      <c r="DK185" s="7" t="b">
        <f t="shared" si="154"/>
        <v>0</v>
      </c>
      <c r="DL185" s="7" t="b">
        <f t="shared" si="168"/>
        <v>1</v>
      </c>
      <c r="DM185" s="7" t="b">
        <f t="shared" si="169"/>
        <v>1</v>
      </c>
      <c r="DN185" s="7" t="b">
        <f t="shared" si="170"/>
        <v>1</v>
      </c>
      <c r="DO185" s="7" t="b">
        <f t="shared" si="171"/>
        <v>0</v>
      </c>
      <c r="DP185" s="7" t="b">
        <f t="shared" si="172"/>
        <v>1</v>
      </c>
      <c r="DQ185" s="7" t="b">
        <f t="shared" si="173"/>
        <v>1</v>
      </c>
      <c r="DR185" s="7" t="b">
        <f t="shared" si="174"/>
        <v>0</v>
      </c>
    </row>
    <row r="186" spans="1:122" s="7" customFormat="1" ht="42" customHeight="1">
      <c r="A186" s="75">
        <v>178</v>
      </c>
      <c r="B186" s="538" t="s">
        <v>579</v>
      </c>
      <c r="C186" s="351" t="s">
        <v>784</v>
      </c>
      <c r="D186" s="351" t="s">
        <v>785</v>
      </c>
      <c r="E186" s="193" t="s">
        <v>568</v>
      </c>
      <c r="F186" s="75">
        <v>1</v>
      </c>
      <c r="G186" s="75" t="s">
        <v>192</v>
      </c>
      <c r="H186" s="106" t="s">
        <v>380</v>
      </c>
      <c r="I186" s="107">
        <v>46000</v>
      </c>
      <c r="J186" s="96">
        <f t="shared" si="177"/>
        <v>8740</v>
      </c>
      <c r="K186" s="96">
        <f t="shared" si="160"/>
        <v>54740</v>
      </c>
      <c r="L186" s="96">
        <f t="shared" si="161"/>
        <v>46000</v>
      </c>
      <c r="M186" s="96">
        <f t="shared" si="162"/>
        <v>54740</v>
      </c>
      <c r="N186" s="108" t="s">
        <v>381</v>
      </c>
      <c r="O186" s="109">
        <v>45000</v>
      </c>
      <c r="P186" s="110">
        <f t="shared" si="178"/>
        <v>8550</v>
      </c>
      <c r="Q186" s="110">
        <f t="shared" si="163"/>
        <v>53550</v>
      </c>
      <c r="R186" s="110">
        <f t="shared" si="164"/>
        <v>45000</v>
      </c>
      <c r="S186" s="110">
        <f t="shared" si="165"/>
        <v>53550</v>
      </c>
      <c r="T186" s="387" t="s">
        <v>382</v>
      </c>
      <c r="U186" s="98">
        <v>43400</v>
      </c>
      <c r="V186" s="99">
        <f t="shared" si="179"/>
        <v>8246</v>
      </c>
      <c r="W186" s="99">
        <f t="shared" si="157"/>
        <v>51646</v>
      </c>
      <c r="X186" s="99">
        <f t="shared" si="158"/>
        <v>43400</v>
      </c>
      <c r="Y186" s="99">
        <f t="shared" si="159"/>
        <v>51646</v>
      </c>
      <c r="Z186" s="100">
        <f t="shared" si="175"/>
        <v>53312</v>
      </c>
      <c r="AA186" s="100">
        <f t="shared" si="166"/>
        <v>53312</v>
      </c>
      <c r="AB186" s="78">
        <f t="shared" si="176"/>
        <v>1560.6703687838763</v>
      </c>
      <c r="AC186" s="102">
        <f t="shared" si="167"/>
        <v>2.927427912634822E-2</v>
      </c>
      <c r="AD186" s="5"/>
      <c r="AE186" s="7" t="s">
        <v>1053</v>
      </c>
      <c r="AF186" s="7" t="str">
        <f>VLOOKUP(C186,Estudio_Mercado_Ori!$C$12:$AH$1115,32,0)</f>
        <v>74HUERTAS</v>
      </c>
      <c r="BG186" s="7">
        <v>63</v>
      </c>
      <c r="DA186" s="7" t="str">
        <f>VLOOKUP(C186,listaBolsa!$D$2:$BA$1248,1,0)</f>
        <v>Canastilla plástica 25 cm</v>
      </c>
      <c r="DB186" s="7">
        <f>VLOOKUP(C186,listaBolsa!$D$2:$BA$1248,2,0)</f>
        <v>0</v>
      </c>
      <c r="DC186" s="7" t="str">
        <f>VLOOKUP(C186,listaBolsa!$D$2:$BA$1248,10,0)</f>
        <v xml:space="preserve">JUNTOS DE LA MANO </v>
      </c>
      <c r="DD186" s="7">
        <f>VLOOKUP(C186,listaBolsa!$D$2:$BA$1248,14,0)</f>
        <v>46000</v>
      </c>
      <c r="DE186" s="7" t="str">
        <f>VLOOKUP(C186,listaBolsa!$D$2:$BA$1248,23,0)</f>
        <v>MYCBDE</v>
      </c>
      <c r="DF186" s="7">
        <f>VLOOKUP(C186,listaBolsa!$D$2:$BA$1248,29,0)</f>
        <v>53550</v>
      </c>
      <c r="DG186" s="7" t="str">
        <f>VLOOKUP(C186,listaBolsa!$D$2:$BA$1248,36,0)</f>
        <v>DAGROW</v>
      </c>
      <c r="DH186" s="7">
        <f>VLOOKUP(C186,listaBolsa!$D$2:$BA$1248,40,0)</f>
        <v>43400</v>
      </c>
      <c r="DI186" s="253">
        <f>VLOOKUP(C186,listaBolsa!$D$2:$BA$1248,48,0)</f>
        <v>2.93E-2</v>
      </c>
      <c r="DJ186" s="7" t="b">
        <f t="shared" si="155"/>
        <v>1</v>
      </c>
      <c r="DK186" s="7" t="b">
        <f t="shared" si="154"/>
        <v>0</v>
      </c>
      <c r="DL186" s="7" t="b">
        <f t="shared" si="168"/>
        <v>1</v>
      </c>
      <c r="DM186" s="7" t="b">
        <f t="shared" si="169"/>
        <v>1</v>
      </c>
      <c r="DN186" s="7" t="b">
        <f t="shared" si="170"/>
        <v>1</v>
      </c>
      <c r="DO186" s="7" t="b">
        <f t="shared" si="171"/>
        <v>0</v>
      </c>
      <c r="DP186" s="7" t="b">
        <f t="shared" si="172"/>
        <v>1</v>
      </c>
      <c r="DQ186" s="7" t="b">
        <f t="shared" si="173"/>
        <v>1</v>
      </c>
      <c r="DR186" s="7" t="b">
        <f t="shared" si="174"/>
        <v>0</v>
      </c>
    </row>
    <row r="187" spans="1:122" s="7" customFormat="1" ht="42" customHeight="1">
      <c r="A187" s="75">
        <v>179</v>
      </c>
      <c r="B187" s="538" t="s">
        <v>579</v>
      </c>
      <c r="C187" s="351" t="s">
        <v>787</v>
      </c>
      <c r="D187" s="351" t="s">
        <v>788</v>
      </c>
      <c r="E187" s="193" t="s">
        <v>568</v>
      </c>
      <c r="F187" s="75">
        <v>1</v>
      </c>
      <c r="G187" s="75" t="s">
        <v>192</v>
      </c>
      <c r="H187" s="106" t="s">
        <v>380</v>
      </c>
      <c r="I187" s="107">
        <v>148000</v>
      </c>
      <c r="J187" s="96">
        <f t="shared" si="177"/>
        <v>28120</v>
      </c>
      <c r="K187" s="96">
        <f t="shared" si="160"/>
        <v>176120</v>
      </c>
      <c r="L187" s="96">
        <f t="shared" si="161"/>
        <v>148000</v>
      </c>
      <c r="M187" s="96">
        <f t="shared" si="162"/>
        <v>176120</v>
      </c>
      <c r="N187" s="374" t="s">
        <v>230</v>
      </c>
      <c r="O187" s="332">
        <v>125966.39</v>
      </c>
      <c r="P187" s="110">
        <f t="shared" si="178"/>
        <v>23933.614099999999</v>
      </c>
      <c r="Q187" s="110">
        <f t="shared" si="163"/>
        <v>149900.00409999999</v>
      </c>
      <c r="R187" s="110">
        <f t="shared" si="164"/>
        <v>125966.39</v>
      </c>
      <c r="S187" s="110">
        <f t="shared" si="165"/>
        <v>149900.00409999999</v>
      </c>
      <c r="T187" s="97" t="s">
        <v>382</v>
      </c>
      <c r="U187" s="98">
        <v>138600</v>
      </c>
      <c r="V187" s="99">
        <f t="shared" si="179"/>
        <v>26334</v>
      </c>
      <c r="W187" s="99">
        <f t="shared" si="157"/>
        <v>164934</v>
      </c>
      <c r="X187" s="99">
        <f t="shared" si="158"/>
        <v>138600</v>
      </c>
      <c r="Y187" s="99">
        <f t="shared" si="159"/>
        <v>164934</v>
      </c>
      <c r="Z187" s="100">
        <f t="shared" si="175"/>
        <v>163651.33470000001</v>
      </c>
      <c r="AA187" s="100">
        <f t="shared" si="166"/>
        <v>163651.33470000001</v>
      </c>
      <c r="AB187" s="78">
        <f t="shared" si="176"/>
        <v>13156.974156426408</v>
      </c>
      <c r="AC187" s="102">
        <f t="shared" si="167"/>
        <v>8.0396375504943607E-2</v>
      </c>
      <c r="AD187" s="5"/>
      <c r="AE187" s="334" t="s">
        <v>1102</v>
      </c>
      <c r="AF187" s="7" t="str">
        <f>VLOOKUP(C187,Estudio_Mercado_Ori!$C$12:$AH$1115,32,0)</f>
        <v>75HUERTAS</v>
      </c>
      <c r="BG187" s="7">
        <v>64</v>
      </c>
      <c r="DA187" s="7" t="str">
        <f>VLOOKUP(C187,listaBolsa!$D$2:$BA$1248,1,0)</f>
        <v>Canastilla plástica para compostaje con tapa</v>
      </c>
      <c r="DB187" s="7">
        <f>VLOOKUP(C187,listaBolsa!$D$2:$BA$1248,2,0)</f>
        <v>0</v>
      </c>
      <c r="DC187" s="7" t="str">
        <f>VLOOKUP(C187,listaBolsa!$D$2:$BA$1248,10,0)</f>
        <v xml:space="preserve">JUNTOS DE LA MANO </v>
      </c>
      <c r="DD187" s="7">
        <f>VLOOKUP(C187,listaBolsa!$D$2:$BA$1248,14,0)</f>
        <v>148000</v>
      </c>
      <c r="DE187" s="7" t="str">
        <f>VLOOKUP(C187,listaBolsa!$D$2:$BA$1248,23,0)</f>
        <v>MYCBDE</v>
      </c>
      <c r="DF187" s="7">
        <f>VLOOKUP(C187,listaBolsa!$D$2:$BA$1248,29,0)</f>
        <v>178500</v>
      </c>
      <c r="DG187" s="7" t="str">
        <f>VLOOKUP(C187,listaBolsa!$D$2:$BA$1248,36,0)</f>
        <v>DAGROW</v>
      </c>
      <c r="DH187" s="7">
        <f>VLOOKUP(C187,listaBolsa!$D$2:$BA$1248,40,0)</f>
        <v>138600</v>
      </c>
      <c r="DI187" s="253">
        <f>VLOOKUP(C187,listaBolsa!$D$2:$BA$1248,48,0)</f>
        <v>4.1799999999999997E-2</v>
      </c>
      <c r="DJ187" s="7" t="b">
        <f t="shared" si="155"/>
        <v>1</v>
      </c>
      <c r="DK187" s="7" t="b">
        <f t="shared" si="154"/>
        <v>0</v>
      </c>
      <c r="DL187" s="7" t="b">
        <f t="shared" si="168"/>
        <v>1</v>
      </c>
      <c r="DM187" s="7" t="b">
        <f t="shared" si="169"/>
        <v>1</v>
      </c>
      <c r="DN187" s="7" t="b">
        <f t="shared" si="170"/>
        <v>0</v>
      </c>
      <c r="DO187" s="7" t="b">
        <f t="shared" si="171"/>
        <v>0</v>
      </c>
      <c r="DP187" s="7" t="b">
        <f t="shared" si="172"/>
        <v>1</v>
      </c>
      <c r="DQ187" s="7" t="b">
        <f t="shared" si="173"/>
        <v>1</v>
      </c>
      <c r="DR187" s="7" t="b">
        <f t="shared" si="174"/>
        <v>0</v>
      </c>
    </row>
    <row r="188" spans="1:122" s="7" customFormat="1" ht="42" customHeight="1">
      <c r="A188" s="75">
        <v>180</v>
      </c>
      <c r="B188" s="538" t="s">
        <v>579</v>
      </c>
      <c r="C188" s="351" t="s">
        <v>790</v>
      </c>
      <c r="D188" s="351" t="s">
        <v>782</v>
      </c>
      <c r="E188" s="193" t="s">
        <v>568</v>
      </c>
      <c r="F188" s="75">
        <v>1</v>
      </c>
      <c r="G188" s="75" t="s">
        <v>192</v>
      </c>
      <c r="H188" s="106" t="s">
        <v>380</v>
      </c>
      <c r="I188" s="107">
        <v>37000</v>
      </c>
      <c r="J188" s="96">
        <f t="shared" si="177"/>
        <v>7030</v>
      </c>
      <c r="K188" s="96">
        <f t="shared" si="160"/>
        <v>44030</v>
      </c>
      <c r="L188" s="96">
        <f t="shared" si="161"/>
        <v>37000</v>
      </c>
      <c r="M188" s="96">
        <f t="shared" si="162"/>
        <v>44030</v>
      </c>
      <c r="N188" s="108" t="s">
        <v>381</v>
      </c>
      <c r="O188" s="109">
        <v>35000</v>
      </c>
      <c r="P188" s="110">
        <f t="shared" si="178"/>
        <v>6650</v>
      </c>
      <c r="Q188" s="110">
        <f t="shared" si="163"/>
        <v>41650</v>
      </c>
      <c r="R188" s="110">
        <f t="shared" si="164"/>
        <v>35000</v>
      </c>
      <c r="S188" s="110">
        <f t="shared" si="165"/>
        <v>41650</v>
      </c>
      <c r="T188" s="386" t="s">
        <v>382</v>
      </c>
      <c r="U188" s="98">
        <v>33600</v>
      </c>
      <c r="V188" s="99">
        <f t="shared" si="179"/>
        <v>6384</v>
      </c>
      <c r="W188" s="99">
        <f t="shared" si="157"/>
        <v>39984</v>
      </c>
      <c r="X188" s="99">
        <f t="shared" si="158"/>
        <v>33600</v>
      </c>
      <c r="Y188" s="99">
        <f t="shared" si="159"/>
        <v>39984</v>
      </c>
      <c r="Z188" s="100">
        <f t="shared" si="175"/>
        <v>41888</v>
      </c>
      <c r="AA188" s="100">
        <f t="shared" si="166"/>
        <v>41888</v>
      </c>
      <c r="AB188" s="78">
        <f t="shared" si="176"/>
        <v>2033.4728913855724</v>
      </c>
      <c r="AC188" s="102">
        <f t="shared" si="167"/>
        <v>4.8545475825667789E-2</v>
      </c>
      <c r="AD188" s="5"/>
      <c r="AE188" s="7" t="s">
        <v>1053</v>
      </c>
      <c r="AF188" s="7" t="str">
        <f>VLOOKUP(C188,Estudio_Mercado_Ori!$C$12:$AH$1115,32,0)</f>
        <v>76HUERTAS</v>
      </c>
      <c r="BG188" s="7">
        <v>65</v>
      </c>
      <c r="DA188" s="7" t="str">
        <f>VLOOKUP(C188,listaBolsa!$D$2:$BA$1248,1,0)</f>
        <v>Estiba</v>
      </c>
      <c r="DB188" s="7">
        <f>VLOOKUP(C188,listaBolsa!$D$2:$BA$1248,2,0)</f>
        <v>0</v>
      </c>
      <c r="DC188" s="7" t="str">
        <f>VLOOKUP(C188,listaBolsa!$D$2:$BA$1248,10,0)</f>
        <v xml:space="preserve">JUNTOS DE LA MANO </v>
      </c>
      <c r="DD188" s="7">
        <f>VLOOKUP(C188,listaBolsa!$D$2:$BA$1248,14,0)</f>
        <v>37000</v>
      </c>
      <c r="DE188" s="7" t="str">
        <f>VLOOKUP(C188,listaBolsa!$D$2:$BA$1248,23,0)</f>
        <v>MYCBDE</v>
      </c>
      <c r="DF188" s="7">
        <f>VLOOKUP(C188,listaBolsa!$D$2:$BA$1248,29,0)</f>
        <v>41650</v>
      </c>
      <c r="DG188" s="7" t="str">
        <f>VLOOKUP(C188,listaBolsa!$D$2:$BA$1248,36,0)</f>
        <v>DAGROW</v>
      </c>
      <c r="DH188" s="7">
        <f>VLOOKUP(C188,listaBolsa!$D$2:$BA$1248,40,0)</f>
        <v>33600</v>
      </c>
      <c r="DI188" s="253">
        <f>VLOOKUP(C188,listaBolsa!$D$2:$BA$1248,48,0)</f>
        <v>4.8500000000000001E-2</v>
      </c>
      <c r="DJ188" s="7" t="b">
        <f t="shared" si="155"/>
        <v>1</v>
      </c>
      <c r="DK188" s="7" t="b">
        <f t="shared" si="154"/>
        <v>0</v>
      </c>
      <c r="DL188" s="7" t="b">
        <f t="shared" si="168"/>
        <v>1</v>
      </c>
      <c r="DM188" s="7" t="b">
        <f t="shared" si="169"/>
        <v>1</v>
      </c>
      <c r="DN188" s="7" t="b">
        <f t="shared" si="170"/>
        <v>1</v>
      </c>
      <c r="DO188" s="7" t="b">
        <f t="shared" si="171"/>
        <v>0</v>
      </c>
      <c r="DP188" s="7" t="b">
        <f t="shared" si="172"/>
        <v>1</v>
      </c>
      <c r="DQ188" s="7" t="b">
        <f t="shared" si="173"/>
        <v>1</v>
      </c>
      <c r="DR188" s="7" t="b">
        <f t="shared" si="174"/>
        <v>0</v>
      </c>
    </row>
    <row r="189" spans="1:122" s="7" customFormat="1" ht="42" customHeight="1">
      <c r="A189" s="75">
        <v>181</v>
      </c>
      <c r="B189" s="538" t="s">
        <v>579</v>
      </c>
      <c r="C189" s="351" t="s">
        <v>792</v>
      </c>
      <c r="D189" s="351" t="s">
        <v>793</v>
      </c>
      <c r="E189" s="193" t="s">
        <v>568</v>
      </c>
      <c r="F189" s="75">
        <v>1</v>
      </c>
      <c r="G189" s="75" t="s">
        <v>192</v>
      </c>
      <c r="H189" s="106" t="s">
        <v>794</v>
      </c>
      <c r="I189" s="107">
        <v>4789.9159663865548</v>
      </c>
      <c r="J189" s="96">
        <f t="shared" si="177"/>
        <v>910.0840336134454</v>
      </c>
      <c r="K189" s="96">
        <f t="shared" si="160"/>
        <v>5700</v>
      </c>
      <c r="L189" s="96">
        <f t="shared" si="161"/>
        <v>4789.9159663865548</v>
      </c>
      <c r="M189" s="96">
        <f t="shared" si="162"/>
        <v>5700</v>
      </c>
      <c r="N189" s="108" t="s">
        <v>795</v>
      </c>
      <c r="O189" s="109">
        <v>3613.4453781512611</v>
      </c>
      <c r="P189" s="110">
        <f t="shared" si="178"/>
        <v>686.55462184873966</v>
      </c>
      <c r="Q189" s="110">
        <f t="shared" si="163"/>
        <v>4300.0000000000009</v>
      </c>
      <c r="R189" s="110">
        <f t="shared" si="164"/>
        <v>3613.4453781512611</v>
      </c>
      <c r="S189" s="110">
        <f t="shared" si="165"/>
        <v>4300.0000000000009</v>
      </c>
      <c r="T189" s="387" t="s">
        <v>796</v>
      </c>
      <c r="U189" s="98">
        <v>4033.613445378151</v>
      </c>
      <c r="V189" s="99">
        <f t="shared" si="179"/>
        <v>766.38655462184875</v>
      </c>
      <c r="W189" s="99">
        <f t="shared" si="157"/>
        <v>4800</v>
      </c>
      <c r="X189" s="99">
        <f t="shared" si="158"/>
        <v>4033.613445378151</v>
      </c>
      <c r="Y189" s="99">
        <f t="shared" si="159"/>
        <v>4800</v>
      </c>
      <c r="Z189" s="100">
        <f t="shared" si="175"/>
        <v>4933.333333333333</v>
      </c>
      <c r="AA189" s="100">
        <f t="shared" si="166"/>
        <v>4933.333333333333</v>
      </c>
      <c r="AB189" s="78">
        <f t="shared" si="176"/>
        <v>709.45988845976046</v>
      </c>
      <c r="AC189" s="102">
        <f t="shared" si="167"/>
        <v>0.14380943684995146</v>
      </c>
      <c r="AD189" s="5"/>
      <c r="AE189" s="7" t="s">
        <v>1053</v>
      </c>
      <c r="AF189" s="7" t="str">
        <f>VLOOKUP(C189,Estudio_Mercado_Ori!$C$12:$AH$1115,32,0)</f>
        <v>77HUERTAS</v>
      </c>
      <c r="BG189" s="7">
        <v>66</v>
      </c>
      <c r="DA189" s="7" t="str">
        <f>VLOOKUP(C189,listaBolsa!$D$2:$BA$1248,1,0)</f>
        <v>Bolsas compostables</v>
      </c>
      <c r="DB189" s="7">
        <f>VLOOKUP(C189,listaBolsa!$D$2:$BA$1248,2,0)</f>
        <v>0</v>
      </c>
      <c r="DC189" s="7" t="str">
        <f>VLOOKUP(C189,listaBolsa!$D$2:$BA$1248,10,0)</f>
        <v>LA TORTUGA Y LA LIEBRE</v>
      </c>
      <c r="DD189" s="7">
        <f>VLOOKUP(C189,listaBolsa!$D$2:$BA$1248,14,0)</f>
        <v>4789.92</v>
      </c>
      <c r="DE189" s="7" t="str">
        <f>VLOOKUP(C189,listaBolsa!$D$2:$BA$1248,23,0)</f>
        <v>VIEJO VERDE</v>
      </c>
      <c r="DF189" s="7">
        <f>VLOOKUP(C189,listaBolsa!$D$2:$BA$1248,29,0)</f>
        <v>4300</v>
      </c>
      <c r="DG189" s="7" t="str">
        <f>VLOOKUP(C189,listaBolsa!$D$2:$BA$1248,36,0)</f>
        <v>VERDE PLUMA</v>
      </c>
      <c r="DH189" s="7">
        <f>VLOOKUP(C189,listaBolsa!$D$2:$BA$1248,40,0)</f>
        <v>4033.61</v>
      </c>
      <c r="DI189" s="253">
        <f>VLOOKUP(C189,listaBolsa!$D$2:$BA$1248,48,0)</f>
        <v>0.14380000000000001</v>
      </c>
      <c r="DJ189" s="7" t="b">
        <f t="shared" si="155"/>
        <v>1</v>
      </c>
      <c r="DK189" s="7" t="b">
        <f t="shared" si="154"/>
        <v>0</v>
      </c>
      <c r="DL189" s="7" t="b">
        <f t="shared" si="168"/>
        <v>1</v>
      </c>
      <c r="DM189" s="7" t="b">
        <f t="shared" si="169"/>
        <v>0</v>
      </c>
      <c r="DN189" s="7" t="b">
        <f t="shared" si="170"/>
        <v>1</v>
      </c>
      <c r="DO189" s="7" t="b">
        <f t="shared" si="171"/>
        <v>0</v>
      </c>
      <c r="DP189" s="7" t="b">
        <f t="shared" si="172"/>
        <v>1</v>
      </c>
      <c r="DQ189" s="7" t="b">
        <f t="shared" si="173"/>
        <v>0</v>
      </c>
      <c r="DR189" s="7" t="b">
        <f t="shared" si="174"/>
        <v>0</v>
      </c>
    </row>
    <row r="190" spans="1:122" s="7" customFormat="1" ht="42" customHeight="1">
      <c r="A190" s="75">
        <v>182</v>
      </c>
      <c r="B190" s="538" t="s">
        <v>579</v>
      </c>
      <c r="C190" s="351" t="s">
        <v>798</v>
      </c>
      <c r="D190" s="351" t="s">
        <v>799</v>
      </c>
      <c r="E190" s="193" t="s">
        <v>568</v>
      </c>
      <c r="F190" s="75">
        <v>1</v>
      </c>
      <c r="G190" s="75" t="s">
        <v>192</v>
      </c>
      <c r="H190" s="106" t="s">
        <v>380</v>
      </c>
      <c r="I190" s="107">
        <v>138000</v>
      </c>
      <c r="J190" s="96">
        <f t="shared" si="177"/>
        <v>26220</v>
      </c>
      <c r="K190" s="96">
        <f t="shared" si="160"/>
        <v>164220</v>
      </c>
      <c r="L190" s="96">
        <f t="shared" si="161"/>
        <v>138000</v>
      </c>
      <c r="M190" s="96">
        <f t="shared" si="162"/>
        <v>164220</v>
      </c>
      <c r="N190" s="374" t="s">
        <v>230</v>
      </c>
      <c r="O190" s="332">
        <v>142773.10999999999</v>
      </c>
      <c r="P190" s="110">
        <f t="shared" si="178"/>
        <v>27126.890899999999</v>
      </c>
      <c r="Q190" s="110">
        <f t="shared" si="163"/>
        <v>169900.00089999998</v>
      </c>
      <c r="R190" s="110">
        <f t="shared" si="164"/>
        <v>142773.10999999999</v>
      </c>
      <c r="S190" s="110">
        <f t="shared" si="165"/>
        <v>169900.00089999998</v>
      </c>
      <c r="T190" s="97" t="s">
        <v>382</v>
      </c>
      <c r="U190" s="98">
        <v>117600</v>
      </c>
      <c r="V190" s="99">
        <f t="shared" si="179"/>
        <v>22344</v>
      </c>
      <c r="W190" s="99">
        <f t="shared" si="157"/>
        <v>139944</v>
      </c>
      <c r="X190" s="99">
        <f t="shared" si="158"/>
        <v>117600</v>
      </c>
      <c r="Y190" s="99">
        <f t="shared" si="159"/>
        <v>139944</v>
      </c>
      <c r="Z190" s="100">
        <f t="shared" si="175"/>
        <v>158021.33363333333</v>
      </c>
      <c r="AA190" s="100">
        <f t="shared" si="166"/>
        <v>158021.33363333333</v>
      </c>
      <c r="AB190" s="78">
        <f t="shared" si="176"/>
        <v>15910.942650394207</v>
      </c>
      <c r="AC190" s="102">
        <f t="shared" si="167"/>
        <v>0.10068857340055964</v>
      </c>
      <c r="AD190" s="5"/>
      <c r="AE190" s="334" t="s">
        <v>1102</v>
      </c>
      <c r="AF190" s="7" t="str">
        <f>VLOOKUP(C190,Estudio_Mercado_Ori!$C$12:$AH$1115,32,0)</f>
        <v>78HUERTAS</v>
      </c>
      <c r="BG190" s="7">
        <v>67</v>
      </c>
      <c r="DA190" s="7" t="str">
        <f>VLOOKUP(C190,listaBolsa!$D$2:$BA$1248,1,0)</f>
        <v xml:space="preserve">Contenedores de compostaje - 30 litros </v>
      </c>
      <c r="DB190" s="7">
        <f>VLOOKUP(C190,listaBolsa!$D$2:$BA$1248,2,0)</f>
        <v>0</v>
      </c>
      <c r="DC190" s="7" t="str">
        <f>VLOOKUP(C190,listaBolsa!$D$2:$BA$1248,10,0)</f>
        <v xml:space="preserve">JUNTOS DE LA MANO </v>
      </c>
      <c r="DD190" s="7">
        <f>VLOOKUP(C190,listaBolsa!$D$2:$BA$1248,14,0)</f>
        <v>138000</v>
      </c>
      <c r="DE190" s="7" t="str">
        <f>VLOOKUP(C190,listaBolsa!$D$2:$BA$1248,23,0)</f>
        <v>MYCBDE</v>
      </c>
      <c r="DF190" s="7">
        <f>VLOOKUP(C190,listaBolsa!$D$2:$BA$1248,29,0)</f>
        <v>161840</v>
      </c>
      <c r="DG190" s="7" t="str">
        <f>VLOOKUP(C190,listaBolsa!$D$2:$BA$1248,36,0)</f>
        <v>DAGROW</v>
      </c>
      <c r="DH190" s="7">
        <f>VLOOKUP(C190,listaBolsa!$D$2:$BA$1248,40,0)</f>
        <v>117600</v>
      </c>
      <c r="DI190" s="253">
        <f>VLOOKUP(C190,listaBolsa!$D$2:$BA$1248,48,0)</f>
        <v>8.6099999999999996E-2</v>
      </c>
      <c r="DJ190" s="7" t="b">
        <f t="shared" si="155"/>
        <v>1</v>
      </c>
      <c r="DK190" s="7" t="b">
        <f t="shared" si="154"/>
        <v>0</v>
      </c>
      <c r="DL190" s="7" t="b">
        <f t="shared" si="168"/>
        <v>1</v>
      </c>
      <c r="DM190" s="7" t="b">
        <f t="shared" si="169"/>
        <v>1</v>
      </c>
      <c r="DN190" s="7" t="b">
        <f t="shared" si="170"/>
        <v>0</v>
      </c>
      <c r="DO190" s="7" t="b">
        <f t="shared" si="171"/>
        <v>0</v>
      </c>
      <c r="DP190" s="7" t="b">
        <f t="shared" si="172"/>
        <v>1</v>
      </c>
      <c r="DQ190" s="7" t="b">
        <f t="shared" si="173"/>
        <v>1</v>
      </c>
      <c r="DR190" s="7" t="b">
        <f t="shared" si="174"/>
        <v>0</v>
      </c>
    </row>
    <row r="191" spans="1:122" s="7" customFormat="1" ht="42" customHeight="1">
      <c r="A191" s="75">
        <v>183</v>
      </c>
      <c r="B191" s="538" t="s">
        <v>579</v>
      </c>
      <c r="C191" s="351" t="s">
        <v>801</v>
      </c>
      <c r="D191" s="351" t="s">
        <v>802</v>
      </c>
      <c r="E191" s="193" t="s">
        <v>568</v>
      </c>
      <c r="F191" s="75">
        <v>1</v>
      </c>
      <c r="G191" s="75" t="s">
        <v>192</v>
      </c>
      <c r="H191" s="106" t="s">
        <v>380</v>
      </c>
      <c r="I191" s="107">
        <v>42000</v>
      </c>
      <c r="J191" s="96"/>
      <c r="K191" s="96">
        <f t="shared" si="160"/>
        <v>42000</v>
      </c>
      <c r="L191" s="96">
        <f t="shared" si="161"/>
        <v>42000</v>
      </c>
      <c r="M191" s="96">
        <f t="shared" si="162"/>
        <v>42000</v>
      </c>
      <c r="N191" s="108" t="s">
        <v>382</v>
      </c>
      <c r="O191" s="109">
        <v>30000</v>
      </c>
      <c r="P191" s="110"/>
      <c r="Q191" s="110">
        <f t="shared" si="163"/>
        <v>30000</v>
      </c>
      <c r="R191" s="110">
        <f t="shared" si="164"/>
        <v>30000</v>
      </c>
      <c r="S191" s="110">
        <f t="shared" si="165"/>
        <v>30000</v>
      </c>
      <c r="T191" s="97" t="s">
        <v>381</v>
      </c>
      <c r="U191" s="98">
        <v>40000</v>
      </c>
      <c r="V191" s="99"/>
      <c r="W191" s="99">
        <f t="shared" si="157"/>
        <v>40000</v>
      </c>
      <c r="X191" s="99">
        <f t="shared" si="158"/>
        <v>40000</v>
      </c>
      <c r="Y191" s="99">
        <f t="shared" si="159"/>
        <v>40000</v>
      </c>
      <c r="Z191" s="100">
        <f t="shared" si="175"/>
        <v>37333.333333333336</v>
      </c>
      <c r="AA191" s="100">
        <f t="shared" si="166"/>
        <v>37333.333333333336</v>
      </c>
      <c r="AB191" s="78">
        <f t="shared" si="176"/>
        <v>6429.1005073286306</v>
      </c>
      <c r="AC191" s="102">
        <f t="shared" si="167"/>
        <v>0.17220804930344544</v>
      </c>
      <c r="AD191" s="5"/>
      <c r="AE191" s="7" t="s">
        <v>1053</v>
      </c>
      <c r="AF191" s="7" t="str">
        <f>VLOOKUP(C191,Estudio_Mercado_Ori!$C$12:$AH$1115,32,0)</f>
        <v>79HUERTAS</v>
      </c>
      <c r="BG191" s="7">
        <v>68</v>
      </c>
      <c r="DA191" s="7" t="str">
        <f>VLOOKUP(C191,listaBolsa!$D$2:$BA$1248,1,0)</f>
        <v>Bulto de compost 35 kg</v>
      </c>
      <c r="DB191" s="7">
        <f>VLOOKUP(C191,listaBolsa!$D$2:$BA$1248,2,0)</f>
        <v>0</v>
      </c>
      <c r="DC191" s="7" t="str">
        <f>VLOOKUP(C191,listaBolsa!$D$2:$BA$1248,10,0)</f>
        <v xml:space="preserve">JUNTOS DE LA MANO </v>
      </c>
      <c r="DD191" s="7">
        <f>VLOOKUP(C191,listaBolsa!$D$2:$BA$1248,14,0)</f>
        <v>42000</v>
      </c>
      <c r="DE191" s="7" t="str">
        <f>VLOOKUP(C191,listaBolsa!$D$2:$BA$1248,23,0)</f>
        <v>DAGROW</v>
      </c>
      <c r="DF191" s="7">
        <f>VLOOKUP(C191,listaBolsa!$D$2:$BA$1248,29,0)</f>
        <v>30000</v>
      </c>
      <c r="DG191" s="7" t="str">
        <f>VLOOKUP(C191,listaBolsa!$D$2:$BA$1248,36,0)</f>
        <v>MYCBDE</v>
      </c>
      <c r="DH191" s="7">
        <f>VLOOKUP(C191,listaBolsa!$D$2:$BA$1248,40,0)</f>
        <v>40000</v>
      </c>
      <c r="DI191" s="253">
        <f>VLOOKUP(C191,listaBolsa!$D$2:$BA$1248,48,0)</f>
        <v>0.17219999999999999</v>
      </c>
      <c r="DJ191" s="7" t="b">
        <f t="shared" si="155"/>
        <v>1</v>
      </c>
      <c r="DK191" s="7" t="b">
        <f t="shared" si="154"/>
        <v>0</v>
      </c>
      <c r="DL191" s="7" t="b">
        <f t="shared" si="168"/>
        <v>1</v>
      </c>
      <c r="DM191" s="7" t="b">
        <f t="shared" si="169"/>
        <v>1</v>
      </c>
      <c r="DN191" s="7" t="b">
        <f t="shared" si="170"/>
        <v>1</v>
      </c>
      <c r="DO191" s="7" t="b">
        <f t="shared" si="171"/>
        <v>1</v>
      </c>
      <c r="DP191" s="7" t="b">
        <f t="shared" si="172"/>
        <v>1</v>
      </c>
      <c r="DQ191" s="7" t="b">
        <f t="shared" si="173"/>
        <v>1</v>
      </c>
      <c r="DR191" s="7" t="b">
        <f t="shared" si="174"/>
        <v>0</v>
      </c>
    </row>
    <row r="192" spans="1:122" s="7" customFormat="1" ht="42" customHeight="1">
      <c r="A192" s="75">
        <v>184</v>
      </c>
      <c r="B192" s="538" t="s">
        <v>579</v>
      </c>
      <c r="C192" s="351" t="s">
        <v>804</v>
      </c>
      <c r="D192" s="351" t="s">
        <v>805</v>
      </c>
      <c r="E192" s="193" t="s">
        <v>568</v>
      </c>
      <c r="F192" s="75">
        <v>1</v>
      </c>
      <c r="G192" s="75" t="s">
        <v>192</v>
      </c>
      <c r="H192" s="106" t="s">
        <v>380</v>
      </c>
      <c r="I192" s="107">
        <v>43000</v>
      </c>
      <c r="J192" s="96"/>
      <c r="K192" s="96">
        <f t="shared" si="160"/>
        <v>43000</v>
      </c>
      <c r="L192" s="96">
        <f t="shared" si="161"/>
        <v>43000</v>
      </c>
      <c r="M192" s="96">
        <f t="shared" si="162"/>
        <v>43000</v>
      </c>
      <c r="N192" s="108" t="s">
        <v>381</v>
      </c>
      <c r="O192" s="109">
        <v>42000</v>
      </c>
      <c r="P192" s="110"/>
      <c r="Q192" s="110">
        <f t="shared" si="163"/>
        <v>42000</v>
      </c>
      <c r="R192" s="110">
        <f t="shared" si="164"/>
        <v>42000</v>
      </c>
      <c r="S192" s="110">
        <f t="shared" si="165"/>
        <v>42000</v>
      </c>
      <c r="T192" s="97" t="s">
        <v>382</v>
      </c>
      <c r="U192" s="98">
        <v>40000</v>
      </c>
      <c r="V192" s="99"/>
      <c r="W192" s="99">
        <f t="shared" si="157"/>
        <v>40000</v>
      </c>
      <c r="X192" s="99">
        <f t="shared" si="158"/>
        <v>40000</v>
      </c>
      <c r="Y192" s="99">
        <f t="shared" si="159"/>
        <v>40000</v>
      </c>
      <c r="Z192" s="100">
        <f t="shared" si="175"/>
        <v>41666.666666666664</v>
      </c>
      <c r="AA192" s="100">
        <f t="shared" si="166"/>
        <v>41666.666666666664</v>
      </c>
      <c r="AB192" s="78">
        <f t="shared" si="176"/>
        <v>1527.5252316519466</v>
      </c>
      <c r="AC192" s="102">
        <f t="shared" si="167"/>
        <v>3.6660605559646717E-2</v>
      </c>
      <c r="AD192" s="5"/>
      <c r="AE192" s="7" t="s">
        <v>1053</v>
      </c>
      <c r="AF192" s="7" t="str">
        <f>VLOOKUP(C192,Estudio_Mercado_Ori!$C$12:$AH$1115,32,0)</f>
        <v>80HUERTAS</v>
      </c>
      <c r="BG192" s="7">
        <v>69</v>
      </c>
      <c r="DA192" s="7" t="str">
        <f>VLOOKUP(C192,listaBolsa!$D$2:$BA$1248,1,0)</f>
        <v>Bulto de compost 50 kg</v>
      </c>
      <c r="DB192" s="7">
        <f>VLOOKUP(C192,listaBolsa!$D$2:$BA$1248,2,0)</f>
        <v>0</v>
      </c>
      <c r="DC192" s="7" t="str">
        <f>VLOOKUP(C192,listaBolsa!$D$2:$BA$1248,10,0)</f>
        <v xml:space="preserve">JUNTOS DE LA MANO </v>
      </c>
      <c r="DD192" s="7">
        <f>VLOOKUP(C192,listaBolsa!$D$2:$BA$1248,14,0)</f>
        <v>43000</v>
      </c>
      <c r="DE192" s="7" t="str">
        <f>VLOOKUP(C192,listaBolsa!$D$2:$BA$1248,23,0)</f>
        <v>MYCBDE</v>
      </c>
      <c r="DF192" s="7">
        <f>VLOOKUP(C192,listaBolsa!$D$2:$BA$1248,29,0)</f>
        <v>42000</v>
      </c>
      <c r="DG192" s="7" t="str">
        <f>VLOOKUP(C192,listaBolsa!$D$2:$BA$1248,36,0)</f>
        <v>DAGROW</v>
      </c>
      <c r="DH192" s="7">
        <f>VLOOKUP(C192,listaBolsa!$D$2:$BA$1248,40,0)</f>
        <v>40000</v>
      </c>
      <c r="DI192" s="253">
        <f>VLOOKUP(C192,listaBolsa!$D$2:$BA$1248,48,0)</f>
        <v>3.6700000000000003E-2</v>
      </c>
      <c r="DJ192" s="7" t="b">
        <f t="shared" si="155"/>
        <v>1</v>
      </c>
      <c r="DK192" s="7" t="b">
        <f t="shared" si="154"/>
        <v>0</v>
      </c>
      <c r="DL192" s="7" t="b">
        <f t="shared" si="168"/>
        <v>1</v>
      </c>
      <c r="DM192" s="7" t="b">
        <f t="shared" si="169"/>
        <v>1</v>
      </c>
      <c r="DN192" s="7" t="b">
        <f t="shared" si="170"/>
        <v>1</v>
      </c>
      <c r="DO192" s="7" t="b">
        <f t="shared" si="171"/>
        <v>1</v>
      </c>
      <c r="DP192" s="7" t="b">
        <f t="shared" si="172"/>
        <v>1</v>
      </c>
      <c r="DQ192" s="7" t="b">
        <f t="shared" si="173"/>
        <v>1</v>
      </c>
      <c r="DR192" s="7" t="b">
        <f t="shared" si="174"/>
        <v>0</v>
      </c>
    </row>
    <row r="193" spans="1:122" s="7" customFormat="1" ht="42" customHeight="1">
      <c r="A193" s="75">
        <v>185</v>
      </c>
      <c r="B193" s="538" t="s">
        <v>579</v>
      </c>
      <c r="C193" s="351" t="s">
        <v>807</v>
      </c>
      <c r="D193" s="351" t="s">
        <v>808</v>
      </c>
      <c r="E193" s="193" t="s">
        <v>568</v>
      </c>
      <c r="F193" s="75">
        <v>1</v>
      </c>
      <c r="G193" s="75" t="s">
        <v>192</v>
      </c>
      <c r="H193" s="106" t="s">
        <v>380</v>
      </c>
      <c r="I193" s="107">
        <v>9000</v>
      </c>
      <c r="J193" s="96">
        <f>I193*19%</f>
        <v>1710</v>
      </c>
      <c r="K193" s="96">
        <f t="shared" si="160"/>
        <v>10710</v>
      </c>
      <c r="L193" s="96">
        <f t="shared" si="161"/>
        <v>9000</v>
      </c>
      <c r="M193" s="96">
        <f t="shared" si="162"/>
        <v>10710</v>
      </c>
      <c r="N193" s="381" t="s">
        <v>381</v>
      </c>
      <c r="O193" s="109">
        <v>8000</v>
      </c>
      <c r="P193" s="110">
        <f>O193*19%</f>
        <v>1520</v>
      </c>
      <c r="Q193" s="110">
        <f t="shared" si="163"/>
        <v>9520</v>
      </c>
      <c r="R193" s="110">
        <f t="shared" si="164"/>
        <v>8000</v>
      </c>
      <c r="S193" s="110">
        <f t="shared" si="165"/>
        <v>9520</v>
      </c>
      <c r="T193" s="97" t="s">
        <v>382</v>
      </c>
      <c r="U193" s="98">
        <v>7140</v>
      </c>
      <c r="V193" s="99">
        <f>U193*19%</f>
        <v>1356.6</v>
      </c>
      <c r="W193" s="99">
        <f t="shared" si="157"/>
        <v>8496.6</v>
      </c>
      <c r="X193" s="99">
        <f t="shared" si="158"/>
        <v>7140</v>
      </c>
      <c r="Y193" s="99">
        <f t="shared" si="159"/>
        <v>8496.6</v>
      </c>
      <c r="Z193" s="100">
        <f t="shared" si="175"/>
        <v>9575.5333333333328</v>
      </c>
      <c r="AA193" s="100">
        <f t="shared" si="166"/>
        <v>9575.5333333333328</v>
      </c>
      <c r="AB193" s="78">
        <f t="shared" si="176"/>
        <v>1107.7444891911371</v>
      </c>
      <c r="AC193" s="102">
        <f t="shared" si="167"/>
        <v>0.11568488674515645</v>
      </c>
      <c r="AD193" s="5"/>
      <c r="AE193" s="7" t="s">
        <v>1053</v>
      </c>
      <c r="AF193" s="7" t="str">
        <f>VLOOKUP(C193,Estudio_Mercado_Ori!$C$12:$AH$1115,32,0)</f>
        <v>81HUERTAS</v>
      </c>
      <c r="BG193" s="7">
        <v>70</v>
      </c>
      <c r="DA193" s="7" t="e">
        <f>VLOOKUP(C193,listaBolsa!$D$2:$BA$1248,1,0)</f>
        <v>#N/A</v>
      </c>
      <c r="DB193" s="7" t="e">
        <f>VLOOKUP(C193,listaBolsa!$D$2:$BA$1248,2,0)</f>
        <v>#N/A</v>
      </c>
      <c r="DC193" s="7" t="e">
        <f>VLOOKUP(C193,listaBolsa!$D$2:$BA$1248,10,0)</f>
        <v>#N/A</v>
      </c>
      <c r="DD193" s="7" t="e">
        <f>VLOOKUP(C193,listaBolsa!$D$2:$BA$1248,14,0)</f>
        <v>#N/A</v>
      </c>
      <c r="DE193" s="7" t="e">
        <f>VLOOKUP(C193,listaBolsa!$D$2:$BA$1248,23,0)</f>
        <v>#N/A</v>
      </c>
      <c r="DF193" s="7" t="e">
        <f>VLOOKUP(C193,listaBolsa!$D$2:$BA$1248,29,0)</f>
        <v>#N/A</v>
      </c>
      <c r="DG193" s="7" t="e">
        <f>VLOOKUP(C193,listaBolsa!$D$2:$BA$1248,36,0)</f>
        <v>#N/A</v>
      </c>
      <c r="DH193" s="7" t="e">
        <f>VLOOKUP(C193,listaBolsa!$D$2:$BA$1248,40,0)</f>
        <v>#N/A</v>
      </c>
      <c r="DI193" s="253" t="e">
        <f>VLOOKUP(C193,listaBolsa!$D$2:$BA$1248,48,0)</f>
        <v>#N/A</v>
      </c>
      <c r="DJ193" s="7" t="e">
        <f t="shared" si="155"/>
        <v>#N/A</v>
      </c>
      <c r="DK193" s="7" t="e">
        <f t="shared" si="154"/>
        <v>#N/A</v>
      </c>
      <c r="DL193" s="7" t="e">
        <f t="shared" si="168"/>
        <v>#N/A</v>
      </c>
      <c r="DM193" s="7" t="e">
        <f t="shared" si="169"/>
        <v>#N/A</v>
      </c>
      <c r="DN193" s="7" t="e">
        <f t="shared" si="170"/>
        <v>#N/A</v>
      </c>
      <c r="DO193" s="7" t="e">
        <f t="shared" si="171"/>
        <v>#N/A</v>
      </c>
      <c r="DP193" s="7" t="e">
        <f t="shared" si="172"/>
        <v>#N/A</v>
      </c>
      <c r="DQ193" s="7" t="e">
        <f t="shared" si="173"/>
        <v>#N/A</v>
      </c>
      <c r="DR193" s="7" t="e">
        <f t="shared" si="174"/>
        <v>#N/A</v>
      </c>
    </row>
    <row r="194" spans="1:122" s="7" customFormat="1" ht="42" customHeight="1">
      <c r="A194" s="75">
        <v>186</v>
      </c>
      <c r="B194" s="538" t="s">
        <v>579</v>
      </c>
      <c r="C194" s="351" t="s">
        <v>810</v>
      </c>
      <c r="D194" s="351" t="s">
        <v>811</v>
      </c>
      <c r="E194" s="193" t="s">
        <v>568</v>
      </c>
      <c r="F194" s="75">
        <v>1</v>
      </c>
      <c r="G194" s="75" t="s">
        <v>192</v>
      </c>
      <c r="H194" s="106" t="s">
        <v>380</v>
      </c>
      <c r="I194" s="107">
        <v>24000</v>
      </c>
      <c r="J194" s="96">
        <f>I194*19%</f>
        <v>4560</v>
      </c>
      <c r="K194" s="96">
        <f t="shared" si="160"/>
        <v>28560</v>
      </c>
      <c r="L194" s="96">
        <f t="shared" si="161"/>
        <v>24000</v>
      </c>
      <c r="M194" s="96">
        <f t="shared" si="162"/>
        <v>28560</v>
      </c>
      <c r="N194" s="108" t="s">
        <v>381</v>
      </c>
      <c r="O194" s="109">
        <v>23000</v>
      </c>
      <c r="P194" s="110">
        <f>O194*19%</f>
        <v>4370</v>
      </c>
      <c r="Q194" s="110">
        <f t="shared" si="163"/>
        <v>27370</v>
      </c>
      <c r="R194" s="110">
        <f t="shared" si="164"/>
        <v>23000</v>
      </c>
      <c r="S194" s="110">
        <f t="shared" si="165"/>
        <v>27370</v>
      </c>
      <c r="T194" s="97" t="s">
        <v>382</v>
      </c>
      <c r="U194" s="98">
        <v>16800</v>
      </c>
      <c r="V194" s="99">
        <f>U194*19%</f>
        <v>3192</v>
      </c>
      <c r="W194" s="99">
        <f t="shared" si="157"/>
        <v>19992</v>
      </c>
      <c r="X194" s="99">
        <f t="shared" si="158"/>
        <v>16800</v>
      </c>
      <c r="Y194" s="99">
        <f t="shared" si="159"/>
        <v>19992</v>
      </c>
      <c r="Z194" s="100">
        <f t="shared" si="175"/>
        <v>25307.333333333332</v>
      </c>
      <c r="AA194" s="100">
        <f t="shared" si="166"/>
        <v>25307.333333333332</v>
      </c>
      <c r="AB194" s="78">
        <f t="shared" si="176"/>
        <v>4641.508519149068</v>
      </c>
      <c r="AC194" s="102">
        <f t="shared" si="167"/>
        <v>0.18340567368413904</v>
      </c>
      <c r="AD194" s="5"/>
      <c r="AE194" s="7" t="s">
        <v>1053</v>
      </c>
      <c r="AF194" s="7" t="str">
        <f>VLOOKUP(C194,Estudio_Mercado_Ori!$C$12:$AH$1115,32,0)</f>
        <v>82HUERTAS</v>
      </c>
      <c r="BG194" s="7">
        <v>71</v>
      </c>
      <c r="DA194" s="7" t="str">
        <f>VLOOKUP(C194,listaBolsa!$D$2:$BA$1248,1,0)</f>
        <v>Regadera Plástica 2 lt</v>
      </c>
      <c r="DB194" s="7">
        <f>VLOOKUP(C194,listaBolsa!$D$2:$BA$1248,2,0)</f>
        <v>0</v>
      </c>
      <c r="DC194" s="7" t="str">
        <f>VLOOKUP(C194,listaBolsa!$D$2:$BA$1248,10,0)</f>
        <v xml:space="preserve">JUNTOS DE LA MANO </v>
      </c>
      <c r="DD194" s="7">
        <f>VLOOKUP(C194,listaBolsa!$D$2:$BA$1248,14,0)</f>
        <v>24000</v>
      </c>
      <c r="DE194" s="7" t="str">
        <f>VLOOKUP(C194,listaBolsa!$D$2:$BA$1248,23,0)</f>
        <v>MYCBDE</v>
      </c>
      <c r="DF194" s="7">
        <f>VLOOKUP(C194,listaBolsa!$D$2:$BA$1248,29,0)</f>
        <v>27370</v>
      </c>
      <c r="DG194" s="7" t="str">
        <f>VLOOKUP(C194,listaBolsa!$D$2:$BA$1248,36,0)</f>
        <v>DAGROW</v>
      </c>
      <c r="DH194" s="7">
        <f>VLOOKUP(C194,listaBolsa!$D$2:$BA$1248,40,0)</f>
        <v>16800</v>
      </c>
      <c r="DI194" s="253">
        <f>VLOOKUP(C194,listaBolsa!$D$2:$BA$1248,48,0)</f>
        <v>0.18340000000000001</v>
      </c>
      <c r="DJ194" s="7" t="b">
        <f t="shared" si="155"/>
        <v>1</v>
      </c>
      <c r="DK194" s="7" t="b">
        <f t="shared" si="154"/>
        <v>0</v>
      </c>
      <c r="DL194" s="7" t="b">
        <f t="shared" si="168"/>
        <v>1</v>
      </c>
      <c r="DM194" s="7" t="b">
        <f t="shared" si="169"/>
        <v>1</v>
      </c>
      <c r="DN194" s="7" t="b">
        <f t="shared" si="170"/>
        <v>1</v>
      </c>
      <c r="DO194" s="7" t="b">
        <f t="shared" si="171"/>
        <v>0</v>
      </c>
      <c r="DP194" s="7" t="b">
        <f t="shared" si="172"/>
        <v>1</v>
      </c>
      <c r="DQ194" s="7" t="b">
        <f t="shared" si="173"/>
        <v>1</v>
      </c>
      <c r="DR194" s="7" t="b">
        <f t="shared" si="174"/>
        <v>0</v>
      </c>
    </row>
    <row r="195" spans="1:122" s="7" customFormat="1" ht="42" customHeight="1">
      <c r="A195" s="75">
        <v>187</v>
      </c>
      <c r="B195" s="538" t="s">
        <v>579</v>
      </c>
      <c r="C195" s="351" t="s">
        <v>813</v>
      </c>
      <c r="D195" s="351" t="s">
        <v>814</v>
      </c>
      <c r="E195" s="193" t="s">
        <v>568</v>
      </c>
      <c r="F195" s="75">
        <v>1</v>
      </c>
      <c r="G195" s="75" t="s">
        <v>192</v>
      </c>
      <c r="H195" s="106" t="s">
        <v>380</v>
      </c>
      <c r="I195" s="107">
        <v>57000</v>
      </c>
      <c r="J195" s="96">
        <f>I195*19%</f>
        <v>10830</v>
      </c>
      <c r="K195" s="96">
        <f t="shared" si="160"/>
        <v>67830</v>
      </c>
      <c r="L195" s="96">
        <f t="shared" si="161"/>
        <v>57000</v>
      </c>
      <c r="M195" s="96">
        <f t="shared" si="162"/>
        <v>67830</v>
      </c>
      <c r="N195" s="374" t="s">
        <v>1103</v>
      </c>
      <c r="O195" s="332">
        <v>45168.07</v>
      </c>
      <c r="P195" s="110">
        <f>O195*19%</f>
        <v>8581.9333000000006</v>
      </c>
      <c r="Q195" s="110">
        <f t="shared" si="163"/>
        <v>53750.003299999997</v>
      </c>
      <c r="R195" s="110">
        <f t="shared" si="164"/>
        <v>45168.07</v>
      </c>
      <c r="S195" s="110">
        <f t="shared" si="165"/>
        <v>53750.003299999997</v>
      </c>
      <c r="T195" s="97" t="s">
        <v>382</v>
      </c>
      <c r="U195" s="98">
        <v>56000</v>
      </c>
      <c r="V195" s="99">
        <f>U195*19%</f>
        <v>10640</v>
      </c>
      <c r="W195" s="99">
        <f t="shared" si="157"/>
        <v>66640</v>
      </c>
      <c r="X195" s="99">
        <f t="shared" si="158"/>
        <v>56000</v>
      </c>
      <c r="Y195" s="99">
        <f t="shared" si="159"/>
        <v>66640</v>
      </c>
      <c r="Z195" s="100">
        <f t="shared" si="175"/>
        <v>62740.001099999994</v>
      </c>
      <c r="AA195" s="100">
        <f t="shared" si="166"/>
        <v>62740.001099999994</v>
      </c>
      <c r="AB195" s="78">
        <f t="shared" si="176"/>
        <v>7808.2693558179044</v>
      </c>
      <c r="AC195" s="102">
        <f t="shared" si="167"/>
        <v>0.1244544025967176</v>
      </c>
      <c r="AD195" s="5"/>
      <c r="AE195" s="334" t="s">
        <v>1102</v>
      </c>
      <c r="AF195" s="7" t="str">
        <f>VLOOKUP(C195,Estudio_Mercado_Ori!$C$12:$AH$1115,32,0)</f>
        <v>83HUERTAS</v>
      </c>
      <c r="BG195" s="7">
        <v>72</v>
      </c>
      <c r="DA195" s="7" t="str">
        <f>VLOOKUP(C195,listaBolsa!$D$2:$BA$1248,1,0)</f>
        <v>Tablas Burras</v>
      </c>
      <c r="DB195" s="7">
        <f>VLOOKUP(C195,listaBolsa!$D$2:$BA$1248,2,0)</f>
        <v>0</v>
      </c>
      <c r="DC195" s="7" t="str">
        <f>VLOOKUP(C195,listaBolsa!$D$2:$BA$1248,10,0)</f>
        <v xml:space="preserve">JUNTOS DE LA MANO </v>
      </c>
      <c r="DD195" s="7">
        <f>VLOOKUP(C195,listaBolsa!$D$2:$BA$1248,14,0)</f>
        <v>57000</v>
      </c>
      <c r="DE195" s="7" t="str">
        <f>VLOOKUP(C195,listaBolsa!$D$2:$BA$1248,23,0)</f>
        <v>MYCBDE</v>
      </c>
      <c r="DF195" s="7">
        <f>VLOOKUP(C195,listaBolsa!$D$2:$BA$1248,29,0)</f>
        <v>65450</v>
      </c>
      <c r="DG195" s="7" t="str">
        <f>VLOOKUP(C195,listaBolsa!$D$2:$BA$1248,36,0)</f>
        <v>DAGROW</v>
      </c>
      <c r="DH195" s="7">
        <f>VLOOKUP(C195,listaBolsa!$D$2:$BA$1248,40,0)</f>
        <v>56000</v>
      </c>
      <c r="DI195" s="253">
        <f>VLOOKUP(C195,listaBolsa!$D$2:$BA$1248,48,0)</f>
        <v>1.7899999999999999E-2</v>
      </c>
      <c r="DJ195" s="7" t="b">
        <f t="shared" si="155"/>
        <v>1</v>
      </c>
      <c r="DK195" s="7" t="b">
        <f t="shared" si="154"/>
        <v>0</v>
      </c>
      <c r="DL195" s="7" t="b">
        <f t="shared" si="168"/>
        <v>1</v>
      </c>
      <c r="DM195" s="7" t="b">
        <f t="shared" si="169"/>
        <v>1</v>
      </c>
      <c r="DN195" s="7" t="b">
        <f t="shared" si="170"/>
        <v>0</v>
      </c>
      <c r="DO195" s="7" t="b">
        <f t="shared" si="171"/>
        <v>0</v>
      </c>
      <c r="DP195" s="7" t="b">
        <f t="shared" si="172"/>
        <v>1</v>
      </c>
      <c r="DQ195" s="7" t="b">
        <f t="shared" si="173"/>
        <v>1</v>
      </c>
      <c r="DR195" s="7" t="b">
        <f t="shared" si="174"/>
        <v>0</v>
      </c>
    </row>
    <row r="196" spans="1:122" s="7" customFormat="1" ht="42" customHeight="1">
      <c r="A196" s="75">
        <v>188</v>
      </c>
      <c r="B196" s="538" t="s">
        <v>579</v>
      </c>
      <c r="C196" s="351" t="s">
        <v>816</v>
      </c>
      <c r="D196" s="351" t="s">
        <v>817</v>
      </c>
      <c r="E196" s="193" t="s">
        <v>568</v>
      </c>
      <c r="F196" s="75">
        <v>1</v>
      </c>
      <c r="G196" s="75" t="s">
        <v>192</v>
      </c>
      <c r="H196" s="378" t="s">
        <v>230</v>
      </c>
      <c r="I196" s="331">
        <v>56638.66</v>
      </c>
      <c r="J196" s="96">
        <f>I196*19%</f>
        <v>10761.3454</v>
      </c>
      <c r="K196" s="96">
        <f t="shared" si="160"/>
        <v>67400.005400000009</v>
      </c>
      <c r="L196" s="96">
        <f t="shared" si="161"/>
        <v>56638.66</v>
      </c>
      <c r="M196" s="96">
        <f t="shared" si="162"/>
        <v>67400.005400000009</v>
      </c>
      <c r="N196" s="108" t="s">
        <v>381</v>
      </c>
      <c r="O196" s="109">
        <v>73000</v>
      </c>
      <c r="P196" s="110">
        <f>O196*19%</f>
        <v>13870</v>
      </c>
      <c r="Q196" s="110">
        <f t="shared" si="163"/>
        <v>86870</v>
      </c>
      <c r="R196" s="110">
        <f t="shared" si="164"/>
        <v>73000</v>
      </c>
      <c r="S196" s="110">
        <f t="shared" si="165"/>
        <v>86870</v>
      </c>
      <c r="T196" s="97" t="s">
        <v>382</v>
      </c>
      <c r="U196" s="98">
        <v>70000</v>
      </c>
      <c r="V196" s="99">
        <f>U196*19%</f>
        <v>13300</v>
      </c>
      <c r="W196" s="99">
        <f t="shared" si="157"/>
        <v>83300</v>
      </c>
      <c r="X196" s="99">
        <f t="shared" si="158"/>
        <v>70000</v>
      </c>
      <c r="Y196" s="99">
        <f t="shared" si="159"/>
        <v>83300</v>
      </c>
      <c r="Z196" s="100">
        <f t="shared" si="175"/>
        <v>79190.001800000013</v>
      </c>
      <c r="AA196" s="100">
        <f t="shared" si="166"/>
        <v>79190.001800000013</v>
      </c>
      <c r="AB196" s="78">
        <f t="shared" si="176"/>
        <v>10365.289978288463</v>
      </c>
      <c r="AC196" s="102">
        <f t="shared" si="167"/>
        <v>0.13089139717999679</v>
      </c>
      <c r="AD196" s="5"/>
      <c r="AE196" s="7" t="s">
        <v>1091</v>
      </c>
      <c r="AF196" s="7" t="str">
        <f>VLOOKUP(C196,Estudio_Mercado_Ori!$C$12:$AH$1115,32,0)</f>
        <v>84HUERTAS</v>
      </c>
      <c r="BG196" s="7">
        <v>73</v>
      </c>
      <c r="DA196" s="7" t="str">
        <f>VLOOKUP(C196,listaBolsa!$D$2:$BA$1248,1,0)</f>
        <v>Polisombra negra</v>
      </c>
      <c r="DB196" s="7">
        <f>VLOOKUP(C196,listaBolsa!$D$2:$BA$1248,2,0)</f>
        <v>0</v>
      </c>
      <c r="DC196" s="7" t="str">
        <f>VLOOKUP(C196,listaBolsa!$D$2:$BA$1248,10,0)</f>
        <v xml:space="preserve">JUNTOS DE LA MANO </v>
      </c>
      <c r="DD196" s="7">
        <f>VLOOKUP(C196,listaBolsa!$D$2:$BA$1248,14,0)</f>
        <v>69000</v>
      </c>
      <c r="DE196" s="7" t="str">
        <f>VLOOKUP(C196,listaBolsa!$D$2:$BA$1248,23,0)</f>
        <v>MYCBDE</v>
      </c>
      <c r="DF196" s="7">
        <f>VLOOKUP(C196,listaBolsa!$D$2:$BA$1248,29,0)</f>
        <v>80920</v>
      </c>
      <c r="DG196" s="7" t="str">
        <f>VLOOKUP(C196,listaBolsa!$D$2:$BA$1248,36,0)</f>
        <v>DAGROW</v>
      </c>
      <c r="DH196" s="7">
        <f>VLOOKUP(C196,listaBolsa!$D$2:$BA$1248,40,0)</f>
        <v>70000</v>
      </c>
      <c r="DI196" s="253">
        <f>VLOOKUP(C196,listaBolsa!$D$2:$BA$1248,48,0)</f>
        <v>1.4500000000000001E-2</v>
      </c>
      <c r="DJ196" s="7" t="b">
        <f t="shared" si="155"/>
        <v>1</v>
      </c>
      <c r="DK196" s="7" t="b">
        <f t="shared" si="154"/>
        <v>0</v>
      </c>
      <c r="DL196" s="7" t="b">
        <f t="shared" si="168"/>
        <v>0</v>
      </c>
      <c r="DM196" s="7" t="b">
        <f t="shared" si="169"/>
        <v>0</v>
      </c>
      <c r="DN196" s="7" t="b">
        <f t="shared" si="170"/>
        <v>1</v>
      </c>
      <c r="DO196" s="7" t="b">
        <f t="shared" si="171"/>
        <v>0</v>
      </c>
      <c r="DP196" s="7" t="b">
        <f t="shared" si="172"/>
        <v>1</v>
      </c>
      <c r="DQ196" s="7" t="b">
        <f t="shared" si="173"/>
        <v>1</v>
      </c>
      <c r="DR196" s="7" t="b">
        <f t="shared" si="174"/>
        <v>0</v>
      </c>
    </row>
    <row r="197" spans="1:122" s="7" customFormat="1" ht="42" customHeight="1">
      <c r="A197" s="75">
        <v>189</v>
      </c>
      <c r="B197" s="538" t="s">
        <v>579</v>
      </c>
      <c r="C197" s="351" t="s">
        <v>819</v>
      </c>
      <c r="D197" s="351" t="s">
        <v>820</v>
      </c>
      <c r="E197" s="193" t="s">
        <v>568</v>
      </c>
      <c r="F197" s="75">
        <v>1</v>
      </c>
      <c r="G197" s="75" t="s">
        <v>192</v>
      </c>
      <c r="H197" s="106" t="s">
        <v>381</v>
      </c>
      <c r="I197" s="107">
        <v>20000</v>
      </c>
      <c r="J197" s="96"/>
      <c r="K197" s="96">
        <f t="shared" si="160"/>
        <v>20000</v>
      </c>
      <c r="L197" s="96">
        <f t="shared" si="161"/>
        <v>20000</v>
      </c>
      <c r="M197" s="96">
        <f t="shared" si="162"/>
        <v>20000</v>
      </c>
      <c r="N197" s="108" t="s">
        <v>382</v>
      </c>
      <c r="O197" s="109">
        <v>20000</v>
      </c>
      <c r="P197" s="110"/>
      <c r="Q197" s="110">
        <f t="shared" si="163"/>
        <v>20000</v>
      </c>
      <c r="R197" s="110">
        <f t="shared" si="164"/>
        <v>20000</v>
      </c>
      <c r="S197" s="110">
        <f t="shared" si="165"/>
        <v>20000</v>
      </c>
      <c r="T197" s="97" t="s">
        <v>380</v>
      </c>
      <c r="U197" s="98">
        <v>22000</v>
      </c>
      <c r="V197" s="99"/>
      <c r="W197" s="99">
        <f t="shared" si="157"/>
        <v>22000</v>
      </c>
      <c r="X197" s="99">
        <f t="shared" si="158"/>
        <v>22000</v>
      </c>
      <c r="Y197" s="99">
        <f t="shared" si="159"/>
        <v>22000</v>
      </c>
      <c r="Z197" s="100">
        <f t="shared" si="175"/>
        <v>20666.666666666668</v>
      </c>
      <c r="AA197" s="100">
        <f t="shared" si="166"/>
        <v>20666.666666666668</v>
      </c>
      <c r="AB197" s="78">
        <f t="shared" si="176"/>
        <v>1154.7005383792514</v>
      </c>
      <c r="AC197" s="102">
        <f t="shared" si="167"/>
        <v>5.5872606695770224E-2</v>
      </c>
      <c r="AD197" s="5"/>
      <c r="AE197" s="7" t="s">
        <v>1053</v>
      </c>
      <c r="AF197" s="7" t="str">
        <f>VLOOKUP(C197,Estudio_Mercado_Ori!$C$12:$AH$1115,32,0)</f>
        <v>85HUERTAS</v>
      </c>
      <c r="BG197" s="7">
        <v>74</v>
      </c>
      <c r="DA197" s="7" t="str">
        <f>VLOOKUP(C197,listaBolsa!$D$2:$BA$1248,1,0)</f>
        <v>Cascarilla quemada paquete por 4 kg</v>
      </c>
      <c r="DB197" s="7">
        <f>VLOOKUP(C197,listaBolsa!$D$2:$BA$1248,2,0)</f>
        <v>0</v>
      </c>
      <c r="DC197" s="7" t="str">
        <f>VLOOKUP(C197,listaBolsa!$D$2:$BA$1248,10,0)</f>
        <v>MYCBDE</v>
      </c>
      <c r="DD197" s="7">
        <f>VLOOKUP(C197,listaBolsa!$D$2:$BA$1248,14,0)</f>
        <v>20000</v>
      </c>
      <c r="DE197" s="7" t="str">
        <f>VLOOKUP(C197,listaBolsa!$D$2:$BA$1248,23,0)</f>
        <v>DAGROW</v>
      </c>
      <c r="DF197" s="7">
        <f>VLOOKUP(C197,listaBolsa!$D$2:$BA$1248,29,0)</f>
        <v>20000</v>
      </c>
      <c r="DG197" s="7" t="str">
        <f>VLOOKUP(C197,listaBolsa!$D$2:$BA$1248,36,0)</f>
        <v xml:space="preserve">JUNTOS DE LA MANO </v>
      </c>
      <c r="DH197" s="7">
        <f>VLOOKUP(C197,listaBolsa!$D$2:$BA$1248,40,0)</f>
        <v>22000</v>
      </c>
      <c r="DI197" s="253">
        <f>VLOOKUP(C197,listaBolsa!$D$2:$BA$1248,48,0)</f>
        <v>5.5899999999999998E-2</v>
      </c>
      <c r="DJ197" s="7" t="b">
        <f t="shared" si="155"/>
        <v>1</v>
      </c>
      <c r="DK197" s="7" t="b">
        <f t="shared" si="154"/>
        <v>0</v>
      </c>
      <c r="DL197" s="7" t="b">
        <f t="shared" si="168"/>
        <v>1</v>
      </c>
      <c r="DM197" s="7" t="b">
        <f t="shared" si="169"/>
        <v>1</v>
      </c>
      <c r="DN197" s="7" t="b">
        <f t="shared" si="170"/>
        <v>1</v>
      </c>
      <c r="DO197" s="7" t="b">
        <f t="shared" si="171"/>
        <v>1</v>
      </c>
      <c r="DP197" s="7" t="b">
        <f t="shared" si="172"/>
        <v>1</v>
      </c>
      <c r="DQ197" s="7" t="b">
        <f t="shared" si="173"/>
        <v>1</v>
      </c>
      <c r="DR197" s="7" t="b">
        <f t="shared" si="174"/>
        <v>0</v>
      </c>
    </row>
    <row r="198" spans="1:122" s="7" customFormat="1" ht="42" customHeight="1">
      <c r="A198" s="75">
        <v>190</v>
      </c>
      <c r="B198" s="538" t="s">
        <v>579</v>
      </c>
      <c r="C198" s="351" t="s">
        <v>742</v>
      </c>
      <c r="D198" s="351" t="s">
        <v>823</v>
      </c>
      <c r="E198" s="193" t="s">
        <v>568</v>
      </c>
      <c r="F198" s="75">
        <v>1</v>
      </c>
      <c r="G198" s="75" t="s">
        <v>192</v>
      </c>
      <c r="H198" s="371" t="s">
        <v>1092</v>
      </c>
      <c r="I198" s="331">
        <v>33613.449999999997</v>
      </c>
      <c r="J198" s="96">
        <f>I198*19%</f>
        <v>6386.5554999999995</v>
      </c>
      <c r="K198" s="96">
        <f t="shared" si="160"/>
        <v>40000.005499999999</v>
      </c>
      <c r="L198" s="96">
        <f t="shared" si="161"/>
        <v>33613.449999999997</v>
      </c>
      <c r="M198" s="96">
        <f t="shared" si="162"/>
        <v>40000.005499999999</v>
      </c>
      <c r="N198" s="400" t="s">
        <v>230</v>
      </c>
      <c r="O198" s="401">
        <v>29327.73</v>
      </c>
      <c r="P198" s="110">
        <f>O198*19%</f>
        <v>5572.2686999999996</v>
      </c>
      <c r="Q198" s="110">
        <f t="shared" si="163"/>
        <v>34899.998699999996</v>
      </c>
      <c r="R198" s="110">
        <f t="shared" si="164"/>
        <v>29327.73</v>
      </c>
      <c r="S198" s="110">
        <f t="shared" si="165"/>
        <v>34899.998699999996</v>
      </c>
      <c r="T198" s="383" t="s">
        <v>769</v>
      </c>
      <c r="U198" s="333">
        <v>31008.400000000001</v>
      </c>
      <c r="V198" s="99">
        <f>U198*19%</f>
        <v>5891.5960000000005</v>
      </c>
      <c r="W198" s="99">
        <f t="shared" si="157"/>
        <v>36899.995999999999</v>
      </c>
      <c r="X198" s="99">
        <f t="shared" si="158"/>
        <v>31008.400000000001</v>
      </c>
      <c r="Y198" s="99">
        <f t="shared" si="159"/>
        <v>36899.995999999999</v>
      </c>
      <c r="Z198" s="100">
        <f t="shared" si="175"/>
        <v>37266.666733333332</v>
      </c>
      <c r="AA198" s="100">
        <f t="shared" si="166"/>
        <v>37266.666733333332</v>
      </c>
      <c r="AB198" s="78">
        <f t="shared" si="176"/>
        <v>2569.6989921047116</v>
      </c>
      <c r="AC198" s="102">
        <f t="shared" si="167"/>
        <v>6.8954355657632055E-2</v>
      </c>
      <c r="AD198" s="5"/>
      <c r="AE198" s="7" t="s">
        <v>1104</v>
      </c>
      <c r="AF198" s="7" t="str">
        <f>VLOOKUP(C198,Estudio_Mercado_Ori!$C$12:$AH$1115,32,0)</f>
        <v>61HUERTAS</v>
      </c>
      <c r="BG198" s="7">
        <v>75</v>
      </c>
      <c r="DA198" s="7" t="e">
        <f>VLOOKUP(#REF!,listaBolsa!$D$2:$BA$1248,1,0)</f>
        <v>#REF!</v>
      </c>
      <c r="DB198" s="7" t="e">
        <f>VLOOKUP(#REF!,listaBolsa!$D$2:$BA$1248,2,0)</f>
        <v>#REF!</v>
      </c>
      <c r="DC198" s="7" t="e">
        <f>VLOOKUP(#REF!,listaBolsa!$D$2:$BA$1248,10,0)</f>
        <v>#REF!</v>
      </c>
      <c r="DD198" s="7" t="e">
        <f>VLOOKUP(#REF!,listaBolsa!$D$2:$BA$1248,14,0)</f>
        <v>#REF!</v>
      </c>
      <c r="DE198" s="7" t="e">
        <f>VLOOKUP(#REF!,listaBolsa!$D$2:$BA$1248,23,0)</f>
        <v>#REF!</v>
      </c>
      <c r="DF198" s="7" t="e">
        <f>VLOOKUP(#REF!,listaBolsa!$D$2:$BA$1248,29,0)</f>
        <v>#REF!</v>
      </c>
      <c r="DG198" s="7" t="e">
        <f>VLOOKUP(#REF!,listaBolsa!$D$2:$BA$1248,36,0)</f>
        <v>#REF!</v>
      </c>
      <c r="DH198" s="7" t="e">
        <f>VLOOKUP(#REF!,listaBolsa!$D$2:$BA$1248,40,0)</f>
        <v>#REF!</v>
      </c>
      <c r="DI198" s="253" t="e">
        <f>VLOOKUP(#REF!,listaBolsa!$D$2:$BA$1248,48,0)</f>
        <v>#REF!</v>
      </c>
      <c r="DJ198" s="7" t="e">
        <f>DA198=#REF!</f>
        <v>#REF!</v>
      </c>
      <c r="DK198" s="7" t="e">
        <f t="shared" si="154"/>
        <v>#REF!</v>
      </c>
      <c r="DL198" s="7" t="e">
        <f t="shared" si="168"/>
        <v>#REF!</v>
      </c>
      <c r="DM198" s="7" t="e">
        <f t="shared" si="169"/>
        <v>#REF!</v>
      </c>
      <c r="DN198" s="7" t="e">
        <f t="shared" si="170"/>
        <v>#REF!</v>
      </c>
      <c r="DO198" s="7" t="e">
        <f t="shared" si="171"/>
        <v>#REF!</v>
      </c>
      <c r="DP198" s="7" t="e">
        <f t="shared" si="172"/>
        <v>#REF!</v>
      </c>
      <c r="DQ198" s="7" t="e">
        <f t="shared" si="173"/>
        <v>#REF!</v>
      </c>
      <c r="DR198" s="7" t="e">
        <f t="shared" si="174"/>
        <v>#REF!</v>
      </c>
    </row>
    <row r="199" spans="1:122" s="7" customFormat="1" ht="42" customHeight="1">
      <c r="A199" s="75">
        <v>191</v>
      </c>
      <c r="B199" s="538" t="s">
        <v>579</v>
      </c>
      <c r="C199" s="411" t="s">
        <v>825</v>
      </c>
      <c r="D199" s="411" t="s">
        <v>1105</v>
      </c>
      <c r="E199" s="193" t="s">
        <v>568</v>
      </c>
      <c r="F199" s="75">
        <v>1</v>
      </c>
      <c r="G199" s="75" t="s">
        <v>192</v>
      </c>
      <c r="H199" s="391" t="s">
        <v>1106</v>
      </c>
      <c r="I199" s="331">
        <v>248739.5</v>
      </c>
      <c r="J199" s="96">
        <f>I199*19%</f>
        <v>47260.504999999997</v>
      </c>
      <c r="K199" s="96">
        <f t="shared" si="160"/>
        <v>296000.005</v>
      </c>
      <c r="L199" s="96">
        <f t="shared" si="161"/>
        <v>248739.5</v>
      </c>
      <c r="M199" s="96">
        <f t="shared" si="162"/>
        <v>296000.005</v>
      </c>
      <c r="N199" s="374" t="s">
        <v>1107</v>
      </c>
      <c r="O199" s="332">
        <f>341900/1.19</f>
        <v>287310.92436974793</v>
      </c>
      <c r="P199" s="110">
        <f>O199*19%</f>
        <v>54589.075630252104</v>
      </c>
      <c r="Q199" s="110">
        <f t="shared" si="163"/>
        <v>341900</v>
      </c>
      <c r="R199" s="110">
        <f t="shared" si="164"/>
        <v>287310.92436974793</v>
      </c>
      <c r="S199" s="110">
        <f t="shared" si="165"/>
        <v>341900</v>
      </c>
      <c r="T199" s="383" t="s">
        <v>1108</v>
      </c>
      <c r="U199" s="333">
        <f>340000/1.19</f>
        <v>285714.28571428574</v>
      </c>
      <c r="V199" s="99">
        <f>U199*19%</f>
        <v>54285.71428571429</v>
      </c>
      <c r="W199" s="99">
        <f t="shared" si="157"/>
        <v>340000</v>
      </c>
      <c r="X199" s="99">
        <f t="shared" si="158"/>
        <v>285714.28571428574</v>
      </c>
      <c r="Y199" s="99">
        <f t="shared" si="159"/>
        <v>340000</v>
      </c>
      <c r="Z199" s="100">
        <f t="shared" si="175"/>
        <v>325966.66833333333</v>
      </c>
      <c r="AA199" s="100">
        <f t="shared" si="166"/>
        <v>325966.66833333333</v>
      </c>
      <c r="AB199" s="78">
        <f t="shared" si="176"/>
        <v>25969.273834668697</v>
      </c>
      <c r="AC199" s="102">
        <f t="shared" si="167"/>
        <v>7.9668494841664397E-2</v>
      </c>
      <c r="AD199" s="5"/>
      <c r="AE199" s="7" t="s">
        <v>1109</v>
      </c>
      <c r="AF199" s="7" t="str">
        <f>VLOOKUP(C199,Estudio_Mercado_Ori!$C$12:$AH$1115,32,0)</f>
        <v>87HUERTAS</v>
      </c>
      <c r="BG199" s="7">
        <v>76</v>
      </c>
      <c r="DA199" s="7" t="str">
        <f>VLOOKUP(C199,listaBolsa!$D$2:$BA$1248,1,0)</f>
        <v>Carretilla</v>
      </c>
      <c r="DB199" s="7">
        <f>VLOOKUP(C199,listaBolsa!$D$2:$BA$1248,2,0)</f>
        <v>0</v>
      </c>
      <c r="DC199" s="7" t="str">
        <f>VLOOKUP(C199,listaBolsa!$D$2:$BA$1248,10,0)</f>
        <v xml:space="preserve">JUNTOS DE LA MANO </v>
      </c>
      <c r="DD199" s="7">
        <f>VLOOKUP(C199,listaBolsa!$D$2:$BA$1248,14,0)</f>
        <v>320000</v>
      </c>
      <c r="DE199" s="7" t="str">
        <f>VLOOKUP(C199,listaBolsa!$D$2:$BA$1248,23,0)</f>
        <v>MYCBDE</v>
      </c>
      <c r="DF199" s="7">
        <f>VLOOKUP(C199,listaBolsa!$D$2:$BA$1248,29,0)</f>
        <v>357000</v>
      </c>
      <c r="DG199" s="7" t="str">
        <f>VLOOKUP(C199,listaBolsa!$D$2:$BA$1248,36,0)</f>
        <v>DAGROW</v>
      </c>
      <c r="DH199" s="7">
        <f>VLOOKUP(C199,listaBolsa!$D$2:$BA$1248,40,0)</f>
        <v>354200</v>
      </c>
      <c r="DI199" s="253">
        <f>VLOOKUP(C199,listaBolsa!$D$2:$BA$1248,48,0)</f>
        <v>8.4400000000000003E-2</v>
      </c>
      <c r="DJ199" s="7" t="b">
        <f t="shared" ref="DJ199:DJ230" si="180">DA199=C199</f>
        <v>1</v>
      </c>
      <c r="DK199" s="7" t="b">
        <f t="shared" si="154"/>
        <v>0</v>
      </c>
      <c r="DL199" s="7" t="b">
        <f t="shared" si="168"/>
        <v>0</v>
      </c>
      <c r="DM199" s="7" t="b">
        <f t="shared" si="169"/>
        <v>0</v>
      </c>
      <c r="DN199" s="7" t="b">
        <f t="shared" si="170"/>
        <v>0</v>
      </c>
      <c r="DO199" s="7" t="b">
        <f t="shared" si="171"/>
        <v>0</v>
      </c>
      <c r="DP199" s="7" t="b">
        <f t="shared" si="172"/>
        <v>0</v>
      </c>
      <c r="DQ199" s="7" t="b">
        <f t="shared" si="173"/>
        <v>0</v>
      </c>
      <c r="DR199" s="7" t="b">
        <f t="shared" si="174"/>
        <v>0</v>
      </c>
    </row>
    <row r="200" spans="1:122" s="7" customFormat="1" ht="42" customHeight="1">
      <c r="A200" s="75">
        <v>192</v>
      </c>
      <c r="B200" s="538" t="s">
        <v>579</v>
      </c>
      <c r="C200" s="351" t="s">
        <v>828</v>
      </c>
      <c r="D200" s="351" t="s">
        <v>829</v>
      </c>
      <c r="E200" s="193" t="s">
        <v>568</v>
      </c>
      <c r="F200" s="75">
        <v>1</v>
      </c>
      <c r="G200" s="75" t="s">
        <v>192</v>
      </c>
      <c r="H200" s="106" t="s">
        <v>230</v>
      </c>
      <c r="I200" s="107">
        <v>20924.36974789916</v>
      </c>
      <c r="J200" s="96">
        <f>I200*19%</f>
        <v>3975.6302521008406</v>
      </c>
      <c r="K200" s="96">
        <f t="shared" si="160"/>
        <v>24900</v>
      </c>
      <c r="L200" s="96">
        <f t="shared" si="161"/>
        <v>20924.36974789916</v>
      </c>
      <c r="M200" s="96">
        <f t="shared" si="162"/>
        <v>24900</v>
      </c>
      <c r="N200" s="108" t="s">
        <v>356</v>
      </c>
      <c r="O200" s="109">
        <v>15126.050420168071</v>
      </c>
      <c r="P200" s="110">
        <f>O200*19%</f>
        <v>2873.9495798319335</v>
      </c>
      <c r="Q200" s="110">
        <f t="shared" si="163"/>
        <v>18000.000000000004</v>
      </c>
      <c r="R200" s="110">
        <f t="shared" si="164"/>
        <v>15126.050420168071</v>
      </c>
      <c r="S200" s="110">
        <f t="shared" si="165"/>
        <v>18000.000000000004</v>
      </c>
      <c r="T200" s="97" t="s">
        <v>830</v>
      </c>
      <c r="U200" s="98">
        <v>16862.18487394958</v>
      </c>
      <c r="V200" s="99">
        <f>U200*19%</f>
        <v>3203.8151260504201</v>
      </c>
      <c r="W200" s="99">
        <f t="shared" si="157"/>
        <v>20066</v>
      </c>
      <c r="X200" s="99">
        <f t="shared" si="158"/>
        <v>16862.18487394958</v>
      </c>
      <c r="Y200" s="99">
        <f t="shared" si="159"/>
        <v>20066</v>
      </c>
      <c r="Z200" s="100">
        <f t="shared" si="175"/>
        <v>20988.666666666668</v>
      </c>
      <c r="AA200" s="100">
        <f t="shared" si="166"/>
        <v>20988.666666666668</v>
      </c>
      <c r="AB200" s="78">
        <f t="shared" si="176"/>
        <v>3541.3253639468617</v>
      </c>
      <c r="AC200" s="102">
        <f t="shared" si="167"/>
        <v>0.16872559940032056</v>
      </c>
      <c r="AD200" s="5"/>
      <c r="AE200" s="7" t="s">
        <v>1053</v>
      </c>
      <c r="AF200" s="7" t="str">
        <f>VLOOKUP(C200,Estudio_Mercado_Ori!$C$12:$AH$1115,32,0)</f>
        <v>88HUERTAS</v>
      </c>
      <c r="BG200" s="7">
        <v>77</v>
      </c>
      <c r="DA200" s="7" t="str">
        <f>VLOOKUP(C200,listaBolsa!$D$2:$BA$1248,1,0)</f>
        <v>Aspersora de 2 litros</v>
      </c>
      <c r="DB200" s="7">
        <f>VLOOKUP(C200,listaBolsa!$D$2:$BA$1248,2,0)</f>
        <v>0</v>
      </c>
      <c r="DC200" s="7" t="str">
        <f>VLOOKUP(C200,listaBolsa!$D$2:$BA$1248,10,0)</f>
        <v>HOMMECENTER</v>
      </c>
      <c r="DD200" s="7">
        <f>VLOOKUP(C200,listaBolsa!$D$2:$BA$1248,14,0)</f>
        <v>20924.37</v>
      </c>
      <c r="DE200" s="7" t="str">
        <f>VLOOKUP(C200,listaBolsa!$D$2:$BA$1248,23,0)</f>
        <v>SOLOENVASES</v>
      </c>
      <c r="DF200" s="7">
        <f>VLOOKUP(C200,listaBolsa!$D$2:$BA$1248,29,0)</f>
        <v>18000</v>
      </c>
      <c r="DG200" s="7" t="str">
        <f>VLOOKUP(C200,listaBolsa!$D$2:$BA$1248,36,0)</f>
        <v>AGROCOLOMBIA</v>
      </c>
      <c r="DH200" s="7">
        <f>VLOOKUP(C200,listaBolsa!$D$2:$BA$1248,40,0)</f>
        <v>16862.18</v>
      </c>
      <c r="DI200" s="253">
        <f>VLOOKUP(C200,listaBolsa!$D$2:$BA$1248,48,0)</f>
        <v>0.16869999999999999</v>
      </c>
      <c r="DJ200" s="7" t="b">
        <f t="shared" si="180"/>
        <v>1</v>
      </c>
      <c r="DK200" s="7" t="b">
        <f t="shared" si="154"/>
        <v>0</v>
      </c>
      <c r="DL200" s="7" t="b">
        <f t="shared" si="168"/>
        <v>0</v>
      </c>
      <c r="DM200" s="7" t="b">
        <f t="shared" si="169"/>
        <v>0</v>
      </c>
      <c r="DN200" s="7" t="b">
        <f t="shared" si="170"/>
        <v>1</v>
      </c>
      <c r="DO200" s="7" t="b">
        <f t="shared" si="171"/>
        <v>0</v>
      </c>
      <c r="DP200" s="7" t="b">
        <f t="shared" si="172"/>
        <v>1</v>
      </c>
      <c r="DQ200" s="7" t="b">
        <f t="shared" si="173"/>
        <v>0</v>
      </c>
      <c r="DR200" s="7" t="b">
        <f t="shared" si="174"/>
        <v>0</v>
      </c>
    </row>
    <row r="201" spans="1:122" s="7" customFormat="1" ht="91.15" customHeight="1">
      <c r="A201" s="75">
        <v>193</v>
      </c>
      <c r="B201" s="538" t="s">
        <v>579</v>
      </c>
      <c r="C201" s="351" t="s">
        <v>832</v>
      </c>
      <c r="D201" s="351" t="s">
        <v>833</v>
      </c>
      <c r="E201" s="193" t="s">
        <v>568</v>
      </c>
      <c r="F201" s="75">
        <v>1</v>
      </c>
      <c r="G201" s="75" t="s">
        <v>192</v>
      </c>
      <c r="H201" s="106" t="s">
        <v>834</v>
      </c>
      <c r="I201" s="107">
        <v>209011.76470588229</v>
      </c>
      <c r="J201" s="96">
        <f>I201*19%</f>
        <v>39712.235294117636</v>
      </c>
      <c r="K201" s="96">
        <f t="shared" si="160"/>
        <v>248723.99999999994</v>
      </c>
      <c r="L201" s="96">
        <f t="shared" si="161"/>
        <v>209011.76470588229</v>
      </c>
      <c r="M201" s="96">
        <f t="shared" si="162"/>
        <v>248723.99999999994</v>
      </c>
      <c r="N201" s="108" t="s">
        <v>695</v>
      </c>
      <c r="O201" s="109">
        <v>225966.38655462189</v>
      </c>
      <c r="P201" s="110">
        <f>O201*19%</f>
        <v>42933.613445378156</v>
      </c>
      <c r="Q201" s="110">
        <f t="shared" si="163"/>
        <v>268900.00000000006</v>
      </c>
      <c r="R201" s="110">
        <f t="shared" si="164"/>
        <v>225966.38655462189</v>
      </c>
      <c r="S201" s="110">
        <f t="shared" si="165"/>
        <v>268900.00000000006</v>
      </c>
      <c r="T201" s="97" t="s">
        <v>835</v>
      </c>
      <c r="U201" s="98">
        <v>210084.03361344541</v>
      </c>
      <c r="V201" s="99">
        <f>U201*19%</f>
        <v>39915.966386554632</v>
      </c>
      <c r="W201" s="99">
        <f t="shared" si="157"/>
        <v>250000.00000000006</v>
      </c>
      <c r="X201" s="99">
        <f t="shared" si="158"/>
        <v>210084.03361344541</v>
      </c>
      <c r="Y201" s="99">
        <f t="shared" si="159"/>
        <v>250000.00000000006</v>
      </c>
      <c r="Z201" s="100">
        <f t="shared" si="175"/>
        <v>255874.66666666666</v>
      </c>
      <c r="AA201" s="100">
        <f t="shared" si="166"/>
        <v>255874.66666666666</v>
      </c>
      <c r="AB201" s="78">
        <f t="shared" si="176"/>
        <v>11298.29745286139</v>
      </c>
      <c r="AC201" s="102">
        <f t="shared" si="167"/>
        <v>4.4155592267287332E-2</v>
      </c>
      <c r="AD201" s="5"/>
      <c r="AE201" s="7" t="s">
        <v>1046</v>
      </c>
      <c r="AF201" s="7" t="str">
        <f>VLOOKUP(C201,Estudio_Mercado_Ori!$C$12:$AH$1115,32,0)</f>
        <v>89HUERTAS</v>
      </c>
      <c r="BG201" s="7">
        <v>78</v>
      </c>
      <c r="DA201" s="7" t="str">
        <f>VLOOKUP(C201,listaBolsa!$D$2:$BA$1248,1,0)</f>
        <v>Aspersora 20 litros</v>
      </c>
      <c r="DB201" s="7">
        <f>VLOOKUP(C201,listaBolsa!$D$2:$BA$1248,2,0)</f>
        <v>0</v>
      </c>
      <c r="DC201" s="7" t="str">
        <f>VLOOKUP(C201,listaBolsa!$D$2:$BA$1248,10,0)</f>
        <v>EVANS</v>
      </c>
      <c r="DD201" s="7">
        <f>VLOOKUP(C201,listaBolsa!$D$2:$BA$1248,14,0)</f>
        <v>209011.76</v>
      </c>
      <c r="DE201" s="7" t="str">
        <f>VLOOKUP(C201,listaBolsa!$D$2:$BA$1248,23,0)</f>
        <v>TIERRAGRO</v>
      </c>
      <c r="DF201" s="7">
        <f>VLOOKUP(C201,listaBolsa!$D$2:$BA$1248,29,0)</f>
        <v>268900</v>
      </c>
      <c r="DG201" s="7" t="str">
        <f>VLOOKUP(C201,listaBolsa!$D$2:$BA$1248,36,0)</f>
        <v>MAQUITEC</v>
      </c>
      <c r="DH201" s="7">
        <f>VLOOKUP(C201,listaBolsa!$D$2:$BA$1248,40,0)</f>
        <v>210084.03</v>
      </c>
      <c r="DI201" s="253">
        <f>VLOOKUP(C201,listaBolsa!$D$2:$BA$1248,48,0)</f>
        <v>4.4200000000000003E-2</v>
      </c>
      <c r="DJ201" s="7" t="b">
        <f t="shared" si="180"/>
        <v>1</v>
      </c>
      <c r="DK201" s="7" t="b">
        <f t="shared" si="154"/>
        <v>0</v>
      </c>
      <c r="DL201" s="7" t="b">
        <f t="shared" si="168"/>
        <v>1</v>
      </c>
      <c r="DM201" s="7" t="b">
        <f t="shared" si="169"/>
        <v>0</v>
      </c>
      <c r="DN201" s="7" t="b">
        <f t="shared" si="170"/>
        <v>1</v>
      </c>
      <c r="DO201" s="7" t="b">
        <f t="shared" si="171"/>
        <v>0</v>
      </c>
      <c r="DP201" s="7" t="b">
        <f t="shared" si="172"/>
        <v>1</v>
      </c>
      <c r="DQ201" s="7" t="b">
        <f t="shared" si="173"/>
        <v>0</v>
      </c>
      <c r="DR201" s="7" t="b">
        <f t="shared" si="174"/>
        <v>0</v>
      </c>
    </row>
    <row r="202" spans="1:122" s="7" customFormat="1" ht="97.9" customHeight="1">
      <c r="A202" s="75">
        <v>194</v>
      </c>
      <c r="B202" s="538" t="s">
        <v>579</v>
      </c>
      <c r="C202" s="351" t="s">
        <v>837</v>
      </c>
      <c r="D202" s="351" t="s">
        <v>838</v>
      </c>
      <c r="E202" s="193" t="s">
        <v>568</v>
      </c>
      <c r="F202" s="75">
        <v>1</v>
      </c>
      <c r="G202" s="75" t="s">
        <v>192</v>
      </c>
      <c r="H202" s="106" t="s">
        <v>380</v>
      </c>
      <c r="I202" s="107">
        <v>39000</v>
      </c>
      <c r="J202" s="96"/>
      <c r="K202" s="96">
        <f t="shared" si="160"/>
        <v>39000</v>
      </c>
      <c r="L202" s="96">
        <f t="shared" si="161"/>
        <v>39000</v>
      </c>
      <c r="M202" s="96">
        <f t="shared" si="162"/>
        <v>39000</v>
      </c>
      <c r="N202" s="108" t="s">
        <v>381</v>
      </c>
      <c r="O202" s="109">
        <v>38000</v>
      </c>
      <c r="P202" s="110"/>
      <c r="Q202" s="110">
        <f t="shared" si="163"/>
        <v>38000</v>
      </c>
      <c r="R202" s="110">
        <f t="shared" si="164"/>
        <v>38000</v>
      </c>
      <c r="S202" s="110">
        <f t="shared" si="165"/>
        <v>38000</v>
      </c>
      <c r="T202" s="97" t="s">
        <v>382</v>
      </c>
      <c r="U202" s="98">
        <v>41000</v>
      </c>
      <c r="V202" s="99"/>
      <c r="W202" s="99">
        <f t="shared" si="157"/>
        <v>41000</v>
      </c>
      <c r="X202" s="99">
        <f t="shared" si="158"/>
        <v>41000</v>
      </c>
      <c r="Y202" s="99">
        <f t="shared" si="159"/>
        <v>41000</v>
      </c>
      <c r="Z202" s="100">
        <f t="shared" si="175"/>
        <v>39333.333333333336</v>
      </c>
      <c r="AA202" s="100">
        <f t="shared" si="166"/>
        <v>39333.333333333336</v>
      </c>
      <c r="AB202" s="78">
        <f t="shared" si="176"/>
        <v>1527.5252316519466</v>
      </c>
      <c r="AC202" s="102">
        <f t="shared" si="167"/>
        <v>3.8835387245388472E-2</v>
      </c>
      <c r="AD202" s="5"/>
      <c r="AE202" s="7" t="s">
        <v>1053</v>
      </c>
      <c r="AF202" s="7" t="str">
        <f>VLOOKUP(C202,Estudio_Mercado_Ori!$C$12:$AH$1115,32,0)</f>
        <v>90HUERTAS</v>
      </c>
      <c r="BG202" s="7">
        <v>79</v>
      </c>
      <c r="DA202" s="7" t="str">
        <f>VLOOKUP(C202,listaBolsa!$D$2:$BA$1248,1,0)</f>
        <v>Humus Liquido 1 lt</v>
      </c>
      <c r="DB202" s="7">
        <f>VLOOKUP(C202,listaBolsa!$D$2:$BA$1248,2,0)</f>
        <v>0</v>
      </c>
      <c r="DC202" s="7" t="str">
        <f>VLOOKUP(C202,listaBolsa!$D$2:$BA$1248,10,0)</f>
        <v xml:space="preserve">JUNTOS DE LA MANO </v>
      </c>
      <c r="DD202" s="7">
        <f>VLOOKUP(C202,listaBolsa!$D$2:$BA$1248,14,0)</f>
        <v>39000</v>
      </c>
      <c r="DE202" s="7" t="str">
        <f>VLOOKUP(C202,listaBolsa!$D$2:$BA$1248,23,0)</f>
        <v>MYCBDE</v>
      </c>
      <c r="DF202" s="7">
        <f>VLOOKUP(C202,listaBolsa!$D$2:$BA$1248,29,0)</f>
        <v>38000</v>
      </c>
      <c r="DG202" s="7" t="str">
        <f>VLOOKUP(C202,listaBolsa!$D$2:$BA$1248,36,0)</f>
        <v>DAGROW</v>
      </c>
      <c r="DH202" s="7">
        <f>VLOOKUP(C202,listaBolsa!$D$2:$BA$1248,40,0)</f>
        <v>41000</v>
      </c>
      <c r="DI202" s="253">
        <f>VLOOKUP(C202,listaBolsa!$D$2:$BA$1248,48,0)</f>
        <v>3.8800000000000001E-2</v>
      </c>
      <c r="DJ202" s="7" t="b">
        <f t="shared" si="180"/>
        <v>1</v>
      </c>
      <c r="DK202" s="7" t="b">
        <f t="shared" si="154"/>
        <v>0</v>
      </c>
      <c r="DL202" s="7" t="b">
        <f t="shared" si="168"/>
        <v>1</v>
      </c>
      <c r="DM202" s="7" t="b">
        <f t="shared" si="169"/>
        <v>1</v>
      </c>
      <c r="DN202" s="7" t="b">
        <f t="shared" si="170"/>
        <v>1</v>
      </c>
      <c r="DO202" s="7" t="b">
        <f t="shared" si="171"/>
        <v>1</v>
      </c>
      <c r="DP202" s="7" t="b">
        <f t="shared" si="172"/>
        <v>1</v>
      </c>
      <c r="DQ202" s="7" t="b">
        <f t="shared" si="173"/>
        <v>1</v>
      </c>
      <c r="DR202" s="7" t="b">
        <f t="shared" si="174"/>
        <v>0</v>
      </c>
    </row>
    <row r="203" spans="1:122" s="7" customFormat="1" ht="42" customHeight="1">
      <c r="A203" s="75">
        <v>195</v>
      </c>
      <c r="B203" s="538" t="s">
        <v>579</v>
      </c>
      <c r="C203" s="351" t="s">
        <v>840</v>
      </c>
      <c r="D203" s="351" t="s">
        <v>841</v>
      </c>
      <c r="E203" s="193" t="s">
        <v>568</v>
      </c>
      <c r="F203" s="75">
        <v>1</v>
      </c>
      <c r="G203" s="75" t="s">
        <v>192</v>
      </c>
      <c r="H203" s="106" t="s">
        <v>380</v>
      </c>
      <c r="I203" s="107">
        <v>39000</v>
      </c>
      <c r="J203" s="96"/>
      <c r="K203" s="96">
        <f t="shared" si="160"/>
        <v>39000</v>
      </c>
      <c r="L203" s="96">
        <f t="shared" si="161"/>
        <v>39000</v>
      </c>
      <c r="M203" s="96">
        <f t="shared" si="162"/>
        <v>39000</v>
      </c>
      <c r="N203" s="108" t="s">
        <v>381</v>
      </c>
      <c r="O203" s="109">
        <v>38000</v>
      </c>
      <c r="P203" s="110"/>
      <c r="Q203" s="110">
        <f t="shared" si="163"/>
        <v>38000</v>
      </c>
      <c r="R203" s="110">
        <f t="shared" si="164"/>
        <v>38000</v>
      </c>
      <c r="S203" s="110">
        <f t="shared" si="165"/>
        <v>38000</v>
      </c>
      <c r="T203" s="97" t="s">
        <v>382</v>
      </c>
      <c r="U203" s="98">
        <v>35000</v>
      </c>
      <c r="V203" s="99"/>
      <c r="W203" s="99">
        <f t="shared" si="157"/>
        <v>35000</v>
      </c>
      <c r="X203" s="99">
        <f t="shared" si="158"/>
        <v>35000</v>
      </c>
      <c r="Y203" s="99">
        <f t="shared" si="159"/>
        <v>35000</v>
      </c>
      <c r="Z203" s="100">
        <f t="shared" si="175"/>
        <v>37333.333333333336</v>
      </c>
      <c r="AA203" s="100">
        <f t="shared" si="166"/>
        <v>37333.333333333336</v>
      </c>
      <c r="AB203" s="78">
        <f t="shared" si="176"/>
        <v>2081.6659994661327</v>
      </c>
      <c r="AC203" s="102">
        <f t="shared" si="167"/>
        <v>5.5758910699985696E-2</v>
      </c>
      <c r="AD203" s="5"/>
      <c r="AE203" s="7" t="s">
        <v>1053</v>
      </c>
      <c r="AF203" s="7" t="str">
        <f>VLOOKUP(C203,Estudio_Mercado_Ori!$C$12:$AH$1115,32,0)</f>
        <v>91HUERTAS</v>
      </c>
      <c r="BG203" s="7">
        <v>80</v>
      </c>
      <c r="DA203" s="7" t="str">
        <f>VLOOKUP(C203,listaBolsa!$D$2:$BA$1248,1,0)</f>
        <v>Hidroretenedor</v>
      </c>
      <c r="DB203" s="7">
        <f>VLOOKUP(C203,listaBolsa!$D$2:$BA$1248,2,0)</f>
        <v>0</v>
      </c>
      <c r="DC203" s="7" t="str">
        <f>VLOOKUP(C203,listaBolsa!$D$2:$BA$1248,10,0)</f>
        <v xml:space="preserve">JUNTOS DE LA MANO </v>
      </c>
      <c r="DD203" s="7">
        <f>VLOOKUP(C203,listaBolsa!$D$2:$BA$1248,14,0)</f>
        <v>39000</v>
      </c>
      <c r="DE203" s="7" t="str">
        <f>VLOOKUP(C203,listaBolsa!$D$2:$BA$1248,23,0)</f>
        <v>MYCBDE</v>
      </c>
      <c r="DF203" s="7">
        <f>VLOOKUP(C203,listaBolsa!$D$2:$BA$1248,29,0)</f>
        <v>38000</v>
      </c>
      <c r="DG203" s="7" t="str">
        <f>VLOOKUP(C203,listaBolsa!$D$2:$BA$1248,36,0)</f>
        <v>DAGROW</v>
      </c>
      <c r="DH203" s="7">
        <f>VLOOKUP(C203,listaBolsa!$D$2:$BA$1248,40,0)</f>
        <v>35000</v>
      </c>
      <c r="DI203" s="253">
        <f>VLOOKUP(C203,listaBolsa!$D$2:$BA$1248,48,0)</f>
        <v>5.5800000000000002E-2</v>
      </c>
      <c r="DJ203" s="7" t="b">
        <f t="shared" si="180"/>
        <v>1</v>
      </c>
      <c r="DK203" s="7" t="b">
        <f t="shared" si="154"/>
        <v>0</v>
      </c>
      <c r="DL203" s="7" t="b">
        <f t="shared" si="168"/>
        <v>1</v>
      </c>
      <c r="DM203" s="7" t="b">
        <f t="shared" si="169"/>
        <v>1</v>
      </c>
      <c r="DN203" s="7" t="b">
        <f t="shared" si="170"/>
        <v>1</v>
      </c>
      <c r="DO203" s="7" t="b">
        <f t="shared" si="171"/>
        <v>1</v>
      </c>
      <c r="DP203" s="7" t="b">
        <f t="shared" si="172"/>
        <v>1</v>
      </c>
      <c r="DQ203" s="7" t="b">
        <f t="shared" si="173"/>
        <v>1</v>
      </c>
      <c r="DR203" s="7" t="b">
        <f t="shared" si="174"/>
        <v>0</v>
      </c>
    </row>
    <row r="204" spans="1:122" s="7" customFormat="1" ht="42" customHeight="1">
      <c r="A204" s="75">
        <v>196</v>
      </c>
      <c r="B204" s="538" t="s">
        <v>579</v>
      </c>
      <c r="C204" s="351" t="s">
        <v>843</v>
      </c>
      <c r="D204" s="351" t="s">
        <v>844</v>
      </c>
      <c r="E204" s="193" t="s">
        <v>568</v>
      </c>
      <c r="F204" s="75">
        <v>1</v>
      </c>
      <c r="G204" s="75" t="s">
        <v>192</v>
      </c>
      <c r="H204" s="106" t="s">
        <v>380</v>
      </c>
      <c r="I204" s="107">
        <v>57000</v>
      </c>
      <c r="J204" s="96"/>
      <c r="K204" s="96">
        <f t="shared" si="160"/>
        <v>57000</v>
      </c>
      <c r="L204" s="96">
        <f t="shared" si="161"/>
        <v>57000</v>
      </c>
      <c r="M204" s="96">
        <f t="shared" si="162"/>
        <v>57000</v>
      </c>
      <c r="N204" s="108" t="s">
        <v>381</v>
      </c>
      <c r="O204" s="109">
        <v>55000</v>
      </c>
      <c r="P204" s="110"/>
      <c r="Q204" s="110">
        <f t="shared" si="163"/>
        <v>55000</v>
      </c>
      <c r="R204" s="110">
        <f t="shared" si="164"/>
        <v>55000</v>
      </c>
      <c r="S204" s="110">
        <f t="shared" si="165"/>
        <v>55000</v>
      </c>
      <c r="T204" s="97" t="s">
        <v>382</v>
      </c>
      <c r="U204" s="98">
        <v>52800</v>
      </c>
      <c r="V204" s="99"/>
      <c r="W204" s="99">
        <f t="shared" si="157"/>
        <v>52800</v>
      </c>
      <c r="X204" s="99">
        <f t="shared" si="158"/>
        <v>52800</v>
      </c>
      <c r="Y204" s="99">
        <f t="shared" si="159"/>
        <v>52800</v>
      </c>
      <c r="Z204" s="100">
        <f t="shared" si="175"/>
        <v>54933.333333333336</v>
      </c>
      <c r="AA204" s="100">
        <f t="shared" si="166"/>
        <v>54933.333333333336</v>
      </c>
      <c r="AB204" s="78">
        <f t="shared" si="176"/>
        <v>2100.7935008784975</v>
      </c>
      <c r="AC204" s="102">
        <f t="shared" si="167"/>
        <v>3.8242600137351292E-2</v>
      </c>
      <c r="AD204" s="5"/>
      <c r="AE204" s="7" t="s">
        <v>1110</v>
      </c>
      <c r="AF204" s="7" t="str">
        <f>VLOOKUP(C204,Estudio_Mercado_Ori!$C$12:$AH$1115,32,0)</f>
        <v>92HUERTAS</v>
      </c>
      <c r="BG204" s="7">
        <v>81</v>
      </c>
      <c r="DA204" s="7" t="str">
        <f>VLOOKUP(C204,listaBolsa!$D$2:$BA$1248,1,0)</f>
        <v>Beauveria Bassiana x 250 gr</v>
      </c>
      <c r="DB204" s="7">
        <f>VLOOKUP(C204,listaBolsa!$D$2:$BA$1248,2,0)</f>
        <v>0</v>
      </c>
      <c r="DC204" s="7" t="str">
        <f>VLOOKUP(C204,listaBolsa!$D$2:$BA$1248,10,0)</f>
        <v xml:space="preserve">JUNTOS DE LA MANO </v>
      </c>
      <c r="DD204" s="7">
        <f>VLOOKUP(C204,listaBolsa!$D$2:$BA$1248,14,0)</f>
        <v>57000</v>
      </c>
      <c r="DE204" s="7" t="str">
        <f>VLOOKUP(C204,listaBolsa!$D$2:$BA$1248,23,0)</f>
        <v>MYCBDE</v>
      </c>
      <c r="DF204" s="7">
        <f>VLOOKUP(C204,listaBolsa!$D$2:$BA$1248,29,0)</f>
        <v>55000</v>
      </c>
      <c r="DG204" s="7" t="str">
        <f>VLOOKUP(C204,listaBolsa!$D$2:$BA$1248,36,0)</f>
        <v>DAGROW</v>
      </c>
      <c r="DH204" s="7">
        <f>VLOOKUP(C204,listaBolsa!$D$2:$BA$1248,40,0)</f>
        <v>52800</v>
      </c>
      <c r="DI204" s="253">
        <f>VLOOKUP(C204,listaBolsa!$D$2:$BA$1248,48,0)</f>
        <v>3.8199999999999998E-2</v>
      </c>
      <c r="DJ204" s="7" t="b">
        <f t="shared" si="180"/>
        <v>1</v>
      </c>
      <c r="DK204" s="7" t="e">
        <f>DB204=#REF!</f>
        <v>#REF!</v>
      </c>
      <c r="DL204" s="7" t="b">
        <f t="shared" si="168"/>
        <v>1</v>
      </c>
      <c r="DM204" s="7" t="b">
        <f t="shared" si="169"/>
        <v>1</v>
      </c>
      <c r="DN204" s="7" t="b">
        <f t="shared" si="170"/>
        <v>1</v>
      </c>
      <c r="DO204" s="7" t="b">
        <f t="shared" si="171"/>
        <v>1</v>
      </c>
      <c r="DP204" s="7" t="b">
        <f t="shared" si="172"/>
        <v>1</v>
      </c>
      <c r="DQ204" s="7" t="b">
        <f t="shared" si="173"/>
        <v>1</v>
      </c>
      <c r="DR204" s="7" t="b">
        <f t="shared" si="174"/>
        <v>0</v>
      </c>
    </row>
    <row r="205" spans="1:122" s="7" customFormat="1" ht="42" customHeight="1">
      <c r="A205" s="75">
        <v>197</v>
      </c>
      <c r="B205" s="538" t="s">
        <v>579</v>
      </c>
      <c r="C205" s="392" t="s">
        <v>846</v>
      </c>
      <c r="D205" s="392" t="s">
        <v>847</v>
      </c>
      <c r="E205" s="193" t="s">
        <v>568</v>
      </c>
      <c r="F205" s="75">
        <v>1</v>
      </c>
      <c r="G205" s="75" t="s">
        <v>192</v>
      </c>
      <c r="H205" s="106" t="s">
        <v>380</v>
      </c>
      <c r="I205" s="107">
        <v>94000</v>
      </c>
      <c r="J205" s="96"/>
      <c r="K205" s="96">
        <f t="shared" si="160"/>
        <v>94000</v>
      </c>
      <c r="L205" s="96">
        <f t="shared" si="161"/>
        <v>94000</v>
      </c>
      <c r="M205" s="96">
        <f t="shared" si="162"/>
        <v>94000</v>
      </c>
      <c r="N205" s="108" t="s">
        <v>381</v>
      </c>
      <c r="O205" s="109">
        <v>92000</v>
      </c>
      <c r="P205" s="110"/>
      <c r="Q205" s="110">
        <f t="shared" si="163"/>
        <v>92000</v>
      </c>
      <c r="R205" s="110">
        <f t="shared" si="164"/>
        <v>92000</v>
      </c>
      <c r="S205" s="110">
        <f t="shared" si="165"/>
        <v>92000</v>
      </c>
      <c r="T205" s="383" t="s">
        <v>1111</v>
      </c>
      <c r="U205" s="333">
        <v>120800</v>
      </c>
      <c r="V205" s="99"/>
      <c r="W205" s="99">
        <f t="shared" si="157"/>
        <v>120800</v>
      </c>
      <c r="X205" s="99">
        <f t="shared" si="158"/>
        <v>120800</v>
      </c>
      <c r="Y205" s="99">
        <f t="shared" si="159"/>
        <v>120800</v>
      </c>
      <c r="Z205" s="100">
        <f t="shared" si="175"/>
        <v>102266.66666666667</v>
      </c>
      <c r="AA205" s="100">
        <f t="shared" si="166"/>
        <v>102266.66666666667</v>
      </c>
      <c r="AB205" s="78">
        <f t="shared" si="176"/>
        <v>16081.459303599719</v>
      </c>
      <c r="AC205" s="102">
        <f t="shared" si="167"/>
        <v>0.15725025394654221</v>
      </c>
      <c r="AD205" s="5"/>
      <c r="AE205" s="334" t="s">
        <v>1045</v>
      </c>
      <c r="AF205" s="7" t="str">
        <f>VLOOKUP(C205,Estudio_Mercado_Ori!$C$12:$AH$1115,32,0)</f>
        <v>93HUERTAS</v>
      </c>
      <c r="BG205" s="7">
        <v>82</v>
      </c>
      <c r="DA205" s="7" t="str">
        <f>VLOOKUP(C205,listaBolsa!$D$2:$BA$1248,1,0)</f>
        <v>Trichoderma 1 lt</v>
      </c>
      <c r="DB205" s="7">
        <f>VLOOKUP(C205,listaBolsa!$D$2:$BA$1248,2,0)</f>
        <v>0</v>
      </c>
      <c r="DC205" s="7" t="str">
        <f>VLOOKUP(C205,listaBolsa!$D$2:$BA$1248,10,0)</f>
        <v xml:space="preserve">JUNTOS DE LA MANO </v>
      </c>
      <c r="DD205" s="7">
        <f>VLOOKUP(C205,listaBolsa!$D$2:$BA$1248,14,0)</f>
        <v>94000</v>
      </c>
      <c r="DE205" s="7" t="str">
        <f>VLOOKUP(C205,listaBolsa!$D$2:$BA$1248,23,0)</f>
        <v>MYCBDE</v>
      </c>
      <c r="DF205" s="7">
        <f>VLOOKUP(C205,listaBolsa!$D$2:$BA$1248,29,0)</f>
        <v>92000</v>
      </c>
      <c r="DG205" s="7" t="str">
        <f>VLOOKUP(C205,listaBolsa!$D$2:$BA$1248,36,0)</f>
        <v>DAGROW</v>
      </c>
      <c r="DH205" s="7">
        <f>VLOOKUP(C205,listaBolsa!$D$2:$BA$1248,40,0)</f>
        <v>89600</v>
      </c>
      <c r="DI205" s="253">
        <f>VLOOKUP(C205,listaBolsa!$D$2:$BA$1248,48,0)</f>
        <v>2.4E-2</v>
      </c>
      <c r="DJ205" s="7" t="b">
        <f t="shared" si="180"/>
        <v>1</v>
      </c>
      <c r="DK205" s="7" t="b">
        <f t="shared" ref="DK205:DK236" si="181">DB205=D204</f>
        <v>0</v>
      </c>
      <c r="DL205" s="7" t="b">
        <f t="shared" si="168"/>
        <v>1</v>
      </c>
      <c r="DM205" s="7" t="b">
        <f t="shared" si="169"/>
        <v>1</v>
      </c>
      <c r="DN205" s="7" t="b">
        <f t="shared" si="170"/>
        <v>1</v>
      </c>
      <c r="DO205" s="7" t="b">
        <f t="shared" si="171"/>
        <v>1</v>
      </c>
      <c r="DP205" s="7" t="b">
        <f t="shared" si="172"/>
        <v>0</v>
      </c>
      <c r="DQ205" s="7" t="b">
        <f t="shared" si="173"/>
        <v>0</v>
      </c>
      <c r="DR205" s="7" t="b">
        <f t="shared" si="174"/>
        <v>0</v>
      </c>
    </row>
    <row r="206" spans="1:122" s="7" customFormat="1" ht="42" customHeight="1">
      <c r="A206" s="75">
        <v>198</v>
      </c>
      <c r="B206" s="538" t="s">
        <v>579</v>
      </c>
      <c r="C206" s="336" t="s">
        <v>849</v>
      </c>
      <c r="D206" s="336" t="s">
        <v>850</v>
      </c>
      <c r="E206" s="193" t="s">
        <v>568</v>
      </c>
      <c r="F206" s="75">
        <v>1</v>
      </c>
      <c r="G206" s="75" t="s">
        <v>192</v>
      </c>
      <c r="H206" s="106" t="s">
        <v>380</v>
      </c>
      <c r="I206" s="107">
        <v>75000</v>
      </c>
      <c r="J206" s="96">
        <f>I206*19%</f>
        <v>14250</v>
      </c>
      <c r="K206" s="96">
        <f t="shared" si="160"/>
        <v>89250</v>
      </c>
      <c r="L206" s="96">
        <f t="shared" si="161"/>
        <v>75000</v>
      </c>
      <c r="M206" s="96">
        <f t="shared" si="162"/>
        <v>89250</v>
      </c>
      <c r="N206" s="108" t="s">
        <v>381</v>
      </c>
      <c r="O206" s="109">
        <v>73000</v>
      </c>
      <c r="P206" s="110">
        <f>O206*19%</f>
        <v>13870</v>
      </c>
      <c r="Q206" s="110">
        <f t="shared" si="163"/>
        <v>86870</v>
      </c>
      <c r="R206" s="110">
        <f t="shared" si="164"/>
        <v>73000</v>
      </c>
      <c r="S206" s="110">
        <f t="shared" si="165"/>
        <v>86870</v>
      </c>
      <c r="T206" s="387" t="s">
        <v>382</v>
      </c>
      <c r="U206" s="98">
        <v>70000</v>
      </c>
      <c r="V206" s="99"/>
      <c r="W206" s="99">
        <f t="shared" si="157"/>
        <v>70000</v>
      </c>
      <c r="X206" s="99">
        <f t="shared" si="158"/>
        <v>70000</v>
      </c>
      <c r="Y206" s="99">
        <f t="shared" si="159"/>
        <v>70000</v>
      </c>
      <c r="Z206" s="100">
        <f t="shared" si="175"/>
        <v>82040</v>
      </c>
      <c r="AA206" s="100">
        <f t="shared" si="166"/>
        <v>82040</v>
      </c>
      <c r="AB206" s="78">
        <f t="shared" si="176"/>
        <v>10494.631961150424</v>
      </c>
      <c r="AC206" s="102">
        <f t="shared" si="167"/>
        <v>0.12792091615249176</v>
      </c>
      <c r="AD206" s="5"/>
      <c r="AE206" s="7" t="s">
        <v>1070</v>
      </c>
      <c r="AF206" s="7" t="str">
        <f>VLOOKUP(C206,Estudio_Mercado_Ori!$C$12:$AH$1115,32,0)</f>
        <v>94HUERTAS</v>
      </c>
      <c r="BG206" s="7">
        <v>83</v>
      </c>
      <c r="DA206" s="7" t="str">
        <f>VLOOKUP(C206,listaBolsa!$D$2:$BA$1248,1,0)</f>
        <v>Termómetro de suelo</v>
      </c>
      <c r="DB206" s="7">
        <f>VLOOKUP(C206,listaBolsa!$D$2:$BA$1248,2,0)</f>
        <v>0</v>
      </c>
      <c r="DC206" s="7" t="str">
        <f>VLOOKUP(C206,listaBolsa!$D$2:$BA$1248,10,0)</f>
        <v xml:space="preserve">JUNTOS DE LA MANO </v>
      </c>
      <c r="DD206" s="7">
        <f>VLOOKUP(C206,listaBolsa!$D$2:$BA$1248,14,0)</f>
        <v>75000</v>
      </c>
      <c r="DE206" s="7" t="str">
        <f>VLOOKUP(C206,listaBolsa!$D$2:$BA$1248,23,0)</f>
        <v>MYCBDE</v>
      </c>
      <c r="DF206" s="7">
        <f>VLOOKUP(C206,listaBolsa!$D$2:$BA$1248,29,0)</f>
        <v>86870</v>
      </c>
      <c r="DG206" s="7" t="str">
        <f>VLOOKUP(C206,listaBolsa!$D$2:$BA$1248,36,0)</f>
        <v>DAGROW</v>
      </c>
      <c r="DH206" s="7">
        <f>VLOOKUP(C206,listaBolsa!$D$2:$BA$1248,40,0)</f>
        <v>70000</v>
      </c>
      <c r="DI206" s="253">
        <f>VLOOKUP(C206,listaBolsa!$D$2:$BA$1248,48,0)</f>
        <v>0.12790000000000001</v>
      </c>
      <c r="DJ206" s="7" t="b">
        <f t="shared" si="180"/>
        <v>1</v>
      </c>
      <c r="DK206" s="7" t="b">
        <f t="shared" si="181"/>
        <v>0</v>
      </c>
      <c r="DL206" s="7" t="b">
        <f t="shared" si="168"/>
        <v>1</v>
      </c>
      <c r="DM206" s="7" t="b">
        <f t="shared" si="169"/>
        <v>1</v>
      </c>
      <c r="DN206" s="7" t="b">
        <f t="shared" si="170"/>
        <v>1</v>
      </c>
      <c r="DO206" s="7" t="b">
        <f t="shared" si="171"/>
        <v>0</v>
      </c>
      <c r="DP206" s="7" t="b">
        <f t="shared" si="172"/>
        <v>1</v>
      </c>
      <c r="DQ206" s="7" t="b">
        <f t="shared" si="173"/>
        <v>1</v>
      </c>
      <c r="DR206" s="7" t="b">
        <f t="shared" si="174"/>
        <v>0</v>
      </c>
    </row>
    <row r="207" spans="1:122" s="7" customFormat="1" ht="42" customHeight="1">
      <c r="A207" s="75">
        <v>199</v>
      </c>
      <c r="B207" s="538" t="s">
        <v>579</v>
      </c>
      <c r="C207" s="336" t="s">
        <v>852</v>
      </c>
      <c r="D207" s="336" t="s">
        <v>853</v>
      </c>
      <c r="E207" s="193" t="s">
        <v>568</v>
      </c>
      <c r="F207" s="75">
        <v>1</v>
      </c>
      <c r="G207" s="75" t="s">
        <v>192</v>
      </c>
      <c r="H207" s="106" t="s">
        <v>380</v>
      </c>
      <c r="I207" s="107">
        <v>20000</v>
      </c>
      <c r="J207" s="96"/>
      <c r="K207" s="96">
        <f t="shared" si="160"/>
        <v>20000</v>
      </c>
      <c r="L207" s="96">
        <f t="shared" si="161"/>
        <v>20000</v>
      </c>
      <c r="M207" s="96">
        <f t="shared" si="162"/>
        <v>20000</v>
      </c>
      <c r="N207" s="108" t="s">
        <v>381</v>
      </c>
      <c r="O207" s="109">
        <v>18000</v>
      </c>
      <c r="P207" s="110"/>
      <c r="Q207" s="110">
        <f t="shared" si="163"/>
        <v>18000</v>
      </c>
      <c r="R207" s="110">
        <f t="shared" si="164"/>
        <v>18000</v>
      </c>
      <c r="S207" s="110">
        <f t="shared" si="165"/>
        <v>18000</v>
      </c>
      <c r="T207" s="97" t="s">
        <v>382</v>
      </c>
      <c r="U207" s="98">
        <v>17000</v>
      </c>
      <c r="V207" s="99"/>
      <c r="W207" s="99">
        <f t="shared" si="157"/>
        <v>17000</v>
      </c>
      <c r="X207" s="99">
        <f t="shared" si="158"/>
        <v>17000</v>
      </c>
      <c r="Y207" s="99">
        <f t="shared" si="159"/>
        <v>17000</v>
      </c>
      <c r="Z207" s="100">
        <f t="shared" si="175"/>
        <v>18333.333333333332</v>
      </c>
      <c r="AA207" s="100">
        <f t="shared" si="166"/>
        <v>18333.333333333332</v>
      </c>
      <c r="AB207" s="78">
        <f t="shared" si="176"/>
        <v>1527.5252316519466</v>
      </c>
      <c r="AC207" s="102">
        <f t="shared" si="167"/>
        <v>8.3319558090106188E-2</v>
      </c>
      <c r="AD207" s="5"/>
      <c r="AE207" s="7" t="s">
        <v>1053</v>
      </c>
      <c r="AF207" s="7" t="str">
        <f>VLOOKUP(C207,Estudio_Mercado_Ori!$C$12:$AH$1115,32,0)</f>
        <v>95HUERTAS</v>
      </c>
      <c r="BG207" s="7">
        <v>84</v>
      </c>
      <c r="DA207" s="7" t="str">
        <f>VLOOKUP(C207,listaBolsa!$D$2:$BA$1248,1,0)</f>
        <v>Microorganismos eficientes 1 lt</v>
      </c>
      <c r="DB207" s="7">
        <f>VLOOKUP(C207,listaBolsa!$D$2:$BA$1248,2,0)</f>
        <v>0</v>
      </c>
      <c r="DC207" s="7" t="str">
        <f>VLOOKUP(C207,listaBolsa!$D$2:$BA$1248,10,0)</f>
        <v xml:space="preserve">JUNTOS DE LA MANO </v>
      </c>
      <c r="DD207" s="7">
        <f>VLOOKUP(C207,listaBolsa!$D$2:$BA$1248,14,0)</f>
        <v>20000</v>
      </c>
      <c r="DE207" s="7" t="str">
        <f>VLOOKUP(C207,listaBolsa!$D$2:$BA$1248,23,0)</f>
        <v>MYCBDE</v>
      </c>
      <c r="DF207" s="7">
        <f>VLOOKUP(C207,listaBolsa!$D$2:$BA$1248,29,0)</f>
        <v>18000</v>
      </c>
      <c r="DG207" s="7" t="str">
        <f>VLOOKUP(C207,listaBolsa!$D$2:$BA$1248,36,0)</f>
        <v>DAGROW</v>
      </c>
      <c r="DH207" s="7">
        <f>VLOOKUP(C207,listaBolsa!$D$2:$BA$1248,40,0)</f>
        <v>17000</v>
      </c>
      <c r="DI207" s="253">
        <f>VLOOKUP(C207,listaBolsa!$D$2:$BA$1248,48,0)</f>
        <v>8.3299999999999999E-2</v>
      </c>
      <c r="DJ207" s="7" t="b">
        <f t="shared" si="180"/>
        <v>1</v>
      </c>
      <c r="DK207" s="7" t="b">
        <f t="shared" si="181"/>
        <v>0</v>
      </c>
      <c r="DL207" s="7" t="b">
        <f t="shared" si="168"/>
        <v>1</v>
      </c>
      <c r="DM207" s="7" t="b">
        <f t="shared" si="169"/>
        <v>1</v>
      </c>
      <c r="DN207" s="7" t="b">
        <f t="shared" si="170"/>
        <v>1</v>
      </c>
      <c r="DO207" s="7" t="b">
        <f t="shared" si="171"/>
        <v>1</v>
      </c>
      <c r="DP207" s="7" t="b">
        <f t="shared" si="172"/>
        <v>1</v>
      </c>
      <c r="DQ207" s="7" t="b">
        <f t="shared" si="173"/>
        <v>1</v>
      </c>
      <c r="DR207" s="7" t="b">
        <f t="shared" si="174"/>
        <v>0</v>
      </c>
    </row>
    <row r="208" spans="1:122" s="7" customFormat="1" ht="42" customHeight="1">
      <c r="A208" s="75">
        <v>200</v>
      </c>
      <c r="B208" s="538" t="s">
        <v>579</v>
      </c>
      <c r="C208" s="336" t="s">
        <v>855</v>
      </c>
      <c r="D208" s="336" t="s">
        <v>856</v>
      </c>
      <c r="E208" s="193" t="s">
        <v>568</v>
      </c>
      <c r="F208" s="75">
        <v>1</v>
      </c>
      <c r="G208" s="75" t="s">
        <v>192</v>
      </c>
      <c r="H208" s="106" t="s">
        <v>328</v>
      </c>
      <c r="I208" s="107">
        <v>33613.445378151257</v>
      </c>
      <c r="J208" s="96">
        <f>I208*19%</f>
        <v>6386.5546218487389</v>
      </c>
      <c r="K208" s="96">
        <f t="shared" si="160"/>
        <v>39999.999999999993</v>
      </c>
      <c r="L208" s="96">
        <f t="shared" si="161"/>
        <v>33613.445378151257</v>
      </c>
      <c r="M208" s="96">
        <f t="shared" si="162"/>
        <v>39999.999999999993</v>
      </c>
      <c r="N208" s="108" t="s">
        <v>857</v>
      </c>
      <c r="O208" s="109">
        <v>26890.756302521011</v>
      </c>
      <c r="P208" s="110">
        <f>O208*19%</f>
        <v>5109.2436974789925</v>
      </c>
      <c r="Q208" s="110">
        <f t="shared" si="163"/>
        <v>32000.000000000004</v>
      </c>
      <c r="R208" s="110">
        <f t="shared" si="164"/>
        <v>26890.756302521011</v>
      </c>
      <c r="S208" s="110">
        <f t="shared" si="165"/>
        <v>32000.000000000004</v>
      </c>
      <c r="T208" s="97" t="s">
        <v>284</v>
      </c>
      <c r="U208" s="98">
        <v>30168.067226890758</v>
      </c>
      <c r="V208" s="99">
        <f>U208*19%</f>
        <v>5731.9327731092444</v>
      </c>
      <c r="W208" s="99">
        <f t="shared" si="157"/>
        <v>35900</v>
      </c>
      <c r="X208" s="99">
        <f t="shared" si="158"/>
        <v>30168.067226890758</v>
      </c>
      <c r="Y208" s="99">
        <f t="shared" si="159"/>
        <v>35900</v>
      </c>
      <c r="Z208" s="100">
        <f t="shared" si="175"/>
        <v>35966.666666666664</v>
      </c>
      <c r="AA208" s="100">
        <f t="shared" si="166"/>
        <v>35966.666666666664</v>
      </c>
      <c r="AB208" s="78">
        <f t="shared" si="176"/>
        <v>4000.4166449675326</v>
      </c>
      <c r="AC208" s="102">
        <f t="shared" si="167"/>
        <v>0.11122567131513067</v>
      </c>
      <c r="AD208" s="5"/>
      <c r="AE208" s="7" t="s">
        <v>1053</v>
      </c>
      <c r="AF208" s="7" t="str">
        <f>VLOOKUP(C208,Estudio_Mercado_Ori!$C$12:$AH$1115,32,0)</f>
        <v>96HUERTAS</v>
      </c>
      <c r="BG208" s="7">
        <v>85</v>
      </c>
      <c r="DA208" s="7" t="str">
        <f>VLOOKUP(C208,listaBolsa!$D$2:$BA$1248,1,0)</f>
        <v>Aceite de neem 250 ml</v>
      </c>
      <c r="DB208" s="7">
        <f>VLOOKUP(C208,listaBolsa!$D$2:$BA$1248,2,0)</f>
        <v>0</v>
      </c>
      <c r="DC208" s="7" t="str">
        <f>VLOOKUP(C208,listaBolsa!$D$2:$BA$1248,10,0)</f>
        <v>LA CASA DEL CIENTIFICO</v>
      </c>
      <c r="DD208" s="7">
        <f>VLOOKUP(C208,listaBolsa!$D$2:$BA$1248,14,0)</f>
        <v>33613.449999999997</v>
      </c>
      <c r="DE208" s="7" t="str">
        <f>VLOOKUP(C208,listaBolsa!$D$2:$BA$1248,23,0)</f>
        <v>COLOMBIAN HAPPY</v>
      </c>
      <c r="DF208" s="7">
        <f>VLOOKUP(C208,listaBolsa!$D$2:$BA$1248,29,0)</f>
        <v>32000</v>
      </c>
      <c r="DG208" s="7" t="str">
        <f>VLOOKUP(C208,listaBolsa!$D$2:$BA$1248,36,0)</f>
        <v>HOMMECENTER</v>
      </c>
      <c r="DH208" s="7">
        <f>VLOOKUP(C208,listaBolsa!$D$2:$BA$1248,40,0)</f>
        <v>30168.07</v>
      </c>
      <c r="DI208" s="253">
        <f>VLOOKUP(C208,listaBolsa!$D$2:$BA$1248,48,0)</f>
        <v>0.11119999999999999</v>
      </c>
      <c r="DJ208" s="7" t="b">
        <f t="shared" si="180"/>
        <v>1</v>
      </c>
      <c r="DK208" s="7" t="b">
        <f t="shared" si="181"/>
        <v>0</v>
      </c>
      <c r="DL208" s="7" t="b">
        <f t="shared" si="168"/>
        <v>1</v>
      </c>
      <c r="DM208" s="7" t="b">
        <f t="shared" si="169"/>
        <v>0</v>
      </c>
      <c r="DN208" s="7" t="b">
        <f t="shared" si="170"/>
        <v>1</v>
      </c>
      <c r="DO208" s="7" t="b">
        <f t="shared" si="171"/>
        <v>0</v>
      </c>
      <c r="DP208" s="7" t="b">
        <f t="shared" si="172"/>
        <v>1</v>
      </c>
      <c r="DQ208" s="7" t="b">
        <f t="shared" si="173"/>
        <v>0</v>
      </c>
      <c r="DR208" s="7" t="b">
        <f t="shared" si="174"/>
        <v>0</v>
      </c>
    </row>
    <row r="209" spans="1:122" s="7" customFormat="1" ht="42" customHeight="1">
      <c r="A209" s="75">
        <v>201</v>
      </c>
      <c r="B209" s="538" t="s">
        <v>579</v>
      </c>
      <c r="C209" s="336" t="s">
        <v>859</v>
      </c>
      <c r="D209" s="336" t="s">
        <v>860</v>
      </c>
      <c r="E209" s="193" t="s">
        <v>568</v>
      </c>
      <c r="F209" s="75">
        <v>1</v>
      </c>
      <c r="G209" s="75" t="s">
        <v>192</v>
      </c>
      <c r="H209" s="106" t="s">
        <v>380</v>
      </c>
      <c r="I209" s="107">
        <v>42000</v>
      </c>
      <c r="J209" s="96"/>
      <c r="K209" s="96">
        <f t="shared" si="160"/>
        <v>42000</v>
      </c>
      <c r="L209" s="96">
        <f t="shared" si="161"/>
        <v>42000</v>
      </c>
      <c r="M209" s="96">
        <f t="shared" si="162"/>
        <v>42000</v>
      </c>
      <c r="N209" s="108" t="s">
        <v>381</v>
      </c>
      <c r="O209" s="109">
        <v>40000</v>
      </c>
      <c r="P209" s="110"/>
      <c r="Q209" s="110">
        <f t="shared" si="163"/>
        <v>40000</v>
      </c>
      <c r="R209" s="110">
        <f t="shared" si="164"/>
        <v>40000</v>
      </c>
      <c r="S209" s="110">
        <f t="shared" si="165"/>
        <v>40000</v>
      </c>
      <c r="T209" s="97" t="s">
        <v>382</v>
      </c>
      <c r="U209" s="98">
        <v>38000</v>
      </c>
      <c r="V209" s="99"/>
      <c r="W209" s="99">
        <f t="shared" ref="W209:W240" si="182">U209+V209</f>
        <v>38000</v>
      </c>
      <c r="X209" s="99">
        <f t="shared" ref="X209:X240" si="183">IF(B209="","",(U209*F209))</f>
        <v>38000</v>
      </c>
      <c r="Y209" s="99">
        <f t="shared" ref="Y209:Y240" si="184">IF(B209="","",(W209*F209))</f>
        <v>38000</v>
      </c>
      <c r="Z209" s="100">
        <f t="shared" si="175"/>
        <v>40000</v>
      </c>
      <c r="AA209" s="100">
        <f t="shared" si="166"/>
        <v>40000</v>
      </c>
      <c r="AB209" s="78">
        <f t="shared" si="176"/>
        <v>2000</v>
      </c>
      <c r="AC209" s="102">
        <f t="shared" si="167"/>
        <v>0.05</v>
      </c>
      <c r="AD209" s="5"/>
      <c r="AE209" s="7" t="s">
        <v>1053</v>
      </c>
      <c r="AF209" s="7" t="str">
        <f>VLOOKUP(C209,Estudio_Mercado_Ori!$C$12:$AH$1115,32,0)</f>
        <v>97HUERTAS</v>
      </c>
      <c r="BG209" s="7">
        <v>86</v>
      </c>
      <c r="DA209" s="7" t="str">
        <f>VLOOKUP(C209,listaBolsa!$D$2:$BA$1248,1,0)</f>
        <v>Jabón potásico 1 lt</v>
      </c>
      <c r="DB209" s="7">
        <f>VLOOKUP(C209,listaBolsa!$D$2:$BA$1248,2,0)</f>
        <v>0</v>
      </c>
      <c r="DC209" s="7" t="str">
        <f>VLOOKUP(C209,listaBolsa!$D$2:$BA$1248,10,0)</f>
        <v xml:space="preserve">JUNTOS DE LA MANO </v>
      </c>
      <c r="DD209" s="7">
        <f>VLOOKUP(C209,listaBolsa!$D$2:$BA$1248,14,0)</f>
        <v>42000</v>
      </c>
      <c r="DE209" s="7" t="str">
        <f>VLOOKUP(C209,listaBolsa!$D$2:$BA$1248,23,0)</f>
        <v>MYCBDE</v>
      </c>
      <c r="DF209" s="7">
        <f>VLOOKUP(C209,listaBolsa!$D$2:$BA$1248,29,0)</f>
        <v>40000</v>
      </c>
      <c r="DG209" s="7" t="str">
        <f>VLOOKUP(C209,listaBolsa!$D$2:$BA$1248,36,0)</f>
        <v>DAGROW</v>
      </c>
      <c r="DH209" s="7">
        <f>VLOOKUP(C209,listaBolsa!$D$2:$BA$1248,40,0)</f>
        <v>38000</v>
      </c>
      <c r="DI209" s="253">
        <f>VLOOKUP(C209,listaBolsa!$D$2:$BA$1248,48,0)</f>
        <v>0.05</v>
      </c>
      <c r="DJ209" s="7" t="b">
        <f t="shared" si="180"/>
        <v>1</v>
      </c>
      <c r="DK209" s="7" t="b">
        <f t="shared" si="181"/>
        <v>0</v>
      </c>
      <c r="DL209" s="7" t="b">
        <f t="shared" si="168"/>
        <v>1</v>
      </c>
      <c r="DM209" s="7" t="b">
        <f t="shared" si="169"/>
        <v>1</v>
      </c>
      <c r="DN209" s="7" t="b">
        <f t="shared" si="170"/>
        <v>1</v>
      </c>
      <c r="DO209" s="7" t="b">
        <f t="shared" si="171"/>
        <v>1</v>
      </c>
      <c r="DP209" s="7" t="b">
        <f t="shared" si="172"/>
        <v>1</v>
      </c>
      <c r="DQ209" s="7" t="b">
        <f t="shared" si="173"/>
        <v>1</v>
      </c>
      <c r="DR209" s="7" t="b">
        <f t="shared" si="174"/>
        <v>1</v>
      </c>
    </row>
    <row r="210" spans="1:122" s="7" customFormat="1" ht="42" customHeight="1">
      <c r="A210" s="75">
        <v>202</v>
      </c>
      <c r="B210" s="538" t="s">
        <v>579</v>
      </c>
      <c r="C210" s="336" t="s">
        <v>862</v>
      </c>
      <c r="D210" s="336" t="s">
        <v>863</v>
      </c>
      <c r="E210" s="193" t="s">
        <v>568</v>
      </c>
      <c r="F210" s="75">
        <v>1</v>
      </c>
      <c r="G210" s="75" t="s">
        <v>192</v>
      </c>
      <c r="H210" s="377" t="s">
        <v>1112</v>
      </c>
      <c r="I210" s="331">
        <v>13109.24</v>
      </c>
      <c r="J210" s="96">
        <f>I210*19%</f>
        <v>2490.7556</v>
      </c>
      <c r="K210" s="96">
        <f t="shared" ref="K210:K241" si="185">I210+J210</f>
        <v>15599.9956</v>
      </c>
      <c r="L210" s="96">
        <f t="shared" ref="L210:L241" si="186">IF(B210="","",(I210*F210))</f>
        <v>13109.24</v>
      </c>
      <c r="M210" s="96">
        <f t="shared" ref="M210:M241" si="187">IF(B210="","",(K210*F210))</f>
        <v>15599.9956</v>
      </c>
      <c r="N210" s="384" t="s">
        <v>1113</v>
      </c>
      <c r="O210" s="332">
        <v>10084.030000000001</v>
      </c>
      <c r="P210" s="110">
        <f>O210*19%</f>
        <v>1915.9657000000002</v>
      </c>
      <c r="Q210" s="110">
        <f t="shared" ref="Q210:Q241" si="188">O210+P210</f>
        <v>11999.995700000001</v>
      </c>
      <c r="R210" s="110">
        <f t="shared" ref="R210:R241" si="189">IF(B210="","",(O210*F210))</f>
        <v>10084.030000000001</v>
      </c>
      <c r="S210" s="110">
        <f t="shared" ref="S210:S241" si="190">IF(B210="","",(Q210*F210))</f>
        <v>11999.995700000001</v>
      </c>
      <c r="T210" s="385" t="s">
        <v>1114</v>
      </c>
      <c r="U210" s="333">
        <v>10084.030000000001</v>
      </c>
      <c r="V210" s="99">
        <f>U210*19%</f>
        <v>1915.9657000000002</v>
      </c>
      <c r="W210" s="99">
        <f t="shared" si="182"/>
        <v>11999.995700000001</v>
      </c>
      <c r="X210" s="99">
        <f t="shared" si="183"/>
        <v>10084.030000000001</v>
      </c>
      <c r="Y210" s="99">
        <f t="shared" si="184"/>
        <v>11999.995700000001</v>
      </c>
      <c r="Z210" s="100">
        <f t="shared" si="175"/>
        <v>13199.995666666668</v>
      </c>
      <c r="AA210" s="100">
        <f t="shared" ref="AA210:AA241" si="191">IF(B210="","",Z210*F210)</f>
        <v>13199.995666666668</v>
      </c>
      <c r="AB210" s="78">
        <f t="shared" si="176"/>
        <v>2078.4609113476299</v>
      </c>
      <c r="AC210" s="102">
        <f t="shared" ref="AC210:AC241" si="192">IF(B210="","",(AB210/AA210))</f>
        <v>0.15745921164173335</v>
      </c>
      <c r="AD210" s="5"/>
      <c r="AE210" s="334" t="s">
        <v>1047</v>
      </c>
      <c r="AF210" s="7" t="str">
        <f>VLOOKUP(C210,Estudio_Mercado_Ori!$C$12:$AH$1115,32,0)</f>
        <v>98HUERTAS</v>
      </c>
      <c r="BG210" s="7">
        <v>87</v>
      </c>
      <c r="DA210" s="7" t="str">
        <f>VLOOKUP(C210,listaBolsa!$D$2:$BA$1248,1,0)</f>
        <v>Bandejas de plántulación con cupula</v>
      </c>
      <c r="DB210" s="7">
        <f>VLOOKUP(C210,listaBolsa!$D$2:$BA$1248,2,0)</f>
        <v>0</v>
      </c>
      <c r="DC210" s="7" t="str">
        <f>VLOOKUP(C210,listaBolsa!$D$2:$BA$1248,10,0)</f>
        <v xml:space="preserve">JUNTOS DE LA MANO </v>
      </c>
      <c r="DD210" s="7">
        <f>VLOOKUP(C210,listaBolsa!$D$2:$BA$1248,14,0)</f>
        <v>60000</v>
      </c>
      <c r="DE210" s="7" t="str">
        <f>VLOOKUP(C210,listaBolsa!$D$2:$BA$1248,23,0)</f>
        <v>DAGROW</v>
      </c>
      <c r="DF210" s="7">
        <f>VLOOKUP(C210,listaBolsa!$D$2:$BA$1248,29,0)</f>
        <v>66640</v>
      </c>
      <c r="DG210" s="7" t="str">
        <f>VLOOKUP(C210,listaBolsa!$D$2:$BA$1248,36,0)</f>
        <v>MYCBDE</v>
      </c>
      <c r="DH210" s="7">
        <f>VLOOKUP(C210,listaBolsa!$D$2:$BA$1248,40,0)</f>
        <v>58000</v>
      </c>
      <c r="DI210" s="253">
        <f>VLOOKUP(C210,listaBolsa!$D$2:$BA$1248,48,0)</f>
        <v>3.4500000000000003E-2</v>
      </c>
      <c r="DJ210" s="7" t="b">
        <f t="shared" si="180"/>
        <v>1</v>
      </c>
      <c r="DK210" s="7" t="b">
        <f t="shared" si="181"/>
        <v>0</v>
      </c>
      <c r="DL210" s="7" t="b">
        <f t="shared" ref="DL210:DL241" si="193">DC210=H210</f>
        <v>0</v>
      </c>
      <c r="DM210" s="7" t="b">
        <f t="shared" ref="DM210:DM241" si="194">DD210=I210</f>
        <v>0</v>
      </c>
      <c r="DN210" s="7" t="b">
        <f t="shared" ref="DN210:DN241" si="195">DE210=N210</f>
        <v>0</v>
      </c>
      <c r="DO210" s="7" t="b">
        <f t="shared" ref="DO210:DO241" si="196">DF210=O210</f>
        <v>0</v>
      </c>
      <c r="DP210" s="7" t="b">
        <f t="shared" ref="DP210:DP241" si="197">DG210=T210</f>
        <v>0</v>
      </c>
      <c r="DQ210" s="7" t="b">
        <f t="shared" ref="DQ210:DQ241" si="198">DH210=U210</f>
        <v>0</v>
      </c>
      <c r="DR210" s="7" t="b">
        <f t="shared" ref="DR210:DR241" si="199">DI210=AC210</f>
        <v>0</v>
      </c>
    </row>
    <row r="211" spans="1:122" s="7" customFormat="1" ht="200.45" customHeight="1">
      <c r="A211" s="75">
        <v>203</v>
      </c>
      <c r="B211" s="538" t="s">
        <v>579</v>
      </c>
      <c r="C211" s="641" t="s">
        <v>865</v>
      </c>
      <c r="D211" s="641" t="s">
        <v>866</v>
      </c>
      <c r="E211" s="193" t="s">
        <v>568</v>
      </c>
      <c r="F211" s="75">
        <v>1</v>
      </c>
      <c r="G211" s="75" t="s">
        <v>192</v>
      </c>
      <c r="H211" s="375" t="s">
        <v>380</v>
      </c>
      <c r="I211" s="379">
        <v>252000</v>
      </c>
      <c r="J211" s="96">
        <f>I211*19%</f>
        <v>47880</v>
      </c>
      <c r="K211" s="96">
        <f t="shared" si="185"/>
        <v>299880</v>
      </c>
      <c r="L211" s="96">
        <f t="shared" si="186"/>
        <v>252000</v>
      </c>
      <c r="M211" s="96">
        <f t="shared" si="187"/>
        <v>299880</v>
      </c>
      <c r="N211" s="381" t="s">
        <v>381</v>
      </c>
      <c r="O211" s="109">
        <v>250000</v>
      </c>
      <c r="P211" s="110">
        <f>O211*19%</f>
        <v>47500</v>
      </c>
      <c r="Q211" s="110">
        <f t="shared" si="188"/>
        <v>297500</v>
      </c>
      <c r="R211" s="110">
        <f t="shared" si="189"/>
        <v>250000</v>
      </c>
      <c r="S211" s="110">
        <f t="shared" si="190"/>
        <v>297500</v>
      </c>
      <c r="T211" s="386" t="s">
        <v>867</v>
      </c>
      <c r="U211" s="98">
        <v>288450</v>
      </c>
      <c r="V211" s="99">
        <f>U211*19%</f>
        <v>54805.5</v>
      </c>
      <c r="W211" s="99">
        <f t="shared" si="182"/>
        <v>343255.5</v>
      </c>
      <c r="X211" s="99">
        <f t="shared" si="183"/>
        <v>288450</v>
      </c>
      <c r="Y211" s="99">
        <f t="shared" si="184"/>
        <v>343255.5</v>
      </c>
      <c r="Z211" s="100">
        <f t="shared" ref="Z211:Z242" si="200">IF(A211="","",AVERAGE(K211,Q211,W211))</f>
        <v>313545.16666666669</v>
      </c>
      <c r="AA211" s="100">
        <f t="shared" si="191"/>
        <v>313545.16666666669</v>
      </c>
      <c r="AB211" s="78">
        <f t="shared" ref="AB211:AB242" si="201">IF(B211="","",STDEV(M211,S211,Y211))</f>
        <v>25757.407285736917</v>
      </c>
      <c r="AC211" s="102">
        <f t="shared" si="192"/>
        <v>8.2148953401408667E-2</v>
      </c>
      <c r="AD211" s="5"/>
      <c r="AE211" s="7" t="s">
        <v>1115</v>
      </c>
      <c r="AF211" s="7" t="str">
        <f>VLOOKUP(C211,Estudio_Mercado_Ori!$C$12:$AH$1115,32,0)</f>
        <v>99HUERTAS</v>
      </c>
      <c r="BG211" s="7">
        <v>88</v>
      </c>
      <c r="DA211" s="7" t="str">
        <f>VLOOKUP(C211,listaBolsa!$D$2:$BA$1248,1,0)</f>
        <v xml:space="preserve">Peat Most - Sustrato </v>
      </c>
      <c r="DB211" s="7">
        <f>VLOOKUP(C211,listaBolsa!$D$2:$BA$1248,2,0)</f>
        <v>0</v>
      </c>
      <c r="DC211" s="7" t="str">
        <f>VLOOKUP(C211,listaBolsa!$D$2:$BA$1248,10,0)</f>
        <v xml:space="preserve">JUNTOS DE LA MANO </v>
      </c>
      <c r="DD211" s="7">
        <f>VLOOKUP(C211,listaBolsa!$D$2:$BA$1248,14,0)</f>
        <v>252000</v>
      </c>
      <c r="DE211" s="7" t="str">
        <f>VLOOKUP(C211,listaBolsa!$D$2:$BA$1248,23,0)</f>
        <v>MYCBDE</v>
      </c>
      <c r="DF211" s="7">
        <f>VLOOKUP(C211,listaBolsa!$D$2:$BA$1248,29,0)</f>
        <v>297500</v>
      </c>
      <c r="DG211" s="7" t="str">
        <f>VLOOKUP(C211,listaBolsa!$D$2:$BA$1248,36,0)</f>
        <v>PAISAGRO</v>
      </c>
      <c r="DH211" s="7">
        <f>VLOOKUP(C211,listaBolsa!$D$2:$BA$1248,40,0)</f>
        <v>288450</v>
      </c>
      <c r="DI211" s="253">
        <f>VLOOKUP(C211,listaBolsa!$D$2:$BA$1248,48,0)</f>
        <v>8.2100000000000006E-2</v>
      </c>
      <c r="DJ211" s="7" t="b">
        <f t="shared" si="180"/>
        <v>1</v>
      </c>
      <c r="DK211" s="7" t="b">
        <f t="shared" si="181"/>
        <v>0</v>
      </c>
      <c r="DL211" s="7" t="b">
        <f t="shared" si="193"/>
        <v>1</v>
      </c>
      <c r="DM211" s="7" t="b">
        <f t="shared" si="194"/>
        <v>1</v>
      </c>
      <c r="DN211" s="7" t="b">
        <f t="shared" si="195"/>
        <v>1</v>
      </c>
      <c r="DO211" s="7" t="b">
        <f t="shared" si="196"/>
        <v>0</v>
      </c>
      <c r="DP211" s="7" t="b">
        <f t="shared" si="197"/>
        <v>1</v>
      </c>
      <c r="DQ211" s="7" t="b">
        <f t="shared" si="198"/>
        <v>1</v>
      </c>
      <c r="DR211" s="7" t="b">
        <f t="shared" si="199"/>
        <v>0</v>
      </c>
    </row>
    <row r="212" spans="1:122" s="7" customFormat="1" ht="42" customHeight="1">
      <c r="A212" s="75">
        <v>204</v>
      </c>
      <c r="B212" s="538" t="s">
        <v>579</v>
      </c>
      <c r="C212" s="336" t="s">
        <v>869</v>
      </c>
      <c r="D212" s="336" t="s">
        <v>866</v>
      </c>
      <c r="E212" s="193" t="s">
        <v>568</v>
      </c>
      <c r="F212" s="75">
        <v>1</v>
      </c>
      <c r="G212" s="75" t="s">
        <v>192</v>
      </c>
      <c r="H212" s="106" t="s">
        <v>380</v>
      </c>
      <c r="I212" s="107">
        <v>34000</v>
      </c>
      <c r="J212" s="96"/>
      <c r="K212" s="96">
        <f t="shared" si="185"/>
        <v>34000</v>
      </c>
      <c r="L212" s="96">
        <f t="shared" si="186"/>
        <v>34000</v>
      </c>
      <c r="M212" s="96">
        <f t="shared" si="187"/>
        <v>34000</v>
      </c>
      <c r="N212" s="108" t="s">
        <v>381</v>
      </c>
      <c r="O212" s="109">
        <v>32000</v>
      </c>
      <c r="P212" s="110"/>
      <c r="Q212" s="110">
        <f t="shared" si="188"/>
        <v>32000</v>
      </c>
      <c r="R212" s="110">
        <f t="shared" si="189"/>
        <v>32000</v>
      </c>
      <c r="S212" s="110">
        <f t="shared" si="190"/>
        <v>32000</v>
      </c>
      <c r="T212" s="97" t="s">
        <v>382</v>
      </c>
      <c r="U212" s="98">
        <v>30800</v>
      </c>
      <c r="V212" s="99"/>
      <c r="W212" s="99">
        <f t="shared" si="182"/>
        <v>30800</v>
      </c>
      <c r="X212" s="99">
        <f t="shared" si="183"/>
        <v>30800</v>
      </c>
      <c r="Y212" s="99">
        <f t="shared" si="184"/>
        <v>30800</v>
      </c>
      <c r="Z212" s="100">
        <f t="shared" si="200"/>
        <v>32266.666666666668</v>
      </c>
      <c r="AA212" s="100">
        <f t="shared" si="191"/>
        <v>32266.666666666668</v>
      </c>
      <c r="AB212" s="78">
        <f t="shared" si="201"/>
        <v>1616.5807537309522</v>
      </c>
      <c r="AC212" s="102">
        <f t="shared" si="192"/>
        <v>5.0100643194141078E-2</v>
      </c>
      <c r="AD212" s="5"/>
      <c r="AE212" s="7" t="s">
        <v>1053</v>
      </c>
      <c r="AF212" s="7" t="str">
        <f>VLOOKUP(C212,Estudio_Mercado_Ori!$C$12:$AH$1115,32,0)</f>
        <v>100HUERTAS</v>
      </c>
      <c r="BG212" s="7">
        <v>89</v>
      </c>
      <c r="DA212" s="7" t="str">
        <f>VLOOKUP(C212,listaBolsa!$D$2:$BA$1248,1,0)</f>
        <v>Carbón activado 1 kg</v>
      </c>
      <c r="DB212" s="7">
        <f>VLOOKUP(C212,listaBolsa!$D$2:$BA$1248,2,0)</f>
        <v>0</v>
      </c>
      <c r="DC212" s="7" t="str">
        <f>VLOOKUP(C212,listaBolsa!$D$2:$BA$1248,10,0)</f>
        <v xml:space="preserve">JUNTOS DE LA MANO </v>
      </c>
      <c r="DD212" s="7">
        <f>VLOOKUP(C212,listaBolsa!$D$2:$BA$1248,14,0)</f>
        <v>34000</v>
      </c>
      <c r="DE212" s="7" t="str">
        <f>VLOOKUP(C212,listaBolsa!$D$2:$BA$1248,23,0)</f>
        <v>MYCBDE</v>
      </c>
      <c r="DF212" s="7">
        <f>VLOOKUP(C212,listaBolsa!$D$2:$BA$1248,29,0)</f>
        <v>32000</v>
      </c>
      <c r="DG212" s="7" t="str">
        <f>VLOOKUP(C212,listaBolsa!$D$2:$BA$1248,36,0)</f>
        <v>DAGROW</v>
      </c>
      <c r="DH212" s="7">
        <f>VLOOKUP(C212,listaBolsa!$D$2:$BA$1248,40,0)</f>
        <v>30800</v>
      </c>
      <c r="DI212" s="253">
        <f>VLOOKUP(C212,listaBolsa!$D$2:$BA$1248,48,0)</f>
        <v>5.0099999999999999E-2</v>
      </c>
      <c r="DJ212" s="7" t="b">
        <f t="shared" si="180"/>
        <v>1</v>
      </c>
      <c r="DK212" s="7" t="b">
        <f t="shared" si="181"/>
        <v>0</v>
      </c>
      <c r="DL212" s="7" t="b">
        <f t="shared" si="193"/>
        <v>1</v>
      </c>
      <c r="DM212" s="7" t="b">
        <f t="shared" si="194"/>
        <v>1</v>
      </c>
      <c r="DN212" s="7" t="b">
        <f t="shared" si="195"/>
        <v>1</v>
      </c>
      <c r="DO212" s="7" t="b">
        <f t="shared" si="196"/>
        <v>1</v>
      </c>
      <c r="DP212" s="7" t="b">
        <f t="shared" si="197"/>
        <v>1</v>
      </c>
      <c r="DQ212" s="7" t="b">
        <f t="shared" si="198"/>
        <v>1</v>
      </c>
      <c r="DR212" s="7" t="b">
        <f t="shared" si="199"/>
        <v>0</v>
      </c>
    </row>
    <row r="213" spans="1:122" s="7" customFormat="1" ht="42" customHeight="1">
      <c r="A213" s="75">
        <v>205</v>
      </c>
      <c r="B213" s="538" t="s">
        <v>579</v>
      </c>
      <c r="C213" s="336" t="s">
        <v>871</v>
      </c>
      <c r="D213" s="336" t="s">
        <v>872</v>
      </c>
      <c r="E213" s="193" t="s">
        <v>568</v>
      </c>
      <c r="F213" s="75">
        <v>1</v>
      </c>
      <c r="G213" s="75" t="s">
        <v>192</v>
      </c>
      <c r="H213" s="106" t="s">
        <v>380</v>
      </c>
      <c r="I213" s="107">
        <v>10000</v>
      </c>
      <c r="J213" s="96"/>
      <c r="K213" s="96">
        <f t="shared" si="185"/>
        <v>10000</v>
      </c>
      <c r="L213" s="96">
        <f t="shared" si="186"/>
        <v>10000</v>
      </c>
      <c r="M213" s="96">
        <f t="shared" si="187"/>
        <v>10000</v>
      </c>
      <c r="N213" s="108" t="s">
        <v>381</v>
      </c>
      <c r="O213" s="109">
        <v>9000</v>
      </c>
      <c r="P213" s="110"/>
      <c r="Q213" s="110">
        <f t="shared" si="188"/>
        <v>9000</v>
      </c>
      <c r="R213" s="110">
        <f t="shared" si="189"/>
        <v>9000</v>
      </c>
      <c r="S213" s="110">
        <f t="shared" si="190"/>
        <v>9000</v>
      </c>
      <c r="T213" s="97" t="s">
        <v>382</v>
      </c>
      <c r="U213" s="98">
        <v>10000</v>
      </c>
      <c r="V213" s="99"/>
      <c r="W213" s="99">
        <f t="shared" si="182"/>
        <v>10000</v>
      </c>
      <c r="X213" s="99">
        <f t="shared" si="183"/>
        <v>10000</v>
      </c>
      <c r="Y213" s="99">
        <f t="shared" si="184"/>
        <v>10000</v>
      </c>
      <c r="Z213" s="100">
        <f t="shared" si="200"/>
        <v>9666.6666666666661</v>
      </c>
      <c r="AA213" s="100">
        <f t="shared" si="191"/>
        <v>9666.6666666666661</v>
      </c>
      <c r="AB213" s="78">
        <f t="shared" si="201"/>
        <v>577.35026918962569</v>
      </c>
      <c r="AC213" s="102">
        <f t="shared" si="192"/>
        <v>5.972588991616818E-2</v>
      </c>
      <c r="AD213" s="5"/>
      <c r="AE213" s="7" t="s">
        <v>1053</v>
      </c>
      <c r="AF213" s="7" t="str">
        <f>VLOOKUP(C213,Estudio_Mercado_Ori!$C$12:$AH$1115,32,0)</f>
        <v>101HUERTAS</v>
      </c>
      <c r="BG213" s="7">
        <v>90</v>
      </c>
      <c r="DA213" s="7" t="str">
        <f>VLOOKUP(C213,listaBolsa!$D$2:$BA$1248,1,0)</f>
        <v>Perlita 1 kl</v>
      </c>
      <c r="DB213" s="7">
        <f>VLOOKUP(C213,listaBolsa!$D$2:$BA$1248,2,0)</f>
        <v>0</v>
      </c>
      <c r="DC213" s="7" t="str">
        <f>VLOOKUP(C213,listaBolsa!$D$2:$BA$1248,10,0)</f>
        <v xml:space="preserve">JUNTOS DE LA MANO </v>
      </c>
      <c r="DD213" s="7">
        <f>VLOOKUP(C213,listaBolsa!$D$2:$BA$1248,14,0)</f>
        <v>10000</v>
      </c>
      <c r="DE213" s="7" t="str">
        <f>VLOOKUP(C213,listaBolsa!$D$2:$BA$1248,23,0)</f>
        <v>MYCBDE</v>
      </c>
      <c r="DF213" s="7">
        <f>VLOOKUP(C213,listaBolsa!$D$2:$BA$1248,29,0)</f>
        <v>9000</v>
      </c>
      <c r="DG213" s="7" t="str">
        <f>VLOOKUP(C213,listaBolsa!$D$2:$BA$1248,36,0)</f>
        <v>DAGROW</v>
      </c>
      <c r="DH213" s="7">
        <f>VLOOKUP(C213,listaBolsa!$D$2:$BA$1248,40,0)</f>
        <v>10000</v>
      </c>
      <c r="DI213" s="253">
        <f>VLOOKUP(C213,listaBolsa!$D$2:$BA$1248,48,0)</f>
        <v>5.9700000000000003E-2</v>
      </c>
      <c r="DJ213" s="7" t="b">
        <f t="shared" si="180"/>
        <v>1</v>
      </c>
      <c r="DK213" s="7" t="b">
        <f t="shared" si="181"/>
        <v>0</v>
      </c>
      <c r="DL213" s="7" t="b">
        <f t="shared" si="193"/>
        <v>1</v>
      </c>
      <c r="DM213" s="7" t="b">
        <f t="shared" si="194"/>
        <v>1</v>
      </c>
      <c r="DN213" s="7" t="b">
        <f t="shared" si="195"/>
        <v>1</v>
      </c>
      <c r="DO213" s="7" t="b">
        <f t="shared" si="196"/>
        <v>1</v>
      </c>
      <c r="DP213" s="7" t="b">
        <f t="shared" si="197"/>
        <v>1</v>
      </c>
      <c r="DQ213" s="7" t="b">
        <f t="shared" si="198"/>
        <v>1</v>
      </c>
      <c r="DR213" s="7" t="b">
        <f t="shared" si="199"/>
        <v>0</v>
      </c>
    </row>
    <row r="214" spans="1:122" s="7" customFormat="1" ht="42" customHeight="1">
      <c r="A214" s="75">
        <v>206</v>
      </c>
      <c r="B214" s="538" t="s">
        <v>579</v>
      </c>
      <c r="C214" s="336" t="s">
        <v>874</v>
      </c>
      <c r="D214" s="75" t="s">
        <v>875</v>
      </c>
      <c r="E214" s="193" t="s">
        <v>568</v>
      </c>
      <c r="F214" s="75">
        <v>1</v>
      </c>
      <c r="G214" s="75" t="s">
        <v>192</v>
      </c>
      <c r="H214" s="106" t="s">
        <v>380</v>
      </c>
      <c r="I214" s="107">
        <v>48000</v>
      </c>
      <c r="J214" s="96"/>
      <c r="K214" s="96">
        <f t="shared" si="185"/>
        <v>48000</v>
      </c>
      <c r="L214" s="96">
        <f t="shared" si="186"/>
        <v>48000</v>
      </c>
      <c r="M214" s="96">
        <f t="shared" si="187"/>
        <v>48000</v>
      </c>
      <c r="N214" s="108" t="s">
        <v>381</v>
      </c>
      <c r="O214" s="109">
        <v>46000</v>
      </c>
      <c r="P214" s="110"/>
      <c r="Q214" s="110">
        <f t="shared" si="188"/>
        <v>46000</v>
      </c>
      <c r="R214" s="110">
        <f t="shared" si="189"/>
        <v>46000</v>
      </c>
      <c r="S214" s="110">
        <f t="shared" si="190"/>
        <v>46000</v>
      </c>
      <c r="T214" s="97" t="s">
        <v>382</v>
      </c>
      <c r="U214" s="98">
        <v>44000</v>
      </c>
      <c r="V214" s="99"/>
      <c r="W214" s="99">
        <f t="shared" si="182"/>
        <v>44000</v>
      </c>
      <c r="X214" s="99">
        <f t="shared" si="183"/>
        <v>44000</v>
      </c>
      <c r="Y214" s="99">
        <f t="shared" si="184"/>
        <v>44000</v>
      </c>
      <c r="Z214" s="100">
        <f t="shared" si="200"/>
        <v>46000</v>
      </c>
      <c r="AA214" s="100">
        <f t="shared" si="191"/>
        <v>46000</v>
      </c>
      <c r="AB214" s="78">
        <f t="shared" si="201"/>
        <v>2000</v>
      </c>
      <c r="AC214" s="102">
        <f t="shared" si="192"/>
        <v>4.3478260869565216E-2</v>
      </c>
      <c r="AD214" s="5"/>
      <c r="AE214" s="7" t="s">
        <v>1053</v>
      </c>
      <c r="AF214" s="7" t="str">
        <f>VLOOKUP(C214,Estudio_Mercado_Ori!$C$12:$AH$1115,32,0)</f>
        <v>102HUERTAS</v>
      </c>
      <c r="BG214" s="7">
        <v>91</v>
      </c>
      <c r="DA214" s="7" t="str">
        <f>VLOOKUP(C214,listaBolsa!$D$2:$BA$1248,1,0)</f>
        <v>Microorganismos Eficientes Em Compostaje X 4 Litros</v>
      </c>
      <c r="DB214" s="7">
        <f>VLOOKUP(C214,listaBolsa!$D$2:$BA$1248,2,0)</f>
        <v>0</v>
      </c>
      <c r="DC214" s="7" t="str">
        <f>VLOOKUP(C214,listaBolsa!$D$2:$BA$1248,10,0)</f>
        <v xml:space="preserve">JUNTOS DE LA MANO </v>
      </c>
      <c r="DD214" s="7">
        <f>VLOOKUP(C214,listaBolsa!$D$2:$BA$1248,14,0)</f>
        <v>48000</v>
      </c>
      <c r="DE214" s="7" t="str">
        <f>VLOOKUP(C214,listaBolsa!$D$2:$BA$1248,23,0)</f>
        <v>MYCBDE</v>
      </c>
      <c r="DF214" s="7">
        <f>VLOOKUP(C214,listaBolsa!$D$2:$BA$1248,29,0)</f>
        <v>46000</v>
      </c>
      <c r="DG214" s="7" t="str">
        <f>VLOOKUP(C214,listaBolsa!$D$2:$BA$1248,36,0)</f>
        <v>DAGROW</v>
      </c>
      <c r="DH214" s="7">
        <f>VLOOKUP(C214,listaBolsa!$D$2:$BA$1248,40,0)</f>
        <v>44000</v>
      </c>
      <c r="DI214" s="253">
        <f>VLOOKUP(C214,listaBolsa!$D$2:$BA$1248,48,0)</f>
        <v>4.3499999999999997E-2</v>
      </c>
      <c r="DJ214" s="7" t="b">
        <f t="shared" si="180"/>
        <v>1</v>
      </c>
      <c r="DK214" s="7" t="b">
        <f t="shared" si="181"/>
        <v>0</v>
      </c>
      <c r="DL214" s="7" t="b">
        <f t="shared" si="193"/>
        <v>1</v>
      </c>
      <c r="DM214" s="7" t="b">
        <f t="shared" si="194"/>
        <v>1</v>
      </c>
      <c r="DN214" s="7" t="b">
        <f t="shared" si="195"/>
        <v>1</v>
      </c>
      <c r="DO214" s="7" t="b">
        <f t="shared" si="196"/>
        <v>1</v>
      </c>
      <c r="DP214" s="7" t="b">
        <f t="shared" si="197"/>
        <v>1</v>
      </c>
      <c r="DQ214" s="7" t="b">
        <f t="shared" si="198"/>
        <v>1</v>
      </c>
      <c r="DR214" s="7" t="b">
        <f t="shared" si="199"/>
        <v>0</v>
      </c>
    </row>
    <row r="215" spans="1:122" s="7" customFormat="1" ht="42" customHeight="1">
      <c r="A215" s="75">
        <v>207</v>
      </c>
      <c r="B215" s="634" t="s">
        <v>579</v>
      </c>
      <c r="C215" s="453" t="s">
        <v>877</v>
      </c>
      <c r="D215" s="453" t="s">
        <v>878</v>
      </c>
      <c r="E215" s="194" t="s">
        <v>568</v>
      </c>
      <c r="F215" s="75">
        <v>1</v>
      </c>
      <c r="G215" s="75" t="s">
        <v>192</v>
      </c>
      <c r="H215" s="106" t="s">
        <v>380</v>
      </c>
      <c r="I215" s="107">
        <v>18000</v>
      </c>
      <c r="J215" s="96">
        <f>I215*19%</f>
        <v>3420</v>
      </c>
      <c r="K215" s="96">
        <f t="shared" si="185"/>
        <v>21420</v>
      </c>
      <c r="L215" s="96">
        <f t="shared" si="186"/>
        <v>18000</v>
      </c>
      <c r="M215" s="96">
        <f t="shared" si="187"/>
        <v>21420</v>
      </c>
      <c r="N215" s="108" t="s">
        <v>381</v>
      </c>
      <c r="O215" s="109">
        <v>16600</v>
      </c>
      <c r="P215" s="110">
        <f>O215*19%</f>
        <v>3154</v>
      </c>
      <c r="Q215" s="110">
        <f t="shared" si="188"/>
        <v>19754</v>
      </c>
      <c r="R215" s="110">
        <f t="shared" si="189"/>
        <v>16600</v>
      </c>
      <c r="S215" s="110">
        <f t="shared" si="190"/>
        <v>19754</v>
      </c>
      <c r="T215" s="97" t="s">
        <v>382</v>
      </c>
      <c r="U215" s="98">
        <v>16600</v>
      </c>
      <c r="V215" s="99">
        <f t="shared" ref="V215:V256" si="202">U215*19%</f>
        <v>3154</v>
      </c>
      <c r="W215" s="99">
        <f t="shared" si="182"/>
        <v>19754</v>
      </c>
      <c r="X215" s="99">
        <f t="shared" si="183"/>
        <v>16600</v>
      </c>
      <c r="Y215" s="99">
        <f t="shared" si="184"/>
        <v>19754</v>
      </c>
      <c r="Z215" s="100">
        <f t="shared" si="200"/>
        <v>20309.333333333332</v>
      </c>
      <c r="AA215" s="100">
        <f t="shared" si="191"/>
        <v>20309.333333333332</v>
      </c>
      <c r="AB215" s="78">
        <f t="shared" si="201"/>
        <v>961.86554846991658</v>
      </c>
      <c r="AC215" s="102">
        <f t="shared" si="192"/>
        <v>4.7360764269461494E-2</v>
      </c>
      <c r="AD215" s="5"/>
      <c r="AE215" s="7" t="s">
        <v>1053</v>
      </c>
      <c r="AF215" s="7" t="str">
        <f>VLOOKUP(C215,Estudio_Mercado_Ori!$C$12:$AH$1115,32,0)</f>
        <v>103HUERTAS</v>
      </c>
      <c r="BG215" s="7">
        <v>92</v>
      </c>
      <c r="DA215" s="7" t="str">
        <f>VLOOKUP(C215,listaBolsa!$D$2:$BA$1248,1,0)</f>
        <v>Tubo PVC de 1/2,</v>
      </c>
      <c r="DB215" s="7">
        <f>VLOOKUP(C215,listaBolsa!$D$2:$BA$1248,2,0)</f>
        <v>0</v>
      </c>
      <c r="DC215" s="7" t="str">
        <f>VLOOKUP(C215,listaBolsa!$D$2:$BA$1248,10,0)</f>
        <v xml:space="preserve">JUNTOS DE LA MANO </v>
      </c>
      <c r="DD215" s="7">
        <f>VLOOKUP(C215,listaBolsa!$D$2:$BA$1248,14,0)</f>
        <v>18000</v>
      </c>
      <c r="DE215" s="7" t="str">
        <f>VLOOKUP(C215,listaBolsa!$D$2:$BA$1248,23,0)</f>
        <v>MYCBDE</v>
      </c>
      <c r="DF215" s="7">
        <f>VLOOKUP(C215,listaBolsa!$D$2:$BA$1248,29,0)</f>
        <v>19754</v>
      </c>
      <c r="DG215" s="7" t="str">
        <f>VLOOKUP(C215,listaBolsa!$D$2:$BA$1248,36,0)</f>
        <v>DAGROW</v>
      </c>
      <c r="DH215" s="7">
        <f>VLOOKUP(C215,listaBolsa!$D$2:$BA$1248,40,0)</f>
        <v>16600</v>
      </c>
      <c r="DI215" s="253">
        <f>VLOOKUP(C215,listaBolsa!$D$2:$BA$1248,48,0)</f>
        <v>4.7399999999999998E-2</v>
      </c>
      <c r="DJ215" s="7" t="b">
        <f t="shared" si="180"/>
        <v>1</v>
      </c>
      <c r="DK215" s="7" t="b">
        <f t="shared" si="181"/>
        <v>0</v>
      </c>
      <c r="DL215" s="7" t="b">
        <f t="shared" si="193"/>
        <v>1</v>
      </c>
      <c r="DM215" s="7" t="b">
        <f t="shared" si="194"/>
        <v>1</v>
      </c>
      <c r="DN215" s="7" t="b">
        <f t="shared" si="195"/>
        <v>1</v>
      </c>
      <c r="DO215" s="7" t="b">
        <f t="shared" si="196"/>
        <v>0</v>
      </c>
      <c r="DP215" s="7" t="b">
        <f t="shared" si="197"/>
        <v>1</v>
      </c>
      <c r="DQ215" s="7" t="b">
        <f t="shared" si="198"/>
        <v>1</v>
      </c>
      <c r="DR215" s="7" t="b">
        <f t="shared" si="199"/>
        <v>0</v>
      </c>
    </row>
    <row r="216" spans="1:122" s="7" customFormat="1" ht="42" customHeight="1">
      <c r="A216" s="75">
        <v>208</v>
      </c>
      <c r="B216" s="538" t="s">
        <v>579</v>
      </c>
      <c r="C216" s="336" t="s">
        <v>880</v>
      </c>
      <c r="D216" s="336" t="s">
        <v>881</v>
      </c>
      <c r="E216" s="193" t="s">
        <v>568</v>
      </c>
      <c r="F216" s="75">
        <v>1</v>
      </c>
      <c r="G216" s="75" t="s">
        <v>192</v>
      </c>
      <c r="H216" s="106" t="s">
        <v>380</v>
      </c>
      <c r="I216" s="107">
        <v>24000</v>
      </c>
      <c r="J216" s="96">
        <f>I216*19%</f>
        <v>4560</v>
      </c>
      <c r="K216" s="96">
        <f t="shared" si="185"/>
        <v>28560</v>
      </c>
      <c r="L216" s="96">
        <f t="shared" si="186"/>
        <v>24000</v>
      </c>
      <c r="M216" s="96">
        <f t="shared" si="187"/>
        <v>28560</v>
      </c>
      <c r="N216" s="108" t="s">
        <v>381</v>
      </c>
      <c r="O216" s="109">
        <v>23000</v>
      </c>
      <c r="P216" s="110">
        <f>O216*19%</f>
        <v>4370</v>
      </c>
      <c r="Q216" s="110">
        <f t="shared" si="188"/>
        <v>27370</v>
      </c>
      <c r="R216" s="110">
        <f t="shared" si="189"/>
        <v>23000</v>
      </c>
      <c r="S216" s="110">
        <f t="shared" si="190"/>
        <v>27370</v>
      </c>
      <c r="T216" s="97" t="s">
        <v>382</v>
      </c>
      <c r="U216" s="98">
        <v>22260</v>
      </c>
      <c r="V216" s="99">
        <f t="shared" si="202"/>
        <v>4229.3999999999996</v>
      </c>
      <c r="W216" s="99">
        <f t="shared" si="182"/>
        <v>26489.4</v>
      </c>
      <c r="X216" s="99">
        <f t="shared" si="183"/>
        <v>22260</v>
      </c>
      <c r="Y216" s="99">
        <f t="shared" si="184"/>
        <v>26489.4</v>
      </c>
      <c r="Z216" s="100">
        <f t="shared" si="200"/>
        <v>27473.133333333331</v>
      </c>
      <c r="AA216" s="100">
        <f t="shared" si="191"/>
        <v>27473.133333333331</v>
      </c>
      <c r="AB216" s="78">
        <f t="shared" si="201"/>
        <v>1039.1455400151278</v>
      </c>
      <c r="AC216" s="102">
        <f t="shared" si="192"/>
        <v>3.7824063509870054E-2</v>
      </c>
      <c r="AD216" s="5"/>
      <c r="AE216" s="7" t="s">
        <v>1053</v>
      </c>
      <c r="AF216" s="7" t="str">
        <f>VLOOKUP(C216,Estudio_Mercado_Ori!$C$12:$AH$1115,32,0)</f>
        <v>104HUERTAS</v>
      </c>
      <c r="BG216" s="7">
        <v>93</v>
      </c>
      <c r="DA216" s="7" t="str">
        <f>VLOOKUP(C216,listaBolsa!$D$2:$BA$1248,1,0)</f>
        <v>Tubo PVC de 3/4</v>
      </c>
      <c r="DB216" s="7">
        <f>VLOOKUP(C216,listaBolsa!$D$2:$BA$1248,2,0)</f>
        <v>0</v>
      </c>
      <c r="DC216" s="7" t="str">
        <f>VLOOKUP(C216,listaBolsa!$D$2:$BA$1248,10,0)</f>
        <v xml:space="preserve">JUNTOS DE LA MANO </v>
      </c>
      <c r="DD216" s="7">
        <f>VLOOKUP(C216,listaBolsa!$D$2:$BA$1248,14,0)</f>
        <v>24000</v>
      </c>
      <c r="DE216" s="7" t="str">
        <f>VLOOKUP(C216,listaBolsa!$D$2:$BA$1248,23,0)</f>
        <v>MYCBDE</v>
      </c>
      <c r="DF216" s="7">
        <f>VLOOKUP(C216,listaBolsa!$D$2:$BA$1248,29,0)</f>
        <v>27370</v>
      </c>
      <c r="DG216" s="7" t="str">
        <f>VLOOKUP(C216,listaBolsa!$D$2:$BA$1248,36,0)</f>
        <v>DAGROW</v>
      </c>
      <c r="DH216" s="7">
        <f>VLOOKUP(C216,listaBolsa!$D$2:$BA$1248,40,0)</f>
        <v>22260</v>
      </c>
      <c r="DI216" s="253">
        <f>VLOOKUP(C216,listaBolsa!$D$2:$BA$1248,48,0)</f>
        <v>3.78E-2</v>
      </c>
      <c r="DJ216" s="7" t="b">
        <f t="shared" si="180"/>
        <v>1</v>
      </c>
      <c r="DK216" s="7" t="b">
        <f t="shared" si="181"/>
        <v>0</v>
      </c>
      <c r="DL216" s="7" t="b">
        <f t="shared" si="193"/>
        <v>1</v>
      </c>
      <c r="DM216" s="7" t="b">
        <f t="shared" si="194"/>
        <v>1</v>
      </c>
      <c r="DN216" s="7" t="b">
        <f t="shared" si="195"/>
        <v>1</v>
      </c>
      <c r="DO216" s="7" t="b">
        <f t="shared" si="196"/>
        <v>0</v>
      </c>
      <c r="DP216" s="7" t="b">
        <f t="shared" si="197"/>
        <v>1</v>
      </c>
      <c r="DQ216" s="7" t="b">
        <f t="shared" si="198"/>
        <v>1</v>
      </c>
      <c r="DR216" s="7" t="b">
        <f t="shared" si="199"/>
        <v>0</v>
      </c>
    </row>
    <row r="217" spans="1:122" s="7" customFormat="1" ht="42" customHeight="1">
      <c r="A217" s="75">
        <v>209</v>
      </c>
      <c r="B217" s="538" t="s">
        <v>579</v>
      </c>
      <c r="C217" s="336" t="s">
        <v>883</v>
      </c>
      <c r="D217" s="336" t="s">
        <v>884</v>
      </c>
      <c r="E217" s="193" t="s">
        <v>568</v>
      </c>
      <c r="F217" s="75">
        <v>1</v>
      </c>
      <c r="G217" s="75" t="s">
        <v>192</v>
      </c>
      <c r="H217" s="106" t="s">
        <v>380</v>
      </c>
      <c r="I217" s="107">
        <v>14000</v>
      </c>
      <c r="J217" s="96">
        <f>I217*19%</f>
        <v>2660</v>
      </c>
      <c r="K217" s="96">
        <f t="shared" si="185"/>
        <v>16660</v>
      </c>
      <c r="L217" s="96">
        <f t="shared" si="186"/>
        <v>14000</v>
      </c>
      <c r="M217" s="96">
        <f t="shared" si="187"/>
        <v>16660</v>
      </c>
      <c r="N217" s="108" t="s">
        <v>381</v>
      </c>
      <c r="O217" s="109">
        <v>12000</v>
      </c>
      <c r="P217" s="110">
        <f>O217*19%</f>
        <v>2280</v>
      </c>
      <c r="Q217" s="110">
        <f t="shared" si="188"/>
        <v>14280</v>
      </c>
      <c r="R217" s="110">
        <f t="shared" si="189"/>
        <v>12000</v>
      </c>
      <c r="S217" s="110">
        <f t="shared" si="190"/>
        <v>14280</v>
      </c>
      <c r="T217" s="97" t="s">
        <v>382</v>
      </c>
      <c r="U217" s="98">
        <v>10780</v>
      </c>
      <c r="V217" s="99">
        <f t="shared" si="202"/>
        <v>2048.1999999999998</v>
      </c>
      <c r="W217" s="99">
        <f t="shared" si="182"/>
        <v>12828.2</v>
      </c>
      <c r="X217" s="99">
        <f t="shared" si="183"/>
        <v>10780</v>
      </c>
      <c r="Y217" s="99">
        <f t="shared" si="184"/>
        <v>12828.2</v>
      </c>
      <c r="Z217" s="100">
        <f t="shared" si="200"/>
        <v>14589.4</v>
      </c>
      <c r="AA217" s="100">
        <f t="shared" si="191"/>
        <v>14589.4</v>
      </c>
      <c r="AB217" s="78">
        <f t="shared" si="201"/>
        <v>1934.5462206936393</v>
      </c>
      <c r="AC217" s="102">
        <f t="shared" si="192"/>
        <v>0.13259943662478507</v>
      </c>
      <c r="AD217" s="5"/>
      <c r="AE217" s="7" t="s">
        <v>1053</v>
      </c>
      <c r="AF217" s="7" t="str">
        <f>VLOOKUP(C217,Estudio_Mercado_Ori!$C$12:$AH$1115,32,0)</f>
        <v>105HUERTAS</v>
      </c>
      <c r="BG217" s="7">
        <v>94</v>
      </c>
      <c r="DA217" s="7" t="str">
        <f>VLOOKUP(C217,listaBolsa!$D$2:$BA$1248,1,0)</f>
        <v>Tubo PVC 1 pulgada</v>
      </c>
      <c r="DB217" s="7">
        <f>VLOOKUP(C217,listaBolsa!$D$2:$BA$1248,2,0)</f>
        <v>0</v>
      </c>
      <c r="DC217" s="7" t="str">
        <f>VLOOKUP(C217,listaBolsa!$D$2:$BA$1248,10,0)</f>
        <v xml:space="preserve">JUNTOS DE LA MANO </v>
      </c>
      <c r="DD217" s="7">
        <f>VLOOKUP(C217,listaBolsa!$D$2:$BA$1248,14,0)</f>
        <v>14000</v>
      </c>
      <c r="DE217" s="7" t="str">
        <f>VLOOKUP(C217,listaBolsa!$D$2:$BA$1248,23,0)</f>
        <v>MYCBDE</v>
      </c>
      <c r="DF217" s="7">
        <f>VLOOKUP(C217,listaBolsa!$D$2:$BA$1248,29,0)</f>
        <v>14280</v>
      </c>
      <c r="DG217" s="7" t="str">
        <f>VLOOKUP(C217,listaBolsa!$D$2:$BA$1248,36,0)</f>
        <v>DAGROW</v>
      </c>
      <c r="DH217" s="7">
        <f>VLOOKUP(C217,listaBolsa!$D$2:$BA$1248,40,0)</f>
        <v>10780</v>
      </c>
      <c r="DI217" s="253">
        <f>VLOOKUP(C217,listaBolsa!$D$2:$BA$1248,48,0)</f>
        <v>0.1326</v>
      </c>
      <c r="DJ217" s="7" t="b">
        <f t="shared" si="180"/>
        <v>1</v>
      </c>
      <c r="DK217" s="7" t="b">
        <f t="shared" si="181"/>
        <v>0</v>
      </c>
      <c r="DL217" s="7" t="b">
        <f t="shared" si="193"/>
        <v>1</v>
      </c>
      <c r="DM217" s="7" t="b">
        <f t="shared" si="194"/>
        <v>1</v>
      </c>
      <c r="DN217" s="7" t="b">
        <f t="shared" si="195"/>
        <v>1</v>
      </c>
      <c r="DO217" s="7" t="b">
        <f t="shared" si="196"/>
        <v>0</v>
      </c>
      <c r="DP217" s="7" t="b">
        <f t="shared" si="197"/>
        <v>1</v>
      </c>
      <c r="DQ217" s="7" t="b">
        <f t="shared" si="198"/>
        <v>1</v>
      </c>
      <c r="DR217" s="7" t="b">
        <f t="shared" si="199"/>
        <v>0</v>
      </c>
    </row>
    <row r="218" spans="1:122" s="7" customFormat="1" ht="42" customHeight="1">
      <c r="A218" s="75">
        <v>210</v>
      </c>
      <c r="B218" s="538" t="s">
        <v>579</v>
      </c>
      <c r="C218" s="336" t="s">
        <v>886</v>
      </c>
      <c r="D218" s="336" t="s">
        <v>887</v>
      </c>
      <c r="E218" s="193" t="s">
        <v>568</v>
      </c>
      <c r="F218" s="75">
        <v>1</v>
      </c>
      <c r="G218" s="75" t="s">
        <v>192</v>
      </c>
      <c r="H218" s="106" t="s">
        <v>380</v>
      </c>
      <c r="I218" s="107">
        <v>20000</v>
      </c>
      <c r="J218" s="96"/>
      <c r="K218" s="96">
        <f t="shared" si="185"/>
        <v>20000</v>
      </c>
      <c r="L218" s="96">
        <f t="shared" si="186"/>
        <v>20000</v>
      </c>
      <c r="M218" s="96">
        <f t="shared" si="187"/>
        <v>20000</v>
      </c>
      <c r="N218" s="108" t="s">
        <v>381</v>
      </c>
      <c r="O218" s="109">
        <v>19300</v>
      </c>
      <c r="P218" s="110"/>
      <c r="Q218" s="110">
        <f t="shared" si="188"/>
        <v>19300</v>
      </c>
      <c r="R218" s="110">
        <f t="shared" si="189"/>
        <v>19300</v>
      </c>
      <c r="S218" s="110">
        <f t="shared" si="190"/>
        <v>19300</v>
      </c>
      <c r="T218" s="97" t="s">
        <v>263</v>
      </c>
      <c r="U218" s="98">
        <v>18403.361344537814</v>
      </c>
      <c r="V218" s="99">
        <f t="shared" si="202"/>
        <v>3496.6386554621849</v>
      </c>
      <c r="W218" s="99">
        <f t="shared" si="182"/>
        <v>21900</v>
      </c>
      <c r="X218" s="99">
        <f t="shared" si="183"/>
        <v>18403.361344537814</v>
      </c>
      <c r="Y218" s="99">
        <f t="shared" si="184"/>
        <v>21900</v>
      </c>
      <c r="Z218" s="100">
        <f t="shared" si="200"/>
        <v>20400</v>
      </c>
      <c r="AA218" s="100">
        <f t="shared" si="191"/>
        <v>20400</v>
      </c>
      <c r="AB218" s="78">
        <f t="shared" si="201"/>
        <v>1345.3624047073711</v>
      </c>
      <c r="AC218" s="102">
        <f t="shared" si="192"/>
        <v>6.5949137485655451E-2</v>
      </c>
      <c r="AD218" s="5"/>
      <c r="AE218" s="7" t="s">
        <v>1070</v>
      </c>
      <c r="AF218" s="7" t="str">
        <f>VLOOKUP(C218,Estudio_Mercado_Ori!$C$12:$AH$1115,32,0)</f>
        <v>106HUERTAS</v>
      </c>
      <c r="BG218" s="7">
        <v>95</v>
      </c>
      <c r="DA218" s="7" t="str">
        <f>VLOOKUP(C218,listaBolsa!$D$2:$BA$1248,1,0)</f>
        <v xml:space="preserve">Tutores para plantas </v>
      </c>
      <c r="DB218" s="7">
        <f>VLOOKUP(C218,listaBolsa!$D$2:$BA$1248,2,0)</f>
        <v>0</v>
      </c>
      <c r="DC218" s="7" t="str">
        <f>VLOOKUP(C218,listaBolsa!$D$2:$BA$1248,10,0)</f>
        <v xml:space="preserve">JUNTOS DE LA MANO </v>
      </c>
      <c r="DD218" s="7">
        <f>VLOOKUP(C218,listaBolsa!$D$2:$BA$1248,14,0)</f>
        <v>20000</v>
      </c>
      <c r="DE218" s="7" t="str">
        <f>VLOOKUP(C218,listaBolsa!$D$2:$BA$1248,23,0)</f>
        <v>MYCBDE</v>
      </c>
      <c r="DF218" s="7">
        <f>VLOOKUP(C218,listaBolsa!$D$2:$BA$1248,29,0)</f>
        <v>19300</v>
      </c>
      <c r="DG218" s="7" t="str">
        <f>VLOOKUP(C218,listaBolsa!$D$2:$BA$1248,36,0)</f>
        <v>HOMCENTER</v>
      </c>
      <c r="DH218" s="7">
        <f>VLOOKUP(C218,listaBolsa!$D$2:$BA$1248,40,0)</f>
        <v>18403.36</v>
      </c>
      <c r="DI218" s="253">
        <f>VLOOKUP(C218,listaBolsa!$D$2:$BA$1248,48,0)</f>
        <v>6.59E-2</v>
      </c>
      <c r="DJ218" s="7" t="b">
        <f t="shared" si="180"/>
        <v>1</v>
      </c>
      <c r="DK218" s="7" t="b">
        <f t="shared" si="181"/>
        <v>0</v>
      </c>
      <c r="DL218" s="7" t="b">
        <f t="shared" si="193"/>
        <v>1</v>
      </c>
      <c r="DM218" s="7" t="b">
        <f t="shared" si="194"/>
        <v>1</v>
      </c>
      <c r="DN218" s="7" t="b">
        <f t="shared" si="195"/>
        <v>1</v>
      </c>
      <c r="DO218" s="7" t="b">
        <f t="shared" si="196"/>
        <v>1</v>
      </c>
      <c r="DP218" s="7" t="b">
        <f t="shared" si="197"/>
        <v>1</v>
      </c>
      <c r="DQ218" s="7" t="b">
        <f t="shared" si="198"/>
        <v>0</v>
      </c>
      <c r="DR218" s="7" t="b">
        <f t="shared" si="199"/>
        <v>0</v>
      </c>
    </row>
    <row r="219" spans="1:122" s="7" customFormat="1" ht="42" customHeight="1">
      <c r="A219" s="75">
        <v>211</v>
      </c>
      <c r="B219" s="538" t="s">
        <v>579</v>
      </c>
      <c r="C219" s="336" t="s">
        <v>889</v>
      </c>
      <c r="D219" s="336" t="s">
        <v>890</v>
      </c>
      <c r="E219" s="193" t="s">
        <v>568</v>
      </c>
      <c r="F219" s="75">
        <v>1</v>
      </c>
      <c r="G219" s="75" t="s">
        <v>192</v>
      </c>
      <c r="H219" s="106" t="s">
        <v>380</v>
      </c>
      <c r="I219" s="107">
        <v>24000</v>
      </c>
      <c r="J219" s="96">
        <f t="shared" ref="J219:J241" si="203">I219*19%</f>
        <v>4560</v>
      </c>
      <c r="K219" s="96">
        <f t="shared" si="185"/>
        <v>28560</v>
      </c>
      <c r="L219" s="96">
        <f t="shared" si="186"/>
        <v>24000</v>
      </c>
      <c r="M219" s="96">
        <f t="shared" si="187"/>
        <v>28560</v>
      </c>
      <c r="N219" s="108" t="s">
        <v>381</v>
      </c>
      <c r="O219" s="109">
        <v>23000</v>
      </c>
      <c r="P219" s="110">
        <f t="shared" ref="P219:P231" si="204">O219*19%</f>
        <v>4370</v>
      </c>
      <c r="Q219" s="110">
        <f t="shared" si="188"/>
        <v>27370</v>
      </c>
      <c r="R219" s="110">
        <f t="shared" si="189"/>
        <v>23000</v>
      </c>
      <c r="S219" s="110">
        <f t="shared" si="190"/>
        <v>27370</v>
      </c>
      <c r="T219" s="97" t="s">
        <v>382</v>
      </c>
      <c r="U219" s="98">
        <v>21000</v>
      </c>
      <c r="V219" s="99">
        <f t="shared" si="202"/>
        <v>3990</v>
      </c>
      <c r="W219" s="99">
        <f t="shared" si="182"/>
        <v>24990</v>
      </c>
      <c r="X219" s="99">
        <f t="shared" si="183"/>
        <v>21000</v>
      </c>
      <c r="Y219" s="99">
        <f t="shared" si="184"/>
        <v>24990</v>
      </c>
      <c r="Z219" s="100">
        <f t="shared" si="200"/>
        <v>26973.333333333332</v>
      </c>
      <c r="AA219" s="100">
        <f t="shared" si="191"/>
        <v>26973.333333333332</v>
      </c>
      <c r="AB219" s="78">
        <f t="shared" si="201"/>
        <v>1817.7550256658164</v>
      </c>
      <c r="AC219" s="102">
        <f t="shared" si="192"/>
        <v>6.7390819043468234E-2</v>
      </c>
      <c r="AD219" s="5"/>
      <c r="AE219" s="7" t="s">
        <v>1053</v>
      </c>
      <c r="AF219" s="7" t="str">
        <f>VLOOKUP(C219,Estudio_Mercado_Ori!$C$12:$AH$1115,32,0)</f>
        <v>107HUERTAS</v>
      </c>
      <c r="BG219" s="7">
        <v>96</v>
      </c>
      <c r="DA219" s="7" t="str">
        <f>VLOOKUP(C219,listaBolsa!$D$2:$BA$1248,1,0)</f>
        <v>Pita  x 3.000 mts</v>
      </c>
      <c r="DB219" s="7">
        <f>VLOOKUP(C219,listaBolsa!$D$2:$BA$1248,2,0)</f>
        <v>0</v>
      </c>
      <c r="DC219" s="7" t="str">
        <f>VLOOKUP(C219,listaBolsa!$D$2:$BA$1248,10,0)</f>
        <v xml:space="preserve">JUNTOS DE LA MANO </v>
      </c>
      <c r="DD219" s="7">
        <f>VLOOKUP(C219,listaBolsa!$D$2:$BA$1248,14,0)</f>
        <v>24000</v>
      </c>
      <c r="DE219" s="7" t="str">
        <f>VLOOKUP(C219,listaBolsa!$D$2:$BA$1248,23,0)</f>
        <v>MYCBDE</v>
      </c>
      <c r="DF219" s="7">
        <f>VLOOKUP(C219,listaBolsa!$D$2:$BA$1248,29,0)</f>
        <v>27370</v>
      </c>
      <c r="DG219" s="7" t="str">
        <f>VLOOKUP(C219,listaBolsa!$D$2:$BA$1248,36,0)</f>
        <v>DAGROW</v>
      </c>
      <c r="DH219" s="7">
        <f>VLOOKUP(C219,listaBolsa!$D$2:$BA$1248,40,0)</f>
        <v>21000</v>
      </c>
      <c r="DI219" s="253">
        <f>VLOOKUP(C219,listaBolsa!$D$2:$BA$1248,48,0)</f>
        <v>6.7400000000000002E-2</v>
      </c>
      <c r="DJ219" s="7" t="b">
        <f t="shared" si="180"/>
        <v>1</v>
      </c>
      <c r="DK219" s="7" t="b">
        <f t="shared" si="181"/>
        <v>0</v>
      </c>
      <c r="DL219" s="7" t="b">
        <f t="shared" si="193"/>
        <v>1</v>
      </c>
      <c r="DM219" s="7" t="b">
        <f t="shared" si="194"/>
        <v>1</v>
      </c>
      <c r="DN219" s="7" t="b">
        <f t="shared" si="195"/>
        <v>1</v>
      </c>
      <c r="DO219" s="7" t="b">
        <f t="shared" si="196"/>
        <v>0</v>
      </c>
      <c r="DP219" s="7" t="b">
        <f t="shared" si="197"/>
        <v>1</v>
      </c>
      <c r="DQ219" s="7" t="b">
        <f t="shared" si="198"/>
        <v>1</v>
      </c>
      <c r="DR219" s="7" t="b">
        <f t="shared" si="199"/>
        <v>0</v>
      </c>
    </row>
    <row r="220" spans="1:122" s="7" customFormat="1" ht="42" customHeight="1">
      <c r="A220" s="75">
        <v>212</v>
      </c>
      <c r="B220" s="538" t="s">
        <v>579</v>
      </c>
      <c r="C220" s="336" t="s">
        <v>892</v>
      </c>
      <c r="D220" s="336" t="s">
        <v>893</v>
      </c>
      <c r="E220" s="193" t="s">
        <v>568</v>
      </c>
      <c r="F220" s="75">
        <v>1</v>
      </c>
      <c r="G220" s="75" t="s">
        <v>192</v>
      </c>
      <c r="H220" s="106" t="s">
        <v>351</v>
      </c>
      <c r="I220" s="107">
        <v>1298.319327731092</v>
      </c>
      <c r="J220" s="96">
        <f t="shared" si="203"/>
        <v>246.6806722689075</v>
      </c>
      <c r="K220" s="96">
        <f t="shared" si="185"/>
        <v>1544.9999999999995</v>
      </c>
      <c r="L220" s="96">
        <f t="shared" si="186"/>
        <v>1298.319327731092</v>
      </c>
      <c r="M220" s="96">
        <f t="shared" si="187"/>
        <v>1544.9999999999995</v>
      </c>
      <c r="N220" s="108" t="s">
        <v>313</v>
      </c>
      <c r="O220" s="109">
        <v>1680.672268907563</v>
      </c>
      <c r="P220" s="110">
        <f t="shared" si="204"/>
        <v>319.32773109243698</v>
      </c>
      <c r="Q220" s="110">
        <f t="shared" si="188"/>
        <v>2000</v>
      </c>
      <c r="R220" s="110">
        <f t="shared" si="189"/>
        <v>1680.672268907563</v>
      </c>
      <c r="S220" s="110">
        <f t="shared" si="190"/>
        <v>2000</v>
      </c>
      <c r="T220" s="97" t="s">
        <v>894</v>
      </c>
      <c r="U220" s="98">
        <v>1554.621848739496</v>
      </c>
      <c r="V220" s="99">
        <f t="shared" si="202"/>
        <v>295.37815126050424</v>
      </c>
      <c r="W220" s="99">
        <f t="shared" si="182"/>
        <v>1850.0000000000002</v>
      </c>
      <c r="X220" s="99">
        <f t="shared" si="183"/>
        <v>1554.621848739496</v>
      </c>
      <c r="Y220" s="99">
        <f t="shared" si="184"/>
        <v>1850.0000000000002</v>
      </c>
      <c r="Z220" s="100">
        <f t="shared" si="200"/>
        <v>1798.3333333333333</v>
      </c>
      <c r="AA220" s="100">
        <f t="shared" si="191"/>
        <v>1798.3333333333333</v>
      </c>
      <c r="AB220" s="78">
        <f t="shared" si="201"/>
        <v>231.85843381971901</v>
      </c>
      <c r="AC220" s="102">
        <f t="shared" si="192"/>
        <v>0.12892962028900037</v>
      </c>
      <c r="AD220" s="5"/>
      <c r="AE220" s="7" t="s">
        <v>1053</v>
      </c>
      <c r="AF220" s="7" t="str">
        <f>VLOOKUP(C220,Estudio_Mercado_Ori!$C$12:$AH$1115,32,0)</f>
        <v>108HUERTAS</v>
      </c>
      <c r="BG220" s="7">
        <v>97</v>
      </c>
      <c r="DA220" s="7" t="str">
        <f>VLOOKUP(C220,listaBolsa!$D$2:$BA$1248,1,0)</f>
        <v xml:space="preserve">Envase de vidrio 30 ml </v>
      </c>
      <c r="DB220" s="7">
        <f>VLOOKUP(C220,listaBolsa!$D$2:$BA$1248,2,0)</f>
        <v>0</v>
      </c>
      <c r="DC220" s="7" t="str">
        <f>VLOOKUP(C220,listaBolsa!$D$2:$BA$1248,10,0)</f>
        <v>DUQUE SALDARRIAGA</v>
      </c>
      <c r="DD220" s="7">
        <f>VLOOKUP(C220,listaBolsa!$D$2:$BA$1248,14,0)</f>
        <v>1298.32</v>
      </c>
      <c r="DE220" s="7" t="str">
        <f>VLOOKUP(C220,listaBolsa!$D$2:$BA$1248,23,0)</f>
        <v>VELAS E INSUMOS LEON</v>
      </c>
      <c r="DF220" s="7">
        <f>VLOOKUP(C220,listaBolsa!$D$2:$BA$1248,29,0)</f>
        <v>2000</v>
      </c>
      <c r="DG220" s="7" t="str">
        <f>VLOOKUP(C220,listaBolsa!$D$2:$BA$1248,36,0)</f>
        <v>EL FRASQUERIO</v>
      </c>
      <c r="DH220" s="7">
        <f>VLOOKUP(C220,listaBolsa!$D$2:$BA$1248,40,0)</f>
        <v>1554.62</v>
      </c>
      <c r="DI220" s="253">
        <f>VLOOKUP(C220,listaBolsa!$D$2:$BA$1248,48,0)</f>
        <v>0.12889999999999999</v>
      </c>
      <c r="DJ220" s="7" t="b">
        <f t="shared" si="180"/>
        <v>1</v>
      </c>
      <c r="DK220" s="7" t="b">
        <f t="shared" si="181"/>
        <v>0</v>
      </c>
      <c r="DL220" s="7" t="b">
        <f t="shared" si="193"/>
        <v>1</v>
      </c>
      <c r="DM220" s="7" t="b">
        <f t="shared" si="194"/>
        <v>0</v>
      </c>
      <c r="DN220" s="7" t="b">
        <f t="shared" si="195"/>
        <v>1</v>
      </c>
      <c r="DO220" s="7" t="b">
        <f t="shared" si="196"/>
        <v>0</v>
      </c>
      <c r="DP220" s="7" t="b">
        <f t="shared" si="197"/>
        <v>1</v>
      </c>
      <c r="DQ220" s="7" t="b">
        <f t="shared" si="198"/>
        <v>0</v>
      </c>
      <c r="DR220" s="7" t="b">
        <f t="shared" si="199"/>
        <v>0</v>
      </c>
    </row>
    <row r="221" spans="1:122" s="7" customFormat="1" ht="42" customHeight="1">
      <c r="A221" s="75">
        <v>213</v>
      </c>
      <c r="B221" s="538" t="s">
        <v>579</v>
      </c>
      <c r="C221" s="351" t="s">
        <v>896</v>
      </c>
      <c r="D221" s="351" t="s">
        <v>897</v>
      </c>
      <c r="E221" s="193" t="s">
        <v>568</v>
      </c>
      <c r="F221" s="75">
        <v>1</v>
      </c>
      <c r="G221" s="75" t="s">
        <v>192</v>
      </c>
      <c r="H221" s="106" t="s">
        <v>380</v>
      </c>
      <c r="I221" s="107">
        <v>3550</v>
      </c>
      <c r="J221" s="96">
        <f t="shared" si="203"/>
        <v>674.5</v>
      </c>
      <c r="K221" s="96">
        <f t="shared" si="185"/>
        <v>4224.5</v>
      </c>
      <c r="L221" s="96">
        <f t="shared" si="186"/>
        <v>3550</v>
      </c>
      <c r="M221" s="96">
        <f t="shared" si="187"/>
        <v>4224.5</v>
      </c>
      <c r="N221" s="108" t="s">
        <v>381</v>
      </c>
      <c r="O221" s="109">
        <v>3400</v>
      </c>
      <c r="P221" s="110">
        <f t="shared" si="204"/>
        <v>646</v>
      </c>
      <c r="Q221" s="110">
        <f t="shared" si="188"/>
        <v>4046</v>
      </c>
      <c r="R221" s="110">
        <f t="shared" si="189"/>
        <v>3400</v>
      </c>
      <c r="S221" s="110">
        <f t="shared" si="190"/>
        <v>4046</v>
      </c>
      <c r="T221" s="97" t="s">
        <v>382</v>
      </c>
      <c r="U221" s="98">
        <v>3360</v>
      </c>
      <c r="V221" s="99">
        <f t="shared" si="202"/>
        <v>638.4</v>
      </c>
      <c r="W221" s="99">
        <f t="shared" si="182"/>
        <v>3998.4</v>
      </c>
      <c r="X221" s="99">
        <f t="shared" si="183"/>
        <v>3360</v>
      </c>
      <c r="Y221" s="99">
        <f t="shared" si="184"/>
        <v>3998.4</v>
      </c>
      <c r="Z221" s="100">
        <f t="shared" si="200"/>
        <v>4089.6333333333332</v>
      </c>
      <c r="AA221" s="100">
        <f t="shared" si="191"/>
        <v>4089.6333333333332</v>
      </c>
      <c r="AB221" s="78">
        <f t="shared" si="201"/>
        <v>119.19816833044594</v>
      </c>
      <c r="AC221" s="102">
        <f t="shared" si="192"/>
        <v>2.9146419401196343E-2</v>
      </c>
      <c r="AD221" s="5"/>
      <c r="AE221" s="7" t="s">
        <v>1053</v>
      </c>
      <c r="AF221" s="7" t="str">
        <f>VLOOKUP(C221,Estudio_Mercado_Ori!$C$12:$AH$1115,32,0)</f>
        <v>109HUERTAS</v>
      </c>
      <c r="BG221" s="7">
        <v>98</v>
      </c>
      <c r="DA221" s="7" t="str">
        <f>VLOOKUP(C221,listaBolsa!$D$2:$BA$1248,1,0)</f>
        <v xml:space="preserve">Envase de vidrio 80 ml </v>
      </c>
      <c r="DB221" s="7">
        <f>VLOOKUP(C221,listaBolsa!$D$2:$BA$1248,2,0)</f>
        <v>0</v>
      </c>
      <c r="DC221" s="7" t="str">
        <f>VLOOKUP(C221,listaBolsa!$D$2:$BA$1248,10,0)</f>
        <v xml:space="preserve">JUNTOS DE LA MANO </v>
      </c>
      <c r="DD221" s="7">
        <f>VLOOKUP(C221,listaBolsa!$D$2:$BA$1248,14,0)</f>
        <v>3550</v>
      </c>
      <c r="DE221" s="7" t="str">
        <f>VLOOKUP(C221,listaBolsa!$D$2:$BA$1248,23,0)</f>
        <v>MYCBDE</v>
      </c>
      <c r="DF221" s="7">
        <f>VLOOKUP(C221,listaBolsa!$D$2:$BA$1248,29,0)</f>
        <v>4046</v>
      </c>
      <c r="DG221" s="7" t="str">
        <f>VLOOKUP(C221,listaBolsa!$D$2:$BA$1248,36,0)</f>
        <v>DAGROW</v>
      </c>
      <c r="DH221" s="7">
        <f>VLOOKUP(C221,listaBolsa!$D$2:$BA$1248,40,0)</f>
        <v>3360</v>
      </c>
      <c r="DI221" s="253">
        <f>VLOOKUP(C221,listaBolsa!$D$2:$BA$1248,48,0)</f>
        <v>2.9100000000000001E-2</v>
      </c>
      <c r="DJ221" s="7" t="b">
        <f t="shared" si="180"/>
        <v>1</v>
      </c>
      <c r="DK221" s="7" t="b">
        <f t="shared" si="181"/>
        <v>0</v>
      </c>
      <c r="DL221" s="7" t="b">
        <f t="shared" si="193"/>
        <v>1</v>
      </c>
      <c r="DM221" s="7" t="b">
        <f t="shared" si="194"/>
        <v>1</v>
      </c>
      <c r="DN221" s="7" t="b">
        <f t="shared" si="195"/>
        <v>1</v>
      </c>
      <c r="DO221" s="7" t="b">
        <f t="shared" si="196"/>
        <v>0</v>
      </c>
      <c r="DP221" s="7" t="b">
        <f t="shared" si="197"/>
        <v>1</v>
      </c>
      <c r="DQ221" s="7" t="b">
        <f t="shared" si="198"/>
        <v>1</v>
      </c>
      <c r="DR221" s="7" t="b">
        <f t="shared" si="199"/>
        <v>0</v>
      </c>
    </row>
    <row r="222" spans="1:122" s="7" customFormat="1" ht="42" customHeight="1">
      <c r="A222" s="75">
        <v>214</v>
      </c>
      <c r="B222" s="538" t="s">
        <v>579</v>
      </c>
      <c r="C222" s="351" t="s">
        <v>899</v>
      </c>
      <c r="D222" s="351" t="s">
        <v>900</v>
      </c>
      <c r="E222" s="193" t="s">
        <v>568</v>
      </c>
      <c r="F222" s="75">
        <v>1</v>
      </c>
      <c r="G222" s="75" t="s">
        <v>192</v>
      </c>
      <c r="H222" s="106" t="s">
        <v>380</v>
      </c>
      <c r="I222" s="107">
        <v>4200</v>
      </c>
      <c r="J222" s="96">
        <f t="shared" si="203"/>
        <v>798</v>
      </c>
      <c r="K222" s="96">
        <f t="shared" si="185"/>
        <v>4998</v>
      </c>
      <c r="L222" s="96">
        <f t="shared" si="186"/>
        <v>4200</v>
      </c>
      <c r="M222" s="96">
        <f t="shared" si="187"/>
        <v>4998</v>
      </c>
      <c r="N222" s="108" t="s">
        <v>381</v>
      </c>
      <c r="O222" s="109">
        <v>4000</v>
      </c>
      <c r="P222" s="110">
        <f t="shared" si="204"/>
        <v>760</v>
      </c>
      <c r="Q222" s="110">
        <f t="shared" si="188"/>
        <v>4760</v>
      </c>
      <c r="R222" s="110">
        <f t="shared" si="189"/>
        <v>4000</v>
      </c>
      <c r="S222" s="110">
        <f t="shared" si="190"/>
        <v>4760</v>
      </c>
      <c r="T222" s="97" t="s">
        <v>382</v>
      </c>
      <c r="U222" s="98">
        <v>4900</v>
      </c>
      <c r="V222" s="99">
        <f t="shared" si="202"/>
        <v>931</v>
      </c>
      <c r="W222" s="99">
        <f t="shared" si="182"/>
        <v>5831</v>
      </c>
      <c r="X222" s="99">
        <f t="shared" si="183"/>
        <v>4900</v>
      </c>
      <c r="Y222" s="99">
        <f t="shared" si="184"/>
        <v>5831</v>
      </c>
      <c r="Z222" s="100">
        <f t="shared" si="200"/>
        <v>5196.333333333333</v>
      </c>
      <c r="AA222" s="100">
        <f t="shared" si="191"/>
        <v>5196.333333333333</v>
      </c>
      <c r="AB222" s="78">
        <f t="shared" si="201"/>
        <v>562.37205952406043</v>
      </c>
      <c r="AC222" s="102">
        <f t="shared" si="192"/>
        <v>0.10822478533402921</v>
      </c>
      <c r="AD222" s="5"/>
      <c r="AE222" s="7" t="s">
        <v>1053</v>
      </c>
      <c r="AF222" s="7" t="str">
        <f>VLOOKUP(C222,Estudio_Mercado_Ori!$C$12:$AH$1115,32,0)</f>
        <v>110HUERTAS</v>
      </c>
      <c r="BG222" s="7">
        <v>99</v>
      </c>
      <c r="DA222" s="7" t="str">
        <f>VLOOKUP(C222,listaBolsa!$D$2:$BA$1248,1,0)</f>
        <v xml:space="preserve">Envase de vidrio 100 ml </v>
      </c>
      <c r="DB222" s="7">
        <f>VLOOKUP(C222,listaBolsa!$D$2:$BA$1248,2,0)</f>
        <v>0</v>
      </c>
      <c r="DC222" s="7" t="str">
        <f>VLOOKUP(C222,listaBolsa!$D$2:$BA$1248,10,0)</f>
        <v xml:space="preserve">JUNTOS DE LA MANO </v>
      </c>
      <c r="DD222" s="7">
        <f>VLOOKUP(C222,listaBolsa!$D$2:$BA$1248,14,0)</f>
        <v>4200</v>
      </c>
      <c r="DE222" s="7" t="str">
        <f>VLOOKUP(C222,listaBolsa!$D$2:$BA$1248,23,0)</f>
        <v>MYCBDE</v>
      </c>
      <c r="DF222" s="7">
        <f>VLOOKUP(C222,listaBolsa!$D$2:$BA$1248,29,0)</f>
        <v>4760</v>
      </c>
      <c r="DG222" s="7" t="str">
        <f>VLOOKUP(C222,listaBolsa!$D$2:$BA$1248,36,0)</f>
        <v>DAGROW</v>
      </c>
      <c r="DH222" s="7">
        <f>VLOOKUP(C222,listaBolsa!$D$2:$BA$1248,40,0)</f>
        <v>4900</v>
      </c>
      <c r="DI222" s="253">
        <f>VLOOKUP(C222,listaBolsa!$D$2:$BA$1248,48,0)</f>
        <v>0.1082</v>
      </c>
      <c r="DJ222" s="7" t="b">
        <f t="shared" si="180"/>
        <v>1</v>
      </c>
      <c r="DK222" s="7" t="b">
        <f t="shared" si="181"/>
        <v>0</v>
      </c>
      <c r="DL222" s="7" t="b">
        <f t="shared" si="193"/>
        <v>1</v>
      </c>
      <c r="DM222" s="7" t="b">
        <f t="shared" si="194"/>
        <v>1</v>
      </c>
      <c r="DN222" s="7" t="b">
        <f t="shared" si="195"/>
        <v>1</v>
      </c>
      <c r="DO222" s="7" t="b">
        <f t="shared" si="196"/>
        <v>0</v>
      </c>
      <c r="DP222" s="7" t="b">
        <f t="shared" si="197"/>
        <v>1</v>
      </c>
      <c r="DQ222" s="7" t="b">
        <f t="shared" si="198"/>
        <v>1</v>
      </c>
      <c r="DR222" s="7" t="b">
        <f t="shared" si="199"/>
        <v>0</v>
      </c>
    </row>
    <row r="223" spans="1:122" s="7" customFormat="1" ht="42" customHeight="1">
      <c r="A223" s="75">
        <v>215</v>
      </c>
      <c r="B223" s="538" t="s">
        <v>579</v>
      </c>
      <c r="C223" s="351" t="s">
        <v>902</v>
      </c>
      <c r="D223" s="351" t="s">
        <v>903</v>
      </c>
      <c r="E223" s="193" t="s">
        <v>568</v>
      </c>
      <c r="F223" s="75">
        <v>1</v>
      </c>
      <c r="G223" s="75" t="s">
        <v>192</v>
      </c>
      <c r="H223" s="106" t="s">
        <v>380</v>
      </c>
      <c r="I223" s="107">
        <v>6000</v>
      </c>
      <c r="J223" s="96">
        <f t="shared" si="203"/>
        <v>1140</v>
      </c>
      <c r="K223" s="96">
        <f t="shared" si="185"/>
        <v>7140</v>
      </c>
      <c r="L223" s="96">
        <f t="shared" si="186"/>
        <v>6000</v>
      </c>
      <c r="M223" s="96">
        <f t="shared" si="187"/>
        <v>7140</v>
      </c>
      <c r="N223" s="108" t="s">
        <v>381</v>
      </c>
      <c r="O223" s="109">
        <v>5500</v>
      </c>
      <c r="P223" s="110">
        <f t="shared" si="204"/>
        <v>1045</v>
      </c>
      <c r="Q223" s="110">
        <f t="shared" si="188"/>
        <v>6545</v>
      </c>
      <c r="R223" s="110">
        <f t="shared" si="189"/>
        <v>5500</v>
      </c>
      <c r="S223" s="110">
        <f t="shared" si="190"/>
        <v>6545</v>
      </c>
      <c r="T223" s="97" t="s">
        <v>382</v>
      </c>
      <c r="U223" s="98">
        <v>5600</v>
      </c>
      <c r="V223" s="99">
        <f t="shared" si="202"/>
        <v>1064</v>
      </c>
      <c r="W223" s="99">
        <f t="shared" si="182"/>
        <v>6664</v>
      </c>
      <c r="X223" s="99">
        <f t="shared" si="183"/>
        <v>5600</v>
      </c>
      <c r="Y223" s="99">
        <f t="shared" si="184"/>
        <v>6664</v>
      </c>
      <c r="Z223" s="100">
        <f t="shared" si="200"/>
        <v>6783</v>
      </c>
      <c r="AA223" s="100">
        <f t="shared" si="191"/>
        <v>6783</v>
      </c>
      <c r="AB223" s="78">
        <f t="shared" si="201"/>
        <v>314.84440601668626</v>
      </c>
      <c r="AC223" s="102">
        <f t="shared" si="192"/>
        <v>4.6416689667799833E-2</v>
      </c>
      <c r="AD223" s="5"/>
      <c r="AE223" s="7" t="s">
        <v>1053</v>
      </c>
      <c r="AF223" s="7" t="str">
        <f>VLOOKUP(C223,Estudio_Mercado_Ori!$C$12:$AH$1115,32,0)</f>
        <v>111HUERTAS</v>
      </c>
      <c r="BG223" s="7">
        <v>100</v>
      </c>
      <c r="DA223" s="7" t="str">
        <f>VLOOKUP(C223,listaBolsa!$D$2:$BA$1248,1,0)</f>
        <v xml:space="preserve">Envase de vidrio 150 ml </v>
      </c>
      <c r="DB223" s="7">
        <f>VLOOKUP(C223,listaBolsa!$D$2:$BA$1248,2,0)</f>
        <v>0</v>
      </c>
      <c r="DC223" s="7" t="str">
        <f>VLOOKUP(C223,listaBolsa!$D$2:$BA$1248,10,0)</f>
        <v xml:space="preserve">JUNTOS DE LA MANO </v>
      </c>
      <c r="DD223" s="7">
        <f>VLOOKUP(C223,listaBolsa!$D$2:$BA$1248,14,0)</f>
        <v>6000</v>
      </c>
      <c r="DE223" s="7" t="str">
        <f>VLOOKUP(C223,listaBolsa!$D$2:$BA$1248,23,0)</f>
        <v>MYCBDE</v>
      </c>
      <c r="DF223" s="7">
        <f>VLOOKUP(C223,listaBolsa!$D$2:$BA$1248,29,0)</f>
        <v>6545</v>
      </c>
      <c r="DG223" s="7" t="str">
        <f>VLOOKUP(C223,listaBolsa!$D$2:$BA$1248,36,0)</f>
        <v>DAGROW</v>
      </c>
      <c r="DH223" s="7">
        <f>VLOOKUP(C223,listaBolsa!$D$2:$BA$1248,40,0)</f>
        <v>5600</v>
      </c>
      <c r="DI223" s="253">
        <f>VLOOKUP(C223,listaBolsa!$D$2:$BA$1248,48,0)</f>
        <v>4.6399999999999997E-2</v>
      </c>
      <c r="DJ223" s="7" t="b">
        <f t="shared" si="180"/>
        <v>1</v>
      </c>
      <c r="DK223" s="7" t="b">
        <f t="shared" si="181"/>
        <v>0</v>
      </c>
      <c r="DL223" s="7" t="b">
        <f t="shared" si="193"/>
        <v>1</v>
      </c>
      <c r="DM223" s="7" t="b">
        <f t="shared" si="194"/>
        <v>1</v>
      </c>
      <c r="DN223" s="7" t="b">
        <f t="shared" si="195"/>
        <v>1</v>
      </c>
      <c r="DO223" s="7" t="b">
        <f t="shared" si="196"/>
        <v>0</v>
      </c>
      <c r="DP223" s="7" t="b">
        <f t="shared" si="197"/>
        <v>1</v>
      </c>
      <c r="DQ223" s="7" t="b">
        <f t="shared" si="198"/>
        <v>1</v>
      </c>
      <c r="DR223" s="7" t="b">
        <f t="shared" si="199"/>
        <v>0</v>
      </c>
    </row>
    <row r="224" spans="1:122" s="7" customFormat="1" ht="42" customHeight="1">
      <c r="A224" s="75">
        <v>216</v>
      </c>
      <c r="B224" s="538" t="s">
        <v>579</v>
      </c>
      <c r="C224" s="351" t="s">
        <v>905</v>
      </c>
      <c r="D224" s="351" t="s">
        <v>906</v>
      </c>
      <c r="E224" s="193" t="s">
        <v>568</v>
      </c>
      <c r="F224" s="75">
        <v>1</v>
      </c>
      <c r="G224" s="75" t="s">
        <v>192</v>
      </c>
      <c r="H224" s="106" t="s">
        <v>380</v>
      </c>
      <c r="I224" s="107">
        <v>8000</v>
      </c>
      <c r="J224" s="96">
        <f t="shared" si="203"/>
        <v>1520</v>
      </c>
      <c r="K224" s="96">
        <f t="shared" si="185"/>
        <v>9520</v>
      </c>
      <c r="L224" s="96">
        <f t="shared" si="186"/>
        <v>8000</v>
      </c>
      <c r="M224" s="96">
        <f t="shared" si="187"/>
        <v>9520</v>
      </c>
      <c r="N224" s="108" t="s">
        <v>381</v>
      </c>
      <c r="O224" s="109">
        <v>7500</v>
      </c>
      <c r="P224" s="110">
        <f t="shared" si="204"/>
        <v>1425</v>
      </c>
      <c r="Q224" s="110">
        <f t="shared" si="188"/>
        <v>8925</v>
      </c>
      <c r="R224" s="110">
        <f t="shared" si="189"/>
        <v>7500</v>
      </c>
      <c r="S224" s="110">
        <f t="shared" si="190"/>
        <v>8925</v>
      </c>
      <c r="T224" s="97" t="s">
        <v>382</v>
      </c>
      <c r="U224" s="98">
        <v>6720</v>
      </c>
      <c r="V224" s="99">
        <f t="shared" si="202"/>
        <v>1276.8</v>
      </c>
      <c r="W224" s="99">
        <f t="shared" si="182"/>
        <v>7996.8</v>
      </c>
      <c r="X224" s="99">
        <f t="shared" si="183"/>
        <v>6720</v>
      </c>
      <c r="Y224" s="99">
        <f t="shared" si="184"/>
        <v>7996.8</v>
      </c>
      <c r="Z224" s="100">
        <f t="shared" si="200"/>
        <v>8813.9333333333325</v>
      </c>
      <c r="AA224" s="100">
        <f t="shared" si="191"/>
        <v>8813.9333333333325</v>
      </c>
      <c r="AB224" s="78">
        <f t="shared" si="201"/>
        <v>767.64992889554367</v>
      </c>
      <c r="AC224" s="102">
        <f t="shared" si="192"/>
        <v>8.7095045975940796E-2</v>
      </c>
      <c r="AD224" s="5"/>
      <c r="AE224" s="7" t="s">
        <v>1053</v>
      </c>
      <c r="AF224" s="7" t="str">
        <f>VLOOKUP(C224,Estudio_Mercado_Ori!$C$12:$AH$1115,32,0)</f>
        <v>112HUERTAS</v>
      </c>
      <c r="BG224" s="7">
        <v>101</v>
      </c>
      <c r="DA224" s="7" t="str">
        <f>VLOOKUP(C224,listaBolsa!$D$2:$BA$1248,1,0)</f>
        <v xml:space="preserve">Envase de vidrio 250 ml </v>
      </c>
      <c r="DB224" s="7">
        <f>VLOOKUP(C224,listaBolsa!$D$2:$BA$1248,2,0)</f>
        <v>0</v>
      </c>
      <c r="DC224" s="7" t="str">
        <f>VLOOKUP(C224,listaBolsa!$D$2:$BA$1248,10,0)</f>
        <v xml:space="preserve">JUNTOS DE LA MANO </v>
      </c>
      <c r="DD224" s="7">
        <f>VLOOKUP(C224,listaBolsa!$D$2:$BA$1248,14,0)</f>
        <v>8000</v>
      </c>
      <c r="DE224" s="7" t="str">
        <f>VLOOKUP(C224,listaBolsa!$D$2:$BA$1248,23,0)</f>
        <v>MYCBDE</v>
      </c>
      <c r="DF224" s="7">
        <f>VLOOKUP(C224,listaBolsa!$D$2:$BA$1248,29,0)</f>
        <v>8925</v>
      </c>
      <c r="DG224" s="7" t="str">
        <f>VLOOKUP(C224,listaBolsa!$D$2:$BA$1248,36,0)</f>
        <v>DAGROW</v>
      </c>
      <c r="DH224" s="7">
        <f>VLOOKUP(C224,listaBolsa!$D$2:$BA$1248,40,0)</f>
        <v>6720</v>
      </c>
      <c r="DI224" s="253">
        <f>VLOOKUP(C224,listaBolsa!$D$2:$BA$1248,48,0)</f>
        <v>8.7099999999999997E-2</v>
      </c>
      <c r="DJ224" s="7" t="b">
        <f t="shared" si="180"/>
        <v>1</v>
      </c>
      <c r="DK224" s="7" t="b">
        <f t="shared" si="181"/>
        <v>0</v>
      </c>
      <c r="DL224" s="7" t="b">
        <f t="shared" si="193"/>
        <v>1</v>
      </c>
      <c r="DM224" s="7" t="b">
        <f t="shared" si="194"/>
        <v>1</v>
      </c>
      <c r="DN224" s="7" t="b">
        <f t="shared" si="195"/>
        <v>1</v>
      </c>
      <c r="DO224" s="7" t="b">
        <f t="shared" si="196"/>
        <v>0</v>
      </c>
      <c r="DP224" s="7" t="b">
        <f t="shared" si="197"/>
        <v>1</v>
      </c>
      <c r="DQ224" s="7" t="b">
        <f t="shared" si="198"/>
        <v>1</v>
      </c>
      <c r="DR224" s="7" t="b">
        <f t="shared" si="199"/>
        <v>0</v>
      </c>
    </row>
    <row r="225" spans="1:122" s="7" customFormat="1" ht="42" customHeight="1">
      <c r="A225" s="75">
        <v>217</v>
      </c>
      <c r="B225" s="538" t="s">
        <v>579</v>
      </c>
      <c r="C225" s="351" t="s">
        <v>908</v>
      </c>
      <c r="D225" s="351" t="s">
        <v>909</v>
      </c>
      <c r="E225" s="193" t="s">
        <v>568</v>
      </c>
      <c r="F225" s="75">
        <v>1</v>
      </c>
      <c r="G225" s="75" t="s">
        <v>192</v>
      </c>
      <c r="H225" s="106" t="s">
        <v>380</v>
      </c>
      <c r="I225" s="107">
        <v>8000</v>
      </c>
      <c r="J225" s="96">
        <f t="shared" si="203"/>
        <v>1520</v>
      </c>
      <c r="K225" s="96">
        <f t="shared" si="185"/>
        <v>9520</v>
      </c>
      <c r="L225" s="96">
        <f t="shared" si="186"/>
        <v>8000</v>
      </c>
      <c r="M225" s="96">
        <f t="shared" si="187"/>
        <v>9520</v>
      </c>
      <c r="N225" s="108" t="s">
        <v>381</v>
      </c>
      <c r="O225" s="109">
        <v>7500</v>
      </c>
      <c r="P225" s="110">
        <f t="shared" si="204"/>
        <v>1425</v>
      </c>
      <c r="Q225" s="110">
        <f t="shared" si="188"/>
        <v>8925</v>
      </c>
      <c r="R225" s="110">
        <f t="shared" si="189"/>
        <v>7500</v>
      </c>
      <c r="S225" s="110">
        <f t="shared" si="190"/>
        <v>8925</v>
      </c>
      <c r="T225" s="97" t="s">
        <v>382</v>
      </c>
      <c r="U225" s="98">
        <v>7700</v>
      </c>
      <c r="V225" s="99">
        <f t="shared" si="202"/>
        <v>1463</v>
      </c>
      <c r="W225" s="99">
        <f t="shared" si="182"/>
        <v>9163</v>
      </c>
      <c r="X225" s="99">
        <f t="shared" si="183"/>
        <v>7700</v>
      </c>
      <c r="Y225" s="99">
        <f t="shared" si="184"/>
        <v>9163</v>
      </c>
      <c r="Z225" s="100">
        <f t="shared" si="200"/>
        <v>9202.6666666666661</v>
      </c>
      <c r="AA225" s="100">
        <f t="shared" si="191"/>
        <v>9202.6666666666661</v>
      </c>
      <c r="AB225" s="78">
        <f t="shared" si="201"/>
        <v>299.47676593240641</v>
      </c>
      <c r="AC225" s="102">
        <f t="shared" si="192"/>
        <v>3.2542389807201512E-2</v>
      </c>
      <c r="AD225" s="5"/>
      <c r="AE225" s="7" t="s">
        <v>1053</v>
      </c>
      <c r="AF225" s="7" t="str">
        <f>VLOOKUP(C225,Estudio_Mercado_Ori!$C$12:$AH$1115,32,0)</f>
        <v>113HUERTAS</v>
      </c>
      <c r="BG225" s="7">
        <v>102</v>
      </c>
      <c r="DA225" s="7" t="str">
        <f>VLOOKUP(C225,listaBolsa!$D$2:$BA$1248,1,0)</f>
        <v xml:space="preserve">Envase de vidrio 350ml </v>
      </c>
      <c r="DB225" s="7">
        <f>VLOOKUP(C225,listaBolsa!$D$2:$BA$1248,2,0)</f>
        <v>0</v>
      </c>
      <c r="DC225" s="7" t="str">
        <f>VLOOKUP(C225,listaBolsa!$D$2:$BA$1248,10,0)</f>
        <v xml:space="preserve">JUNTOS DE LA MANO </v>
      </c>
      <c r="DD225" s="7">
        <f>VLOOKUP(C225,listaBolsa!$D$2:$BA$1248,14,0)</f>
        <v>8000</v>
      </c>
      <c r="DE225" s="7" t="str">
        <f>VLOOKUP(C225,listaBolsa!$D$2:$BA$1248,23,0)</f>
        <v>MYCBDE</v>
      </c>
      <c r="DF225" s="7">
        <f>VLOOKUP(C225,listaBolsa!$D$2:$BA$1248,29,0)</f>
        <v>8925</v>
      </c>
      <c r="DG225" s="7" t="str">
        <f>VLOOKUP(C225,listaBolsa!$D$2:$BA$1248,36,0)</f>
        <v>DAGROW</v>
      </c>
      <c r="DH225" s="7">
        <f>VLOOKUP(C225,listaBolsa!$D$2:$BA$1248,40,0)</f>
        <v>7700</v>
      </c>
      <c r="DI225" s="253">
        <f>VLOOKUP(C225,listaBolsa!$D$2:$BA$1248,48,0)</f>
        <v>3.2500000000000001E-2</v>
      </c>
      <c r="DJ225" s="7" t="b">
        <f t="shared" si="180"/>
        <v>1</v>
      </c>
      <c r="DK225" s="7" t="b">
        <f t="shared" si="181"/>
        <v>0</v>
      </c>
      <c r="DL225" s="7" t="b">
        <f t="shared" si="193"/>
        <v>1</v>
      </c>
      <c r="DM225" s="7" t="b">
        <f t="shared" si="194"/>
        <v>1</v>
      </c>
      <c r="DN225" s="7" t="b">
        <f t="shared" si="195"/>
        <v>1</v>
      </c>
      <c r="DO225" s="7" t="b">
        <f t="shared" si="196"/>
        <v>0</v>
      </c>
      <c r="DP225" s="7" t="b">
        <f t="shared" si="197"/>
        <v>1</v>
      </c>
      <c r="DQ225" s="7" t="b">
        <f t="shared" si="198"/>
        <v>1</v>
      </c>
      <c r="DR225" s="7" t="b">
        <f t="shared" si="199"/>
        <v>0</v>
      </c>
    </row>
    <row r="226" spans="1:122" s="7" customFormat="1" ht="42" customHeight="1">
      <c r="A226" s="75">
        <v>218</v>
      </c>
      <c r="B226" s="538" t="s">
        <v>579</v>
      </c>
      <c r="C226" s="351" t="s">
        <v>911</v>
      </c>
      <c r="D226" s="351" t="s">
        <v>912</v>
      </c>
      <c r="E226" s="193" t="s">
        <v>568</v>
      </c>
      <c r="F226" s="75">
        <v>1</v>
      </c>
      <c r="G226" s="75" t="s">
        <v>192</v>
      </c>
      <c r="H226" s="106" t="s">
        <v>380</v>
      </c>
      <c r="I226" s="107">
        <v>8000</v>
      </c>
      <c r="J226" s="96">
        <f t="shared" si="203"/>
        <v>1520</v>
      </c>
      <c r="K226" s="96">
        <f t="shared" si="185"/>
        <v>9520</v>
      </c>
      <c r="L226" s="96">
        <f t="shared" si="186"/>
        <v>8000</v>
      </c>
      <c r="M226" s="96">
        <f t="shared" si="187"/>
        <v>9520</v>
      </c>
      <c r="N226" s="108" t="s">
        <v>381</v>
      </c>
      <c r="O226" s="109">
        <v>7400</v>
      </c>
      <c r="P226" s="110">
        <f t="shared" si="204"/>
        <v>1406</v>
      </c>
      <c r="Q226" s="110">
        <f t="shared" si="188"/>
        <v>8806</v>
      </c>
      <c r="R226" s="110">
        <f t="shared" si="189"/>
        <v>7400</v>
      </c>
      <c r="S226" s="110">
        <f t="shared" si="190"/>
        <v>8806</v>
      </c>
      <c r="T226" s="97" t="s">
        <v>382</v>
      </c>
      <c r="U226" s="98">
        <v>7700</v>
      </c>
      <c r="V226" s="99">
        <f t="shared" si="202"/>
        <v>1463</v>
      </c>
      <c r="W226" s="99">
        <f t="shared" si="182"/>
        <v>9163</v>
      </c>
      <c r="X226" s="99">
        <f t="shared" si="183"/>
        <v>7700</v>
      </c>
      <c r="Y226" s="99">
        <f t="shared" si="184"/>
        <v>9163</v>
      </c>
      <c r="Z226" s="100">
        <f t="shared" si="200"/>
        <v>9163</v>
      </c>
      <c r="AA226" s="100">
        <f t="shared" si="191"/>
        <v>9163</v>
      </c>
      <c r="AB226" s="78">
        <f t="shared" si="201"/>
        <v>357</v>
      </c>
      <c r="AC226" s="102">
        <f t="shared" si="192"/>
        <v>3.896103896103896E-2</v>
      </c>
      <c r="AD226" s="5"/>
      <c r="AE226" s="7" t="s">
        <v>1053</v>
      </c>
      <c r="AF226" s="7" t="str">
        <f>VLOOKUP(C226,Estudio_Mercado_Ori!$C$12:$AH$1115,32,0)</f>
        <v>114HUERTAS</v>
      </c>
      <c r="BG226" s="7">
        <v>103</v>
      </c>
      <c r="DA226" s="7" t="str">
        <f>VLOOKUP(C226,listaBolsa!$D$2:$BA$1248,1,0)</f>
        <v xml:space="preserve">Envase de vidrio 500 ml </v>
      </c>
      <c r="DB226" s="7">
        <f>VLOOKUP(C226,listaBolsa!$D$2:$BA$1248,2,0)</f>
        <v>0</v>
      </c>
      <c r="DC226" s="7" t="str">
        <f>VLOOKUP(C226,listaBolsa!$D$2:$BA$1248,10,0)</f>
        <v xml:space="preserve">JUNTOS DE LA MANO </v>
      </c>
      <c r="DD226" s="7">
        <f>VLOOKUP(C226,listaBolsa!$D$2:$BA$1248,14,0)</f>
        <v>8000</v>
      </c>
      <c r="DE226" s="7" t="str">
        <f>VLOOKUP(C226,listaBolsa!$D$2:$BA$1248,23,0)</f>
        <v>MYCBDE</v>
      </c>
      <c r="DF226" s="7">
        <f>VLOOKUP(C226,listaBolsa!$D$2:$BA$1248,29,0)</f>
        <v>8806</v>
      </c>
      <c r="DG226" s="7" t="str">
        <f>VLOOKUP(C226,listaBolsa!$D$2:$BA$1248,36,0)</f>
        <v>DAGROW</v>
      </c>
      <c r="DH226" s="7">
        <f>VLOOKUP(C226,listaBolsa!$D$2:$BA$1248,40,0)</f>
        <v>7700</v>
      </c>
      <c r="DI226" s="253">
        <f>VLOOKUP(C226,listaBolsa!$D$2:$BA$1248,48,0)</f>
        <v>3.9E-2</v>
      </c>
      <c r="DJ226" s="7" t="b">
        <f t="shared" si="180"/>
        <v>1</v>
      </c>
      <c r="DK226" s="7" t="b">
        <f t="shared" si="181"/>
        <v>0</v>
      </c>
      <c r="DL226" s="7" t="b">
        <f t="shared" si="193"/>
        <v>1</v>
      </c>
      <c r="DM226" s="7" t="b">
        <f t="shared" si="194"/>
        <v>1</v>
      </c>
      <c r="DN226" s="7" t="b">
        <f t="shared" si="195"/>
        <v>1</v>
      </c>
      <c r="DO226" s="7" t="b">
        <f t="shared" si="196"/>
        <v>0</v>
      </c>
      <c r="DP226" s="7" t="b">
        <f t="shared" si="197"/>
        <v>1</v>
      </c>
      <c r="DQ226" s="7" t="b">
        <f t="shared" si="198"/>
        <v>1</v>
      </c>
      <c r="DR226" s="7" t="b">
        <f t="shared" si="199"/>
        <v>0</v>
      </c>
    </row>
    <row r="227" spans="1:122" s="7" customFormat="1" ht="42" customHeight="1">
      <c r="A227" s="75">
        <v>219</v>
      </c>
      <c r="B227" s="538" t="s">
        <v>579</v>
      </c>
      <c r="C227" s="351" t="s">
        <v>914</v>
      </c>
      <c r="D227" s="351" t="s">
        <v>915</v>
      </c>
      <c r="E227" s="193" t="s">
        <v>568</v>
      </c>
      <c r="F227" s="75">
        <v>1</v>
      </c>
      <c r="G227" s="75" t="s">
        <v>192</v>
      </c>
      <c r="H227" s="106" t="s">
        <v>380</v>
      </c>
      <c r="I227" s="107">
        <v>4000</v>
      </c>
      <c r="J227" s="96">
        <f t="shared" si="203"/>
        <v>760</v>
      </c>
      <c r="K227" s="96">
        <f t="shared" si="185"/>
        <v>4760</v>
      </c>
      <c r="L227" s="96">
        <f t="shared" si="186"/>
        <v>4000</v>
      </c>
      <c r="M227" s="96">
        <f t="shared" si="187"/>
        <v>4760</v>
      </c>
      <c r="N227" s="108" t="s">
        <v>381</v>
      </c>
      <c r="O227" s="109">
        <v>3400</v>
      </c>
      <c r="P227" s="110">
        <f t="shared" si="204"/>
        <v>646</v>
      </c>
      <c r="Q227" s="110">
        <f t="shared" si="188"/>
        <v>4046</v>
      </c>
      <c r="R227" s="110">
        <f t="shared" si="189"/>
        <v>3400</v>
      </c>
      <c r="S227" s="110">
        <f t="shared" si="190"/>
        <v>4046</v>
      </c>
      <c r="T227" s="97" t="s">
        <v>382</v>
      </c>
      <c r="U227" s="98">
        <v>3080</v>
      </c>
      <c r="V227" s="99">
        <f t="shared" si="202"/>
        <v>585.20000000000005</v>
      </c>
      <c r="W227" s="99">
        <f t="shared" si="182"/>
        <v>3665.2</v>
      </c>
      <c r="X227" s="99">
        <f t="shared" si="183"/>
        <v>3080</v>
      </c>
      <c r="Y227" s="99">
        <f t="shared" si="184"/>
        <v>3665.2</v>
      </c>
      <c r="Z227" s="100">
        <f t="shared" si="200"/>
        <v>4157.0666666666666</v>
      </c>
      <c r="AA227" s="100">
        <f t="shared" si="191"/>
        <v>4157.0666666666666</v>
      </c>
      <c r="AB227" s="78">
        <f t="shared" si="201"/>
        <v>555.78648178354388</v>
      </c>
      <c r="AC227" s="102">
        <f t="shared" si="192"/>
        <v>0.13369679303921289</v>
      </c>
      <c r="AD227" s="5"/>
      <c r="AE227" s="7" t="s">
        <v>1053</v>
      </c>
      <c r="AF227" s="7" t="str">
        <f>VLOOKUP(C227,Estudio_Mercado_Ori!$C$12:$AH$1115,32,0)</f>
        <v>115HUERTAS</v>
      </c>
      <c r="BG227" s="7">
        <v>104</v>
      </c>
      <c r="DA227" s="7" t="str">
        <f>VLOOKUP(C227,listaBolsa!$D$2:$BA$1248,1,0)</f>
        <v xml:space="preserve">Envase de plástico 1 litro </v>
      </c>
      <c r="DB227" s="7">
        <f>VLOOKUP(C227,listaBolsa!$D$2:$BA$1248,2,0)</f>
        <v>0</v>
      </c>
      <c r="DC227" s="7" t="str">
        <f>VLOOKUP(C227,listaBolsa!$D$2:$BA$1248,10,0)</f>
        <v xml:space="preserve">JUNTOS DE LA MANO </v>
      </c>
      <c r="DD227" s="7">
        <f>VLOOKUP(C227,listaBolsa!$D$2:$BA$1248,14,0)</f>
        <v>4000</v>
      </c>
      <c r="DE227" s="7" t="str">
        <f>VLOOKUP(C227,listaBolsa!$D$2:$BA$1248,23,0)</f>
        <v>MYCBDE</v>
      </c>
      <c r="DF227" s="7">
        <f>VLOOKUP(C227,listaBolsa!$D$2:$BA$1248,29,0)</f>
        <v>4046</v>
      </c>
      <c r="DG227" s="7" t="str">
        <f>VLOOKUP(C227,listaBolsa!$D$2:$BA$1248,36,0)</f>
        <v>DAGROW</v>
      </c>
      <c r="DH227" s="7">
        <f>VLOOKUP(C227,listaBolsa!$D$2:$BA$1248,40,0)</f>
        <v>3080</v>
      </c>
      <c r="DI227" s="253">
        <f>VLOOKUP(C227,listaBolsa!$D$2:$BA$1248,48,0)</f>
        <v>0.13370000000000001</v>
      </c>
      <c r="DJ227" s="7" t="b">
        <f t="shared" si="180"/>
        <v>1</v>
      </c>
      <c r="DK227" s="7" t="b">
        <f t="shared" si="181"/>
        <v>0</v>
      </c>
      <c r="DL227" s="7" t="b">
        <f t="shared" si="193"/>
        <v>1</v>
      </c>
      <c r="DM227" s="7" t="b">
        <f t="shared" si="194"/>
        <v>1</v>
      </c>
      <c r="DN227" s="7" t="b">
        <f t="shared" si="195"/>
        <v>1</v>
      </c>
      <c r="DO227" s="7" t="b">
        <f t="shared" si="196"/>
        <v>0</v>
      </c>
      <c r="DP227" s="7" t="b">
        <f t="shared" si="197"/>
        <v>1</v>
      </c>
      <c r="DQ227" s="7" t="b">
        <f t="shared" si="198"/>
        <v>1</v>
      </c>
      <c r="DR227" s="7" t="b">
        <f t="shared" si="199"/>
        <v>0</v>
      </c>
    </row>
    <row r="228" spans="1:122" s="7" customFormat="1" ht="42" customHeight="1">
      <c r="A228" s="75">
        <v>220</v>
      </c>
      <c r="B228" s="538" t="s">
        <v>579</v>
      </c>
      <c r="C228" s="351" t="s">
        <v>917</v>
      </c>
      <c r="D228" s="351" t="s">
        <v>918</v>
      </c>
      <c r="E228" s="193" t="s">
        <v>568</v>
      </c>
      <c r="F228" s="75">
        <v>1</v>
      </c>
      <c r="G228" s="75" t="s">
        <v>192</v>
      </c>
      <c r="H228" s="106" t="s">
        <v>380</v>
      </c>
      <c r="I228" s="107">
        <v>58000</v>
      </c>
      <c r="J228" s="96">
        <f t="shared" si="203"/>
        <v>11020</v>
      </c>
      <c r="K228" s="96">
        <f t="shared" si="185"/>
        <v>69020</v>
      </c>
      <c r="L228" s="96">
        <f t="shared" si="186"/>
        <v>58000</v>
      </c>
      <c r="M228" s="96">
        <f t="shared" si="187"/>
        <v>69020</v>
      </c>
      <c r="N228" s="108" t="s">
        <v>381</v>
      </c>
      <c r="O228" s="109">
        <v>56000</v>
      </c>
      <c r="P228" s="110">
        <f t="shared" si="204"/>
        <v>10640</v>
      </c>
      <c r="Q228" s="110">
        <f t="shared" si="188"/>
        <v>66640</v>
      </c>
      <c r="R228" s="110">
        <f t="shared" si="189"/>
        <v>56000</v>
      </c>
      <c r="S228" s="110">
        <f t="shared" si="190"/>
        <v>66640</v>
      </c>
      <c r="T228" s="97" t="s">
        <v>239</v>
      </c>
      <c r="U228" s="98">
        <v>71428.571428571435</v>
      </c>
      <c r="V228" s="99">
        <f t="shared" si="202"/>
        <v>13571.428571428572</v>
      </c>
      <c r="W228" s="99">
        <f t="shared" si="182"/>
        <v>85000</v>
      </c>
      <c r="X228" s="99">
        <f t="shared" si="183"/>
        <v>71428.571428571435</v>
      </c>
      <c r="Y228" s="99">
        <f t="shared" si="184"/>
        <v>85000</v>
      </c>
      <c r="Z228" s="100">
        <f t="shared" si="200"/>
        <v>73553.333333333328</v>
      </c>
      <c r="AA228" s="100">
        <f t="shared" si="191"/>
        <v>73553.333333333328</v>
      </c>
      <c r="AB228" s="78">
        <f t="shared" si="201"/>
        <v>9984.2743017874363</v>
      </c>
      <c r="AC228" s="102">
        <f t="shared" si="192"/>
        <v>0.13574196911702308</v>
      </c>
      <c r="AD228" s="5"/>
      <c r="AF228" s="7" t="str">
        <f>VLOOKUP(C228,Estudio_Mercado_Ori!$C$12:$AH$1115,32,0)</f>
        <v>116HUERTAS</v>
      </c>
      <c r="BG228" s="7">
        <v>105</v>
      </c>
      <c r="DA228" s="7" t="e">
        <f>VLOOKUP(C228,listaBolsa!$D$2:$BA$1248,1,0)</f>
        <v>#N/A</v>
      </c>
      <c r="DB228" s="7" t="e">
        <f>VLOOKUP(C228,listaBolsa!$D$2:$BA$1248,2,0)</f>
        <v>#N/A</v>
      </c>
      <c r="DC228" s="7" t="e">
        <f>VLOOKUP(C228,listaBolsa!$D$2:$BA$1248,10,0)</f>
        <v>#N/A</v>
      </c>
      <c r="DD228" s="7" t="e">
        <f>VLOOKUP(C228,listaBolsa!$D$2:$BA$1248,14,0)</f>
        <v>#N/A</v>
      </c>
      <c r="DE228" s="7" t="e">
        <f>VLOOKUP(C228,listaBolsa!$D$2:$BA$1248,23,0)</f>
        <v>#N/A</v>
      </c>
      <c r="DF228" s="7" t="e">
        <f>VLOOKUP(C228,listaBolsa!$D$2:$BA$1248,29,0)</f>
        <v>#N/A</v>
      </c>
      <c r="DG228" s="7" t="e">
        <f>VLOOKUP(C228,listaBolsa!$D$2:$BA$1248,36,0)</f>
        <v>#N/A</v>
      </c>
      <c r="DH228" s="7" t="e">
        <f>VLOOKUP(C228,listaBolsa!$D$2:$BA$1248,40,0)</f>
        <v>#N/A</v>
      </c>
      <c r="DI228" s="252" t="e">
        <f>VLOOKUP(C228,listaBolsa!$D$2:$BA$1248,48,0)</f>
        <v>#N/A</v>
      </c>
      <c r="DJ228" s="7" t="e">
        <f t="shared" si="180"/>
        <v>#N/A</v>
      </c>
      <c r="DK228" s="7" t="e">
        <f t="shared" si="181"/>
        <v>#N/A</v>
      </c>
      <c r="DL228" s="7" t="e">
        <f t="shared" si="193"/>
        <v>#N/A</v>
      </c>
      <c r="DM228" s="7" t="e">
        <f t="shared" si="194"/>
        <v>#N/A</v>
      </c>
      <c r="DN228" s="7" t="e">
        <f t="shared" si="195"/>
        <v>#N/A</v>
      </c>
      <c r="DO228" s="7" t="e">
        <f t="shared" si="196"/>
        <v>#N/A</v>
      </c>
      <c r="DP228" s="7" t="e">
        <f t="shared" si="197"/>
        <v>#N/A</v>
      </c>
      <c r="DQ228" s="7" t="e">
        <f t="shared" si="198"/>
        <v>#N/A</v>
      </c>
      <c r="DR228" s="7" t="e">
        <f t="shared" si="199"/>
        <v>#N/A</v>
      </c>
    </row>
    <row r="229" spans="1:122" s="7" customFormat="1" ht="42" customHeight="1">
      <c r="A229" s="75">
        <v>221</v>
      </c>
      <c r="B229" s="538" t="s">
        <v>579</v>
      </c>
      <c r="C229" s="351" t="s">
        <v>920</v>
      </c>
      <c r="D229" s="351" t="s">
        <v>921</v>
      </c>
      <c r="E229" s="193" t="s">
        <v>568</v>
      </c>
      <c r="F229" s="75">
        <v>1</v>
      </c>
      <c r="G229" s="75" t="s">
        <v>192</v>
      </c>
      <c r="H229" s="371" t="s">
        <v>1116</v>
      </c>
      <c r="I229" s="331">
        <v>92352.94</v>
      </c>
      <c r="J229" s="96">
        <f t="shared" si="203"/>
        <v>17547.0586</v>
      </c>
      <c r="K229" s="96">
        <f t="shared" si="185"/>
        <v>109899.99860000001</v>
      </c>
      <c r="L229" s="96">
        <f t="shared" si="186"/>
        <v>92352.94</v>
      </c>
      <c r="M229" s="96">
        <f t="shared" si="187"/>
        <v>109899.99860000001</v>
      </c>
      <c r="N229" s="374" t="s">
        <v>1117</v>
      </c>
      <c r="O229" s="332">
        <v>108403.36</v>
      </c>
      <c r="P229" s="110">
        <f t="shared" si="204"/>
        <v>20596.6384</v>
      </c>
      <c r="Q229" s="110">
        <f t="shared" si="188"/>
        <v>128999.9984</v>
      </c>
      <c r="R229" s="110">
        <f t="shared" si="189"/>
        <v>108403.36</v>
      </c>
      <c r="S229" s="110">
        <f t="shared" si="190"/>
        <v>128999.9984</v>
      </c>
      <c r="T229" s="383" t="s">
        <v>239</v>
      </c>
      <c r="U229" s="333">
        <v>117563.03</v>
      </c>
      <c r="V229" s="99">
        <f t="shared" si="202"/>
        <v>22336.975699999999</v>
      </c>
      <c r="W229" s="99">
        <f t="shared" si="182"/>
        <v>139900.00570000001</v>
      </c>
      <c r="X229" s="99">
        <f t="shared" si="183"/>
        <v>117563.03</v>
      </c>
      <c r="Y229" s="99">
        <f t="shared" si="184"/>
        <v>139900.00570000001</v>
      </c>
      <c r="Z229" s="100">
        <f t="shared" si="200"/>
        <v>126266.66756666667</v>
      </c>
      <c r="AA229" s="100">
        <f t="shared" si="191"/>
        <v>126266.66756666667</v>
      </c>
      <c r="AB229" s="78">
        <f t="shared" si="201"/>
        <v>15185.632340582682</v>
      </c>
      <c r="AC229" s="102">
        <f t="shared" si="192"/>
        <v>0.12026635875667602</v>
      </c>
      <c r="AD229" s="5"/>
      <c r="AE229" s="334" t="s">
        <v>1047</v>
      </c>
      <c r="AF229" s="7" t="str">
        <f>VLOOKUP(C229,Estudio_Mercado_Ori!$C$12:$AH$1115,32,0)</f>
        <v>117HUERTAS</v>
      </c>
      <c r="BG229" s="7">
        <v>106</v>
      </c>
      <c r="DA229" s="7" t="str">
        <f>VLOOKUP(C229,listaBolsa!$D$2:$BA$1248,1,0)</f>
        <v>Básculas</v>
      </c>
      <c r="DB229" s="7">
        <f>VLOOKUP(C229,listaBolsa!$D$2:$BA$1248,2,0)</f>
        <v>0</v>
      </c>
      <c r="DC229" s="7" t="str">
        <f>VLOOKUP(C229,listaBolsa!$D$2:$BA$1248,10,0)</f>
        <v xml:space="preserve">JUNTOS DE LA MANO </v>
      </c>
      <c r="DD229" s="7">
        <f>VLOOKUP(C229,listaBolsa!$D$2:$BA$1248,14,0)</f>
        <v>190000</v>
      </c>
      <c r="DE229" s="7" t="str">
        <f>VLOOKUP(C229,listaBolsa!$D$2:$BA$1248,23,0)</f>
        <v>MYCBDE</v>
      </c>
      <c r="DF229" s="7">
        <f>VLOOKUP(C229,listaBolsa!$D$2:$BA$1248,29,0)</f>
        <v>223720</v>
      </c>
      <c r="DG229" s="7" t="str">
        <f>VLOOKUP(C229,listaBolsa!$D$2:$BA$1248,36,0)</f>
        <v>DAGROW</v>
      </c>
      <c r="DH229" s="7">
        <f>VLOOKUP(C229,listaBolsa!$D$2:$BA$1248,40,0)</f>
        <v>196000</v>
      </c>
      <c r="DI229" s="253">
        <f>VLOOKUP(C229,listaBolsa!$D$2:$BA$1248,48,0)</f>
        <v>2.18E-2</v>
      </c>
      <c r="DJ229" s="7" t="b">
        <f t="shared" si="180"/>
        <v>1</v>
      </c>
      <c r="DK229" s="7" t="b">
        <f t="shared" si="181"/>
        <v>0</v>
      </c>
      <c r="DL229" s="7" t="b">
        <f t="shared" si="193"/>
        <v>0</v>
      </c>
      <c r="DM229" s="7" t="b">
        <f t="shared" si="194"/>
        <v>0</v>
      </c>
      <c r="DN229" s="7" t="b">
        <f t="shared" si="195"/>
        <v>0</v>
      </c>
      <c r="DO229" s="7" t="b">
        <f t="shared" si="196"/>
        <v>0</v>
      </c>
      <c r="DP229" s="7" t="b">
        <f t="shared" si="197"/>
        <v>0</v>
      </c>
      <c r="DQ229" s="7" t="b">
        <f t="shared" si="198"/>
        <v>0</v>
      </c>
      <c r="DR229" s="7" t="b">
        <f t="shared" si="199"/>
        <v>0</v>
      </c>
    </row>
    <row r="230" spans="1:122" s="7" customFormat="1" ht="42" customHeight="1">
      <c r="A230" s="75">
        <v>222</v>
      </c>
      <c r="B230" s="538" t="s">
        <v>579</v>
      </c>
      <c r="C230" s="351" t="s">
        <v>923</v>
      </c>
      <c r="D230" s="351" t="s">
        <v>924</v>
      </c>
      <c r="E230" s="193" t="s">
        <v>568</v>
      </c>
      <c r="F230" s="75">
        <v>1</v>
      </c>
      <c r="G230" s="75" t="s">
        <v>192</v>
      </c>
      <c r="H230" s="372" t="s">
        <v>380</v>
      </c>
      <c r="I230" s="107">
        <v>12000</v>
      </c>
      <c r="J230" s="96">
        <f t="shared" si="203"/>
        <v>2280</v>
      </c>
      <c r="K230" s="96">
        <f t="shared" si="185"/>
        <v>14280</v>
      </c>
      <c r="L230" s="96">
        <f t="shared" si="186"/>
        <v>12000</v>
      </c>
      <c r="M230" s="96">
        <f t="shared" si="187"/>
        <v>14280</v>
      </c>
      <c r="N230" s="381" t="s">
        <v>381</v>
      </c>
      <c r="O230" s="109">
        <v>10000</v>
      </c>
      <c r="P230" s="110">
        <f t="shared" si="204"/>
        <v>1900</v>
      </c>
      <c r="Q230" s="110">
        <f t="shared" si="188"/>
        <v>11900</v>
      </c>
      <c r="R230" s="110">
        <f t="shared" si="189"/>
        <v>10000</v>
      </c>
      <c r="S230" s="110">
        <f t="shared" si="190"/>
        <v>11900</v>
      </c>
      <c r="T230" s="387" t="s">
        <v>382</v>
      </c>
      <c r="U230" s="98">
        <v>9800</v>
      </c>
      <c r="V230" s="99">
        <f t="shared" si="202"/>
        <v>1862</v>
      </c>
      <c r="W230" s="99">
        <f t="shared" si="182"/>
        <v>11662</v>
      </c>
      <c r="X230" s="99">
        <f t="shared" si="183"/>
        <v>9800</v>
      </c>
      <c r="Y230" s="99">
        <f t="shared" si="184"/>
        <v>11662</v>
      </c>
      <c r="Z230" s="100">
        <f t="shared" si="200"/>
        <v>12614</v>
      </c>
      <c r="AA230" s="100">
        <f t="shared" si="191"/>
        <v>12614</v>
      </c>
      <c r="AB230" s="78">
        <f t="shared" si="201"/>
        <v>1447.6974822109762</v>
      </c>
      <c r="AC230" s="102">
        <f t="shared" si="192"/>
        <v>0.11476910434524942</v>
      </c>
      <c r="AD230" s="5"/>
      <c r="AE230" s="7" t="s">
        <v>1053</v>
      </c>
      <c r="AF230" s="7" t="str">
        <f>VLOOKUP(C230,Estudio_Mercado_Ori!$C$12:$AH$1115,32,0)</f>
        <v>118HUERTAS</v>
      </c>
      <c r="BG230" s="7">
        <v>107</v>
      </c>
      <c r="DA230" s="7" t="str">
        <f>VLOOKUP(C230,listaBolsa!$D$2:$BA$1248,1,0)</f>
        <v>Etiquetas 5x3 cm x 100 unid</v>
      </c>
      <c r="DB230" s="7">
        <f>VLOOKUP(C230,listaBolsa!$D$2:$BA$1248,2,0)</f>
        <v>0</v>
      </c>
      <c r="DC230" s="7" t="str">
        <f>VLOOKUP(C230,listaBolsa!$D$2:$BA$1248,10,0)</f>
        <v xml:space="preserve">JUNTOS DE LA MANO </v>
      </c>
      <c r="DD230" s="7">
        <f>VLOOKUP(C230,listaBolsa!$D$2:$BA$1248,14,0)</f>
        <v>12000</v>
      </c>
      <c r="DE230" s="7" t="str">
        <f>VLOOKUP(C230,listaBolsa!$D$2:$BA$1248,23,0)</f>
        <v>MYCBDE</v>
      </c>
      <c r="DF230" s="7">
        <f>VLOOKUP(C230,listaBolsa!$D$2:$BA$1248,29,0)</f>
        <v>11900</v>
      </c>
      <c r="DG230" s="7" t="str">
        <f>VLOOKUP(C230,listaBolsa!$D$2:$BA$1248,36,0)</f>
        <v>DAGROW</v>
      </c>
      <c r="DH230" s="7">
        <f>VLOOKUP(C230,listaBolsa!$D$2:$BA$1248,40,0)</f>
        <v>9800</v>
      </c>
      <c r="DI230" s="253">
        <f>VLOOKUP(C230,listaBolsa!$D$2:$BA$1248,48,0)</f>
        <v>0.1148</v>
      </c>
      <c r="DJ230" s="7" t="b">
        <f t="shared" si="180"/>
        <v>1</v>
      </c>
      <c r="DK230" s="7" t="b">
        <f t="shared" si="181"/>
        <v>0</v>
      </c>
      <c r="DL230" s="7" t="b">
        <f t="shared" si="193"/>
        <v>1</v>
      </c>
      <c r="DM230" s="7" t="b">
        <f t="shared" si="194"/>
        <v>1</v>
      </c>
      <c r="DN230" s="7" t="b">
        <f t="shared" si="195"/>
        <v>1</v>
      </c>
      <c r="DO230" s="7" t="b">
        <f t="shared" si="196"/>
        <v>0</v>
      </c>
      <c r="DP230" s="7" t="b">
        <f t="shared" si="197"/>
        <v>1</v>
      </c>
      <c r="DQ230" s="7" t="b">
        <f t="shared" si="198"/>
        <v>1</v>
      </c>
      <c r="DR230" s="7" t="b">
        <f t="shared" si="199"/>
        <v>0</v>
      </c>
    </row>
    <row r="231" spans="1:122" s="7" customFormat="1" ht="42" customHeight="1">
      <c r="A231" s="75">
        <v>223</v>
      </c>
      <c r="B231" s="538" t="s">
        <v>579</v>
      </c>
      <c r="C231" s="351" t="s">
        <v>926</v>
      </c>
      <c r="D231" s="351" t="s">
        <v>924</v>
      </c>
      <c r="E231" s="193" t="s">
        <v>568</v>
      </c>
      <c r="F231" s="75">
        <v>1</v>
      </c>
      <c r="G231" s="75" t="s">
        <v>192</v>
      </c>
      <c r="H231" s="106" t="s">
        <v>380</v>
      </c>
      <c r="I231" s="107">
        <v>30000</v>
      </c>
      <c r="J231" s="96">
        <f t="shared" si="203"/>
        <v>5700</v>
      </c>
      <c r="K231" s="96">
        <f t="shared" si="185"/>
        <v>35700</v>
      </c>
      <c r="L231" s="96">
        <f t="shared" si="186"/>
        <v>30000</v>
      </c>
      <c r="M231" s="96">
        <f t="shared" si="187"/>
        <v>35700</v>
      </c>
      <c r="N231" s="108" t="s">
        <v>381</v>
      </c>
      <c r="O231" s="109">
        <v>28000</v>
      </c>
      <c r="P231" s="110">
        <f t="shared" si="204"/>
        <v>5320</v>
      </c>
      <c r="Q231" s="110">
        <f t="shared" si="188"/>
        <v>33320</v>
      </c>
      <c r="R231" s="110">
        <f t="shared" si="189"/>
        <v>28000</v>
      </c>
      <c r="S231" s="110">
        <f t="shared" si="190"/>
        <v>33320</v>
      </c>
      <c r="T231" s="97" t="s">
        <v>382</v>
      </c>
      <c r="U231" s="98">
        <v>35000</v>
      </c>
      <c r="V231" s="99">
        <f t="shared" si="202"/>
        <v>6650</v>
      </c>
      <c r="W231" s="99">
        <f t="shared" si="182"/>
        <v>41650</v>
      </c>
      <c r="X231" s="99">
        <f t="shared" si="183"/>
        <v>35000</v>
      </c>
      <c r="Y231" s="99">
        <f t="shared" si="184"/>
        <v>41650</v>
      </c>
      <c r="Z231" s="100">
        <f t="shared" si="200"/>
        <v>36890</v>
      </c>
      <c r="AA231" s="100">
        <f t="shared" si="191"/>
        <v>36890</v>
      </c>
      <c r="AB231" s="78">
        <f t="shared" si="201"/>
        <v>4290.6060178021471</v>
      </c>
      <c r="AC231" s="102">
        <f t="shared" si="192"/>
        <v>0.11630810566012868</v>
      </c>
      <c r="AD231" s="5"/>
      <c r="AE231" s="7" t="s">
        <v>1053</v>
      </c>
      <c r="AF231" s="7" t="str">
        <f>VLOOKUP(C231,Estudio_Mercado_Ori!$C$12:$AH$1115,32,0)</f>
        <v>119HUERTAS</v>
      </c>
      <c r="BG231" s="7">
        <v>108</v>
      </c>
      <c r="DA231" s="7" t="str">
        <f>VLOOKUP(C231,listaBolsa!$D$2:$BA$1248,1,0)</f>
        <v>Etiquetas 10x15 cm x 100 unid</v>
      </c>
      <c r="DB231" s="7">
        <f>VLOOKUP(C231,listaBolsa!$D$2:$BA$1248,2,0)</f>
        <v>0</v>
      </c>
      <c r="DC231" s="7" t="str">
        <f>VLOOKUP(C231,listaBolsa!$D$2:$BA$1248,10,0)</f>
        <v xml:space="preserve">JUNTOS DE LA MANO </v>
      </c>
      <c r="DD231" s="7">
        <f>VLOOKUP(C231,listaBolsa!$D$2:$BA$1248,14,0)</f>
        <v>30000</v>
      </c>
      <c r="DE231" s="7" t="str">
        <f>VLOOKUP(C231,listaBolsa!$D$2:$BA$1248,23,0)</f>
        <v>MYCBDE</v>
      </c>
      <c r="DF231" s="7">
        <f>VLOOKUP(C231,listaBolsa!$D$2:$BA$1248,29,0)</f>
        <v>33320</v>
      </c>
      <c r="DG231" s="7" t="str">
        <f>VLOOKUP(C231,listaBolsa!$D$2:$BA$1248,36,0)</f>
        <v>DAGROW</v>
      </c>
      <c r="DH231" s="7">
        <f>VLOOKUP(C231,listaBolsa!$D$2:$BA$1248,40,0)</f>
        <v>35000</v>
      </c>
      <c r="DI231" s="253">
        <f>VLOOKUP(C231,listaBolsa!$D$2:$BA$1248,48,0)</f>
        <v>0.1163</v>
      </c>
      <c r="DJ231" s="7" t="b">
        <f t="shared" ref="DJ231:DJ257" si="205">DA231=C231</f>
        <v>1</v>
      </c>
      <c r="DK231" s="7" t="b">
        <f t="shared" si="181"/>
        <v>0</v>
      </c>
      <c r="DL231" s="7" t="b">
        <f t="shared" si="193"/>
        <v>1</v>
      </c>
      <c r="DM231" s="7" t="b">
        <f t="shared" si="194"/>
        <v>1</v>
      </c>
      <c r="DN231" s="7" t="b">
        <f t="shared" si="195"/>
        <v>1</v>
      </c>
      <c r="DO231" s="7" t="b">
        <f t="shared" si="196"/>
        <v>0</v>
      </c>
      <c r="DP231" s="7" t="b">
        <f t="shared" si="197"/>
        <v>1</v>
      </c>
      <c r="DQ231" s="7" t="b">
        <f t="shared" si="198"/>
        <v>1</v>
      </c>
      <c r="DR231" s="7" t="b">
        <f t="shared" si="199"/>
        <v>0</v>
      </c>
    </row>
    <row r="232" spans="1:122" s="7" customFormat="1" ht="42" customHeight="1">
      <c r="A232" s="75">
        <v>224</v>
      </c>
      <c r="B232" s="538" t="s">
        <v>579</v>
      </c>
      <c r="C232" s="411" t="s">
        <v>928</v>
      </c>
      <c r="D232" s="411" t="s">
        <v>929</v>
      </c>
      <c r="E232" s="193" t="s">
        <v>568</v>
      </c>
      <c r="F232" s="75">
        <v>1</v>
      </c>
      <c r="G232" s="75" t="s">
        <v>192</v>
      </c>
      <c r="H232" s="371" t="s">
        <v>230</v>
      </c>
      <c r="I232" s="331">
        <v>176386.55</v>
      </c>
      <c r="J232" s="96">
        <f t="shared" si="203"/>
        <v>33513.444499999998</v>
      </c>
      <c r="K232" s="96">
        <f t="shared" si="185"/>
        <v>209899.99449999997</v>
      </c>
      <c r="L232" s="96">
        <f t="shared" si="186"/>
        <v>176386.55</v>
      </c>
      <c r="M232" s="96">
        <f t="shared" si="187"/>
        <v>209899.99449999997</v>
      </c>
      <c r="N232" s="374" t="s">
        <v>1118</v>
      </c>
      <c r="O232" s="332">
        <v>245190.76</v>
      </c>
      <c r="P232" s="110"/>
      <c r="Q232" s="110">
        <f t="shared" si="188"/>
        <v>245190.76</v>
      </c>
      <c r="R232" s="110">
        <f t="shared" si="189"/>
        <v>245190.76</v>
      </c>
      <c r="S232" s="110">
        <f t="shared" si="190"/>
        <v>245190.76</v>
      </c>
      <c r="T232" s="383" t="s">
        <v>769</v>
      </c>
      <c r="U232" s="333">
        <v>176386.55</v>
      </c>
      <c r="V232" s="99">
        <f t="shared" si="202"/>
        <v>33513.444499999998</v>
      </c>
      <c r="W232" s="99">
        <f t="shared" si="182"/>
        <v>209899.99449999997</v>
      </c>
      <c r="X232" s="99">
        <f t="shared" si="183"/>
        <v>176386.55</v>
      </c>
      <c r="Y232" s="99">
        <f t="shared" si="184"/>
        <v>209899.99449999997</v>
      </c>
      <c r="Z232" s="100">
        <f t="shared" si="200"/>
        <v>221663.58299999998</v>
      </c>
      <c r="AA232" s="100">
        <f t="shared" si="191"/>
        <v>221663.58299999998</v>
      </c>
      <c r="AB232" s="78">
        <f t="shared" si="201"/>
        <v>20375.13296133298</v>
      </c>
      <c r="AC232" s="102">
        <f t="shared" si="192"/>
        <v>9.191917177181505E-2</v>
      </c>
      <c r="AD232" s="5"/>
      <c r="AE232" s="334" t="s">
        <v>1047</v>
      </c>
      <c r="AF232" s="7" t="str">
        <f>VLOOKUP(C232,Estudio_Mercado_Ori!$C$12:$AH$1115,32,0)</f>
        <v>120HUERTAS</v>
      </c>
      <c r="BG232" s="7">
        <v>109</v>
      </c>
      <c r="DA232" s="7" t="str">
        <f>VLOOKUP(C232,listaBolsa!$D$2:$BA$1248,1,0)</f>
        <v>Bolsa compostera impermeable</v>
      </c>
      <c r="DB232" s="7">
        <f>VLOOKUP(C232,listaBolsa!$D$2:$BA$1248,2,0)</f>
        <v>0</v>
      </c>
      <c r="DC232" s="7" t="str">
        <f>VLOOKUP(C232,listaBolsa!$D$2:$BA$1248,10,0)</f>
        <v xml:space="preserve">JUNTOS DE LA MANO </v>
      </c>
      <c r="DD232" s="7">
        <f>VLOOKUP(C232,listaBolsa!$D$2:$BA$1248,14,0)</f>
        <v>310000</v>
      </c>
      <c r="DE232" s="7" t="str">
        <f>VLOOKUP(C232,listaBolsa!$D$2:$BA$1248,23,0)</f>
        <v>MYCBDE</v>
      </c>
      <c r="DF232" s="7">
        <f>VLOOKUP(C232,listaBolsa!$D$2:$BA$1248,29,0)</f>
        <v>380800</v>
      </c>
      <c r="DG232" s="7" t="str">
        <f>VLOOKUP(C232,listaBolsa!$D$2:$BA$1248,36,0)</f>
        <v>DAGROW</v>
      </c>
      <c r="DH232" s="7">
        <f>VLOOKUP(C232,listaBolsa!$D$2:$BA$1248,40,0)</f>
        <v>308000</v>
      </c>
      <c r="DI232" s="253">
        <f>VLOOKUP(C232,listaBolsa!$D$2:$BA$1248,48,0)</f>
        <v>2.06E-2</v>
      </c>
      <c r="DJ232" s="7" t="b">
        <f t="shared" si="205"/>
        <v>1</v>
      </c>
      <c r="DK232" s="7" t="b">
        <f t="shared" si="181"/>
        <v>0</v>
      </c>
      <c r="DL232" s="7" t="b">
        <f t="shared" si="193"/>
        <v>0</v>
      </c>
      <c r="DM232" s="7" t="b">
        <f t="shared" si="194"/>
        <v>0</v>
      </c>
      <c r="DN232" s="7" t="b">
        <f t="shared" si="195"/>
        <v>0</v>
      </c>
      <c r="DO232" s="7" t="b">
        <f t="shared" si="196"/>
        <v>0</v>
      </c>
      <c r="DP232" s="7" t="b">
        <f t="shared" si="197"/>
        <v>0</v>
      </c>
      <c r="DQ232" s="7" t="b">
        <f t="shared" si="198"/>
        <v>0</v>
      </c>
      <c r="DR232" s="7" t="b">
        <f t="shared" si="199"/>
        <v>0</v>
      </c>
    </row>
    <row r="233" spans="1:122" s="7" customFormat="1" ht="42" customHeight="1">
      <c r="A233" s="75">
        <v>225</v>
      </c>
      <c r="B233" s="538" t="s">
        <v>579</v>
      </c>
      <c r="C233" s="351" t="s">
        <v>931</v>
      </c>
      <c r="D233" s="640" t="s">
        <v>932</v>
      </c>
      <c r="E233" s="193" t="s">
        <v>568</v>
      </c>
      <c r="F233" s="75">
        <v>1</v>
      </c>
      <c r="G233" s="75" t="s">
        <v>192</v>
      </c>
      <c r="H233" s="372" t="s">
        <v>933</v>
      </c>
      <c r="I233" s="107">
        <v>5042.0168067226896</v>
      </c>
      <c r="J233" s="96">
        <f t="shared" si="203"/>
        <v>957.98319327731099</v>
      </c>
      <c r="K233" s="96">
        <f t="shared" si="185"/>
        <v>6000.0000000000009</v>
      </c>
      <c r="L233" s="96">
        <f t="shared" si="186"/>
        <v>5042.0168067226896</v>
      </c>
      <c r="M233" s="96">
        <f t="shared" si="187"/>
        <v>6000.0000000000009</v>
      </c>
      <c r="N233" s="382" t="s">
        <v>934</v>
      </c>
      <c r="O233" s="109">
        <v>4705.8823529411766</v>
      </c>
      <c r="P233" s="110">
        <f t="shared" ref="P233:P241" si="206">O233*19%</f>
        <v>894.11764705882354</v>
      </c>
      <c r="Q233" s="110">
        <f t="shared" si="188"/>
        <v>5600</v>
      </c>
      <c r="R233" s="110">
        <f t="shared" si="189"/>
        <v>4705.8823529411766</v>
      </c>
      <c r="S233" s="110">
        <f t="shared" si="190"/>
        <v>5600</v>
      </c>
      <c r="T233" s="387" t="s">
        <v>935</v>
      </c>
      <c r="U233" s="98">
        <v>3512.6050420168071</v>
      </c>
      <c r="V233" s="99">
        <f t="shared" si="202"/>
        <v>667.39495798319342</v>
      </c>
      <c r="W233" s="99">
        <f t="shared" si="182"/>
        <v>4180.0000000000009</v>
      </c>
      <c r="X233" s="99">
        <f t="shared" si="183"/>
        <v>3512.6050420168071</v>
      </c>
      <c r="Y233" s="99">
        <f t="shared" si="184"/>
        <v>4180.0000000000009</v>
      </c>
      <c r="Z233" s="100">
        <f t="shared" si="200"/>
        <v>5260</v>
      </c>
      <c r="AA233" s="100">
        <f t="shared" si="191"/>
        <v>5260</v>
      </c>
      <c r="AB233" s="78">
        <f t="shared" si="201"/>
        <v>956.45177609746747</v>
      </c>
      <c r="AC233" s="102">
        <f t="shared" si="192"/>
        <v>0.18183493842157175</v>
      </c>
      <c r="AD233" s="5"/>
      <c r="AE233" s="7" t="s">
        <v>1053</v>
      </c>
      <c r="AF233" s="7" t="str">
        <f>VLOOKUP(C233,Estudio_Mercado_Ori!$C$12:$AH$1115,32,0)</f>
        <v>121HUERTAS</v>
      </c>
      <c r="BG233" s="7">
        <v>110</v>
      </c>
      <c r="DA233" s="7" t="str">
        <f>VLOOKUP(C233,listaBolsa!$D$2:$BA$1248,1,0)</f>
        <v>Agua destilada 250 ml</v>
      </c>
      <c r="DB233" s="7">
        <f>VLOOKUP(C233,listaBolsa!$D$2:$BA$1248,2,0)</f>
        <v>0</v>
      </c>
      <c r="DC233" s="7" t="str">
        <f>VLOOKUP(C233,listaBolsa!$D$2:$BA$1248,10,0)</f>
        <v>MCKENNA GROUP</v>
      </c>
      <c r="DD233" s="7">
        <f>VLOOKUP(C233,listaBolsa!$D$2:$BA$1248,14,0)</f>
        <v>5042.0200000000004</v>
      </c>
      <c r="DE233" s="7" t="str">
        <f>VLOOKUP(C233,listaBolsa!$D$2:$BA$1248,23,0)</f>
        <v>CRUZ VERDE</v>
      </c>
      <c r="DF233" s="7">
        <f>VLOOKUP(C233,listaBolsa!$D$2:$BA$1248,29,0)</f>
        <v>5600</v>
      </c>
      <c r="DG233" s="7" t="str">
        <f>VLOOKUP(C233,listaBolsa!$D$2:$BA$1248,36,0)</f>
        <v>INCOMEDICA</v>
      </c>
      <c r="DH233" s="7">
        <f>VLOOKUP(C233,listaBolsa!$D$2:$BA$1248,40,0)</f>
        <v>3512.61</v>
      </c>
      <c r="DI233" s="253">
        <f>VLOOKUP(C233,listaBolsa!$D$2:$BA$1248,48,0)</f>
        <v>0.18179999999999999</v>
      </c>
      <c r="DJ233" s="7" t="b">
        <f t="shared" si="205"/>
        <v>1</v>
      </c>
      <c r="DK233" s="7" t="b">
        <f t="shared" si="181"/>
        <v>0</v>
      </c>
      <c r="DL233" s="7" t="b">
        <f t="shared" si="193"/>
        <v>1</v>
      </c>
      <c r="DM233" s="7" t="b">
        <f t="shared" si="194"/>
        <v>0</v>
      </c>
      <c r="DN233" s="7" t="b">
        <f t="shared" si="195"/>
        <v>1</v>
      </c>
      <c r="DO233" s="7" t="b">
        <f t="shared" si="196"/>
        <v>0</v>
      </c>
      <c r="DP233" s="7" t="b">
        <f t="shared" si="197"/>
        <v>1</v>
      </c>
      <c r="DQ233" s="7" t="b">
        <f t="shared" si="198"/>
        <v>0</v>
      </c>
      <c r="DR233" s="7" t="b">
        <f t="shared" si="199"/>
        <v>0</v>
      </c>
    </row>
    <row r="234" spans="1:122" s="7" customFormat="1" ht="42" customHeight="1">
      <c r="A234" s="75">
        <v>226</v>
      </c>
      <c r="B234" s="538" t="s">
        <v>579</v>
      </c>
      <c r="C234" s="336" t="s">
        <v>937</v>
      </c>
      <c r="D234" s="75" t="s">
        <v>938</v>
      </c>
      <c r="E234" s="193" t="s">
        <v>568</v>
      </c>
      <c r="F234" s="75">
        <v>1</v>
      </c>
      <c r="G234" s="75" t="s">
        <v>192</v>
      </c>
      <c r="H234" s="106" t="s">
        <v>328</v>
      </c>
      <c r="I234" s="107">
        <v>12605.042016806719</v>
      </c>
      <c r="J234" s="96">
        <f t="shared" si="203"/>
        <v>2394.9579831932765</v>
      </c>
      <c r="K234" s="96">
        <f t="shared" si="185"/>
        <v>14999.999999999996</v>
      </c>
      <c r="L234" s="96">
        <f t="shared" si="186"/>
        <v>12605.042016806719</v>
      </c>
      <c r="M234" s="96">
        <f t="shared" si="187"/>
        <v>14999.999999999996</v>
      </c>
      <c r="N234" s="108" t="s">
        <v>939</v>
      </c>
      <c r="O234" s="109">
        <v>9663.865546218487</v>
      </c>
      <c r="P234" s="110">
        <f t="shared" si="206"/>
        <v>1836.1344537815125</v>
      </c>
      <c r="Q234" s="110">
        <f t="shared" si="188"/>
        <v>11500</v>
      </c>
      <c r="R234" s="110">
        <f t="shared" si="189"/>
        <v>9663.865546218487</v>
      </c>
      <c r="S234" s="110">
        <f t="shared" si="190"/>
        <v>11500</v>
      </c>
      <c r="T234" s="97" t="s">
        <v>940</v>
      </c>
      <c r="U234" s="98">
        <v>9159.6638655462193</v>
      </c>
      <c r="V234" s="99">
        <f t="shared" si="202"/>
        <v>1740.3361344537816</v>
      </c>
      <c r="W234" s="99">
        <f t="shared" si="182"/>
        <v>10900</v>
      </c>
      <c r="X234" s="99">
        <f t="shared" si="183"/>
        <v>9159.6638655462193</v>
      </c>
      <c r="Y234" s="99">
        <f t="shared" si="184"/>
        <v>10900</v>
      </c>
      <c r="Z234" s="100">
        <f t="shared" si="200"/>
        <v>12466.666666666666</v>
      </c>
      <c r="AA234" s="100">
        <f t="shared" si="191"/>
        <v>12466.666666666666</v>
      </c>
      <c r="AB234" s="78">
        <f t="shared" si="201"/>
        <v>2214.3471573656384</v>
      </c>
      <c r="AC234" s="102">
        <f t="shared" si="192"/>
        <v>0.17762142973521164</v>
      </c>
      <c r="AD234" s="5"/>
      <c r="AE234" s="7" t="s">
        <v>1053</v>
      </c>
      <c r="AF234" s="7" t="str">
        <f>VLOOKUP(C234,Estudio_Mercado_Ori!$C$12:$AH$1115,32,0)</f>
        <v>122HUERTAS</v>
      </c>
      <c r="BG234" s="7">
        <v>111</v>
      </c>
      <c r="DA234" s="7" t="str">
        <f>VLOOKUP(C234,listaBolsa!$D$2:$BA$1248,1,0)</f>
        <v>Alcohol etilico de grado alimienticio (70° a 96°) 1 litro</v>
      </c>
      <c r="DB234" s="7">
        <f>VLOOKUP(C234,listaBolsa!$D$2:$BA$1248,2,0)</f>
        <v>0</v>
      </c>
      <c r="DC234" s="7" t="str">
        <f>VLOOKUP(C234,listaBolsa!$D$2:$BA$1248,10,0)</f>
        <v>LA CASA DEL CIENTIFICO</v>
      </c>
      <c r="DD234" s="7">
        <f>VLOOKUP(C234,listaBolsa!$D$2:$BA$1248,14,0)</f>
        <v>12605.04</v>
      </c>
      <c r="DE234" s="7" t="str">
        <f>VLOOKUP(C234,listaBolsa!$D$2:$BA$1248,23,0)</f>
        <v>PROTOKIMICA</v>
      </c>
      <c r="DF234" s="7">
        <f>VLOOKUP(C234,listaBolsa!$D$2:$BA$1248,29,0)</f>
        <v>11500</v>
      </c>
      <c r="DG234" s="7" t="str">
        <f>VLOOKUP(C234,listaBolsa!$D$2:$BA$1248,36,0)</f>
        <v>PORQUIM INDUSTRIAL</v>
      </c>
      <c r="DH234" s="7">
        <f>VLOOKUP(C234,listaBolsa!$D$2:$BA$1248,40,0)</f>
        <v>9159.66</v>
      </c>
      <c r="DI234" s="253">
        <f>VLOOKUP(C234,listaBolsa!$D$2:$BA$1248,48,0)</f>
        <v>0.17760000000000001</v>
      </c>
      <c r="DJ234" s="7" t="b">
        <f t="shared" si="205"/>
        <v>1</v>
      </c>
      <c r="DK234" s="7" t="b">
        <f t="shared" si="181"/>
        <v>0</v>
      </c>
      <c r="DL234" s="7" t="b">
        <f t="shared" si="193"/>
        <v>1</v>
      </c>
      <c r="DM234" s="7" t="b">
        <f t="shared" si="194"/>
        <v>0</v>
      </c>
      <c r="DN234" s="7" t="b">
        <f t="shared" si="195"/>
        <v>1</v>
      </c>
      <c r="DO234" s="7" t="b">
        <f t="shared" si="196"/>
        <v>0</v>
      </c>
      <c r="DP234" s="7" t="b">
        <f t="shared" si="197"/>
        <v>1</v>
      </c>
      <c r="DQ234" s="7" t="b">
        <f t="shared" si="198"/>
        <v>0</v>
      </c>
      <c r="DR234" s="7" t="b">
        <f t="shared" si="199"/>
        <v>0</v>
      </c>
    </row>
    <row r="235" spans="1:122" s="7" customFormat="1" ht="42" customHeight="1">
      <c r="A235" s="75">
        <v>227</v>
      </c>
      <c r="B235" s="538" t="s">
        <v>579</v>
      </c>
      <c r="C235" s="336" t="s">
        <v>942</v>
      </c>
      <c r="D235" s="75" t="s">
        <v>943</v>
      </c>
      <c r="E235" s="193" t="s">
        <v>568</v>
      </c>
      <c r="F235" s="75">
        <v>1</v>
      </c>
      <c r="G235" s="75" t="s">
        <v>192</v>
      </c>
      <c r="H235" s="106" t="s">
        <v>934</v>
      </c>
      <c r="I235" s="107">
        <v>21050.42016806723</v>
      </c>
      <c r="J235" s="96">
        <f t="shared" si="203"/>
        <v>3999.5798319327737</v>
      </c>
      <c r="K235" s="96">
        <f t="shared" si="185"/>
        <v>25050.000000000004</v>
      </c>
      <c r="L235" s="96">
        <f t="shared" si="186"/>
        <v>21050.42016806723</v>
      </c>
      <c r="M235" s="96">
        <f t="shared" si="187"/>
        <v>25050.000000000004</v>
      </c>
      <c r="N235" s="108" t="s">
        <v>944</v>
      </c>
      <c r="O235" s="109">
        <v>18403.361344537811</v>
      </c>
      <c r="P235" s="110">
        <f t="shared" si="206"/>
        <v>3496.638655462184</v>
      </c>
      <c r="Q235" s="110">
        <f t="shared" si="188"/>
        <v>21899.999999999993</v>
      </c>
      <c r="R235" s="110">
        <f t="shared" si="189"/>
        <v>18403.361344537811</v>
      </c>
      <c r="S235" s="110">
        <f t="shared" si="190"/>
        <v>21899.999999999993</v>
      </c>
      <c r="T235" s="97" t="s">
        <v>945</v>
      </c>
      <c r="U235" s="98">
        <v>19075.63025210084</v>
      </c>
      <c r="V235" s="99">
        <f t="shared" si="202"/>
        <v>3624.3697478991598</v>
      </c>
      <c r="W235" s="99">
        <f t="shared" si="182"/>
        <v>22700</v>
      </c>
      <c r="X235" s="99">
        <f t="shared" si="183"/>
        <v>19075.63025210084</v>
      </c>
      <c r="Y235" s="99">
        <f t="shared" si="184"/>
        <v>22700</v>
      </c>
      <c r="Z235" s="100">
        <f t="shared" si="200"/>
        <v>23216.666666666668</v>
      </c>
      <c r="AA235" s="100">
        <f t="shared" si="191"/>
        <v>23216.666666666668</v>
      </c>
      <c r="AB235" s="78">
        <f t="shared" si="201"/>
        <v>1637.3250542678902</v>
      </c>
      <c r="AC235" s="102">
        <f t="shared" si="192"/>
        <v>7.0523692215415226E-2</v>
      </c>
      <c r="AD235" s="5"/>
      <c r="AE235" s="7" t="s">
        <v>1053</v>
      </c>
      <c r="AF235" s="7" t="str">
        <f>VLOOKUP(C235,Estudio_Mercado_Ori!$C$12:$AH$1115,32,0)</f>
        <v>123HUERTAS</v>
      </c>
      <c r="BG235" s="7">
        <v>112</v>
      </c>
      <c r="DA235" s="7" t="str">
        <f>VLOOKUP(C235,listaBolsa!$D$2:$BA$1248,1,0)</f>
        <v>Aceite de almendras 500 ml</v>
      </c>
      <c r="DB235" s="7">
        <f>VLOOKUP(C235,listaBolsa!$D$2:$BA$1248,2,0)</f>
        <v>0</v>
      </c>
      <c r="DC235" s="7" t="str">
        <f>VLOOKUP(C235,listaBolsa!$D$2:$BA$1248,10,0)</f>
        <v>CRUZ VERDE</v>
      </c>
      <c r="DD235" s="7">
        <f>VLOOKUP(C235,listaBolsa!$D$2:$BA$1248,14,0)</f>
        <v>21050.42</v>
      </c>
      <c r="DE235" s="7" t="str">
        <f>VLOOKUP(C235,listaBolsa!$D$2:$BA$1248,23,0)</f>
        <v>KRIKA</v>
      </c>
      <c r="DF235" s="7">
        <f>VLOOKUP(C235,listaBolsa!$D$2:$BA$1248,29,0)</f>
        <v>21900</v>
      </c>
      <c r="DG235" s="7" t="str">
        <f>VLOOKUP(C235,listaBolsa!$D$2:$BA$1248,36,0)</f>
        <v>LA ECONOMIA</v>
      </c>
      <c r="DH235" s="7">
        <f>VLOOKUP(C235,listaBolsa!$D$2:$BA$1248,40,0)</f>
        <v>19075.63</v>
      </c>
      <c r="DI235" s="253">
        <f>VLOOKUP(C235,listaBolsa!$D$2:$BA$1248,48,0)</f>
        <v>7.0499999999999993E-2</v>
      </c>
      <c r="DJ235" s="7" t="b">
        <f t="shared" si="205"/>
        <v>1</v>
      </c>
      <c r="DK235" s="7" t="b">
        <f t="shared" si="181"/>
        <v>0</v>
      </c>
      <c r="DL235" s="7" t="b">
        <f t="shared" si="193"/>
        <v>1</v>
      </c>
      <c r="DM235" s="7" t="b">
        <f t="shared" si="194"/>
        <v>0</v>
      </c>
      <c r="DN235" s="7" t="b">
        <f t="shared" si="195"/>
        <v>1</v>
      </c>
      <c r="DO235" s="7" t="b">
        <f t="shared" si="196"/>
        <v>0</v>
      </c>
      <c r="DP235" s="7" t="b">
        <f t="shared" si="197"/>
        <v>1</v>
      </c>
      <c r="DQ235" s="7" t="b">
        <f t="shared" si="198"/>
        <v>0</v>
      </c>
      <c r="DR235" s="7" t="b">
        <f t="shared" si="199"/>
        <v>0</v>
      </c>
    </row>
    <row r="236" spans="1:122" s="7" customFormat="1" ht="42" customHeight="1">
      <c r="A236" s="75">
        <v>228</v>
      </c>
      <c r="B236" s="538" t="s">
        <v>579</v>
      </c>
      <c r="C236" s="336" t="s">
        <v>947</v>
      </c>
      <c r="D236" s="75" t="s">
        <v>948</v>
      </c>
      <c r="E236" s="193" t="s">
        <v>568</v>
      </c>
      <c r="F236" s="75">
        <v>1</v>
      </c>
      <c r="G236" s="75" t="s">
        <v>192</v>
      </c>
      <c r="H236" s="106" t="s">
        <v>949</v>
      </c>
      <c r="I236" s="107">
        <v>57143</v>
      </c>
      <c r="J236" s="96">
        <f t="shared" si="203"/>
        <v>10857.17</v>
      </c>
      <c r="K236" s="96">
        <f t="shared" si="185"/>
        <v>68000.17</v>
      </c>
      <c r="L236" s="96">
        <f t="shared" si="186"/>
        <v>57143</v>
      </c>
      <c r="M236" s="96">
        <f t="shared" si="187"/>
        <v>68000.17</v>
      </c>
      <c r="N236" s="108" t="s">
        <v>950</v>
      </c>
      <c r="O236" s="109">
        <v>47899</v>
      </c>
      <c r="P236" s="110">
        <f t="shared" si="206"/>
        <v>9100.81</v>
      </c>
      <c r="Q236" s="110">
        <f t="shared" si="188"/>
        <v>56999.81</v>
      </c>
      <c r="R236" s="110">
        <f t="shared" si="189"/>
        <v>47899</v>
      </c>
      <c r="S236" s="110">
        <f t="shared" si="190"/>
        <v>56999.81</v>
      </c>
      <c r="T236" s="97" t="s">
        <v>769</v>
      </c>
      <c r="U236" s="98">
        <v>46220</v>
      </c>
      <c r="V236" s="99">
        <f t="shared" si="202"/>
        <v>8781.7999999999993</v>
      </c>
      <c r="W236" s="99">
        <f t="shared" si="182"/>
        <v>55001.8</v>
      </c>
      <c r="X236" s="99">
        <f t="shared" si="183"/>
        <v>46220</v>
      </c>
      <c r="Y236" s="99">
        <f t="shared" si="184"/>
        <v>55001.8</v>
      </c>
      <c r="Z236" s="100">
        <f t="shared" si="200"/>
        <v>60000.593333333331</v>
      </c>
      <c r="AA236" s="100">
        <f t="shared" si="191"/>
        <v>60000.593333333331</v>
      </c>
      <c r="AB236" s="78">
        <f t="shared" si="201"/>
        <v>6999.4950621050739</v>
      </c>
      <c r="AC236" s="102">
        <f t="shared" si="192"/>
        <v>0.11665709742601002</v>
      </c>
      <c r="AD236" s="5"/>
      <c r="AF236" s="7" t="str">
        <f>VLOOKUP(C236,Estudio_Mercado_Ori!$C$12:$AH$1115,32,0)</f>
        <v>124HUERTAS</v>
      </c>
      <c r="BG236" s="7">
        <v>113</v>
      </c>
      <c r="DA236" s="7" t="e">
        <f>VLOOKUP(C236,listaBolsa!$D$2:$BA$1248,1,0)</f>
        <v>#N/A</v>
      </c>
      <c r="DB236" s="7" t="e">
        <f>VLOOKUP(C236,listaBolsa!$D$2:$BA$1248,2,0)</f>
        <v>#N/A</v>
      </c>
      <c r="DC236" s="7" t="e">
        <f>VLOOKUP(C236,listaBolsa!$D$2:$BA$1248,10,0)</f>
        <v>#N/A</v>
      </c>
      <c r="DD236" s="7" t="e">
        <f>VLOOKUP(C236,listaBolsa!$D$2:$BA$1248,14,0)</f>
        <v>#N/A</v>
      </c>
      <c r="DE236" s="7" t="e">
        <f>VLOOKUP(C236,listaBolsa!$D$2:$BA$1248,23,0)</f>
        <v>#N/A</v>
      </c>
      <c r="DF236" s="7" t="e">
        <f>VLOOKUP(C236,listaBolsa!$D$2:$BA$1248,29,0)</f>
        <v>#N/A</v>
      </c>
      <c r="DG236" s="7" t="e">
        <f>VLOOKUP(C236,listaBolsa!$D$2:$BA$1248,36,0)</f>
        <v>#N/A</v>
      </c>
      <c r="DH236" s="7" t="e">
        <f>VLOOKUP(C236,listaBolsa!$D$2:$BA$1248,40,0)</f>
        <v>#N/A</v>
      </c>
      <c r="DI236" s="252" t="e">
        <f>VLOOKUP(C236,listaBolsa!$D$2:$BA$1248,48,0)</f>
        <v>#N/A</v>
      </c>
      <c r="DJ236" s="7" t="e">
        <f t="shared" si="205"/>
        <v>#N/A</v>
      </c>
      <c r="DK236" s="7" t="e">
        <f t="shared" si="181"/>
        <v>#N/A</v>
      </c>
      <c r="DL236" s="7" t="e">
        <f t="shared" si="193"/>
        <v>#N/A</v>
      </c>
      <c r="DM236" s="7" t="e">
        <f t="shared" si="194"/>
        <v>#N/A</v>
      </c>
      <c r="DN236" s="7" t="e">
        <f t="shared" si="195"/>
        <v>#N/A</v>
      </c>
      <c r="DO236" s="7" t="e">
        <f t="shared" si="196"/>
        <v>#N/A</v>
      </c>
      <c r="DP236" s="7" t="e">
        <f t="shared" si="197"/>
        <v>#N/A</v>
      </c>
      <c r="DQ236" s="7" t="e">
        <f t="shared" si="198"/>
        <v>#N/A</v>
      </c>
      <c r="DR236" s="7" t="e">
        <f t="shared" si="199"/>
        <v>#N/A</v>
      </c>
    </row>
    <row r="237" spans="1:122" s="7" customFormat="1" ht="42" customHeight="1">
      <c r="A237" s="75">
        <v>229</v>
      </c>
      <c r="B237" s="538" t="s">
        <v>579</v>
      </c>
      <c r="C237" s="336" t="s">
        <v>952</v>
      </c>
      <c r="D237" s="75" t="s">
        <v>953</v>
      </c>
      <c r="E237" s="193" t="s">
        <v>568</v>
      </c>
      <c r="F237" s="75">
        <v>1</v>
      </c>
      <c r="G237" s="75" t="s">
        <v>192</v>
      </c>
      <c r="H237" s="106" t="s">
        <v>380</v>
      </c>
      <c r="I237" s="107">
        <v>42000</v>
      </c>
      <c r="J237" s="96">
        <f t="shared" si="203"/>
        <v>7980</v>
      </c>
      <c r="K237" s="96">
        <f t="shared" si="185"/>
        <v>49980</v>
      </c>
      <c r="L237" s="96">
        <f t="shared" si="186"/>
        <v>42000</v>
      </c>
      <c r="M237" s="96">
        <f t="shared" si="187"/>
        <v>49980</v>
      </c>
      <c r="N237" s="108" t="s">
        <v>381</v>
      </c>
      <c r="O237" s="109">
        <v>40000</v>
      </c>
      <c r="P237" s="110">
        <f t="shared" si="206"/>
        <v>7600</v>
      </c>
      <c r="Q237" s="110">
        <f t="shared" si="188"/>
        <v>47600</v>
      </c>
      <c r="R237" s="110">
        <f t="shared" si="189"/>
        <v>40000</v>
      </c>
      <c r="S237" s="110">
        <f t="shared" si="190"/>
        <v>47600</v>
      </c>
      <c r="T237" s="97" t="s">
        <v>382</v>
      </c>
      <c r="U237" s="98">
        <v>39200</v>
      </c>
      <c r="V237" s="99">
        <f t="shared" si="202"/>
        <v>7448</v>
      </c>
      <c r="W237" s="99">
        <f t="shared" si="182"/>
        <v>46648</v>
      </c>
      <c r="X237" s="99">
        <f t="shared" si="183"/>
        <v>39200</v>
      </c>
      <c r="Y237" s="99">
        <f t="shared" si="184"/>
        <v>46648</v>
      </c>
      <c r="Z237" s="100">
        <f t="shared" si="200"/>
        <v>48076</v>
      </c>
      <c r="AA237" s="100">
        <f t="shared" si="191"/>
        <v>48076</v>
      </c>
      <c r="AB237" s="78">
        <f t="shared" si="201"/>
        <v>1716.2424071208588</v>
      </c>
      <c r="AC237" s="102">
        <f t="shared" si="192"/>
        <v>3.569852747984148E-2</v>
      </c>
      <c r="AD237" s="5"/>
      <c r="AE237" s="7" t="s">
        <v>1053</v>
      </c>
      <c r="AF237" s="7" t="str">
        <f>VLOOKUP(C237,Estudio_Mercado_Ori!$C$12:$AH$1115,32,0)</f>
        <v>125HUERTAS</v>
      </c>
      <c r="BG237" s="7">
        <v>114</v>
      </c>
      <c r="DA237" s="7" t="str">
        <f>VLOOKUP(C237,listaBolsa!$D$2:$BA$1248,1,0)</f>
        <v>Glicerina vegetal 500 ml</v>
      </c>
      <c r="DB237" s="7">
        <f>VLOOKUP(C237,listaBolsa!$D$2:$BA$1248,2,0)</f>
        <v>0</v>
      </c>
      <c r="DC237" s="7" t="str">
        <f>VLOOKUP(C237,listaBolsa!$D$2:$BA$1248,10,0)</f>
        <v xml:space="preserve">JUNTOS DE LA MANO </v>
      </c>
      <c r="DD237" s="7">
        <f>VLOOKUP(C237,listaBolsa!$D$2:$BA$1248,14,0)</f>
        <v>42000</v>
      </c>
      <c r="DE237" s="7" t="str">
        <f>VLOOKUP(C237,listaBolsa!$D$2:$BA$1248,23,0)</f>
        <v>MYCBDE</v>
      </c>
      <c r="DF237" s="7">
        <f>VLOOKUP(C237,listaBolsa!$D$2:$BA$1248,29,0)</f>
        <v>47600</v>
      </c>
      <c r="DG237" s="7" t="str">
        <f>VLOOKUP(C237,listaBolsa!$D$2:$BA$1248,36,0)</f>
        <v>DAGROW</v>
      </c>
      <c r="DH237" s="7">
        <f>VLOOKUP(C237,listaBolsa!$D$2:$BA$1248,40,0)</f>
        <v>39200</v>
      </c>
      <c r="DI237" s="253">
        <f>VLOOKUP(C237,listaBolsa!$D$2:$BA$1248,48,0)</f>
        <v>3.5700000000000003E-2</v>
      </c>
      <c r="DJ237" s="7" t="b">
        <f t="shared" si="205"/>
        <v>1</v>
      </c>
      <c r="DK237" s="7" t="b">
        <f t="shared" ref="DK237:DK256" si="207">DB237=D236</f>
        <v>0</v>
      </c>
      <c r="DL237" s="7" t="b">
        <f t="shared" si="193"/>
        <v>1</v>
      </c>
      <c r="DM237" s="7" t="b">
        <f t="shared" si="194"/>
        <v>1</v>
      </c>
      <c r="DN237" s="7" t="b">
        <f t="shared" si="195"/>
        <v>1</v>
      </c>
      <c r="DO237" s="7" t="b">
        <f t="shared" si="196"/>
        <v>0</v>
      </c>
      <c r="DP237" s="7" t="b">
        <f t="shared" si="197"/>
        <v>1</v>
      </c>
      <c r="DQ237" s="7" t="b">
        <f t="shared" si="198"/>
        <v>1</v>
      </c>
      <c r="DR237" s="7" t="b">
        <f t="shared" si="199"/>
        <v>0</v>
      </c>
    </row>
    <row r="238" spans="1:122" s="7" customFormat="1" ht="42" customHeight="1">
      <c r="A238" s="75">
        <v>230</v>
      </c>
      <c r="B238" s="538" t="s">
        <v>579</v>
      </c>
      <c r="C238" s="336" t="s">
        <v>955</v>
      </c>
      <c r="D238" s="75" t="s">
        <v>956</v>
      </c>
      <c r="E238" s="193" t="s">
        <v>568</v>
      </c>
      <c r="F238" s="75">
        <v>1</v>
      </c>
      <c r="G238" s="75" t="s">
        <v>192</v>
      </c>
      <c r="H238" s="106" t="s">
        <v>380</v>
      </c>
      <c r="I238" s="107">
        <v>6000</v>
      </c>
      <c r="J238" s="96">
        <f t="shared" si="203"/>
        <v>1140</v>
      </c>
      <c r="K238" s="96">
        <f t="shared" si="185"/>
        <v>7140</v>
      </c>
      <c r="L238" s="96">
        <f t="shared" si="186"/>
        <v>6000</v>
      </c>
      <c r="M238" s="96">
        <f t="shared" si="187"/>
        <v>7140</v>
      </c>
      <c r="N238" s="108" t="s">
        <v>381</v>
      </c>
      <c r="O238" s="109">
        <v>5500</v>
      </c>
      <c r="P238" s="110">
        <f t="shared" si="206"/>
        <v>1045</v>
      </c>
      <c r="Q238" s="110">
        <f t="shared" si="188"/>
        <v>6545</v>
      </c>
      <c r="R238" s="110">
        <f t="shared" si="189"/>
        <v>5500</v>
      </c>
      <c r="S238" s="110">
        <f t="shared" si="190"/>
        <v>6545</v>
      </c>
      <c r="T238" s="97" t="s">
        <v>382</v>
      </c>
      <c r="U238" s="98">
        <v>4900</v>
      </c>
      <c r="V238" s="99">
        <f t="shared" si="202"/>
        <v>931</v>
      </c>
      <c r="W238" s="99">
        <f t="shared" si="182"/>
        <v>5831</v>
      </c>
      <c r="X238" s="99">
        <f t="shared" si="183"/>
        <v>4900</v>
      </c>
      <c r="Y238" s="99">
        <f t="shared" si="184"/>
        <v>5831</v>
      </c>
      <c r="Z238" s="100">
        <f t="shared" si="200"/>
        <v>6505.333333333333</v>
      </c>
      <c r="AA238" s="100">
        <f t="shared" si="191"/>
        <v>6505.333333333333</v>
      </c>
      <c r="AB238" s="78">
        <f t="shared" si="201"/>
        <v>655.40089512704617</v>
      </c>
      <c r="AC238" s="102">
        <f t="shared" si="192"/>
        <v>0.10074824171864821</v>
      </c>
      <c r="AD238" s="5"/>
      <c r="AE238" s="7" t="s">
        <v>1053</v>
      </c>
      <c r="AF238" s="7" t="str">
        <f>VLOOKUP(C238,Estudio_Mercado_Ori!$C$12:$AH$1115,32,0)</f>
        <v>126HUERTAS</v>
      </c>
      <c r="BG238" s="7">
        <v>115</v>
      </c>
      <c r="DA238" s="7" t="str">
        <f>VLOOKUP(C238,listaBolsa!$D$2:$BA$1248,1,0)</f>
        <v>Vinagre de manzana 500 ml</v>
      </c>
      <c r="DB238" s="7">
        <f>VLOOKUP(C238,listaBolsa!$D$2:$BA$1248,2,0)</f>
        <v>0</v>
      </c>
      <c r="DC238" s="7" t="str">
        <f>VLOOKUP(C238,listaBolsa!$D$2:$BA$1248,10,0)</f>
        <v xml:space="preserve">JUNTOS DE LA MANO </v>
      </c>
      <c r="DD238" s="7">
        <f>VLOOKUP(C238,listaBolsa!$D$2:$BA$1248,14,0)</f>
        <v>6000</v>
      </c>
      <c r="DE238" s="7" t="str">
        <f>VLOOKUP(C238,listaBolsa!$D$2:$BA$1248,23,0)</f>
        <v>MYCBDE</v>
      </c>
      <c r="DF238" s="7">
        <f>VLOOKUP(C238,listaBolsa!$D$2:$BA$1248,29,0)</f>
        <v>5500</v>
      </c>
      <c r="DG238" s="7" t="str">
        <f>VLOOKUP(C238,listaBolsa!$D$2:$BA$1248,36,0)</f>
        <v>DAGROW</v>
      </c>
      <c r="DH238" s="7">
        <f>VLOOKUP(C238,listaBolsa!$D$2:$BA$1248,40,0)</f>
        <v>4900</v>
      </c>
      <c r="DI238" s="253">
        <f>VLOOKUP(C238,listaBolsa!$D$2:$BA$1248,48,0)</f>
        <v>0.1007</v>
      </c>
      <c r="DJ238" s="7" t="b">
        <f t="shared" si="205"/>
        <v>1</v>
      </c>
      <c r="DK238" s="7" t="b">
        <f t="shared" si="207"/>
        <v>0</v>
      </c>
      <c r="DL238" s="7" t="b">
        <f t="shared" si="193"/>
        <v>1</v>
      </c>
      <c r="DM238" s="7" t="b">
        <f t="shared" si="194"/>
        <v>1</v>
      </c>
      <c r="DN238" s="7" t="b">
        <f t="shared" si="195"/>
        <v>1</v>
      </c>
      <c r="DO238" s="7" t="b">
        <f t="shared" si="196"/>
        <v>1</v>
      </c>
      <c r="DP238" s="7" t="b">
        <f t="shared" si="197"/>
        <v>1</v>
      </c>
      <c r="DQ238" s="7" t="b">
        <f t="shared" si="198"/>
        <v>1</v>
      </c>
      <c r="DR238" s="7" t="b">
        <f t="shared" si="199"/>
        <v>0</v>
      </c>
    </row>
    <row r="239" spans="1:122" s="7" customFormat="1" ht="42" customHeight="1">
      <c r="A239" s="75">
        <v>231</v>
      </c>
      <c r="B239" s="538" t="s">
        <v>579</v>
      </c>
      <c r="C239" s="336" t="s">
        <v>958</v>
      </c>
      <c r="D239" s="75" t="s">
        <v>959</v>
      </c>
      <c r="E239" s="193" t="s">
        <v>568</v>
      </c>
      <c r="F239" s="75">
        <v>1</v>
      </c>
      <c r="G239" s="75" t="s">
        <v>192</v>
      </c>
      <c r="H239" s="106" t="s">
        <v>960</v>
      </c>
      <c r="I239" s="107">
        <v>46190.739495798327</v>
      </c>
      <c r="J239" s="96">
        <f t="shared" si="203"/>
        <v>8776.2405042016817</v>
      </c>
      <c r="K239" s="96">
        <f t="shared" si="185"/>
        <v>54966.98000000001</v>
      </c>
      <c r="L239" s="96">
        <f t="shared" si="186"/>
        <v>46190.739495798327</v>
      </c>
      <c r="M239" s="96">
        <f t="shared" si="187"/>
        <v>54966.98000000001</v>
      </c>
      <c r="N239" s="108" t="s">
        <v>961</v>
      </c>
      <c r="O239" s="109">
        <v>36638.655462184877</v>
      </c>
      <c r="P239" s="110">
        <f t="shared" si="206"/>
        <v>6961.3445378151264</v>
      </c>
      <c r="Q239" s="110">
        <f t="shared" si="188"/>
        <v>43600</v>
      </c>
      <c r="R239" s="110">
        <f t="shared" si="189"/>
        <v>36638.655462184877</v>
      </c>
      <c r="S239" s="110">
        <f t="shared" si="190"/>
        <v>43600</v>
      </c>
      <c r="T239" s="97" t="s">
        <v>962</v>
      </c>
      <c r="U239" s="98">
        <v>45798.319327731093</v>
      </c>
      <c r="V239" s="99">
        <f t="shared" si="202"/>
        <v>8701.6806722689071</v>
      </c>
      <c r="W239" s="99">
        <f t="shared" si="182"/>
        <v>54500</v>
      </c>
      <c r="X239" s="99">
        <f t="shared" si="183"/>
        <v>45798.319327731093</v>
      </c>
      <c r="Y239" s="99">
        <f t="shared" si="184"/>
        <v>54500</v>
      </c>
      <c r="Z239" s="100">
        <f t="shared" si="200"/>
        <v>51022.326666666668</v>
      </c>
      <c r="AA239" s="100">
        <f t="shared" si="191"/>
        <v>51022.326666666668</v>
      </c>
      <c r="AB239" s="78">
        <f t="shared" si="201"/>
        <v>6432.1627342701067</v>
      </c>
      <c r="AC239" s="102">
        <f t="shared" si="192"/>
        <v>0.12606564918710958</v>
      </c>
      <c r="AD239" s="5"/>
      <c r="AE239" s="7" t="s">
        <v>1053</v>
      </c>
      <c r="AF239" s="7" t="str">
        <f>VLOOKUP(C239,Estudio_Mercado_Ori!$C$12:$AH$1115,32,0)</f>
        <v>127HUERTAS</v>
      </c>
      <c r="BG239" s="7">
        <v>116</v>
      </c>
      <c r="DA239" s="7" t="str">
        <f>VLOOKUP(C239,listaBolsa!$D$2:$BA$1248,1,0)</f>
        <v>Vitamina E  100 capsulas blandas</v>
      </c>
      <c r="DB239" s="7">
        <f>VLOOKUP(C239,listaBolsa!$D$2:$BA$1248,2,0)</f>
        <v>0</v>
      </c>
      <c r="DC239" s="7" t="str">
        <f>VLOOKUP(C239,listaBolsa!$D$2:$BA$1248,10,0)</f>
        <v>IHERB</v>
      </c>
      <c r="DD239" s="7">
        <f>VLOOKUP(C239,listaBolsa!$D$2:$BA$1248,14,0)</f>
        <v>46190.74</v>
      </c>
      <c r="DE239" s="7" t="str">
        <f>VLOOKUP(C239,listaBolsa!$D$2:$BA$1248,23,0)</f>
        <v>LA REBAJA</v>
      </c>
      <c r="DF239" s="7">
        <f>VLOOKUP(C239,listaBolsa!$D$2:$BA$1248,29,0)</f>
        <v>43600</v>
      </c>
      <c r="DG239" s="7" t="str">
        <f>VLOOKUP(C239,listaBolsa!$D$2:$BA$1248,36,0)</f>
        <v>ALAMACEN MADEIRA</v>
      </c>
      <c r="DH239" s="7">
        <f>VLOOKUP(C239,listaBolsa!$D$2:$BA$1248,40,0)</f>
        <v>45798.32</v>
      </c>
      <c r="DI239" s="253">
        <f>VLOOKUP(C239,listaBolsa!$D$2:$BA$1248,48,0)</f>
        <v>0.12609999999999999</v>
      </c>
      <c r="DJ239" s="7" t="b">
        <f t="shared" si="205"/>
        <v>1</v>
      </c>
      <c r="DK239" s="7" t="b">
        <f t="shared" si="207"/>
        <v>0</v>
      </c>
      <c r="DL239" s="7" t="b">
        <f t="shared" si="193"/>
        <v>1</v>
      </c>
      <c r="DM239" s="7" t="b">
        <f t="shared" si="194"/>
        <v>0</v>
      </c>
      <c r="DN239" s="7" t="b">
        <f t="shared" si="195"/>
        <v>1</v>
      </c>
      <c r="DO239" s="7" t="b">
        <f t="shared" si="196"/>
        <v>0</v>
      </c>
      <c r="DP239" s="7" t="b">
        <f t="shared" si="197"/>
        <v>1</v>
      </c>
      <c r="DQ239" s="7" t="b">
        <f t="shared" si="198"/>
        <v>0</v>
      </c>
      <c r="DR239" s="7" t="b">
        <f t="shared" si="199"/>
        <v>0</v>
      </c>
    </row>
    <row r="240" spans="1:122" s="7" customFormat="1" ht="42" customHeight="1">
      <c r="A240" s="75">
        <v>232</v>
      </c>
      <c r="B240" s="538" t="s">
        <v>579</v>
      </c>
      <c r="C240" s="336" t="s">
        <v>964</v>
      </c>
      <c r="D240" s="75" t="s">
        <v>965</v>
      </c>
      <c r="E240" s="193" t="s">
        <v>568</v>
      </c>
      <c r="F240" s="75">
        <v>1</v>
      </c>
      <c r="G240" s="75" t="s">
        <v>192</v>
      </c>
      <c r="H240" s="371" t="s">
        <v>1119</v>
      </c>
      <c r="I240" s="331">
        <v>52301.68</v>
      </c>
      <c r="J240" s="96">
        <f t="shared" si="203"/>
        <v>9937.3191999999999</v>
      </c>
      <c r="K240" s="96">
        <f t="shared" si="185"/>
        <v>62238.999199999998</v>
      </c>
      <c r="L240" s="96">
        <f t="shared" si="186"/>
        <v>52301.68</v>
      </c>
      <c r="M240" s="96">
        <f t="shared" si="187"/>
        <v>62238.999199999998</v>
      </c>
      <c r="N240" s="108" t="s">
        <v>381</v>
      </c>
      <c r="O240" s="109">
        <v>74000</v>
      </c>
      <c r="P240" s="110">
        <f t="shared" si="206"/>
        <v>14060</v>
      </c>
      <c r="Q240" s="110">
        <f t="shared" si="188"/>
        <v>88060</v>
      </c>
      <c r="R240" s="110">
        <f t="shared" si="189"/>
        <v>74000</v>
      </c>
      <c r="S240" s="110">
        <f t="shared" si="190"/>
        <v>88060</v>
      </c>
      <c r="T240" s="97" t="s">
        <v>382</v>
      </c>
      <c r="U240" s="98">
        <v>63000</v>
      </c>
      <c r="V240" s="99">
        <f t="shared" si="202"/>
        <v>11970</v>
      </c>
      <c r="W240" s="99">
        <f t="shared" si="182"/>
        <v>74970</v>
      </c>
      <c r="X240" s="99">
        <f t="shared" si="183"/>
        <v>63000</v>
      </c>
      <c r="Y240" s="99">
        <f t="shared" si="184"/>
        <v>74970</v>
      </c>
      <c r="Z240" s="100">
        <f t="shared" si="200"/>
        <v>75089.666400000002</v>
      </c>
      <c r="AA240" s="100">
        <f t="shared" si="191"/>
        <v>75089.666400000002</v>
      </c>
      <c r="AB240" s="78">
        <f t="shared" si="201"/>
        <v>12910.916335174228</v>
      </c>
      <c r="AC240" s="102">
        <f t="shared" si="192"/>
        <v>0.17193998793919568</v>
      </c>
      <c r="AD240" s="5"/>
      <c r="AE240" s="334" t="s">
        <v>1045</v>
      </c>
      <c r="AF240" s="7" t="str">
        <f>VLOOKUP(C240,Estudio_Mercado_Ori!$C$12:$AH$1115,32,0)</f>
        <v>128HUERTAS</v>
      </c>
      <c r="BG240" s="7">
        <v>117</v>
      </c>
      <c r="DA240" s="7" t="str">
        <f>VLOOKUP(C240,listaBolsa!$D$2:$BA$1248,1,0)</f>
        <v>Papel de filtro tipo laboratorio 11 cm</v>
      </c>
      <c r="DB240" s="7">
        <f>VLOOKUP(C240,listaBolsa!$D$2:$BA$1248,2,0)</f>
        <v>0</v>
      </c>
      <c r="DC240" s="7" t="str">
        <f>VLOOKUP(C240,listaBolsa!$D$2:$BA$1248,10,0)</f>
        <v xml:space="preserve">JUNTOS DE LA MANO </v>
      </c>
      <c r="DD240" s="7">
        <f>VLOOKUP(C240,listaBolsa!$D$2:$BA$1248,14,0)</f>
        <v>76000</v>
      </c>
      <c r="DE240" s="7" t="str">
        <f>VLOOKUP(C240,listaBolsa!$D$2:$BA$1248,23,0)</f>
        <v>MYCBDE</v>
      </c>
      <c r="DF240" s="7">
        <f>VLOOKUP(C240,listaBolsa!$D$2:$BA$1248,29,0)</f>
        <v>88060</v>
      </c>
      <c r="DG240" s="7" t="str">
        <f>VLOOKUP(C240,listaBolsa!$D$2:$BA$1248,36,0)</f>
        <v>DAGROW</v>
      </c>
      <c r="DH240" s="7">
        <f>VLOOKUP(C240,listaBolsa!$D$2:$BA$1248,40,0)</f>
        <v>63000</v>
      </c>
      <c r="DI240" s="253">
        <f>VLOOKUP(C240,listaBolsa!$D$2:$BA$1248,48,0)</f>
        <v>9.8599999999999993E-2</v>
      </c>
      <c r="DJ240" s="7" t="b">
        <f t="shared" si="205"/>
        <v>1</v>
      </c>
      <c r="DK240" s="7" t="b">
        <f t="shared" si="207"/>
        <v>0</v>
      </c>
      <c r="DL240" s="7" t="b">
        <f t="shared" si="193"/>
        <v>0</v>
      </c>
      <c r="DM240" s="7" t="b">
        <f t="shared" si="194"/>
        <v>0</v>
      </c>
      <c r="DN240" s="7" t="b">
        <f t="shared" si="195"/>
        <v>1</v>
      </c>
      <c r="DO240" s="7" t="b">
        <f t="shared" si="196"/>
        <v>0</v>
      </c>
      <c r="DP240" s="7" t="b">
        <f t="shared" si="197"/>
        <v>1</v>
      </c>
      <c r="DQ240" s="7" t="b">
        <f t="shared" si="198"/>
        <v>1</v>
      </c>
      <c r="DR240" s="7" t="b">
        <f t="shared" si="199"/>
        <v>0</v>
      </c>
    </row>
    <row r="241" spans="1:122" s="7" customFormat="1" ht="42" customHeight="1">
      <c r="A241" s="75">
        <v>233</v>
      </c>
      <c r="B241" s="538" t="s">
        <v>579</v>
      </c>
      <c r="C241" s="336" t="s">
        <v>967</v>
      </c>
      <c r="D241" s="336" t="s">
        <v>968</v>
      </c>
      <c r="E241" s="193" t="s">
        <v>568</v>
      </c>
      <c r="F241" s="75">
        <v>1</v>
      </c>
      <c r="G241" s="75" t="s">
        <v>192</v>
      </c>
      <c r="H241" s="372" t="s">
        <v>380</v>
      </c>
      <c r="I241" s="107">
        <v>25000</v>
      </c>
      <c r="J241" s="96">
        <f t="shared" si="203"/>
        <v>4750</v>
      </c>
      <c r="K241" s="96">
        <f t="shared" si="185"/>
        <v>29750</v>
      </c>
      <c r="L241" s="96">
        <f t="shared" si="186"/>
        <v>25000</v>
      </c>
      <c r="M241" s="96">
        <f t="shared" si="187"/>
        <v>29750</v>
      </c>
      <c r="N241" s="108" t="s">
        <v>381</v>
      </c>
      <c r="O241" s="109">
        <v>23000</v>
      </c>
      <c r="P241" s="110">
        <f t="shared" si="206"/>
        <v>4370</v>
      </c>
      <c r="Q241" s="110">
        <f t="shared" si="188"/>
        <v>27370</v>
      </c>
      <c r="R241" s="110">
        <f t="shared" si="189"/>
        <v>23000</v>
      </c>
      <c r="S241" s="110">
        <f t="shared" si="190"/>
        <v>27370</v>
      </c>
      <c r="T241" s="97" t="s">
        <v>382</v>
      </c>
      <c r="U241" s="98">
        <v>22000</v>
      </c>
      <c r="V241" s="99">
        <f t="shared" si="202"/>
        <v>4180</v>
      </c>
      <c r="W241" s="99">
        <f t="shared" ref="W241:W258" si="208">U241+V241</f>
        <v>26180</v>
      </c>
      <c r="X241" s="99">
        <f t="shared" ref="X241:X258" si="209">IF(B241="","",(U241*F241))</f>
        <v>22000</v>
      </c>
      <c r="Y241" s="99">
        <f t="shared" ref="Y241:Y258" si="210">IF(B241="","",(W241*F241))</f>
        <v>26180</v>
      </c>
      <c r="Z241" s="100">
        <f t="shared" si="200"/>
        <v>27766.666666666668</v>
      </c>
      <c r="AA241" s="100">
        <f t="shared" si="191"/>
        <v>27766.666666666668</v>
      </c>
      <c r="AB241" s="78">
        <f t="shared" si="201"/>
        <v>1817.7550256658164</v>
      </c>
      <c r="AC241" s="102">
        <f t="shared" si="192"/>
        <v>6.5465367070797711E-2</v>
      </c>
      <c r="AD241" s="5"/>
      <c r="AE241" s="7" t="s">
        <v>1053</v>
      </c>
      <c r="AF241" s="7" t="str">
        <f>VLOOKUP(C241,Estudio_Mercado_Ori!$C$12:$AH$1115,32,0)</f>
        <v>129HUERTAS</v>
      </c>
      <c r="BG241" s="7">
        <v>118</v>
      </c>
      <c r="DA241" s="7" t="str">
        <f>VLOOKUP(C241,listaBolsa!$D$2:$BA$1248,1,0)</f>
        <v>tela de algodón crudo (mantequeras)  2 unidades</v>
      </c>
      <c r="DB241" s="7">
        <f>VLOOKUP(C241,listaBolsa!$D$2:$BA$1248,2,0)</f>
        <v>0</v>
      </c>
      <c r="DC241" s="7" t="str">
        <f>VLOOKUP(C241,listaBolsa!$D$2:$BA$1248,10,0)</f>
        <v xml:space="preserve">JUNTOS DE LA MANO </v>
      </c>
      <c r="DD241" s="7">
        <f>VLOOKUP(C241,listaBolsa!$D$2:$BA$1248,14,0)</f>
        <v>25000</v>
      </c>
      <c r="DE241" s="7" t="str">
        <f>VLOOKUP(C241,listaBolsa!$D$2:$BA$1248,23,0)</f>
        <v>MYCBDE</v>
      </c>
      <c r="DF241" s="7">
        <f>VLOOKUP(C241,listaBolsa!$D$2:$BA$1248,29,0)</f>
        <v>27370</v>
      </c>
      <c r="DG241" s="7" t="str">
        <f>VLOOKUP(C241,listaBolsa!$D$2:$BA$1248,36,0)</f>
        <v>DAGROW</v>
      </c>
      <c r="DH241" s="7">
        <f>VLOOKUP(C241,listaBolsa!$D$2:$BA$1248,40,0)</f>
        <v>22000</v>
      </c>
      <c r="DI241" s="253">
        <f>VLOOKUP(C241,listaBolsa!$D$2:$BA$1248,48,0)</f>
        <v>6.5500000000000003E-2</v>
      </c>
      <c r="DJ241" s="7" t="b">
        <f t="shared" si="205"/>
        <v>1</v>
      </c>
      <c r="DK241" s="7" t="b">
        <f t="shared" si="207"/>
        <v>0</v>
      </c>
      <c r="DL241" s="7" t="b">
        <f t="shared" si="193"/>
        <v>1</v>
      </c>
      <c r="DM241" s="7" t="b">
        <f t="shared" si="194"/>
        <v>1</v>
      </c>
      <c r="DN241" s="7" t="b">
        <f t="shared" si="195"/>
        <v>1</v>
      </c>
      <c r="DO241" s="7" t="b">
        <f t="shared" si="196"/>
        <v>0</v>
      </c>
      <c r="DP241" s="7" t="b">
        <f t="shared" si="197"/>
        <v>1</v>
      </c>
      <c r="DQ241" s="7" t="b">
        <f t="shared" si="198"/>
        <v>1</v>
      </c>
      <c r="DR241" s="7" t="b">
        <f t="shared" si="199"/>
        <v>0</v>
      </c>
    </row>
    <row r="242" spans="1:122" s="7" customFormat="1" ht="42" customHeight="1">
      <c r="A242" s="75">
        <v>234</v>
      </c>
      <c r="B242" s="538" t="s">
        <v>579</v>
      </c>
      <c r="C242" s="336" t="s">
        <v>970</v>
      </c>
      <c r="D242" s="75" t="s">
        <v>971</v>
      </c>
      <c r="E242" s="193" t="s">
        <v>568</v>
      </c>
      <c r="F242" s="75">
        <v>1</v>
      </c>
      <c r="G242" s="75" t="s">
        <v>192</v>
      </c>
      <c r="H242" s="106" t="s">
        <v>380</v>
      </c>
      <c r="I242" s="107">
        <v>58000</v>
      </c>
      <c r="J242" s="96"/>
      <c r="K242" s="96">
        <f t="shared" ref="K242:K258" si="211">I242+J242</f>
        <v>58000</v>
      </c>
      <c r="L242" s="96">
        <f t="shared" ref="L242:L258" si="212">IF(B242="","",(I242*F242))</f>
        <v>58000</v>
      </c>
      <c r="M242" s="96">
        <f t="shared" ref="M242:M258" si="213">IF(B242="","",(K242*F242))</f>
        <v>58000</v>
      </c>
      <c r="N242" s="108" t="s">
        <v>381</v>
      </c>
      <c r="O242" s="109">
        <v>56000</v>
      </c>
      <c r="P242" s="110"/>
      <c r="Q242" s="110">
        <f t="shared" ref="Q242:Q258" si="214">O242+P242</f>
        <v>56000</v>
      </c>
      <c r="R242" s="110">
        <f t="shared" ref="R242:R258" si="215">IF(B242="","",(O242*F242))</f>
        <v>56000</v>
      </c>
      <c r="S242" s="110">
        <f t="shared" ref="S242:S258" si="216">IF(B242="","",(Q242*F242))</f>
        <v>56000</v>
      </c>
      <c r="T242" s="97" t="s">
        <v>239</v>
      </c>
      <c r="U242" s="98">
        <v>71428.571428571435</v>
      </c>
      <c r="V242" s="99">
        <f t="shared" si="202"/>
        <v>13571.428571428572</v>
      </c>
      <c r="W242" s="99">
        <f t="shared" si="208"/>
        <v>85000</v>
      </c>
      <c r="X242" s="99">
        <f t="shared" si="209"/>
        <v>71428.571428571435</v>
      </c>
      <c r="Y242" s="99">
        <f t="shared" si="210"/>
        <v>85000</v>
      </c>
      <c r="Z242" s="100">
        <f t="shared" si="200"/>
        <v>66333.333333333328</v>
      </c>
      <c r="AA242" s="100">
        <f t="shared" ref="AA242:AA258" si="217">IF(B242="","",Z242*F242)</f>
        <v>66333.333333333328</v>
      </c>
      <c r="AB242" s="78">
        <f t="shared" si="201"/>
        <v>16196.707484341779</v>
      </c>
      <c r="AC242" s="102">
        <f t="shared" ref="AC242:AC258" si="218">IF(B242="","",(AB242/AA242))</f>
        <v>0.24417146961319267</v>
      </c>
      <c r="AD242" s="5"/>
      <c r="AE242" s="7" t="s">
        <v>1070</v>
      </c>
      <c r="AF242" s="7" t="str">
        <f>VLOOKUP(C242,Estudio_Mercado_Ori!$C$12:$AH$1115,32,0)</f>
        <v>130HUERTAS</v>
      </c>
      <c r="BG242" s="7">
        <v>119</v>
      </c>
      <c r="DA242" s="7" t="str">
        <f>VLOOKUP(C242,listaBolsa!$D$2:$BA$1248,1,0)</f>
        <v>malla red deshidratador</v>
      </c>
      <c r="DB242" s="7">
        <f>VLOOKUP(C242,listaBolsa!$D$2:$BA$1248,2,0)</f>
        <v>0</v>
      </c>
      <c r="DC242" s="7" t="str">
        <f>VLOOKUP(C242,listaBolsa!$D$2:$BA$1248,10,0)</f>
        <v xml:space="preserve">JUNTOS DE LA MANO </v>
      </c>
      <c r="DD242" s="7">
        <f>VLOOKUP(C242,listaBolsa!$D$2:$BA$1248,14,0)</f>
        <v>58000</v>
      </c>
      <c r="DE242" s="7" t="str">
        <f>VLOOKUP(C242,listaBolsa!$D$2:$BA$1248,23,0)</f>
        <v>MYCBDE</v>
      </c>
      <c r="DF242" s="7">
        <f>VLOOKUP(C242,listaBolsa!$D$2:$BA$1248,29,0)</f>
        <v>56000</v>
      </c>
      <c r="DG242" s="7" t="str">
        <f>VLOOKUP(C242,listaBolsa!$D$2:$BA$1248,36,0)</f>
        <v>EXITO</v>
      </c>
      <c r="DH242" s="7">
        <f>VLOOKUP(C242,listaBolsa!$D$2:$BA$1248,40,0)</f>
        <v>71428.570000000007</v>
      </c>
      <c r="DI242" s="253">
        <f>VLOOKUP(C242,listaBolsa!$D$2:$BA$1248,48,0)</f>
        <v>0.2442</v>
      </c>
      <c r="DJ242" s="7" t="b">
        <f t="shared" si="205"/>
        <v>1</v>
      </c>
      <c r="DK242" s="7" t="b">
        <f t="shared" si="207"/>
        <v>0</v>
      </c>
      <c r="DL242" s="7" t="b">
        <f t="shared" ref="DL242:DL257" si="219">DC242=H242</f>
        <v>1</v>
      </c>
      <c r="DM242" s="7" t="b">
        <f t="shared" ref="DM242:DM257" si="220">DD242=I242</f>
        <v>1</v>
      </c>
      <c r="DN242" s="7" t="b">
        <f t="shared" ref="DN242:DN257" si="221">DE242=N242</f>
        <v>1</v>
      </c>
      <c r="DO242" s="7" t="b">
        <f t="shared" ref="DO242:DO257" si="222">DF242=O242</f>
        <v>1</v>
      </c>
      <c r="DP242" s="7" t="b">
        <f t="shared" ref="DP242:DP257" si="223">DG242=T242</f>
        <v>1</v>
      </c>
      <c r="DQ242" s="7" t="b">
        <f t="shared" ref="DQ242:DQ257" si="224">DH242=U242</f>
        <v>0</v>
      </c>
      <c r="DR242" s="7" t="b">
        <f t="shared" ref="DR242:DR257" si="225">DI242=AC242</f>
        <v>0</v>
      </c>
    </row>
    <row r="243" spans="1:122" s="7" customFormat="1" ht="42" customHeight="1">
      <c r="A243" s="75">
        <v>235</v>
      </c>
      <c r="B243" s="538" t="s">
        <v>579</v>
      </c>
      <c r="C243" s="336" t="s">
        <v>973</v>
      </c>
      <c r="D243" s="75" t="s">
        <v>974</v>
      </c>
      <c r="E243" s="193" t="s">
        <v>568</v>
      </c>
      <c r="F243" s="75">
        <v>1</v>
      </c>
      <c r="G243" s="75" t="s">
        <v>192</v>
      </c>
      <c r="H243" s="371" t="s">
        <v>239</v>
      </c>
      <c r="I243" s="331">
        <v>350042.02</v>
      </c>
      <c r="J243" s="96">
        <f t="shared" ref="J243:J256" si="226">I243*19%</f>
        <v>66507.983800000002</v>
      </c>
      <c r="K243" s="96">
        <f t="shared" si="211"/>
        <v>416550.00380000001</v>
      </c>
      <c r="L243" s="96">
        <f t="shared" si="212"/>
        <v>350042.02</v>
      </c>
      <c r="M243" s="96">
        <f t="shared" si="213"/>
        <v>416550.00380000001</v>
      </c>
      <c r="N243" s="374" t="s">
        <v>769</v>
      </c>
      <c r="O243" s="332">
        <v>336050.42</v>
      </c>
      <c r="P243" s="110">
        <f t="shared" ref="P243:P256" si="227">O243*19%</f>
        <v>63849.5798</v>
      </c>
      <c r="Q243" s="110">
        <f t="shared" si="214"/>
        <v>399899.99979999999</v>
      </c>
      <c r="R243" s="110">
        <f t="shared" si="215"/>
        <v>336050.42</v>
      </c>
      <c r="S243" s="110">
        <f t="shared" si="216"/>
        <v>399899.99979999999</v>
      </c>
      <c r="T243" s="383" t="s">
        <v>1120</v>
      </c>
      <c r="U243" s="333">
        <v>344350.42</v>
      </c>
      <c r="V243" s="99">
        <f t="shared" si="202"/>
        <v>65426.5798</v>
      </c>
      <c r="W243" s="99">
        <f t="shared" si="208"/>
        <v>409776.99979999999</v>
      </c>
      <c r="X243" s="99">
        <f t="shared" si="209"/>
        <v>344350.42</v>
      </c>
      <c r="Y243" s="99">
        <f t="shared" si="210"/>
        <v>409776.99979999999</v>
      </c>
      <c r="Z243" s="100">
        <f t="shared" ref="Z243:Z258" si="228">IF(A243="","",AVERAGE(K243,Q243,W243))</f>
        <v>408742.33446666662</v>
      </c>
      <c r="AA243" s="100">
        <f t="shared" si="217"/>
        <v>408742.33446666662</v>
      </c>
      <c r="AB243" s="78">
        <f t="shared" ref="AB243:AB258" si="229">IF(B243="","",STDEV(M243,S243,Y243))</f>
        <v>8373.0853073407452</v>
      </c>
      <c r="AC243" s="102">
        <f t="shared" si="218"/>
        <v>2.0484996540096778E-2</v>
      </c>
      <c r="AD243" s="5"/>
      <c r="AE243" s="334" t="s">
        <v>1047</v>
      </c>
      <c r="AF243" s="7" t="str">
        <f>VLOOKUP(C243,Estudio_Mercado_Ori!$C$12:$AH$1115,32,0)</f>
        <v>131HUERTAS</v>
      </c>
      <c r="BG243" s="7">
        <v>120</v>
      </c>
      <c r="DA243" s="7" t="str">
        <f>VLOOKUP(C243,listaBolsa!$D$2:$BA$1248,1,0)</f>
        <v>Maquina Secadora Frutas Verduras </v>
      </c>
      <c r="DB243" s="7">
        <f>VLOOKUP(C243,listaBolsa!$D$2:$BA$1248,2,0)</f>
        <v>0</v>
      </c>
      <c r="DC243" s="7" t="str">
        <f>VLOOKUP(C243,listaBolsa!$D$2:$BA$1248,10,0)</f>
        <v xml:space="preserve">JUNTOS DE LA MANO </v>
      </c>
      <c r="DD243" s="7">
        <f>VLOOKUP(C243,listaBolsa!$D$2:$BA$1248,14,0)</f>
        <v>630000</v>
      </c>
      <c r="DE243" s="7" t="str">
        <f>VLOOKUP(C243,listaBolsa!$D$2:$BA$1248,23,0)</f>
        <v>MYCBDE</v>
      </c>
      <c r="DF243" s="7">
        <f>VLOOKUP(C243,listaBolsa!$D$2:$BA$1248,29,0)</f>
        <v>737800</v>
      </c>
      <c r="DG243" s="7" t="str">
        <f>VLOOKUP(C243,listaBolsa!$D$2:$BA$1248,36,0)</f>
        <v>DAGROW</v>
      </c>
      <c r="DH243" s="7">
        <f>VLOOKUP(C243,listaBolsa!$D$2:$BA$1248,40,0)</f>
        <v>595000</v>
      </c>
      <c r="DI243" s="253">
        <f>VLOOKUP(C243,listaBolsa!$D$2:$BA$1248,48,0)</f>
        <v>2.93E-2</v>
      </c>
      <c r="DJ243" s="7" t="b">
        <f t="shared" si="205"/>
        <v>1</v>
      </c>
      <c r="DK243" s="7" t="b">
        <f t="shared" si="207"/>
        <v>0</v>
      </c>
      <c r="DL243" s="7" t="b">
        <f t="shared" si="219"/>
        <v>0</v>
      </c>
      <c r="DM243" s="7" t="b">
        <f t="shared" si="220"/>
        <v>0</v>
      </c>
      <c r="DN243" s="7" t="b">
        <f t="shared" si="221"/>
        <v>0</v>
      </c>
      <c r="DO243" s="7" t="b">
        <f t="shared" si="222"/>
        <v>0</v>
      </c>
      <c r="DP243" s="7" t="b">
        <f t="shared" si="223"/>
        <v>0</v>
      </c>
      <c r="DQ243" s="7" t="b">
        <f t="shared" si="224"/>
        <v>0</v>
      </c>
      <c r="DR243" s="7" t="b">
        <f t="shared" si="225"/>
        <v>0</v>
      </c>
    </row>
    <row r="244" spans="1:122" s="7" customFormat="1" ht="42" customHeight="1">
      <c r="A244" s="75">
        <v>236</v>
      </c>
      <c r="B244" s="538" t="s">
        <v>579</v>
      </c>
      <c r="C244" s="336" t="s">
        <v>976</v>
      </c>
      <c r="D244" s="336" t="s">
        <v>977</v>
      </c>
      <c r="E244" s="193" t="s">
        <v>568</v>
      </c>
      <c r="F244" s="75">
        <v>1</v>
      </c>
      <c r="G244" s="75" t="s">
        <v>192</v>
      </c>
      <c r="H244" s="391" t="s">
        <v>239</v>
      </c>
      <c r="I244" s="331">
        <v>75362.179999999993</v>
      </c>
      <c r="J244" s="96">
        <f t="shared" si="226"/>
        <v>14318.814199999999</v>
      </c>
      <c r="K244" s="96">
        <f t="shared" si="211"/>
        <v>89680.994199999986</v>
      </c>
      <c r="L244" s="96">
        <f t="shared" si="212"/>
        <v>75362.179999999993</v>
      </c>
      <c r="M244" s="96">
        <f t="shared" si="213"/>
        <v>89680.994199999986</v>
      </c>
      <c r="N244" s="277" t="s">
        <v>769</v>
      </c>
      <c r="O244" s="332">
        <v>58739.5</v>
      </c>
      <c r="P244" s="110">
        <f t="shared" si="227"/>
        <v>11160.505000000001</v>
      </c>
      <c r="Q244" s="110">
        <f t="shared" si="214"/>
        <v>69900.005000000005</v>
      </c>
      <c r="R244" s="110">
        <f t="shared" si="215"/>
        <v>58739.5</v>
      </c>
      <c r="S244" s="110">
        <f t="shared" si="216"/>
        <v>69900.005000000005</v>
      </c>
      <c r="T244" s="390" t="s">
        <v>230</v>
      </c>
      <c r="U244" s="333">
        <v>58739.5</v>
      </c>
      <c r="V244" s="99">
        <f t="shared" si="202"/>
        <v>11160.505000000001</v>
      </c>
      <c r="W244" s="99">
        <f t="shared" si="208"/>
        <v>69900.005000000005</v>
      </c>
      <c r="X244" s="99">
        <f t="shared" si="209"/>
        <v>58739.5</v>
      </c>
      <c r="Y244" s="99">
        <f t="shared" si="210"/>
        <v>69900.005000000005</v>
      </c>
      <c r="Z244" s="100">
        <f t="shared" si="228"/>
        <v>76493.668066666665</v>
      </c>
      <c r="AA244" s="100">
        <f t="shared" si="217"/>
        <v>76493.668066666665</v>
      </c>
      <c r="AB244" s="78">
        <f t="shared" si="229"/>
        <v>11420.559439457049</v>
      </c>
      <c r="AC244" s="102">
        <f t="shared" si="218"/>
        <v>0.14930071636130285</v>
      </c>
      <c r="AD244" s="5"/>
      <c r="AE244" s="334" t="s">
        <v>1047</v>
      </c>
      <c r="AF244" s="7" t="str">
        <f>VLOOKUP(C244,Estudio_Mercado_Ori!$C$12:$AH$1115,32,0)</f>
        <v>132HUERTAS</v>
      </c>
      <c r="BG244" s="7">
        <v>81</v>
      </c>
      <c r="DA244" s="7" t="str">
        <f>VLOOKUP(C244,listaBolsa!$D$2:$BA$1248,1,0)</f>
        <v>centrifugadora de vegetales</v>
      </c>
      <c r="DB244" s="7">
        <f>VLOOKUP(C244,listaBolsa!$D$2:$BA$1248,2,0)</f>
        <v>0</v>
      </c>
      <c r="DC244" s="7" t="str">
        <f>VLOOKUP(C244,listaBolsa!$D$2:$BA$1248,10,0)</f>
        <v xml:space="preserve">JUNTOS DE LA MANO </v>
      </c>
      <c r="DD244" s="7">
        <f>VLOOKUP(C244,listaBolsa!$D$2:$BA$1248,14,0)</f>
        <v>140000</v>
      </c>
      <c r="DE244" s="7" t="str">
        <f>VLOOKUP(C244,listaBolsa!$D$2:$BA$1248,23,0)</f>
        <v>MYCBDE</v>
      </c>
      <c r="DF244" s="7">
        <f>VLOOKUP(C244,listaBolsa!$D$2:$BA$1248,29,0)</f>
        <v>154700</v>
      </c>
      <c r="DG244" s="7" t="str">
        <f>VLOOKUP(C244,listaBolsa!$D$2:$BA$1248,36,0)</f>
        <v>DAGROW</v>
      </c>
      <c r="DH244" s="7">
        <f>VLOOKUP(C244,listaBolsa!$D$2:$BA$1248,40,0)</f>
        <v>120400</v>
      </c>
      <c r="DI244" s="253">
        <f>VLOOKUP(C244,listaBolsa!$D$2:$BA$1248,48,0)</f>
        <v>7.5300000000000006E-2</v>
      </c>
      <c r="DJ244" s="7" t="b">
        <f t="shared" si="205"/>
        <v>1</v>
      </c>
      <c r="DK244" s="7" t="b">
        <f t="shared" si="207"/>
        <v>0</v>
      </c>
      <c r="DL244" s="7" t="b">
        <f t="shared" si="219"/>
        <v>0</v>
      </c>
      <c r="DM244" s="7" t="b">
        <f t="shared" si="220"/>
        <v>0</v>
      </c>
      <c r="DN244" s="7" t="b">
        <f t="shared" si="221"/>
        <v>0</v>
      </c>
      <c r="DO244" s="7" t="b">
        <f t="shared" si="222"/>
        <v>0</v>
      </c>
      <c r="DP244" s="7" t="b">
        <f t="shared" si="223"/>
        <v>0</v>
      </c>
      <c r="DQ244" s="7" t="b">
        <f t="shared" si="224"/>
        <v>0</v>
      </c>
      <c r="DR244" s="7" t="b">
        <f t="shared" si="225"/>
        <v>0</v>
      </c>
    </row>
    <row r="245" spans="1:122" s="7" customFormat="1" ht="63" customHeight="1">
      <c r="A245" s="75">
        <v>237</v>
      </c>
      <c r="B245" s="538" t="s">
        <v>579</v>
      </c>
      <c r="C245" s="336" t="s">
        <v>979</v>
      </c>
      <c r="D245" s="75" t="s">
        <v>980</v>
      </c>
      <c r="E245" s="193" t="s">
        <v>568</v>
      </c>
      <c r="F245" s="75">
        <v>1</v>
      </c>
      <c r="G245" s="75" t="s">
        <v>192</v>
      </c>
      <c r="H245" s="372" t="s">
        <v>380</v>
      </c>
      <c r="I245" s="107">
        <v>60000</v>
      </c>
      <c r="J245" s="96">
        <f t="shared" si="226"/>
        <v>11400</v>
      </c>
      <c r="K245" s="96">
        <f t="shared" si="211"/>
        <v>71400</v>
      </c>
      <c r="L245" s="96">
        <f t="shared" si="212"/>
        <v>60000</v>
      </c>
      <c r="M245" s="96">
        <f t="shared" si="213"/>
        <v>71400</v>
      </c>
      <c r="N245" s="381" t="s">
        <v>381</v>
      </c>
      <c r="O245" s="109">
        <v>58000</v>
      </c>
      <c r="P245" s="110">
        <f t="shared" si="227"/>
        <v>11020</v>
      </c>
      <c r="Q245" s="110">
        <f t="shared" si="214"/>
        <v>69020</v>
      </c>
      <c r="R245" s="110">
        <f t="shared" si="215"/>
        <v>58000</v>
      </c>
      <c r="S245" s="110">
        <f t="shared" si="216"/>
        <v>69020</v>
      </c>
      <c r="T245" s="387" t="s">
        <v>382</v>
      </c>
      <c r="U245" s="98">
        <v>56000</v>
      </c>
      <c r="V245" s="99">
        <f t="shared" si="202"/>
        <v>10640</v>
      </c>
      <c r="W245" s="99">
        <f t="shared" si="208"/>
        <v>66640</v>
      </c>
      <c r="X245" s="99">
        <f t="shared" si="209"/>
        <v>56000</v>
      </c>
      <c r="Y245" s="99">
        <f t="shared" si="210"/>
        <v>66640</v>
      </c>
      <c r="Z245" s="100">
        <f t="shared" si="228"/>
        <v>69020</v>
      </c>
      <c r="AA245" s="100">
        <f t="shared" si="217"/>
        <v>69020</v>
      </c>
      <c r="AB245" s="78">
        <f t="shared" si="229"/>
        <v>2380</v>
      </c>
      <c r="AC245" s="102">
        <f t="shared" si="218"/>
        <v>3.4482758620689655E-2</v>
      </c>
      <c r="AD245" s="5"/>
      <c r="AE245" s="7" t="s">
        <v>1046</v>
      </c>
      <c r="AF245" s="7" t="str">
        <f>VLOOKUP(C245,Estudio_Mercado_Ori!$C$12:$AH$1115,32,0)</f>
        <v>133HUERTAS</v>
      </c>
      <c r="BG245" s="7">
        <v>82</v>
      </c>
      <c r="DA245" s="7" t="str">
        <f>VLOOKUP(C245,listaBolsa!$D$2:$BA$1248,1,0)</f>
        <v>molino de granos o especias</v>
      </c>
      <c r="DB245" s="7">
        <f>VLOOKUP(C245,listaBolsa!$D$2:$BA$1248,2,0)</f>
        <v>0</v>
      </c>
      <c r="DC245" s="7" t="str">
        <f>VLOOKUP(C245,listaBolsa!$D$2:$BA$1248,10,0)</f>
        <v xml:space="preserve">JUNTOS DE LA MANO </v>
      </c>
      <c r="DD245" s="7">
        <f>VLOOKUP(C245,listaBolsa!$D$2:$BA$1248,14,0)</f>
        <v>60000</v>
      </c>
      <c r="DE245" s="7" t="str">
        <f>VLOOKUP(C245,listaBolsa!$D$2:$BA$1248,23,0)</f>
        <v>MYCBDE</v>
      </c>
      <c r="DF245" s="7">
        <f>VLOOKUP(C245,listaBolsa!$D$2:$BA$1248,29,0)</f>
        <v>69020</v>
      </c>
      <c r="DG245" s="7" t="str">
        <f>VLOOKUP(C245,listaBolsa!$D$2:$BA$1248,36,0)</f>
        <v>DAGROW</v>
      </c>
      <c r="DH245" s="7">
        <f>VLOOKUP(C245,listaBolsa!$D$2:$BA$1248,40,0)</f>
        <v>56000</v>
      </c>
      <c r="DI245" s="253">
        <f>VLOOKUP(C245,listaBolsa!$D$2:$BA$1248,48,0)</f>
        <v>3.4500000000000003E-2</v>
      </c>
      <c r="DJ245" s="7" t="b">
        <f t="shared" si="205"/>
        <v>1</v>
      </c>
      <c r="DK245" s="7" t="b">
        <f t="shared" si="207"/>
        <v>0</v>
      </c>
      <c r="DL245" s="7" t="b">
        <f t="shared" si="219"/>
        <v>1</v>
      </c>
      <c r="DM245" s="7" t="b">
        <f t="shared" si="220"/>
        <v>1</v>
      </c>
      <c r="DN245" s="7" t="b">
        <f t="shared" si="221"/>
        <v>1</v>
      </c>
      <c r="DO245" s="7" t="b">
        <f t="shared" si="222"/>
        <v>0</v>
      </c>
      <c r="DP245" s="7" t="b">
        <f t="shared" si="223"/>
        <v>1</v>
      </c>
      <c r="DQ245" s="7" t="b">
        <f t="shared" si="224"/>
        <v>1</v>
      </c>
      <c r="DR245" s="7" t="b">
        <f t="shared" si="225"/>
        <v>0</v>
      </c>
    </row>
    <row r="246" spans="1:122" s="7" customFormat="1" ht="42" customHeight="1">
      <c r="A246" s="75">
        <v>238</v>
      </c>
      <c r="B246" s="538" t="s">
        <v>579</v>
      </c>
      <c r="C246" s="336" t="s">
        <v>982</v>
      </c>
      <c r="D246" s="75" t="s">
        <v>983</v>
      </c>
      <c r="E246" s="193" t="s">
        <v>568</v>
      </c>
      <c r="F246" s="75">
        <v>1</v>
      </c>
      <c r="G246" s="75" t="s">
        <v>192</v>
      </c>
      <c r="H246" s="373" t="s">
        <v>239</v>
      </c>
      <c r="I246" s="331">
        <v>27310.92</v>
      </c>
      <c r="J246" s="96">
        <f t="shared" si="226"/>
        <v>5189.0747999999994</v>
      </c>
      <c r="K246" s="96">
        <f t="shared" si="211"/>
        <v>32499.994799999997</v>
      </c>
      <c r="L246" s="96">
        <f t="shared" si="212"/>
        <v>27310.92</v>
      </c>
      <c r="M246" s="96">
        <f t="shared" si="213"/>
        <v>32499.994799999997</v>
      </c>
      <c r="N246" s="380" t="s">
        <v>769</v>
      </c>
      <c r="O246" s="332">
        <v>33529.410000000003</v>
      </c>
      <c r="P246" s="110">
        <f t="shared" si="227"/>
        <v>6370.5879000000004</v>
      </c>
      <c r="Q246" s="110">
        <f t="shared" si="214"/>
        <v>39899.997900000002</v>
      </c>
      <c r="R246" s="110">
        <f t="shared" si="215"/>
        <v>33529.410000000003</v>
      </c>
      <c r="S246" s="110">
        <f t="shared" si="216"/>
        <v>39899.997900000002</v>
      </c>
      <c r="T246" s="385" t="s">
        <v>1121</v>
      </c>
      <c r="U246" s="333">
        <v>41932.769999999997</v>
      </c>
      <c r="V246" s="99">
        <f t="shared" si="202"/>
        <v>7967.2262999999994</v>
      </c>
      <c r="W246" s="99">
        <f t="shared" si="208"/>
        <v>49899.996299999999</v>
      </c>
      <c r="X246" s="99">
        <f t="shared" si="209"/>
        <v>41932.769999999997</v>
      </c>
      <c r="Y246" s="99">
        <f t="shared" si="210"/>
        <v>49899.996299999999</v>
      </c>
      <c r="Z246" s="100">
        <f t="shared" si="228"/>
        <v>40766.663</v>
      </c>
      <c r="AA246" s="100">
        <f t="shared" si="217"/>
        <v>40766.663</v>
      </c>
      <c r="AB246" s="78">
        <f t="shared" si="229"/>
        <v>8732.3160929199767</v>
      </c>
      <c r="AC246" s="102">
        <f t="shared" si="218"/>
        <v>0.21420237641035217</v>
      </c>
      <c r="AD246" s="5"/>
      <c r="AE246" s="334" t="s">
        <v>1047</v>
      </c>
      <c r="AF246" s="7" t="str">
        <f>VLOOKUP(C246,Estudio_Mercado_Ori!$C$12:$AH$1115,32,0)</f>
        <v>134HUERTAS</v>
      </c>
      <c r="BG246" s="7">
        <v>83</v>
      </c>
      <c r="DA246" s="7" t="str">
        <f>VLOOKUP(C246,listaBolsa!$D$2:$BA$1248,1,0)</f>
        <v>termometro de sonda o infrarrojo</v>
      </c>
      <c r="DB246" s="7">
        <f>VLOOKUP(C246,listaBolsa!$D$2:$BA$1248,2,0)</f>
        <v>0</v>
      </c>
      <c r="DC246" s="7" t="str">
        <f>VLOOKUP(C246,listaBolsa!$D$2:$BA$1248,10,0)</f>
        <v xml:space="preserve">JUNTOS DE LA MANO </v>
      </c>
      <c r="DD246" s="7">
        <f>VLOOKUP(C246,listaBolsa!$D$2:$BA$1248,14,0)</f>
        <v>80000</v>
      </c>
      <c r="DE246" s="7" t="str">
        <f>VLOOKUP(C246,listaBolsa!$D$2:$BA$1248,23,0)</f>
        <v>MYCBDE</v>
      </c>
      <c r="DF246" s="7">
        <f>VLOOKUP(C246,listaBolsa!$D$2:$BA$1248,29,0)</f>
        <v>92820</v>
      </c>
      <c r="DG246" s="7" t="str">
        <f>VLOOKUP(C246,listaBolsa!$D$2:$BA$1248,36,0)</f>
        <v>DAGROW</v>
      </c>
      <c r="DH246" s="7">
        <f>VLOOKUP(C246,listaBolsa!$D$2:$BA$1248,40,0)</f>
        <v>77000</v>
      </c>
      <c r="DI246" s="253">
        <f>VLOOKUP(C246,listaBolsa!$D$2:$BA$1248,48,0)</f>
        <v>1.95E-2</v>
      </c>
      <c r="DJ246" s="7" t="b">
        <f t="shared" si="205"/>
        <v>1</v>
      </c>
      <c r="DK246" s="7" t="b">
        <f t="shared" si="207"/>
        <v>0</v>
      </c>
      <c r="DL246" s="7" t="b">
        <f t="shared" si="219"/>
        <v>0</v>
      </c>
      <c r="DM246" s="7" t="b">
        <f t="shared" si="220"/>
        <v>0</v>
      </c>
      <c r="DN246" s="7" t="b">
        <f t="shared" si="221"/>
        <v>0</v>
      </c>
      <c r="DO246" s="7" t="b">
        <f t="shared" si="222"/>
        <v>0</v>
      </c>
      <c r="DP246" s="7" t="b">
        <f t="shared" si="223"/>
        <v>0</v>
      </c>
      <c r="DQ246" s="7" t="b">
        <f t="shared" si="224"/>
        <v>0</v>
      </c>
      <c r="DR246" s="7" t="b">
        <f t="shared" si="225"/>
        <v>0</v>
      </c>
    </row>
    <row r="247" spans="1:122" s="7" customFormat="1" ht="42" customHeight="1">
      <c r="A247" s="75">
        <v>239</v>
      </c>
      <c r="B247" s="538" t="s">
        <v>579</v>
      </c>
      <c r="C247" s="336" t="s">
        <v>985</v>
      </c>
      <c r="D247" s="75" t="s">
        <v>986</v>
      </c>
      <c r="E247" s="193" t="s">
        <v>568</v>
      </c>
      <c r="F247" s="75">
        <v>1</v>
      </c>
      <c r="G247" s="75" t="s">
        <v>192</v>
      </c>
      <c r="H247" s="372" t="s">
        <v>987</v>
      </c>
      <c r="I247" s="107">
        <v>368894.11764705891</v>
      </c>
      <c r="J247" s="96">
        <f t="shared" si="226"/>
        <v>70089.882352941189</v>
      </c>
      <c r="K247" s="96">
        <f t="shared" si="211"/>
        <v>438984.00000000012</v>
      </c>
      <c r="L247" s="96">
        <f t="shared" si="212"/>
        <v>368894.11764705891</v>
      </c>
      <c r="M247" s="96">
        <f t="shared" si="213"/>
        <v>438984.00000000012</v>
      </c>
      <c r="N247" s="381" t="s">
        <v>380</v>
      </c>
      <c r="O247" s="109">
        <v>440000</v>
      </c>
      <c r="P247" s="110">
        <f t="shared" si="227"/>
        <v>83600</v>
      </c>
      <c r="Q247" s="110">
        <f t="shared" si="214"/>
        <v>523600</v>
      </c>
      <c r="R247" s="110">
        <f t="shared" si="215"/>
        <v>440000</v>
      </c>
      <c r="S247" s="110">
        <f t="shared" si="216"/>
        <v>523600</v>
      </c>
      <c r="T247" s="386" t="s">
        <v>381</v>
      </c>
      <c r="U247" s="98">
        <v>430000</v>
      </c>
      <c r="V247" s="99">
        <f t="shared" si="202"/>
        <v>81700</v>
      </c>
      <c r="W247" s="99">
        <f t="shared" si="208"/>
        <v>511700</v>
      </c>
      <c r="X247" s="99">
        <f t="shared" si="209"/>
        <v>430000</v>
      </c>
      <c r="Y247" s="99">
        <f t="shared" si="210"/>
        <v>511700</v>
      </c>
      <c r="Z247" s="100">
        <f t="shared" si="228"/>
        <v>491428</v>
      </c>
      <c r="AA247" s="100">
        <f t="shared" si="217"/>
        <v>491428</v>
      </c>
      <c r="AB247" s="78">
        <f t="shared" si="229"/>
        <v>45805.920490696328</v>
      </c>
      <c r="AC247" s="102">
        <f t="shared" si="218"/>
        <v>9.3209830312266151E-2</v>
      </c>
      <c r="AD247" s="5"/>
      <c r="AE247" s="7" t="s">
        <v>1046</v>
      </c>
      <c r="AF247" s="7" t="str">
        <f>VLOOKUP(C247,Estudio_Mercado_Ori!$C$12:$AH$1115,32,0)</f>
        <v>135HUERTAS</v>
      </c>
      <c r="BG247" s="7">
        <v>84</v>
      </c>
      <c r="DA247" s="7" t="str">
        <f>VLOOKUP(C247,listaBolsa!$D$2:$BA$1248,1,0)</f>
        <v>alambique para aceites esenciales</v>
      </c>
      <c r="DB247" s="7">
        <f>VLOOKUP(C247,listaBolsa!$D$2:$BA$1248,2,0)</f>
        <v>0</v>
      </c>
      <c r="DC247" s="7" t="str">
        <f>VLOOKUP(C247,listaBolsa!$D$2:$BA$1248,10,0)</f>
        <v>ENCARGUELO</v>
      </c>
      <c r="DD247" s="7">
        <f>VLOOKUP(C247,listaBolsa!$D$2:$BA$1248,14,0)</f>
        <v>368894.12</v>
      </c>
      <c r="DE247" s="7" t="str">
        <f>VLOOKUP(C247,listaBolsa!$D$2:$BA$1248,23,0)</f>
        <v xml:space="preserve">JUNTOS DE LA MANO </v>
      </c>
      <c r="DF247" s="7">
        <f>VLOOKUP(C247,listaBolsa!$D$2:$BA$1248,29,0)</f>
        <v>523600</v>
      </c>
      <c r="DG247" s="7" t="str">
        <f>VLOOKUP(C247,listaBolsa!$D$2:$BA$1248,36,0)</f>
        <v>MYCBDE</v>
      </c>
      <c r="DH247" s="7">
        <f>VLOOKUP(C247,listaBolsa!$D$2:$BA$1248,40,0)</f>
        <v>430000</v>
      </c>
      <c r="DI247" s="253">
        <f>VLOOKUP(C247,listaBolsa!$D$2:$BA$1248,48,0)</f>
        <v>9.3200000000000005E-2</v>
      </c>
      <c r="DJ247" s="7" t="b">
        <f t="shared" si="205"/>
        <v>1</v>
      </c>
      <c r="DK247" s="7" t="b">
        <f t="shared" si="207"/>
        <v>0</v>
      </c>
      <c r="DL247" s="7" t="b">
        <f t="shared" si="219"/>
        <v>1</v>
      </c>
      <c r="DM247" s="7" t="b">
        <f t="shared" si="220"/>
        <v>0</v>
      </c>
      <c r="DN247" s="7" t="b">
        <f t="shared" si="221"/>
        <v>1</v>
      </c>
      <c r="DO247" s="7" t="b">
        <f t="shared" si="222"/>
        <v>0</v>
      </c>
      <c r="DP247" s="7" t="b">
        <f t="shared" si="223"/>
        <v>1</v>
      </c>
      <c r="DQ247" s="7" t="b">
        <f t="shared" si="224"/>
        <v>1</v>
      </c>
      <c r="DR247" s="7" t="b">
        <f t="shared" si="225"/>
        <v>0</v>
      </c>
    </row>
    <row r="248" spans="1:122" s="7" customFormat="1" ht="42" customHeight="1">
      <c r="A248" s="75">
        <v>240</v>
      </c>
      <c r="B248" s="538" t="s">
        <v>579</v>
      </c>
      <c r="C248" s="336" t="s">
        <v>989</v>
      </c>
      <c r="D248" s="336" t="s">
        <v>990</v>
      </c>
      <c r="E248" s="193" t="s">
        <v>568</v>
      </c>
      <c r="F248" s="75">
        <v>1</v>
      </c>
      <c r="G248" s="75" t="s">
        <v>192</v>
      </c>
      <c r="H248" s="106" t="s">
        <v>380</v>
      </c>
      <c r="I248" s="107">
        <v>45000</v>
      </c>
      <c r="J248" s="96">
        <f t="shared" si="226"/>
        <v>8550</v>
      </c>
      <c r="K248" s="96">
        <f t="shared" si="211"/>
        <v>53550</v>
      </c>
      <c r="L248" s="96">
        <f t="shared" si="212"/>
        <v>45000</v>
      </c>
      <c r="M248" s="96">
        <f t="shared" si="213"/>
        <v>53550</v>
      </c>
      <c r="N248" s="108" t="s">
        <v>381</v>
      </c>
      <c r="O248" s="109">
        <v>44000</v>
      </c>
      <c r="P248" s="110">
        <f t="shared" si="227"/>
        <v>8360</v>
      </c>
      <c r="Q248" s="110">
        <f t="shared" si="214"/>
        <v>52360</v>
      </c>
      <c r="R248" s="110">
        <f t="shared" si="215"/>
        <v>44000</v>
      </c>
      <c r="S248" s="110">
        <f t="shared" si="216"/>
        <v>52360</v>
      </c>
      <c r="T248" s="97" t="s">
        <v>382</v>
      </c>
      <c r="U248" s="98">
        <v>42000</v>
      </c>
      <c r="V248" s="99">
        <f t="shared" si="202"/>
        <v>7980</v>
      </c>
      <c r="W248" s="99">
        <f t="shared" si="208"/>
        <v>49980</v>
      </c>
      <c r="X248" s="99">
        <f t="shared" si="209"/>
        <v>42000</v>
      </c>
      <c r="Y248" s="99">
        <f t="shared" si="210"/>
        <v>49980</v>
      </c>
      <c r="Z248" s="100">
        <f t="shared" si="228"/>
        <v>51963.333333333336</v>
      </c>
      <c r="AA248" s="100">
        <f t="shared" si="217"/>
        <v>51963.333333333336</v>
      </c>
      <c r="AB248" s="78">
        <f t="shared" si="229"/>
        <v>1817.7550256658167</v>
      </c>
      <c r="AC248" s="102">
        <f t="shared" si="218"/>
        <v>3.4981493854624734E-2</v>
      </c>
      <c r="AD248" s="5"/>
      <c r="AE248" s="7" t="s">
        <v>1053</v>
      </c>
      <c r="AF248" s="7" t="str">
        <f>VLOOKUP(C248,Estudio_Mercado_Ori!$C$12:$AH$1115,32,0)</f>
        <v>136HUERTAS</v>
      </c>
      <c r="BG248" s="7">
        <v>85</v>
      </c>
      <c r="DA248" s="7" t="str">
        <f>VLOOKUP(C248,listaBolsa!$D$2:$BA$1248,1,0)</f>
        <v>colador cónico</v>
      </c>
      <c r="DB248" s="7">
        <f>VLOOKUP(C248,listaBolsa!$D$2:$BA$1248,2,0)</f>
        <v>0</v>
      </c>
      <c r="DC248" s="7" t="str">
        <f>VLOOKUP(C248,listaBolsa!$D$2:$BA$1248,10,0)</f>
        <v xml:space="preserve">JUNTOS DE LA MANO </v>
      </c>
      <c r="DD248" s="7">
        <f>VLOOKUP(C248,listaBolsa!$D$2:$BA$1248,14,0)</f>
        <v>45000</v>
      </c>
      <c r="DE248" s="7" t="str">
        <f>VLOOKUP(C248,listaBolsa!$D$2:$BA$1248,23,0)</f>
        <v>MYCBDE</v>
      </c>
      <c r="DF248" s="7">
        <f>VLOOKUP(C248,listaBolsa!$D$2:$BA$1248,29,0)</f>
        <v>52360</v>
      </c>
      <c r="DG248" s="7" t="str">
        <f>VLOOKUP(C248,listaBolsa!$D$2:$BA$1248,36,0)</f>
        <v>DAGROW</v>
      </c>
      <c r="DH248" s="7">
        <f>VLOOKUP(C248,listaBolsa!$D$2:$BA$1248,40,0)</f>
        <v>42000</v>
      </c>
      <c r="DI248" s="253">
        <f>VLOOKUP(C248,listaBolsa!$D$2:$BA$1248,48,0)</f>
        <v>3.5000000000000003E-2</v>
      </c>
      <c r="DJ248" s="7" t="b">
        <f t="shared" si="205"/>
        <v>1</v>
      </c>
      <c r="DK248" s="7" t="b">
        <f t="shared" si="207"/>
        <v>0</v>
      </c>
      <c r="DL248" s="7" t="b">
        <f t="shared" si="219"/>
        <v>1</v>
      </c>
      <c r="DM248" s="7" t="b">
        <f t="shared" si="220"/>
        <v>1</v>
      </c>
      <c r="DN248" s="7" t="b">
        <f t="shared" si="221"/>
        <v>1</v>
      </c>
      <c r="DO248" s="7" t="b">
        <f t="shared" si="222"/>
        <v>0</v>
      </c>
      <c r="DP248" s="7" t="b">
        <f t="shared" si="223"/>
        <v>1</v>
      </c>
      <c r="DQ248" s="7" t="b">
        <f t="shared" si="224"/>
        <v>1</v>
      </c>
      <c r="DR248" s="7" t="b">
        <f t="shared" si="225"/>
        <v>0</v>
      </c>
    </row>
    <row r="249" spans="1:122" s="7" customFormat="1" ht="42" customHeight="1">
      <c r="A249" s="75">
        <v>241</v>
      </c>
      <c r="B249" s="538" t="s">
        <v>579</v>
      </c>
      <c r="C249" s="336" t="s">
        <v>992</v>
      </c>
      <c r="D249" s="336" t="s">
        <v>1122</v>
      </c>
      <c r="E249" s="193" t="s">
        <v>568</v>
      </c>
      <c r="F249" s="75">
        <v>1</v>
      </c>
      <c r="G249" s="75" t="s">
        <v>192</v>
      </c>
      <c r="H249" s="371" t="s">
        <v>230</v>
      </c>
      <c r="I249" s="331">
        <v>25126.05</v>
      </c>
      <c r="J249" s="96">
        <f t="shared" si="226"/>
        <v>4773.9494999999997</v>
      </c>
      <c r="K249" s="96">
        <f t="shared" si="211"/>
        <v>29899.999499999998</v>
      </c>
      <c r="L249" s="96">
        <f t="shared" si="212"/>
        <v>25126.05</v>
      </c>
      <c r="M249" s="96">
        <f t="shared" si="213"/>
        <v>29899.999499999998</v>
      </c>
      <c r="N249" s="374" t="s">
        <v>285</v>
      </c>
      <c r="O249" s="332">
        <v>25126.05</v>
      </c>
      <c r="P249" s="110">
        <f t="shared" si="227"/>
        <v>4773.9494999999997</v>
      </c>
      <c r="Q249" s="110">
        <f t="shared" si="214"/>
        <v>29899.999499999998</v>
      </c>
      <c r="R249" s="110">
        <f t="shared" si="215"/>
        <v>25126.05</v>
      </c>
      <c r="S249" s="110">
        <f t="shared" si="216"/>
        <v>29899.999499999998</v>
      </c>
      <c r="T249" s="383" t="s">
        <v>1123</v>
      </c>
      <c r="U249" s="333">
        <v>25201.68</v>
      </c>
      <c r="V249" s="99">
        <f t="shared" si="202"/>
        <v>4788.3191999999999</v>
      </c>
      <c r="W249" s="99">
        <f t="shared" si="208"/>
        <v>29989.999199999998</v>
      </c>
      <c r="X249" s="99">
        <f t="shared" si="209"/>
        <v>25201.68</v>
      </c>
      <c r="Y249" s="99">
        <f t="shared" si="210"/>
        <v>29989.999199999998</v>
      </c>
      <c r="Z249" s="100">
        <f t="shared" si="228"/>
        <v>29929.999400000001</v>
      </c>
      <c r="AA249" s="100">
        <f t="shared" si="217"/>
        <v>29929.999400000001</v>
      </c>
      <c r="AB249" s="78">
        <f t="shared" si="229"/>
        <v>51.961351021985735</v>
      </c>
      <c r="AC249" s="102">
        <f t="shared" si="218"/>
        <v>1.7360959593599502E-3</v>
      </c>
      <c r="AD249" s="5"/>
      <c r="AE249" s="334" t="s">
        <v>1047</v>
      </c>
      <c r="AF249" s="7" t="str">
        <f>VLOOKUP(C249,Estudio_Mercado_Ori!$C$12:$AH$1115,32,0)</f>
        <v>137HUERTAS</v>
      </c>
      <c r="BG249" s="7">
        <v>86</v>
      </c>
      <c r="DA249" s="7" t="str">
        <f>VLOOKUP(C249,listaBolsa!$D$2:$BA$1248,1,0)</f>
        <v>frasco medidor de vidrio</v>
      </c>
      <c r="DB249" s="7">
        <f>VLOOKUP(C249,listaBolsa!$D$2:$BA$1248,2,0)</f>
        <v>0</v>
      </c>
      <c r="DC249" s="7" t="str">
        <f>VLOOKUP(C249,listaBolsa!$D$2:$BA$1248,10,0)</f>
        <v xml:space="preserve">JUNTOS DE LA MANO </v>
      </c>
      <c r="DD249" s="7">
        <f>VLOOKUP(C249,listaBolsa!$D$2:$BA$1248,14,0)</f>
        <v>86000</v>
      </c>
      <c r="DE249" s="7" t="str">
        <f>VLOOKUP(C249,listaBolsa!$D$2:$BA$1248,23,0)</f>
        <v>MYCBDE</v>
      </c>
      <c r="DF249" s="7">
        <f>VLOOKUP(C249,listaBolsa!$D$2:$BA$1248,29,0)</f>
        <v>101150</v>
      </c>
      <c r="DG249" s="7" t="str">
        <f>VLOOKUP(C249,listaBolsa!$D$2:$BA$1248,36,0)</f>
        <v>DAGROW</v>
      </c>
      <c r="DH249" s="7">
        <f>VLOOKUP(C249,listaBolsa!$D$2:$BA$1248,40,0)</f>
        <v>84000</v>
      </c>
      <c r="DI249" s="253">
        <f>VLOOKUP(C249,listaBolsa!$D$2:$BA$1248,48,0)</f>
        <v>1.18E-2</v>
      </c>
      <c r="DJ249" s="7" t="b">
        <f t="shared" si="205"/>
        <v>1</v>
      </c>
      <c r="DK249" s="7" t="b">
        <f t="shared" si="207"/>
        <v>0</v>
      </c>
      <c r="DL249" s="7" t="b">
        <f t="shared" si="219"/>
        <v>0</v>
      </c>
      <c r="DM249" s="7" t="b">
        <f t="shared" si="220"/>
        <v>0</v>
      </c>
      <c r="DN249" s="7" t="b">
        <f t="shared" si="221"/>
        <v>0</v>
      </c>
      <c r="DO249" s="7" t="b">
        <f t="shared" si="222"/>
        <v>0</v>
      </c>
      <c r="DP249" s="7" t="b">
        <f t="shared" si="223"/>
        <v>0</v>
      </c>
      <c r="DQ249" s="7" t="b">
        <f t="shared" si="224"/>
        <v>0</v>
      </c>
      <c r="DR249" s="7" t="b">
        <f t="shared" si="225"/>
        <v>0</v>
      </c>
    </row>
    <row r="250" spans="1:122" s="7" customFormat="1" ht="42" customHeight="1">
      <c r="A250" s="75">
        <v>242</v>
      </c>
      <c r="B250" s="538" t="s">
        <v>579</v>
      </c>
      <c r="C250" s="75" t="s">
        <v>995</v>
      </c>
      <c r="D250" s="75" t="s">
        <v>996</v>
      </c>
      <c r="E250" s="193" t="s">
        <v>568</v>
      </c>
      <c r="F250" s="75">
        <v>1</v>
      </c>
      <c r="G250" s="75" t="s">
        <v>192</v>
      </c>
      <c r="H250" s="372" t="s">
        <v>380</v>
      </c>
      <c r="I250" s="107">
        <v>4000</v>
      </c>
      <c r="J250" s="96">
        <f t="shared" si="226"/>
        <v>760</v>
      </c>
      <c r="K250" s="96">
        <f t="shared" si="211"/>
        <v>4760</v>
      </c>
      <c r="L250" s="96">
        <f t="shared" si="212"/>
        <v>4000</v>
      </c>
      <c r="M250" s="96">
        <f t="shared" si="213"/>
        <v>4760</v>
      </c>
      <c r="N250" s="381" t="s">
        <v>381</v>
      </c>
      <c r="O250" s="109">
        <v>3000</v>
      </c>
      <c r="P250" s="110">
        <f t="shared" si="227"/>
        <v>570</v>
      </c>
      <c r="Q250" s="110">
        <f t="shared" si="214"/>
        <v>3570</v>
      </c>
      <c r="R250" s="110">
        <f t="shared" si="215"/>
        <v>3000</v>
      </c>
      <c r="S250" s="110">
        <f t="shared" si="216"/>
        <v>3570</v>
      </c>
      <c r="T250" s="387" t="s">
        <v>382</v>
      </c>
      <c r="U250" s="98">
        <v>2800</v>
      </c>
      <c r="V250" s="99">
        <f t="shared" si="202"/>
        <v>532</v>
      </c>
      <c r="W250" s="99">
        <f t="shared" si="208"/>
        <v>3332</v>
      </c>
      <c r="X250" s="99">
        <f t="shared" si="209"/>
        <v>2800</v>
      </c>
      <c r="Y250" s="99">
        <f t="shared" si="210"/>
        <v>3332</v>
      </c>
      <c r="Z250" s="100">
        <f t="shared" si="228"/>
        <v>3887.3333333333335</v>
      </c>
      <c r="AA250" s="100">
        <f t="shared" si="217"/>
        <v>3887.3333333333335</v>
      </c>
      <c r="AB250" s="78">
        <f t="shared" si="229"/>
        <v>765.062960372107</v>
      </c>
      <c r="AC250" s="102">
        <f t="shared" si="218"/>
        <v>0.19680919920393766</v>
      </c>
      <c r="AD250" s="5"/>
      <c r="AE250" s="7" t="s">
        <v>1053</v>
      </c>
      <c r="AF250" s="7" t="str">
        <f>VLOOKUP(C250,Estudio_Mercado_Ori!$C$12:$AH$1115,32,0)</f>
        <v>138HUERTAS</v>
      </c>
      <c r="BG250" s="7">
        <v>87</v>
      </c>
      <c r="DA250" s="7" t="str">
        <f>VLOOKUP(C250,listaBolsa!$D$2:$BA$1248,1,0)</f>
        <v>Frasco vidrio ambar 10 ml con tapa</v>
      </c>
      <c r="DB250" s="7">
        <f>VLOOKUP(C250,listaBolsa!$D$2:$BA$1248,2,0)</f>
        <v>0</v>
      </c>
      <c r="DC250" s="7" t="str">
        <f>VLOOKUP(C250,listaBolsa!$D$2:$BA$1248,10,0)</f>
        <v xml:space="preserve">JUNTOS DE LA MANO </v>
      </c>
      <c r="DD250" s="7">
        <f>VLOOKUP(C250,listaBolsa!$D$2:$BA$1248,14,0)</f>
        <v>4000</v>
      </c>
      <c r="DE250" s="7" t="str">
        <f>VLOOKUP(C250,listaBolsa!$D$2:$BA$1248,23,0)</f>
        <v>MYCBDE</v>
      </c>
      <c r="DF250" s="7">
        <f>VLOOKUP(C250,listaBolsa!$D$2:$BA$1248,29,0)</f>
        <v>3570</v>
      </c>
      <c r="DG250" s="7" t="str">
        <f>VLOOKUP(C250,listaBolsa!$D$2:$BA$1248,36,0)</f>
        <v>DAGROW</v>
      </c>
      <c r="DH250" s="7">
        <f>VLOOKUP(C250,listaBolsa!$D$2:$BA$1248,40,0)</f>
        <v>2800</v>
      </c>
      <c r="DI250" s="253">
        <f>VLOOKUP(C250,listaBolsa!$D$2:$BA$1248,48,0)</f>
        <v>0.1968</v>
      </c>
      <c r="DJ250" s="7" t="b">
        <f t="shared" si="205"/>
        <v>1</v>
      </c>
      <c r="DK250" s="7" t="b">
        <f t="shared" si="207"/>
        <v>0</v>
      </c>
      <c r="DL250" s="7" t="b">
        <f t="shared" si="219"/>
        <v>1</v>
      </c>
      <c r="DM250" s="7" t="b">
        <f t="shared" si="220"/>
        <v>1</v>
      </c>
      <c r="DN250" s="7" t="b">
        <f t="shared" si="221"/>
        <v>1</v>
      </c>
      <c r="DO250" s="7" t="b">
        <f t="shared" si="222"/>
        <v>0</v>
      </c>
      <c r="DP250" s="7" t="b">
        <f t="shared" si="223"/>
        <v>1</v>
      </c>
      <c r="DQ250" s="7" t="b">
        <f t="shared" si="224"/>
        <v>1</v>
      </c>
      <c r="DR250" s="7" t="b">
        <f t="shared" si="225"/>
        <v>0</v>
      </c>
    </row>
    <row r="251" spans="1:122" s="7" customFormat="1" ht="42" customHeight="1">
      <c r="A251" s="75">
        <v>243</v>
      </c>
      <c r="B251" s="538" t="s">
        <v>579</v>
      </c>
      <c r="C251" s="75" t="s">
        <v>998</v>
      </c>
      <c r="D251" s="75" t="s">
        <v>996</v>
      </c>
      <c r="E251" s="193" t="s">
        <v>568</v>
      </c>
      <c r="F251" s="75">
        <v>1</v>
      </c>
      <c r="G251" s="75" t="s">
        <v>192</v>
      </c>
      <c r="H251" s="106" t="s">
        <v>380</v>
      </c>
      <c r="I251" s="107">
        <v>4500</v>
      </c>
      <c r="J251" s="96">
        <f t="shared" si="226"/>
        <v>855</v>
      </c>
      <c r="K251" s="96">
        <f t="shared" si="211"/>
        <v>5355</v>
      </c>
      <c r="L251" s="96">
        <f t="shared" si="212"/>
        <v>4500</v>
      </c>
      <c r="M251" s="96">
        <f t="shared" si="213"/>
        <v>5355</v>
      </c>
      <c r="N251" s="108" t="s">
        <v>381</v>
      </c>
      <c r="O251" s="109">
        <v>4300</v>
      </c>
      <c r="P251" s="110">
        <f t="shared" si="227"/>
        <v>817</v>
      </c>
      <c r="Q251" s="110">
        <f t="shared" si="214"/>
        <v>5117</v>
      </c>
      <c r="R251" s="110">
        <f t="shared" si="215"/>
        <v>4300</v>
      </c>
      <c r="S251" s="110">
        <f t="shared" si="216"/>
        <v>5117</v>
      </c>
      <c r="T251" s="97" t="s">
        <v>382</v>
      </c>
      <c r="U251" s="98">
        <v>4200</v>
      </c>
      <c r="V251" s="99">
        <f t="shared" si="202"/>
        <v>798</v>
      </c>
      <c r="W251" s="99">
        <f t="shared" si="208"/>
        <v>4998</v>
      </c>
      <c r="X251" s="99">
        <f t="shared" si="209"/>
        <v>4200</v>
      </c>
      <c r="Y251" s="99">
        <f t="shared" si="210"/>
        <v>4998</v>
      </c>
      <c r="Z251" s="100">
        <f t="shared" si="228"/>
        <v>5156.666666666667</v>
      </c>
      <c r="AA251" s="100">
        <f t="shared" si="217"/>
        <v>5156.666666666667</v>
      </c>
      <c r="AB251" s="78">
        <f t="shared" si="229"/>
        <v>181.77550256658165</v>
      </c>
      <c r="AC251" s="102">
        <f t="shared" si="218"/>
        <v>3.5250582268891072E-2</v>
      </c>
      <c r="AD251" s="5"/>
      <c r="AE251" s="7" t="s">
        <v>1053</v>
      </c>
      <c r="AF251" s="7" t="str">
        <f>VLOOKUP(C251,Estudio_Mercado_Ori!$C$12:$AH$1115,32,0)</f>
        <v>139HUERTAS</v>
      </c>
      <c r="BG251" s="7">
        <v>88</v>
      </c>
      <c r="DA251" s="7" t="str">
        <f>VLOOKUP(C251,listaBolsa!$D$2:$BA$1248,1,0)</f>
        <v>Frasco vidrio ambar 20 ml con tapa</v>
      </c>
      <c r="DB251" s="7">
        <f>VLOOKUP(C251,listaBolsa!$D$2:$BA$1248,2,0)</f>
        <v>0</v>
      </c>
      <c r="DC251" s="7" t="str">
        <f>VLOOKUP(C251,listaBolsa!$D$2:$BA$1248,10,0)</f>
        <v xml:space="preserve">JUNTOS DE LA MANO </v>
      </c>
      <c r="DD251" s="7">
        <f>VLOOKUP(C251,listaBolsa!$D$2:$BA$1248,14,0)</f>
        <v>4500</v>
      </c>
      <c r="DE251" s="7" t="str">
        <f>VLOOKUP(C251,listaBolsa!$D$2:$BA$1248,23,0)</f>
        <v>MYCBDE</v>
      </c>
      <c r="DF251" s="7">
        <f>VLOOKUP(C251,listaBolsa!$D$2:$BA$1248,29,0)</f>
        <v>5117</v>
      </c>
      <c r="DG251" s="7" t="str">
        <f>VLOOKUP(C251,listaBolsa!$D$2:$BA$1248,36,0)</f>
        <v>DAGROW</v>
      </c>
      <c r="DH251" s="7">
        <f>VLOOKUP(C251,listaBolsa!$D$2:$BA$1248,40,0)</f>
        <v>4200</v>
      </c>
      <c r="DI251" s="253">
        <f>VLOOKUP(C251,listaBolsa!$D$2:$BA$1248,48,0)</f>
        <v>3.5299999999999998E-2</v>
      </c>
      <c r="DJ251" s="7" t="b">
        <f t="shared" si="205"/>
        <v>1</v>
      </c>
      <c r="DK251" s="7" t="b">
        <f t="shared" si="207"/>
        <v>0</v>
      </c>
      <c r="DL251" s="7" t="b">
        <f t="shared" si="219"/>
        <v>1</v>
      </c>
      <c r="DM251" s="7" t="b">
        <f t="shared" si="220"/>
        <v>1</v>
      </c>
      <c r="DN251" s="7" t="b">
        <f t="shared" si="221"/>
        <v>1</v>
      </c>
      <c r="DO251" s="7" t="b">
        <f t="shared" si="222"/>
        <v>0</v>
      </c>
      <c r="DP251" s="7" t="b">
        <f t="shared" si="223"/>
        <v>1</v>
      </c>
      <c r="DQ251" s="7" t="b">
        <f t="shared" si="224"/>
        <v>1</v>
      </c>
      <c r="DR251" s="7" t="b">
        <f t="shared" si="225"/>
        <v>0</v>
      </c>
    </row>
    <row r="252" spans="1:122" s="7" customFormat="1" ht="42" customHeight="1">
      <c r="A252" s="75">
        <v>244</v>
      </c>
      <c r="B252" s="538" t="s">
        <v>579</v>
      </c>
      <c r="C252" s="75" t="s">
        <v>1000</v>
      </c>
      <c r="D252" s="75" t="s">
        <v>996</v>
      </c>
      <c r="E252" s="193" t="s">
        <v>568</v>
      </c>
      <c r="F252" s="75">
        <v>1</v>
      </c>
      <c r="G252" s="75" t="s">
        <v>192</v>
      </c>
      <c r="H252" s="106" t="s">
        <v>380</v>
      </c>
      <c r="I252" s="107">
        <v>6200</v>
      </c>
      <c r="J252" s="96">
        <f t="shared" si="226"/>
        <v>1178</v>
      </c>
      <c r="K252" s="96">
        <f t="shared" si="211"/>
        <v>7378</v>
      </c>
      <c r="L252" s="96">
        <f t="shared" si="212"/>
        <v>6200</v>
      </c>
      <c r="M252" s="96">
        <f t="shared" si="213"/>
        <v>7378</v>
      </c>
      <c r="N252" s="108" t="s">
        <v>382</v>
      </c>
      <c r="O252" s="109">
        <v>5600</v>
      </c>
      <c r="P252" s="110">
        <f t="shared" si="227"/>
        <v>1064</v>
      </c>
      <c r="Q252" s="110">
        <f t="shared" si="214"/>
        <v>6664</v>
      </c>
      <c r="R252" s="110">
        <f t="shared" si="215"/>
        <v>5600</v>
      </c>
      <c r="S252" s="110">
        <f t="shared" si="216"/>
        <v>6664</v>
      </c>
      <c r="T252" s="97" t="s">
        <v>381</v>
      </c>
      <c r="U252" s="98">
        <v>5500</v>
      </c>
      <c r="V252" s="99">
        <f t="shared" si="202"/>
        <v>1045</v>
      </c>
      <c r="W252" s="99">
        <f t="shared" si="208"/>
        <v>6545</v>
      </c>
      <c r="X252" s="99">
        <f t="shared" si="209"/>
        <v>5500</v>
      </c>
      <c r="Y252" s="99">
        <f t="shared" si="210"/>
        <v>6545</v>
      </c>
      <c r="Z252" s="100">
        <f t="shared" si="228"/>
        <v>6862.333333333333</v>
      </c>
      <c r="AA252" s="100">
        <f t="shared" si="217"/>
        <v>6862.333333333333</v>
      </c>
      <c r="AB252" s="78">
        <f t="shared" si="229"/>
        <v>450.52672876682169</v>
      </c>
      <c r="AC252" s="102">
        <f t="shared" si="218"/>
        <v>6.565211960462744E-2</v>
      </c>
      <c r="AD252" s="5"/>
      <c r="AE252" s="7" t="s">
        <v>1053</v>
      </c>
      <c r="AF252" s="7" t="str">
        <f>VLOOKUP(C252,Estudio_Mercado_Ori!$C$12:$AH$1115,32,0)</f>
        <v>140HUERTAS</v>
      </c>
      <c r="BG252" s="7">
        <v>89</v>
      </c>
      <c r="DA252" s="7" t="str">
        <f>VLOOKUP(C252,listaBolsa!$D$2:$BA$1248,1,0)</f>
        <v>Frasco vidrio ambar 30 ml con tapa</v>
      </c>
      <c r="DB252" s="7">
        <f>VLOOKUP(C252,listaBolsa!$D$2:$BA$1248,2,0)</f>
        <v>0</v>
      </c>
      <c r="DC252" s="7" t="str">
        <f>VLOOKUP(C252,listaBolsa!$D$2:$BA$1248,10,0)</f>
        <v xml:space="preserve">JUNTOS DE LA MANO </v>
      </c>
      <c r="DD252" s="7">
        <f>VLOOKUP(C252,listaBolsa!$D$2:$BA$1248,14,0)</f>
        <v>6200</v>
      </c>
      <c r="DE252" s="7" t="str">
        <f>VLOOKUP(C252,listaBolsa!$D$2:$BA$1248,23,0)</f>
        <v>DAGROW</v>
      </c>
      <c r="DF252" s="7">
        <f>VLOOKUP(C252,listaBolsa!$D$2:$BA$1248,29,0)</f>
        <v>6664</v>
      </c>
      <c r="DG252" s="7" t="str">
        <f>VLOOKUP(C252,listaBolsa!$D$2:$BA$1248,36,0)</f>
        <v>MYCBDE</v>
      </c>
      <c r="DH252" s="7">
        <f>VLOOKUP(C252,listaBolsa!$D$2:$BA$1248,40,0)</f>
        <v>5500</v>
      </c>
      <c r="DI252" s="253">
        <f>VLOOKUP(C252,listaBolsa!$D$2:$BA$1248,48,0)</f>
        <v>6.5699999999999995E-2</v>
      </c>
      <c r="DJ252" s="7" t="b">
        <f t="shared" si="205"/>
        <v>1</v>
      </c>
      <c r="DK252" s="7" t="b">
        <f t="shared" si="207"/>
        <v>0</v>
      </c>
      <c r="DL252" s="7" t="b">
        <f t="shared" si="219"/>
        <v>1</v>
      </c>
      <c r="DM252" s="7" t="b">
        <f t="shared" si="220"/>
        <v>1</v>
      </c>
      <c r="DN252" s="7" t="b">
        <f t="shared" si="221"/>
        <v>1</v>
      </c>
      <c r="DO252" s="7" t="b">
        <f t="shared" si="222"/>
        <v>0</v>
      </c>
      <c r="DP252" s="7" t="b">
        <f t="shared" si="223"/>
        <v>1</v>
      </c>
      <c r="DQ252" s="7" t="b">
        <f t="shared" si="224"/>
        <v>1</v>
      </c>
      <c r="DR252" s="7" t="b">
        <f t="shared" si="225"/>
        <v>0</v>
      </c>
    </row>
    <row r="253" spans="1:122" s="7" customFormat="1" ht="42" customHeight="1">
      <c r="A253" s="75">
        <v>245</v>
      </c>
      <c r="B253" s="538" t="s">
        <v>579</v>
      </c>
      <c r="C253" s="75" t="s">
        <v>1002</v>
      </c>
      <c r="D253" s="75" t="s">
        <v>996</v>
      </c>
      <c r="E253" s="193" t="s">
        <v>568</v>
      </c>
      <c r="F253" s="75">
        <v>1</v>
      </c>
      <c r="G253" s="75" t="s">
        <v>192</v>
      </c>
      <c r="H253" s="106" t="s">
        <v>380</v>
      </c>
      <c r="I253" s="107">
        <v>10000</v>
      </c>
      <c r="J253" s="96">
        <f t="shared" si="226"/>
        <v>1900</v>
      </c>
      <c r="K253" s="96">
        <f t="shared" si="211"/>
        <v>11900</v>
      </c>
      <c r="L253" s="96">
        <f t="shared" si="212"/>
        <v>10000</v>
      </c>
      <c r="M253" s="96">
        <f t="shared" si="213"/>
        <v>11900</v>
      </c>
      <c r="N253" s="108" t="s">
        <v>381</v>
      </c>
      <c r="O253" s="109">
        <v>9200</v>
      </c>
      <c r="P253" s="110">
        <f t="shared" si="227"/>
        <v>1748</v>
      </c>
      <c r="Q253" s="110">
        <f t="shared" si="214"/>
        <v>10948</v>
      </c>
      <c r="R253" s="110">
        <f t="shared" si="215"/>
        <v>9200</v>
      </c>
      <c r="S253" s="110">
        <f t="shared" si="216"/>
        <v>10948</v>
      </c>
      <c r="T253" s="97" t="s">
        <v>382</v>
      </c>
      <c r="U253" s="98">
        <v>8400</v>
      </c>
      <c r="V253" s="99">
        <f t="shared" si="202"/>
        <v>1596</v>
      </c>
      <c r="W253" s="99">
        <f t="shared" si="208"/>
        <v>9996</v>
      </c>
      <c r="X253" s="99">
        <f t="shared" si="209"/>
        <v>8400</v>
      </c>
      <c r="Y253" s="99">
        <f t="shared" si="210"/>
        <v>9996</v>
      </c>
      <c r="Z253" s="100">
        <f t="shared" si="228"/>
        <v>10948</v>
      </c>
      <c r="AA253" s="100">
        <f t="shared" si="217"/>
        <v>10948</v>
      </c>
      <c r="AB253" s="78">
        <f t="shared" si="229"/>
        <v>952</v>
      </c>
      <c r="AC253" s="102">
        <f t="shared" si="218"/>
        <v>8.6956521739130432E-2</v>
      </c>
      <c r="AD253" s="5"/>
      <c r="AE253" s="7" t="s">
        <v>1053</v>
      </c>
      <c r="AF253" s="7" t="str">
        <f>VLOOKUP(C253,Estudio_Mercado_Ori!$C$12:$AH$1115,32,0)</f>
        <v>141HUERTAS</v>
      </c>
      <c r="BG253" s="7">
        <v>90</v>
      </c>
      <c r="DA253" s="7" t="str">
        <f>VLOOKUP(C253,listaBolsa!$D$2:$BA$1248,1,0)</f>
        <v>Frasco vidrio ambar 50 ml con tapa</v>
      </c>
      <c r="DB253" s="7">
        <f>VLOOKUP(C253,listaBolsa!$D$2:$BA$1248,2,0)</f>
        <v>0</v>
      </c>
      <c r="DC253" s="7" t="str">
        <f>VLOOKUP(C253,listaBolsa!$D$2:$BA$1248,10,0)</f>
        <v xml:space="preserve">JUNTOS DE LA MANO </v>
      </c>
      <c r="DD253" s="7">
        <f>VLOOKUP(C253,listaBolsa!$D$2:$BA$1248,14,0)</f>
        <v>10000</v>
      </c>
      <c r="DE253" s="7" t="str">
        <f>VLOOKUP(C253,listaBolsa!$D$2:$BA$1248,23,0)</f>
        <v>MYCBDE</v>
      </c>
      <c r="DF253" s="7">
        <f>VLOOKUP(C253,listaBolsa!$D$2:$BA$1248,29,0)</f>
        <v>10948</v>
      </c>
      <c r="DG253" s="7" t="str">
        <f>VLOOKUP(C253,listaBolsa!$D$2:$BA$1248,36,0)</f>
        <v>DAGROW</v>
      </c>
      <c r="DH253" s="7">
        <f>VLOOKUP(C253,listaBolsa!$D$2:$BA$1248,40,0)</f>
        <v>8400</v>
      </c>
      <c r="DI253" s="253">
        <f>VLOOKUP(C253,listaBolsa!$D$2:$BA$1248,48,0)</f>
        <v>8.6999999999999994E-2</v>
      </c>
      <c r="DJ253" s="7" t="b">
        <f t="shared" si="205"/>
        <v>1</v>
      </c>
      <c r="DK253" s="7" t="b">
        <f t="shared" si="207"/>
        <v>0</v>
      </c>
      <c r="DL253" s="7" t="b">
        <f t="shared" si="219"/>
        <v>1</v>
      </c>
      <c r="DM253" s="7" t="b">
        <f t="shared" si="220"/>
        <v>1</v>
      </c>
      <c r="DN253" s="7" t="b">
        <f t="shared" si="221"/>
        <v>1</v>
      </c>
      <c r="DO253" s="7" t="b">
        <f t="shared" si="222"/>
        <v>0</v>
      </c>
      <c r="DP253" s="7" t="b">
        <f t="shared" si="223"/>
        <v>1</v>
      </c>
      <c r="DQ253" s="7" t="b">
        <f t="shared" si="224"/>
        <v>1</v>
      </c>
      <c r="DR253" s="7" t="b">
        <f t="shared" si="225"/>
        <v>0</v>
      </c>
    </row>
    <row r="254" spans="1:122" s="7" customFormat="1" ht="42" customHeight="1">
      <c r="A254" s="75">
        <v>246</v>
      </c>
      <c r="B254" s="538" t="s">
        <v>1004</v>
      </c>
      <c r="C254" s="75" t="s">
        <v>299</v>
      </c>
      <c r="D254" s="75" t="s">
        <v>1005</v>
      </c>
      <c r="E254" s="351" t="s">
        <v>191</v>
      </c>
      <c r="F254" s="336">
        <v>1</v>
      </c>
      <c r="G254" s="75" t="str">
        <f>IF(B254="","",IFERROR(VLOOKUP(C254,[1]Base_General!$D$1:$H$192,5,0),"Colocar Descripción explícita del ítem"))</f>
        <v>Alquiler</v>
      </c>
      <c r="H254" s="106" t="s">
        <v>515</v>
      </c>
      <c r="I254" s="107">
        <v>3150000</v>
      </c>
      <c r="J254" s="96">
        <f t="shared" si="226"/>
        <v>598500</v>
      </c>
      <c r="K254" s="96">
        <f t="shared" si="211"/>
        <v>3748500</v>
      </c>
      <c r="L254" s="96">
        <f t="shared" si="212"/>
        <v>3150000</v>
      </c>
      <c r="M254" s="96">
        <f t="shared" si="213"/>
        <v>3748500</v>
      </c>
      <c r="N254" s="108" t="s">
        <v>1006</v>
      </c>
      <c r="O254" s="109">
        <v>3200000</v>
      </c>
      <c r="P254" s="110">
        <f t="shared" si="227"/>
        <v>608000</v>
      </c>
      <c r="Q254" s="110">
        <f t="shared" si="214"/>
        <v>3808000</v>
      </c>
      <c r="R254" s="110">
        <f t="shared" si="215"/>
        <v>3200000</v>
      </c>
      <c r="S254" s="110">
        <f t="shared" si="216"/>
        <v>3808000</v>
      </c>
      <c r="T254" s="97" t="str">
        <f>IF(C254="","",VLOOKUP(C254,listaBolsa!$D$2:$BB$276,36,0))</f>
        <v>AMCI INGENIERIAS SAS</v>
      </c>
      <c r="U254" s="98">
        <f>IF(C254="","",VLOOKUP(C254,listaBolsa!$D$2:$BB$276,40,0))</f>
        <v>2865546.22</v>
      </c>
      <c r="V254" s="99">
        <f t="shared" si="202"/>
        <v>544453.7818</v>
      </c>
      <c r="W254" s="99">
        <f t="shared" si="208"/>
        <v>3410000.0018000002</v>
      </c>
      <c r="X254" s="99">
        <f t="shared" si="209"/>
        <v>2865546.22</v>
      </c>
      <c r="Y254" s="99">
        <f t="shared" si="210"/>
        <v>3410000.0018000002</v>
      </c>
      <c r="Z254" s="100">
        <f t="shared" si="228"/>
        <v>3655500.0006000004</v>
      </c>
      <c r="AA254" s="100">
        <f t="shared" si="217"/>
        <v>3655500.0006000004</v>
      </c>
      <c r="AB254" s="78">
        <f t="shared" si="229"/>
        <v>214680.57564227824</v>
      </c>
      <c r="AC254" s="102">
        <f t="shared" si="218"/>
        <v>5.872810165696659E-2</v>
      </c>
      <c r="AD254" s="5"/>
      <c r="AE254" s="7" t="s">
        <v>1124</v>
      </c>
      <c r="AF254" s="7" t="str">
        <f>VLOOKUP(C254,Estudio_Mercado_Ori!$C$12:$AH$1115,32,0)</f>
        <v>34PROCEDAS</v>
      </c>
      <c r="BG254" s="7">
        <v>91</v>
      </c>
      <c r="DA254" s="7" t="str">
        <f>VLOOKUP(C254,listaBolsa!$D$2:$BA$1248,1,0)</f>
        <v>Auditorio para 50 personas media jornada</v>
      </c>
      <c r="DB254" s="7" t="str">
        <f>VLOOKUP(C254,listaBolsa!$D$2:$BA$1248,2,0)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C254" s="7" t="str">
        <f>VLOOKUP(C254,listaBolsa!$D$2:$BA$1248,10,0)</f>
        <v>D&amp;R PRODUCCIONES SAS</v>
      </c>
      <c r="DD254" s="7">
        <f>VLOOKUP(C254,listaBolsa!$D$2:$BA$1248,14,0)</f>
        <v>3150000</v>
      </c>
      <c r="DE254" s="7" t="str">
        <f>VLOOKUP(C254,listaBolsa!$D$2:$BA$1248,23,0)</f>
        <v>EFECTO MASIVO</v>
      </c>
      <c r="DF254" s="7">
        <f>VLOOKUP(C254,listaBolsa!$D$2:$BA$1248,29,0)</f>
        <v>3808000</v>
      </c>
      <c r="DG254" s="7" t="str">
        <f>VLOOKUP(C254,listaBolsa!$D$2:$BA$1248,36,0)</f>
        <v>AMCI INGENIERIAS SAS</v>
      </c>
      <c r="DH254" s="7">
        <f>VLOOKUP(C254,listaBolsa!$D$2:$BA$1248,40,0)</f>
        <v>2865546.22</v>
      </c>
      <c r="DI254" s="252">
        <f>VLOOKUP(C254,listaBolsa!$D$2:$BA$1248,48,0)</f>
        <v>5.872810165696659E-2</v>
      </c>
      <c r="DJ254" s="7" t="b">
        <f t="shared" si="205"/>
        <v>1</v>
      </c>
      <c r="DK254" s="7" t="b">
        <f t="shared" si="207"/>
        <v>0</v>
      </c>
      <c r="DL254" s="7" t="b">
        <f t="shared" si="219"/>
        <v>1</v>
      </c>
      <c r="DM254" s="7" t="b">
        <f t="shared" si="220"/>
        <v>1</v>
      </c>
      <c r="DN254" s="7" t="b">
        <f t="shared" si="221"/>
        <v>1</v>
      </c>
      <c r="DO254" s="7" t="b">
        <f t="shared" si="222"/>
        <v>0</v>
      </c>
      <c r="DP254" s="7" t="b">
        <f t="shared" si="223"/>
        <v>1</v>
      </c>
      <c r="DQ254" s="7" t="b">
        <f t="shared" si="224"/>
        <v>1</v>
      </c>
      <c r="DR254" s="7" t="b">
        <f t="shared" si="225"/>
        <v>1</v>
      </c>
    </row>
    <row r="255" spans="1:122" s="7" customFormat="1" ht="42" customHeight="1">
      <c r="A255" s="75">
        <v>247</v>
      </c>
      <c r="B255" s="336" t="s">
        <v>1008</v>
      </c>
      <c r="C255" s="336" t="s">
        <v>1009</v>
      </c>
      <c r="D255" s="75" t="s">
        <v>1010</v>
      </c>
      <c r="E255" s="336" t="s">
        <v>1011</v>
      </c>
      <c r="F255" s="336">
        <v>50</v>
      </c>
      <c r="G255" s="75" t="s">
        <v>209</v>
      </c>
      <c r="H255" s="106" t="str">
        <f>IF(C255="","",VLOOKUP(C255,listaBolsa!$D$2:$W$276,10,0))</f>
        <v>INVERSIONES BECORATI E Y O SAS</v>
      </c>
      <c r="I255" s="107">
        <f>IF(C255="","",VLOOKUP(C255,listaBolsa!$D$2:$W$276,14,0))</f>
        <v>37000</v>
      </c>
      <c r="J255" s="96">
        <f t="shared" si="226"/>
        <v>7030</v>
      </c>
      <c r="K255" s="96">
        <f t="shared" si="211"/>
        <v>44030</v>
      </c>
      <c r="L255" s="96">
        <f t="shared" si="212"/>
        <v>1850000</v>
      </c>
      <c r="M255" s="96">
        <f t="shared" si="213"/>
        <v>2201500</v>
      </c>
      <c r="N255" s="108" t="str">
        <f>IF(C255="","",VLOOKUP(C255,listaBolsa!$D$2:$AZ$276,23,0))</f>
        <v>Catering Depot</v>
      </c>
      <c r="O255" s="109">
        <f>IF(C255="","",VLOOKUP(C255,listaBolsa!$D$2:$AZ$276,27,0))</f>
        <v>45000</v>
      </c>
      <c r="P255" s="110">
        <f t="shared" si="227"/>
        <v>8550</v>
      </c>
      <c r="Q255" s="110">
        <f t="shared" si="214"/>
        <v>53550</v>
      </c>
      <c r="R255" s="110">
        <f t="shared" si="215"/>
        <v>2250000</v>
      </c>
      <c r="S255" s="110">
        <f t="shared" si="216"/>
        <v>2677500</v>
      </c>
      <c r="T255" s="97" t="str">
        <f>IF(C255="","",VLOOKUP(C255,listaBolsa!$D$2:$BB$276,36,0))</f>
        <v>D&amp;R PRODUCCIONES SAS</v>
      </c>
      <c r="U255" s="98">
        <f>IF(C255="","",VLOOKUP(C255,listaBolsa!$D$2:$BB$276,40,0))</f>
        <v>31512</v>
      </c>
      <c r="V255" s="99">
        <f t="shared" si="202"/>
        <v>5987.28</v>
      </c>
      <c r="W255" s="99">
        <f t="shared" si="208"/>
        <v>37499.279999999999</v>
      </c>
      <c r="X255" s="99">
        <f t="shared" si="209"/>
        <v>1575600</v>
      </c>
      <c r="Y255" s="99">
        <f t="shared" si="210"/>
        <v>1874964</v>
      </c>
      <c r="Z255" s="100">
        <f t="shared" si="228"/>
        <v>45026.426666666666</v>
      </c>
      <c r="AA255" s="100">
        <f t="shared" si="217"/>
        <v>2251321.3333333335</v>
      </c>
      <c r="AB255" s="78">
        <f t="shared" si="229"/>
        <v>403581.01016441919</v>
      </c>
      <c r="AC255" s="102">
        <f t="shared" si="218"/>
        <v>0.17926406336978662</v>
      </c>
      <c r="AD255" s="5"/>
      <c r="AE255" s="7" t="s">
        <v>1050</v>
      </c>
      <c r="AF255" s="7" t="str">
        <f>VLOOKUP(C255,Estudio_Mercado_Ori!$C$12:$AH$1115,32,0)</f>
        <v>143HUERTAS</v>
      </c>
      <c r="BG255" s="7">
        <v>92</v>
      </c>
      <c r="DA255" s="7" t="str">
        <f>VLOOKUP(C255,listaBolsa!$D$2:$BA$1248,1,0)</f>
        <v>Almuerzo Tipo 1</v>
      </c>
      <c r="DB255" s="7" t="str">
        <f>VLOOKUP(C255,listaBolsa!$D$2:$BA$1248,2,0)</f>
        <v>Entrada, sopa o porción de fruta, 2 carnes (130 gr. c/u) + 1 carbohidrato 100 gramos + 1 ensalada 100 gramos + 1 acompañamiento 50 gramos postre 50 gramos + bebida 250 ml.Servicio de samovares y servido en cerámica</v>
      </c>
      <c r="DC255" s="7" t="str">
        <f>VLOOKUP(C255,listaBolsa!$D$2:$BA$1248,10,0)</f>
        <v>INVERSIONES BECORATI E Y O SAS</v>
      </c>
      <c r="DD255" s="7">
        <f>VLOOKUP(C255,listaBolsa!$D$2:$BA$1248,14,0)</f>
        <v>37000</v>
      </c>
      <c r="DE255" s="7" t="str">
        <f>VLOOKUP(C255,listaBolsa!$D$2:$BA$1248,23,0)</f>
        <v>Catering Depot</v>
      </c>
      <c r="DF255" s="7">
        <f>VLOOKUP(C255,listaBolsa!$D$2:$BA$1248,29,0)</f>
        <v>48600</v>
      </c>
      <c r="DG255" s="7" t="str">
        <f>VLOOKUP(C255,listaBolsa!$D$2:$BA$1248,36,0)</f>
        <v>D&amp;R PRODUCCIONES SAS</v>
      </c>
      <c r="DH255" s="7">
        <f>VLOOKUP(C255,listaBolsa!$D$2:$BA$1248,40,0)</f>
        <v>31512</v>
      </c>
      <c r="DI255" s="253">
        <f>VLOOKUP(C255,listaBolsa!$D$2:$BA$1248,48,0)</f>
        <v>0.17926406336978706</v>
      </c>
      <c r="DJ255" s="7" t="b">
        <f t="shared" si="205"/>
        <v>1</v>
      </c>
      <c r="DK255" s="7" t="b">
        <f t="shared" si="207"/>
        <v>0</v>
      </c>
      <c r="DL255" s="7" t="b">
        <f t="shared" si="219"/>
        <v>1</v>
      </c>
      <c r="DM255" s="7" t="b">
        <f t="shared" si="220"/>
        <v>1</v>
      </c>
      <c r="DN255" s="7" t="b">
        <f t="shared" si="221"/>
        <v>1</v>
      </c>
      <c r="DO255" s="7" t="b">
        <f t="shared" si="222"/>
        <v>0</v>
      </c>
      <c r="DP255" s="7" t="b">
        <f t="shared" si="223"/>
        <v>1</v>
      </c>
      <c r="DQ255" s="7" t="b">
        <f t="shared" si="224"/>
        <v>1</v>
      </c>
      <c r="DR255" s="7" t="b">
        <f t="shared" si="225"/>
        <v>1</v>
      </c>
    </row>
    <row r="256" spans="1:122" s="7" customFormat="1" ht="42" customHeight="1">
      <c r="A256" s="75">
        <v>248</v>
      </c>
      <c r="B256" s="336" t="s">
        <v>1008</v>
      </c>
      <c r="C256" s="336" t="s">
        <v>1013</v>
      </c>
      <c r="D256" s="75" t="s">
        <v>1014</v>
      </c>
      <c r="E256" s="336" t="s">
        <v>1011</v>
      </c>
      <c r="F256" s="75">
        <v>20</v>
      </c>
      <c r="G256" s="75" t="s">
        <v>209</v>
      </c>
      <c r="H256" s="106" t="str">
        <f>IF(C256="","",VLOOKUP(C256,listaBolsa!$D$2:$W$276,10,0))</f>
        <v>INVERSIONES BECORATI E Y O SAS</v>
      </c>
      <c r="I256" s="107">
        <f>IF(C256="","",VLOOKUP(C256,listaBolsa!$D$2:$W$276,14,0))</f>
        <v>34000</v>
      </c>
      <c r="J256" s="96">
        <f t="shared" si="226"/>
        <v>6460</v>
      </c>
      <c r="K256" s="96">
        <f t="shared" si="211"/>
        <v>40460</v>
      </c>
      <c r="L256" s="96">
        <f t="shared" si="212"/>
        <v>680000</v>
      </c>
      <c r="M256" s="96">
        <f t="shared" si="213"/>
        <v>809200</v>
      </c>
      <c r="N256" s="108" t="str">
        <f>IF(C256="","",VLOOKUP(C256,listaBolsa!$D$2:$AZ$276,23,0))</f>
        <v>Catering Depot</v>
      </c>
      <c r="O256" s="109">
        <f>IF(C256="","",VLOOKUP(C256,listaBolsa!$D$2:$AZ$276,27,0))</f>
        <v>45000</v>
      </c>
      <c r="P256" s="110">
        <f t="shared" si="227"/>
        <v>8550</v>
      </c>
      <c r="Q256" s="110">
        <f t="shared" si="214"/>
        <v>53550</v>
      </c>
      <c r="R256" s="110">
        <f t="shared" si="215"/>
        <v>900000</v>
      </c>
      <c r="S256" s="110">
        <f t="shared" si="216"/>
        <v>1071000</v>
      </c>
      <c r="T256" s="97" t="str">
        <f>IF(C256="","",VLOOKUP(C256,listaBolsa!$D$2:$BB$276,36,0))</f>
        <v>D&amp;R PRODUCCIONES SAS</v>
      </c>
      <c r="U256" s="98">
        <f>IF(C256="","",VLOOKUP(C256,listaBolsa!$D$2:$BB$276,40,0))</f>
        <v>33445</v>
      </c>
      <c r="V256" s="99">
        <f t="shared" si="202"/>
        <v>6354.55</v>
      </c>
      <c r="W256" s="99">
        <f t="shared" si="208"/>
        <v>39799.550000000003</v>
      </c>
      <c r="X256" s="99">
        <f t="shared" si="209"/>
        <v>668900</v>
      </c>
      <c r="Y256" s="99">
        <f t="shared" si="210"/>
        <v>795991</v>
      </c>
      <c r="Z256" s="100">
        <f t="shared" si="228"/>
        <v>44603.183333333327</v>
      </c>
      <c r="AA256" s="100">
        <f t="shared" si="217"/>
        <v>892063.66666666651</v>
      </c>
      <c r="AB256" s="78">
        <f t="shared" si="229"/>
        <v>155104.08750362851</v>
      </c>
      <c r="AC256" s="102">
        <f t="shared" si="218"/>
        <v>0.17387109608801674</v>
      </c>
      <c r="AD256" s="5"/>
      <c r="AE256" s="7" t="s">
        <v>1050</v>
      </c>
      <c r="AF256" s="7" t="str">
        <f>VLOOKUP(C256,Estudio_Mercado_Ori!$C$12:$AH$1115,32,0)</f>
        <v>144HUERTAS</v>
      </c>
      <c r="BG256" s="7">
        <v>93</v>
      </c>
      <c r="DA256" s="7" t="str">
        <f>VLOOKUP(C256,listaBolsa!$D$2:$BA$1248,1,0)</f>
        <v>Almuerzo Tipo 4 -Vegetariano</v>
      </c>
      <c r="DB256" s="7" t="str">
        <f>VLOOKUP(C256,listaBolsa!$D$2:$BA$1248,2,0)</f>
        <v>Entrada, sopa o porción de fruta, Proteína vegetal + 1 carbohidrato 100 gramos + 1 ensalada 100 gramos + 1 acompañamiento 50 gramos + postre 50 gramos + bebida 250 ml. Servicio de samovares y servido en cerámica</v>
      </c>
      <c r="DC256" s="7" t="str">
        <f>VLOOKUP(C256,listaBolsa!$D$2:$BA$1248,10,0)</f>
        <v>INVERSIONES BECORATI E Y O SAS</v>
      </c>
      <c r="DD256" s="7">
        <f>VLOOKUP(C256,listaBolsa!$D$2:$BA$1248,14,0)</f>
        <v>34000</v>
      </c>
      <c r="DE256" s="7" t="str">
        <f>VLOOKUP(C256,listaBolsa!$D$2:$BA$1248,23,0)</f>
        <v>Catering Depot</v>
      </c>
      <c r="DF256" s="7">
        <f>VLOOKUP(C256,listaBolsa!$D$2:$BA$1248,29,0)</f>
        <v>48600</v>
      </c>
      <c r="DG256" s="7" t="str">
        <f>VLOOKUP(C256,listaBolsa!$D$2:$BA$1248,36,0)</f>
        <v>D&amp;R PRODUCCIONES SAS</v>
      </c>
      <c r="DH256" s="7">
        <f>VLOOKUP(C256,listaBolsa!$D$2:$BA$1248,40,0)</f>
        <v>33445</v>
      </c>
      <c r="DI256" s="253">
        <f>VLOOKUP(C256,listaBolsa!$D$2:$BA$1248,48,0)</f>
        <v>0.17387109608801679</v>
      </c>
      <c r="DJ256" s="7" t="b">
        <f t="shared" si="205"/>
        <v>1</v>
      </c>
      <c r="DK256" s="7" t="b">
        <f t="shared" si="207"/>
        <v>0</v>
      </c>
      <c r="DL256" s="7" t="b">
        <f t="shared" si="219"/>
        <v>1</v>
      </c>
      <c r="DM256" s="7" t="b">
        <f t="shared" si="220"/>
        <v>1</v>
      </c>
      <c r="DN256" s="7" t="b">
        <f t="shared" si="221"/>
        <v>1</v>
      </c>
      <c r="DO256" s="7" t="b">
        <f t="shared" si="222"/>
        <v>0</v>
      </c>
      <c r="DP256" s="7" t="b">
        <f t="shared" si="223"/>
        <v>1</v>
      </c>
      <c r="DQ256" s="7" t="b">
        <f t="shared" si="224"/>
        <v>1</v>
      </c>
      <c r="DR256" s="7" t="b">
        <f t="shared" si="225"/>
        <v>1</v>
      </c>
    </row>
    <row r="257" spans="1:122" s="7" customFormat="1" ht="42" customHeight="1">
      <c r="A257" s="75">
        <v>249</v>
      </c>
      <c r="B257" s="538" t="s">
        <v>579</v>
      </c>
      <c r="C257" s="336" t="s">
        <v>874</v>
      </c>
      <c r="D257" s="75" t="s">
        <v>875</v>
      </c>
      <c r="E257" s="370" t="s">
        <v>568</v>
      </c>
      <c r="F257" s="75">
        <v>1</v>
      </c>
      <c r="G257" s="207" t="s">
        <v>1016</v>
      </c>
      <c r="H257" s="106" t="s">
        <v>380</v>
      </c>
      <c r="I257" s="107">
        <v>48000</v>
      </c>
      <c r="J257" s="96"/>
      <c r="K257" s="96">
        <f t="shared" si="211"/>
        <v>48000</v>
      </c>
      <c r="L257" s="96">
        <f t="shared" si="212"/>
        <v>48000</v>
      </c>
      <c r="M257" s="96">
        <f t="shared" si="213"/>
        <v>48000</v>
      </c>
      <c r="N257" s="108" t="s">
        <v>381</v>
      </c>
      <c r="O257" s="109">
        <v>46000</v>
      </c>
      <c r="P257" s="110"/>
      <c r="Q257" s="110">
        <f t="shared" si="214"/>
        <v>46000</v>
      </c>
      <c r="R257" s="110">
        <f t="shared" si="215"/>
        <v>46000</v>
      </c>
      <c r="S257" s="110">
        <f t="shared" si="216"/>
        <v>46000</v>
      </c>
      <c r="T257" s="97" t="s">
        <v>382</v>
      </c>
      <c r="U257" s="98">
        <v>44000</v>
      </c>
      <c r="V257" s="99"/>
      <c r="W257" s="99">
        <f t="shared" si="208"/>
        <v>44000</v>
      </c>
      <c r="X257" s="99">
        <f t="shared" si="209"/>
        <v>44000</v>
      </c>
      <c r="Y257" s="99">
        <f t="shared" si="210"/>
        <v>44000</v>
      </c>
      <c r="Z257" s="100">
        <f t="shared" si="228"/>
        <v>46000</v>
      </c>
      <c r="AA257" s="100">
        <f t="shared" si="217"/>
        <v>46000</v>
      </c>
      <c r="AB257" s="78">
        <f t="shared" si="229"/>
        <v>2000</v>
      </c>
      <c r="AC257" s="102">
        <f t="shared" si="218"/>
        <v>4.3478260869565216E-2</v>
      </c>
      <c r="AD257" s="99"/>
      <c r="AE257" s="7" t="s">
        <v>1053</v>
      </c>
      <c r="AF257" s="7" t="str">
        <f>VLOOKUP(C257,Estudio_Mercado_Ori!$C$12:$AH$1115,32,0)</f>
        <v>102HUERTAS</v>
      </c>
      <c r="BG257" s="7">
        <v>95</v>
      </c>
      <c r="DA257" s="7" t="str">
        <f>VLOOKUP(C257,listaBolsa!$D$2:$BA$1248,1,0)</f>
        <v>Microorganismos Eficientes Em Compostaje X 4 Litros</v>
      </c>
      <c r="DB257" s="7">
        <f>VLOOKUP(C257,listaBolsa!$D$2:$BA$1248,2,0)</f>
        <v>0</v>
      </c>
      <c r="DC257" s="7" t="str">
        <f>VLOOKUP(C257,listaBolsa!$D$2:$BA$1248,10,0)</f>
        <v xml:space="preserve">JUNTOS DE LA MANO </v>
      </c>
      <c r="DD257" s="7">
        <f>VLOOKUP(C257,listaBolsa!$D$2:$BA$1248,14,0)</f>
        <v>48000</v>
      </c>
      <c r="DE257" s="7" t="str">
        <f>VLOOKUP(C257,listaBolsa!$D$2:$BA$1248,23,0)</f>
        <v>MYCBDE</v>
      </c>
      <c r="DF257" s="7">
        <f>VLOOKUP(C257,listaBolsa!$D$2:$BA$1248,29,0)</f>
        <v>46000</v>
      </c>
      <c r="DG257" s="7" t="str">
        <f>VLOOKUP(C257,listaBolsa!$D$2:$BA$1248,36,0)</f>
        <v>DAGROW</v>
      </c>
      <c r="DH257" s="7">
        <f>VLOOKUP(C257,listaBolsa!$D$2:$BA$1248,40,0)</f>
        <v>44000</v>
      </c>
      <c r="DI257" s="253">
        <f>VLOOKUP(C257,listaBolsa!$D$2:$BA$1248,48,0)</f>
        <v>4.3499999999999997E-2</v>
      </c>
      <c r="DJ257" s="7" t="b">
        <f t="shared" si="205"/>
        <v>1</v>
      </c>
      <c r="DK257" s="7" t="e">
        <f>DB257=#REF!</f>
        <v>#REF!</v>
      </c>
      <c r="DL257" s="7" t="b">
        <f t="shared" si="219"/>
        <v>1</v>
      </c>
      <c r="DM257" s="7" t="b">
        <f t="shared" si="220"/>
        <v>1</v>
      </c>
      <c r="DN257" s="7" t="b">
        <f t="shared" si="221"/>
        <v>1</v>
      </c>
      <c r="DO257" s="7" t="b">
        <f t="shared" si="222"/>
        <v>1</v>
      </c>
      <c r="DP257" s="7" t="b">
        <f t="shared" si="223"/>
        <v>1</v>
      </c>
      <c r="DQ257" s="7" t="b">
        <f t="shared" si="224"/>
        <v>1</v>
      </c>
      <c r="DR257" s="7" t="b">
        <f t="shared" si="225"/>
        <v>0</v>
      </c>
    </row>
    <row r="258" spans="1:122" s="7" customFormat="1" ht="69.75" customHeight="1">
      <c r="A258" s="395">
        <v>250</v>
      </c>
      <c r="B258" s="634" t="s">
        <v>579</v>
      </c>
      <c r="C258" s="453" t="s">
        <v>1018</v>
      </c>
      <c r="D258" s="395" t="s">
        <v>1019</v>
      </c>
      <c r="E258" s="194" t="s">
        <v>27</v>
      </c>
      <c r="F258" s="395">
        <v>1</v>
      </c>
      <c r="G258" s="443" t="s">
        <v>1016</v>
      </c>
      <c r="H258" s="416" t="s">
        <v>1020</v>
      </c>
      <c r="I258" s="417">
        <v>2600000</v>
      </c>
      <c r="J258" s="418">
        <f>I258*19%</f>
        <v>494000</v>
      </c>
      <c r="K258" s="418">
        <f t="shared" si="211"/>
        <v>3094000</v>
      </c>
      <c r="L258" s="418">
        <f t="shared" si="212"/>
        <v>2600000</v>
      </c>
      <c r="M258" s="418">
        <f t="shared" si="213"/>
        <v>3094000</v>
      </c>
      <c r="N258" s="419" t="s">
        <v>1021</v>
      </c>
      <c r="O258" s="420">
        <v>2576500</v>
      </c>
      <c r="P258" s="421">
        <f>O258*19%</f>
        <v>489535</v>
      </c>
      <c r="Q258" s="421">
        <f t="shared" si="214"/>
        <v>3066035</v>
      </c>
      <c r="R258" s="421">
        <f t="shared" si="215"/>
        <v>2576500</v>
      </c>
      <c r="S258" s="421">
        <f t="shared" si="216"/>
        <v>3066035</v>
      </c>
      <c r="T258" s="422" t="s">
        <v>1022</v>
      </c>
      <c r="U258" s="423">
        <v>2589000</v>
      </c>
      <c r="V258" s="424">
        <f>U258*19%</f>
        <v>491910</v>
      </c>
      <c r="W258" s="424">
        <f t="shared" si="208"/>
        <v>3080910</v>
      </c>
      <c r="X258" s="424">
        <f t="shared" si="209"/>
        <v>2589000</v>
      </c>
      <c r="Y258" s="424">
        <f t="shared" si="210"/>
        <v>3080910</v>
      </c>
      <c r="Z258" s="425">
        <f t="shared" si="228"/>
        <v>3080315</v>
      </c>
      <c r="AA258" s="425">
        <f t="shared" si="217"/>
        <v>3080315</v>
      </c>
      <c r="AB258" s="426">
        <f t="shared" si="229"/>
        <v>13991.991459402769</v>
      </c>
      <c r="AC258" s="427">
        <f t="shared" si="218"/>
        <v>4.5423898073420309E-3</v>
      </c>
      <c r="AD258" s="428"/>
      <c r="AF258" s="7" t="str">
        <f>VLOOKUP(C258,Estudio_Mercado_Ori!$C$12:$AH$1115,32,0)</f>
        <v>146HUERTAS</v>
      </c>
      <c r="DI258" s="252"/>
    </row>
    <row r="259" spans="1:122" s="7" customFormat="1" ht="69.75" customHeight="1">
      <c r="A259" s="75"/>
      <c r="B259" s="538"/>
      <c r="C259" s="336"/>
      <c r="D259" s="75"/>
      <c r="E259" s="370"/>
      <c r="F259" s="75"/>
      <c r="G259" s="207"/>
      <c r="H259" s="106"/>
      <c r="I259" s="107"/>
      <c r="J259" s="96"/>
      <c r="K259" s="96"/>
      <c r="L259" s="96"/>
      <c r="M259" s="96"/>
      <c r="N259" s="108"/>
      <c r="O259" s="109"/>
      <c r="P259" s="110"/>
      <c r="Q259" s="110"/>
      <c r="R259" s="110"/>
      <c r="S259" s="110"/>
      <c r="T259" s="97"/>
      <c r="U259" s="98"/>
      <c r="V259" s="99"/>
      <c r="W259" s="99"/>
      <c r="X259" s="99"/>
      <c r="Y259" s="99"/>
      <c r="Z259" s="100"/>
      <c r="AA259" s="100"/>
      <c r="AB259" s="78"/>
      <c r="AC259" s="102"/>
      <c r="AD259" s="5"/>
      <c r="DI259" s="252"/>
    </row>
    <row r="260" spans="1:122">
      <c r="Y260" s="438" t="s">
        <v>1125</v>
      </c>
      <c r="Z260" s="438">
        <f>SUM(Z114:Z258)</f>
        <v>14867684.444892718</v>
      </c>
      <c r="AA260" s="438">
        <f>SUM(AA114:AA258)</f>
        <v>22524559.269892719</v>
      </c>
    </row>
    <row r="261" spans="1:122" s="7" customFormat="1" ht="24" customHeight="1">
      <c r="A261" s="364" t="s">
        <v>60</v>
      </c>
      <c r="Y261" s="7" t="s">
        <v>1126</v>
      </c>
      <c r="AA261" s="79">
        <f>SUM(AA260+AA111)</f>
        <v>217735290.46826354</v>
      </c>
      <c r="DI261" s="252"/>
    </row>
    <row r="262" spans="1:122">
      <c r="L262" s="70"/>
      <c r="M262" s="70"/>
      <c r="O262" s="248"/>
      <c r="P262" s="248"/>
      <c r="U262" s="248"/>
      <c r="V262" s="248"/>
    </row>
    <row r="263" spans="1:122" s="7" customFormat="1" ht="28.9" customHeight="1">
      <c r="A263" s="208" t="s">
        <v>16</v>
      </c>
      <c r="H263" s="3"/>
      <c r="I263" s="3"/>
      <c r="J263" s="3"/>
      <c r="K263" s="3"/>
      <c r="L263" s="70"/>
      <c r="M263" s="70"/>
      <c r="N263" s="3"/>
      <c r="O263" s="3"/>
      <c r="P263" s="3"/>
      <c r="Q263" s="3"/>
      <c r="R263" s="3"/>
      <c r="S263" s="3"/>
      <c r="T263" s="3"/>
      <c r="U263" s="3"/>
      <c r="V263" s="3"/>
      <c r="W263" s="3"/>
      <c r="X263" s="3"/>
      <c r="Y263" s="3"/>
      <c r="Z263" s="3"/>
      <c r="AA263" s="3"/>
      <c r="AB263" s="3"/>
      <c r="AC263" s="3"/>
      <c r="AD263" s="3"/>
      <c r="AE263" s="3"/>
      <c r="AF263" s="3"/>
      <c r="DI263" s="252"/>
    </row>
    <row r="264" spans="1:122" s="7" customFormat="1">
      <c r="A264" s="101"/>
      <c r="B264" s="101"/>
      <c r="C264" s="101"/>
      <c r="D264" s="101"/>
      <c r="E264" s="101"/>
      <c r="F264" s="101"/>
      <c r="G264" s="208"/>
      <c r="H264" s="3"/>
      <c r="I264" s="3"/>
      <c r="J264" s="3"/>
      <c r="K264" s="3"/>
      <c r="L264" s="70"/>
      <c r="M264" s="70"/>
      <c r="N264" s="3"/>
      <c r="O264" s="3"/>
      <c r="P264" s="3"/>
      <c r="Q264" s="3"/>
      <c r="R264" s="3"/>
      <c r="S264" s="3"/>
      <c r="T264" s="3"/>
      <c r="U264" s="3"/>
      <c r="V264" s="3"/>
      <c r="W264" s="3"/>
      <c r="X264" s="3"/>
      <c r="Y264" s="3"/>
      <c r="Z264" s="3"/>
      <c r="AA264" s="3"/>
      <c r="AB264" s="3"/>
      <c r="AC264" s="3"/>
      <c r="AD264" s="3"/>
      <c r="AE264" s="3"/>
      <c r="AF264" s="3"/>
      <c r="DI264" s="252"/>
    </row>
    <row r="265" spans="1:122" s="10" customFormat="1" ht="70.5" customHeight="1">
      <c r="A265" s="80" t="s">
        <v>23</v>
      </c>
      <c r="B265" s="80" t="s">
        <v>24</v>
      </c>
      <c r="C265" s="80" t="s">
        <v>1024</v>
      </c>
      <c r="D265" s="80" t="s">
        <v>1025</v>
      </c>
      <c r="E265" s="80" t="s">
        <v>27</v>
      </c>
      <c r="F265" s="80" t="s">
        <v>28</v>
      </c>
      <c r="G265" s="209" t="s">
        <v>52</v>
      </c>
      <c r="H265" s="81" t="s">
        <v>50</v>
      </c>
      <c r="I265" s="81" t="s">
        <v>1026</v>
      </c>
      <c r="J265" s="81" t="s">
        <v>1027</v>
      </c>
      <c r="K265" s="356" t="s">
        <v>46</v>
      </c>
      <c r="L265" s="218"/>
      <c r="M265" s="218"/>
      <c r="N265" s="234" t="s">
        <v>1028</v>
      </c>
      <c r="O265" s="70"/>
      <c r="P265" s="70"/>
      <c r="Q265" s="70"/>
      <c r="R265" s="70"/>
      <c r="S265" s="70"/>
      <c r="T265" s="70"/>
      <c r="U265" s="70"/>
      <c r="V265" s="70"/>
      <c r="AE265" s="13" t="s">
        <v>1127</v>
      </c>
      <c r="AR265" s="7"/>
      <c r="DI265" s="252"/>
    </row>
    <row r="266" spans="1:122" s="7" customFormat="1" ht="141" customHeight="1">
      <c r="A266" s="75">
        <v>1</v>
      </c>
      <c r="B266" s="111" t="s">
        <v>1029</v>
      </c>
      <c r="C266" s="75" t="s">
        <v>1030</v>
      </c>
      <c r="D266" s="75" t="s">
        <v>1031</v>
      </c>
      <c r="E266" s="111" t="s">
        <v>1032</v>
      </c>
      <c r="F266" s="112">
        <v>1</v>
      </c>
      <c r="G266" s="82">
        <v>8</v>
      </c>
      <c r="H266" s="76">
        <v>5860001</v>
      </c>
      <c r="I266" s="77">
        <f>H266*G266*F266</f>
        <v>46880008</v>
      </c>
      <c r="J266" s="77">
        <f t="shared" ref="J266:J270" si="230">I266*F266*G266</f>
        <v>375040064</v>
      </c>
      <c r="K266" s="5"/>
      <c r="L266" s="218"/>
      <c r="M266" s="218"/>
      <c r="N266" s="235" t="s">
        <v>1033</v>
      </c>
      <c r="O266" s="70"/>
      <c r="P266" s="70"/>
      <c r="Q266" s="70"/>
      <c r="R266" s="70"/>
      <c r="S266" s="70"/>
      <c r="T266" s="70"/>
      <c r="U266" s="70"/>
      <c r="V266" s="70"/>
      <c r="AE266" s="13" t="s">
        <v>1128</v>
      </c>
      <c r="AR266" s="7">
        <v>1</v>
      </c>
      <c r="DI266" s="252"/>
    </row>
    <row r="267" spans="1:122" s="7" customFormat="1" ht="192.75" customHeight="1">
      <c r="A267" s="75">
        <v>2</v>
      </c>
      <c r="B267" s="111" t="s">
        <v>173</v>
      </c>
      <c r="C267" s="75" t="s">
        <v>1034</v>
      </c>
      <c r="D267" s="75" t="s">
        <v>1035</v>
      </c>
      <c r="E267" s="111" t="s">
        <v>1032</v>
      </c>
      <c r="F267" s="112">
        <v>1</v>
      </c>
      <c r="G267" s="82">
        <v>7</v>
      </c>
      <c r="H267" s="76">
        <v>5860001</v>
      </c>
      <c r="I267" s="77">
        <f>H267*G267</f>
        <v>41020007</v>
      </c>
      <c r="J267" s="77">
        <f t="shared" si="230"/>
        <v>287140049</v>
      </c>
      <c r="K267" s="5"/>
      <c r="L267" s="218"/>
      <c r="M267" s="218"/>
      <c r="N267" s="236" t="s">
        <v>1033</v>
      </c>
      <c r="O267" s="70"/>
      <c r="P267" s="70"/>
      <c r="Q267" s="70"/>
      <c r="R267" s="70"/>
      <c r="S267" s="70"/>
      <c r="T267" s="70"/>
      <c r="U267" s="70"/>
      <c r="V267" s="70"/>
      <c r="AR267" s="7">
        <v>2</v>
      </c>
      <c r="DI267" s="252"/>
    </row>
    <row r="268" spans="1:122" s="7" customFormat="1" ht="87.75" customHeight="1">
      <c r="A268" s="75"/>
      <c r="B268" s="111"/>
      <c r="C268" s="227"/>
      <c r="D268" s="227"/>
      <c r="E268" s="228"/>
      <c r="F268" s="229"/>
      <c r="G268" s="230"/>
      <c r="H268" s="232" t="s">
        <v>1036</v>
      </c>
      <c r="I268" s="231">
        <f>SUM(I266:I267)</f>
        <v>87900015</v>
      </c>
      <c r="J268" s="77"/>
      <c r="K268" s="63"/>
      <c r="L268" s="218"/>
      <c r="M268" s="218"/>
      <c r="N268" s="236"/>
      <c r="O268" s="219"/>
      <c r="P268" s="70"/>
      <c r="Q268" s="70"/>
      <c r="R268" s="70"/>
      <c r="S268" s="70"/>
      <c r="T268" s="70"/>
      <c r="U268" s="70"/>
      <c r="V268" s="70"/>
      <c r="DI268" s="252"/>
    </row>
    <row r="269" spans="1:122" s="7" customFormat="1" ht="218.25" customHeight="1">
      <c r="A269" s="75">
        <v>3</v>
      </c>
      <c r="B269" s="111" t="s">
        <v>1037</v>
      </c>
      <c r="C269" s="75" t="s">
        <v>1038</v>
      </c>
      <c r="D269" s="75" t="s">
        <v>1039</v>
      </c>
      <c r="E269" s="111" t="s">
        <v>1032</v>
      </c>
      <c r="F269" s="112">
        <v>1</v>
      </c>
      <c r="G269" s="82">
        <v>8</v>
      </c>
      <c r="H269" s="76">
        <v>5860001</v>
      </c>
      <c r="I269" s="77">
        <f>H269*G269*F269</f>
        <v>46880008</v>
      </c>
      <c r="J269" s="77">
        <f t="shared" si="230"/>
        <v>375040064</v>
      </c>
      <c r="K269" s="5"/>
      <c r="L269" s="218"/>
      <c r="M269" s="218"/>
      <c r="N269" s="236" t="s">
        <v>1033</v>
      </c>
      <c r="O269" s="70"/>
      <c r="P269" s="70"/>
      <c r="Q269" s="70"/>
      <c r="R269" s="70"/>
      <c r="S269" s="70"/>
      <c r="T269" s="70"/>
      <c r="U269" s="70"/>
      <c r="V269" s="70"/>
      <c r="DI269" s="252"/>
    </row>
    <row r="270" spans="1:122" s="7" customFormat="1" ht="150" customHeight="1">
      <c r="A270" s="75">
        <v>4</v>
      </c>
      <c r="B270" s="111" t="s">
        <v>1037</v>
      </c>
      <c r="C270" s="75" t="s">
        <v>1040</v>
      </c>
      <c r="D270" s="75" t="s">
        <v>1041</v>
      </c>
      <c r="E270" s="111" t="s">
        <v>1032</v>
      </c>
      <c r="F270" s="112">
        <v>1</v>
      </c>
      <c r="G270" s="82">
        <v>7</v>
      </c>
      <c r="H270" s="76">
        <v>5860001</v>
      </c>
      <c r="I270" s="77">
        <f>H270*G270*F270</f>
        <v>41020007</v>
      </c>
      <c r="J270" s="77">
        <f t="shared" si="230"/>
        <v>287140049</v>
      </c>
      <c r="K270" s="5"/>
      <c r="L270" s="218"/>
      <c r="M270" s="218"/>
      <c r="N270" s="236" t="s">
        <v>1033</v>
      </c>
      <c r="O270" s="70"/>
      <c r="P270" s="70"/>
      <c r="Q270" s="70"/>
      <c r="R270" s="70"/>
      <c r="S270" s="70"/>
      <c r="T270" s="70"/>
      <c r="U270" s="70"/>
      <c r="V270" s="70"/>
      <c r="DI270" s="252"/>
    </row>
    <row r="271" spans="1:122" s="7" customFormat="1" ht="63.75" customHeight="1">
      <c r="A271" s="220"/>
      <c r="B271" s="221"/>
      <c r="C271" s="220"/>
      <c r="D271" s="220"/>
      <c r="E271" s="221"/>
      <c r="F271" s="222"/>
      <c r="G271" s="223"/>
      <c r="H271" s="224" t="s">
        <v>1042</v>
      </c>
      <c r="I271" s="225">
        <f>SUM(I269:I270)</f>
        <v>87900015</v>
      </c>
      <c r="J271" s="225"/>
      <c r="K271" s="226"/>
      <c r="L271"/>
      <c r="M271"/>
      <c r="N271" s="70"/>
      <c r="O271" s="70"/>
      <c r="P271" s="70"/>
      <c r="Q271" s="70"/>
      <c r="R271" s="70"/>
      <c r="S271" s="70"/>
      <c r="T271" s="70"/>
      <c r="U271" s="70"/>
      <c r="V271" s="70"/>
      <c r="DI271" s="252"/>
    </row>
    <row r="272" spans="1:122" s="7" customFormat="1" ht="63" customHeight="1">
      <c r="A272" s="365" t="s">
        <v>1043</v>
      </c>
      <c r="B272" s="342"/>
      <c r="C272" s="342"/>
      <c r="D272" s="342"/>
      <c r="E272" s="342"/>
      <c r="F272" s="342"/>
      <c r="G272" s="342"/>
      <c r="H272" s="342"/>
      <c r="I272" s="233">
        <f>I271+I268</f>
        <v>175800030</v>
      </c>
      <c r="J272" s="79">
        <f>SUM(J266:J270)</f>
        <v>1324360226</v>
      </c>
      <c r="K272" s="70"/>
      <c r="L272" s="70"/>
      <c r="DI272" s="252"/>
    </row>
    <row r="273" spans="12:27">
      <c r="L273" s="70"/>
      <c r="M273" s="70"/>
    </row>
    <row r="274" spans="12:27">
      <c r="L274" s="70"/>
      <c r="M274" s="70"/>
    </row>
    <row r="275" spans="12:27">
      <c r="L275" s="70"/>
      <c r="M275" s="70"/>
      <c r="P275" s="113"/>
      <c r="Q275" s="113"/>
      <c r="R275" s="113"/>
    </row>
    <row r="276" spans="12:27" ht="14.65" customHeight="1">
      <c r="L276" s="70"/>
      <c r="M276" s="70"/>
      <c r="T276" s="367" t="s">
        <v>57</v>
      </c>
      <c r="U276" s="218"/>
      <c r="V276" s="218"/>
      <c r="W276" s="218"/>
      <c r="X276" s="218"/>
      <c r="Y276" s="346"/>
      <c r="Z276" s="363" t="s">
        <v>58</v>
      </c>
      <c r="AA276" s="366">
        <f>SUM(AA261,L272)</f>
        <v>217735290.46826354</v>
      </c>
    </row>
    <row r="277" spans="12:27" ht="14.65" customHeight="1">
      <c r="T277" s="5"/>
      <c r="U277" s="218"/>
      <c r="V277" s="218"/>
      <c r="W277" s="218"/>
      <c r="X277" s="218"/>
      <c r="Y277" s="346"/>
      <c r="Z277" s="348"/>
      <c r="AA277" s="348"/>
    </row>
    <row r="278" spans="12:27">
      <c r="N278" s="3" t="s">
        <v>1044</v>
      </c>
    </row>
  </sheetData>
  <autoFilter ref="A11:DU261" xr:uid="{00000000-0001-0000-0500-000000000000}">
    <sortState xmlns:xlrd2="http://schemas.microsoft.com/office/spreadsheetml/2017/richdata2" ref="A12:DU261">
      <sortCondition ref="A11:A261"/>
    </sortState>
  </autoFilter>
  <conditionalFormatting sqref="AC12:AC118 AC120:AC259">
    <cfRule type="cellIs" dxfId="17" priority="27" stopIfTrue="1" operator="greaterThan">
      <formula>0.2</formula>
    </cfRule>
  </conditionalFormatting>
  <conditionalFormatting sqref="C234:C240 C243 C245:C250">
    <cfRule type="duplicateValues" dxfId="16" priority="7"/>
  </conditionalFormatting>
  <conditionalFormatting sqref="D257 C120:C164 C166:C255">
    <cfRule type="duplicateValues" dxfId="15" priority="8"/>
  </conditionalFormatting>
  <conditionalFormatting sqref="D255">
    <cfRule type="duplicateValues" dxfId="14" priority="5"/>
  </conditionalFormatting>
  <conditionalFormatting sqref="D256">
    <cfRule type="duplicateValues" dxfId="13" priority="4"/>
  </conditionalFormatting>
  <conditionalFormatting sqref="C113 C258:C259">
    <cfRule type="duplicateValues" dxfId="12" priority="9"/>
  </conditionalFormatting>
  <conditionalFormatting sqref="C120:C164 C166:C257">
    <cfRule type="duplicateValues" dxfId="11" priority="58"/>
  </conditionalFormatting>
  <dataValidations count="2">
    <dataValidation type="list" allowBlank="1" showInputMessage="1" showErrorMessage="1" sqref="G12:G118 G120:G257" xr:uid="{00000000-0002-0000-0500-000000000000}">
      <formula1>"Compra,Alquiler,PrestaciónServicio"</formula1>
    </dataValidation>
    <dataValidation type="list" allowBlank="1" showInputMessage="1" showErrorMessage="1" sqref="E255:E257" xr:uid="{00000000-0002-0000-0500-000001000000}">
      <formula1>"Bolsa,Nuevo Elemento"</formula1>
    </dataValidation>
  </dataValidations>
  <pageMargins left="0.25" right="0.25" top="0.75" bottom="0.75" header="0.3" footer="0.3"/>
  <pageSetup paperSize="3" scale="10" orientation="landscape" r:id="rId1"/>
  <rowBreaks count="1" manualBreakCount="1">
    <brk id="116" max="30" man="1"/>
  </rowBreaks>
  <colBreaks count="3" manualBreakCount="3">
    <brk id="3" max="314" man="1"/>
    <brk id="13" max="1048575" man="1"/>
    <brk id="25" max="176"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64DA8-14EA-45C0-8BF3-003E1165475E}">
  <sheetPr codeName="Hoja8">
    <pageSetUpPr fitToPage="1"/>
  </sheetPr>
  <dimension ref="A3:DV277"/>
  <sheetViews>
    <sheetView tabSelected="1" view="pageBreakPreview" zoomScale="32" zoomScaleNormal="40" zoomScaleSheetLayoutView="32" workbookViewId="0">
      <selection activeCell="J11" sqref="J11"/>
    </sheetView>
  </sheetViews>
  <sheetFormatPr defaultColWidth="11.28515625" defaultRowHeight="21"/>
  <cols>
    <col min="1" max="1" width="11.28515625" style="3"/>
    <col min="2" max="2" width="17.28515625" style="3" customWidth="1"/>
    <col min="3" max="3" width="52.5703125" style="3" bestFit="1" customWidth="1"/>
    <col min="4" max="4" width="37.85546875" style="3" bestFit="1" customWidth="1"/>
    <col min="5" max="5" width="125.28515625" style="3" customWidth="1"/>
    <col min="6" max="6" width="18" style="3" customWidth="1"/>
    <col min="7" max="7" width="17.28515625" style="3" customWidth="1"/>
    <col min="8" max="8" width="28.28515625" style="204" customWidth="1"/>
    <col min="9" max="9" width="40.42578125" style="3" customWidth="1"/>
    <col min="10" max="10" width="29.7109375" style="3" customWidth="1"/>
    <col min="11" max="11" width="28.85546875" style="3" bestFit="1" customWidth="1"/>
    <col min="12" max="12" width="25.28515625" style="3" customWidth="1"/>
    <col min="13" max="13" width="32.5703125" style="3" customWidth="1"/>
    <col min="14" max="14" width="25.28515625" style="3" customWidth="1"/>
    <col min="15" max="15" width="27.28515625" style="3" bestFit="1" customWidth="1"/>
    <col min="16" max="16" width="29.7109375" style="3" bestFit="1" customWidth="1"/>
    <col min="17" max="17" width="24.28515625" style="3" customWidth="1"/>
    <col min="18" max="18" width="29.7109375" style="3" customWidth="1"/>
    <col min="19" max="19" width="30.42578125" style="3" customWidth="1"/>
    <col min="20" max="20" width="31.28515625" style="3" customWidth="1"/>
    <col min="21" max="21" width="41.42578125" style="3" customWidth="1"/>
    <col min="22" max="22" width="29.7109375" style="3" bestFit="1" customWidth="1"/>
    <col min="23" max="23" width="23.7109375" style="3" bestFit="1" customWidth="1"/>
    <col min="24" max="24" width="29.7109375" style="3" customWidth="1"/>
    <col min="25" max="25" width="30.42578125" style="3" customWidth="1"/>
    <col min="26" max="26" width="31.28515625" style="3" customWidth="1"/>
    <col min="27" max="27" width="33" style="3" bestFit="1" customWidth="1"/>
    <col min="28" max="28" width="35.7109375" style="3" customWidth="1"/>
    <col min="29" max="29" width="36.42578125" style="3" customWidth="1"/>
    <col min="30" max="30" width="24.28515625" style="3" customWidth="1"/>
    <col min="31" max="31" width="56.28515625" style="3" customWidth="1"/>
    <col min="32" max="32" width="67.28515625" style="3" customWidth="1"/>
    <col min="33" max="33" width="39.28515625" style="3" customWidth="1"/>
    <col min="34" max="56" width="11.28515625" style="3" customWidth="1"/>
    <col min="57" max="57" width="5.28515625" style="3" customWidth="1"/>
    <col min="58" max="105" width="11.28515625" style="3" customWidth="1"/>
    <col min="106" max="106" width="26.42578125" style="3" customWidth="1"/>
    <col min="107" max="107" width="40.28515625" style="3" customWidth="1"/>
    <col min="108" max="112" width="11.28515625" style="3" customWidth="1"/>
    <col min="113" max="113" width="11.28515625" style="3"/>
    <col min="114" max="114" width="11.28515625" style="252"/>
    <col min="115" max="115" width="24.28515625" style="3" customWidth="1"/>
    <col min="116" max="119" width="15.28515625" style="3" customWidth="1"/>
    <col min="120" max="120" width="11.28515625" style="3" customWidth="1"/>
    <col min="121" max="123" width="15.28515625" style="3" customWidth="1"/>
    <col min="124" max="124" width="11.28515625" style="3" customWidth="1"/>
    <col min="125" max="125" width="11.28515625" style="3"/>
    <col min="126" max="126" width="40.85546875" style="3" customWidth="1"/>
    <col min="127" max="16384" width="11.28515625" style="3"/>
  </cols>
  <sheetData>
    <row r="3" spans="1:123" s="1" customFormat="1" ht="159.6" customHeight="1">
      <c r="A3" s="448"/>
      <c r="B3" s="551" t="s">
        <v>158</v>
      </c>
      <c r="C3" s="551"/>
      <c r="D3" s="551"/>
      <c r="E3" s="551"/>
      <c r="F3" s="551"/>
      <c r="G3" s="551"/>
      <c r="H3" s="551"/>
      <c r="I3" s="551"/>
      <c r="J3" s="551"/>
      <c r="K3" s="551"/>
      <c r="L3" s="551"/>
      <c r="M3" s="551"/>
      <c r="N3" s="551"/>
      <c r="O3" s="556" t="s">
        <v>9</v>
      </c>
      <c r="P3" s="556"/>
      <c r="Q3" s="556"/>
      <c r="R3" s="556"/>
      <c r="S3" s="556"/>
      <c r="T3" s="556"/>
      <c r="U3" s="556"/>
      <c r="V3" s="556"/>
      <c r="W3" s="556"/>
      <c r="X3" s="556"/>
      <c r="Y3" s="556"/>
      <c r="Z3" s="556"/>
      <c r="AA3" s="557" t="s">
        <v>159</v>
      </c>
      <c r="AB3" s="557"/>
      <c r="AC3" s="237">
        <f>AB111</f>
        <v>195210731.19837081</v>
      </c>
      <c r="AD3" s="33"/>
      <c r="DJ3" s="252"/>
    </row>
    <row r="4" spans="1:123" s="2" customFormat="1" ht="93.6">
      <c r="A4" s="449"/>
      <c r="B4" s="569"/>
      <c r="C4" s="570"/>
      <c r="D4" s="45" t="s">
        <v>160</v>
      </c>
      <c r="E4" s="182">
        <v>46182</v>
      </c>
      <c r="F4" s="552" t="s">
        <v>11</v>
      </c>
      <c r="G4" s="552"/>
      <c r="H4" s="552"/>
      <c r="I4" s="552"/>
      <c r="J4" s="553" t="s">
        <v>1129</v>
      </c>
      <c r="K4" s="553"/>
      <c r="L4" s="553"/>
      <c r="M4" s="553"/>
      <c r="N4" s="553"/>
      <c r="O4" s="556"/>
      <c r="P4" s="556"/>
      <c r="Q4" s="556"/>
      <c r="R4" s="556"/>
      <c r="S4" s="556"/>
      <c r="T4" s="556"/>
      <c r="U4" s="556"/>
      <c r="V4" s="556"/>
      <c r="W4" s="556"/>
      <c r="X4" s="556"/>
      <c r="Y4" s="556"/>
      <c r="Z4" s="556"/>
      <c r="AA4" s="557" t="s">
        <v>162</v>
      </c>
      <c r="AB4" s="557"/>
      <c r="AC4" s="73">
        <f>AB260</f>
        <v>22524559.269892719</v>
      </c>
      <c r="AD4" s="38"/>
      <c r="DJ4" s="252"/>
    </row>
    <row r="5" spans="1:123" s="2" customFormat="1" ht="93.6">
      <c r="A5" s="449"/>
      <c r="B5" s="571"/>
      <c r="C5" s="572"/>
      <c r="D5" s="114" t="s">
        <v>12</v>
      </c>
      <c r="E5" s="554" t="s">
        <v>163</v>
      </c>
      <c r="F5" s="554"/>
      <c r="G5" s="554"/>
      <c r="H5" s="554"/>
      <c r="I5" s="114" t="s">
        <v>13</v>
      </c>
      <c r="J5" s="20"/>
      <c r="K5" s="537"/>
      <c r="L5" s="114" t="s">
        <v>14</v>
      </c>
      <c r="M5" s="20"/>
      <c r="N5" s="537"/>
      <c r="O5" s="556"/>
      <c r="P5" s="556"/>
      <c r="Q5" s="556"/>
      <c r="R5" s="556"/>
      <c r="S5" s="556"/>
      <c r="T5" s="556"/>
      <c r="U5" s="556"/>
      <c r="V5" s="556"/>
      <c r="W5" s="556"/>
      <c r="X5" s="556"/>
      <c r="Y5" s="556"/>
      <c r="Z5" s="556"/>
      <c r="AA5" s="557" t="s">
        <v>164</v>
      </c>
      <c r="AB5" s="557"/>
      <c r="AC5" s="73">
        <f>K271</f>
        <v>175800030</v>
      </c>
      <c r="AD5" s="38"/>
      <c r="AE5" s="105" t="s">
        <v>165</v>
      </c>
      <c r="AF5" s="2" t="s">
        <v>166</v>
      </c>
      <c r="DJ5" s="252"/>
    </row>
    <row r="6" spans="1:123" s="2" customFormat="1" ht="117" customHeight="1">
      <c r="A6" s="449"/>
      <c r="B6" s="573"/>
      <c r="C6" s="574"/>
      <c r="D6" s="45" t="s">
        <v>15</v>
      </c>
      <c r="E6" s="555" t="s">
        <v>1130</v>
      </c>
      <c r="F6" s="555"/>
      <c r="G6" s="555"/>
      <c r="H6" s="555"/>
      <c r="I6" s="555"/>
      <c r="J6" s="555"/>
      <c r="K6" s="555"/>
      <c r="L6" s="555"/>
      <c r="M6" s="555"/>
      <c r="N6" s="555"/>
      <c r="O6" s="556"/>
      <c r="P6" s="556"/>
      <c r="Q6" s="556"/>
      <c r="R6" s="556"/>
      <c r="S6" s="556"/>
      <c r="T6" s="556"/>
      <c r="U6" s="556"/>
      <c r="V6" s="556"/>
      <c r="W6" s="556"/>
      <c r="X6" s="556"/>
      <c r="Y6" s="556"/>
      <c r="Z6" s="556"/>
      <c r="AA6" s="557" t="s">
        <v>168</v>
      </c>
      <c r="AB6" s="557"/>
      <c r="AC6" s="74">
        <f>AC3+AC4+AC5</f>
        <v>393535320.46826351</v>
      </c>
      <c r="AE6" s="103"/>
      <c r="AF6" s="104"/>
      <c r="AH6" s="104">
        <f>AC6-AB264</f>
        <v>0</v>
      </c>
      <c r="DB6">
        <v>1</v>
      </c>
      <c r="DC6">
        <v>2</v>
      </c>
      <c r="DD6">
        <v>10</v>
      </c>
      <c r="DE6">
        <v>14</v>
      </c>
      <c r="DF6">
        <v>23</v>
      </c>
      <c r="DG6">
        <v>29</v>
      </c>
      <c r="DH6">
        <v>36</v>
      </c>
      <c r="DI6">
        <v>40</v>
      </c>
      <c r="DJ6" s="252"/>
      <c r="DK6">
        <v>48</v>
      </c>
    </row>
    <row r="7" spans="1:123" ht="31.15">
      <c r="I7" s="536"/>
      <c r="J7"/>
      <c r="K7"/>
      <c r="L7"/>
      <c r="M7"/>
      <c r="N7"/>
      <c r="O7"/>
      <c r="P7"/>
      <c r="Q7"/>
      <c r="R7"/>
      <c r="S7"/>
      <c r="T7"/>
      <c r="U7"/>
      <c r="V7"/>
      <c r="W7"/>
      <c r="DB7" t="s">
        <v>25</v>
      </c>
      <c r="DC7" t="s">
        <v>26</v>
      </c>
      <c r="DD7" t="s">
        <v>29</v>
      </c>
      <c r="DE7" t="s">
        <v>170</v>
      </c>
      <c r="DF7" t="s">
        <v>35</v>
      </c>
      <c r="DG7" t="s">
        <v>32</v>
      </c>
      <c r="DH7" t="s">
        <v>36</v>
      </c>
      <c r="DI7" t="s">
        <v>30</v>
      </c>
      <c r="DK7" t="s">
        <v>41</v>
      </c>
    </row>
    <row r="8" spans="1:123">
      <c r="K8" s="16"/>
      <c r="L8" s="16"/>
      <c r="M8" s="16"/>
      <c r="N8" s="16"/>
      <c r="Q8" s="16"/>
      <c r="R8" s="16"/>
      <c r="S8" s="16"/>
      <c r="T8" s="16"/>
      <c r="W8" s="16"/>
      <c r="X8" s="16"/>
      <c r="Y8" s="16"/>
      <c r="Z8" s="16"/>
      <c r="AA8" s="16"/>
    </row>
    <row r="9" spans="1:123" s="18" customFormat="1" ht="23.45">
      <c r="B9" s="3"/>
      <c r="H9" s="205"/>
      <c r="I9" s="558" t="s">
        <v>17</v>
      </c>
      <c r="J9" s="559"/>
      <c r="K9" s="559"/>
      <c r="L9" s="559"/>
      <c r="M9" s="559"/>
      <c r="N9" s="560"/>
      <c r="O9" s="561" t="s">
        <v>18</v>
      </c>
      <c r="P9" s="562"/>
      <c r="Q9" s="562"/>
      <c r="R9" s="562"/>
      <c r="S9" s="562"/>
      <c r="T9" s="563"/>
      <c r="U9" s="564" t="s">
        <v>19</v>
      </c>
      <c r="V9" s="565"/>
      <c r="W9" s="565"/>
      <c r="X9" s="565"/>
      <c r="Y9" s="565"/>
      <c r="Z9" s="566"/>
      <c r="AA9" s="567" t="s">
        <v>1131</v>
      </c>
      <c r="AB9" s="568"/>
      <c r="AC9" s="568"/>
      <c r="AD9" s="568"/>
      <c r="AF9" s="3"/>
      <c r="DB9" s="18" t="s">
        <v>171</v>
      </c>
      <c r="DJ9" s="252"/>
      <c r="DK9" s="18" t="s">
        <v>172</v>
      </c>
    </row>
    <row r="10" spans="1:123" s="18" customFormat="1" ht="18">
      <c r="B10" s="3"/>
      <c r="C10" s="345"/>
      <c r="D10" s="345"/>
      <c r="E10" s="345"/>
      <c r="F10" s="345"/>
      <c r="G10" s="345"/>
      <c r="H10" s="345"/>
      <c r="I10" s="345"/>
      <c r="J10" s="345"/>
      <c r="K10" s="345"/>
      <c r="L10" s="345"/>
      <c r="M10" s="345"/>
      <c r="N10" s="345"/>
      <c r="O10" s="345"/>
      <c r="P10" s="345"/>
      <c r="Q10" s="345"/>
      <c r="R10" s="345"/>
      <c r="S10" s="345"/>
      <c r="T10" s="345"/>
      <c r="U10" s="345"/>
      <c r="V10" s="345"/>
      <c r="W10" s="345"/>
      <c r="X10" s="345"/>
      <c r="Y10" s="345"/>
      <c r="Z10" s="345"/>
      <c r="AA10" s="345"/>
      <c r="AB10" s="345"/>
      <c r="AC10" s="345"/>
      <c r="AD10" s="345"/>
      <c r="AE10" s="3"/>
      <c r="AF10" s="3"/>
      <c r="DJ10" s="252"/>
    </row>
    <row r="11" spans="1:123" s="177" customFormat="1" ht="129">
      <c r="A11" s="177" t="s">
        <v>1132</v>
      </c>
      <c r="B11" s="178" t="s">
        <v>23</v>
      </c>
      <c r="C11" s="178" t="s">
        <v>24</v>
      </c>
      <c r="D11" s="178" t="s">
        <v>25</v>
      </c>
      <c r="E11" s="178" t="s">
        <v>26</v>
      </c>
      <c r="F11" s="178" t="s">
        <v>27</v>
      </c>
      <c r="G11" s="178" t="s">
        <v>28</v>
      </c>
      <c r="H11" s="206" t="s">
        <v>174</v>
      </c>
      <c r="I11" s="179" t="s">
        <v>29</v>
      </c>
      <c r="J11" s="179" t="s">
        <v>30</v>
      </c>
      <c r="K11" s="179" t="s">
        <v>175</v>
      </c>
      <c r="L11" s="179" t="s">
        <v>32</v>
      </c>
      <c r="M11" s="179" t="s">
        <v>33</v>
      </c>
      <c r="N11" s="179" t="s">
        <v>34</v>
      </c>
      <c r="O11" s="178" t="s">
        <v>35</v>
      </c>
      <c r="P11" s="178" t="s">
        <v>30</v>
      </c>
      <c r="Q11" s="178" t="s">
        <v>176</v>
      </c>
      <c r="R11" s="178" t="s">
        <v>32</v>
      </c>
      <c r="S11" s="178" t="s">
        <v>33</v>
      </c>
      <c r="T11" s="178" t="s">
        <v>34</v>
      </c>
      <c r="U11" s="180" t="s">
        <v>36</v>
      </c>
      <c r="V11" s="180" t="s">
        <v>30</v>
      </c>
      <c r="W11" s="180" t="s">
        <v>31</v>
      </c>
      <c r="X11" s="180" t="s">
        <v>32</v>
      </c>
      <c r="Y11" s="180" t="s">
        <v>33</v>
      </c>
      <c r="Z11" s="180" t="s">
        <v>34</v>
      </c>
      <c r="AA11" s="179" t="s">
        <v>38</v>
      </c>
      <c r="AB11" s="179" t="s">
        <v>39</v>
      </c>
      <c r="AC11" s="179" t="s">
        <v>40</v>
      </c>
      <c r="AD11" s="179" t="s">
        <v>41</v>
      </c>
      <c r="AE11" s="181" t="s">
        <v>46</v>
      </c>
      <c r="DB11" s="177" t="s">
        <v>177</v>
      </c>
      <c r="DC11" s="177" t="s">
        <v>178</v>
      </c>
      <c r="DD11" s="177" t="s">
        <v>179</v>
      </c>
      <c r="DE11" s="177" t="s">
        <v>180</v>
      </c>
      <c r="DF11" s="177" t="s">
        <v>181</v>
      </c>
      <c r="DG11" s="177" t="s">
        <v>182</v>
      </c>
      <c r="DH11" s="177" t="s">
        <v>183</v>
      </c>
      <c r="DI11" s="177" t="s">
        <v>184</v>
      </c>
      <c r="DJ11" s="252" t="s">
        <v>185</v>
      </c>
      <c r="DK11" s="177" t="s">
        <v>177</v>
      </c>
      <c r="DL11" s="177" t="s">
        <v>178</v>
      </c>
      <c r="DM11" s="177" t="s">
        <v>179</v>
      </c>
      <c r="DN11" s="177" t="s">
        <v>180</v>
      </c>
      <c r="DO11" s="177" t="s">
        <v>181</v>
      </c>
      <c r="DP11" s="177" t="s">
        <v>182</v>
      </c>
      <c r="DQ11" s="177" t="s">
        <v>183</v>
      </c>
      <c r="DR11" s="177" t="s">
        <v>184</v>
      </c>
      <c r="DS11" s="177" t="s">
        <v>185</v>
      </c>
    </row>
    <row r="12" spans="1:123" s="7" customFormat="1" ht="345.6">
      <c r="A12" s="7" t="s">
        <v>173</v>
      </c>
      <c r="B12" s="453">
        <v>1</v>
      </c>
      <c r="C12" s="642" t="s">
        <v>186</v>
      </c>
      <c r="D12" s="453" t="s">
        <v>187</v>
      </c>
      <c r="E12" s="453" t="str">
        <f>IF(D12="","",VLOOKUP(D12,listaBolsa!$D$2:$H$276,2,0))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F12" s="194" t="str">
        <f>IF(D12="","",VLOOKUP(D12,listaBolsa!$D$2:$H$276,3,0))</f>
        <v>Unidad</v>
      </c>
      <c r="G12" s="453">
        <v>400</v>
      </c>
      <c r="H12" s="443" t="str">
        <f>IF(D12="","",VLOOKUP(D12,listaBolsa!$D$2:$H$276,5,0))</f>
        <v>Compra</v>
      </c>
      <c r="I12" s="454" t="str">
        <f>IF(D12="","",VLOOKUP(D12,listaBolsa!$D$2:$W$276,10,0))</f>
        <v>INVERSIONES BECORATI E Y O SAS</v>
      </c>
      <c r="J12" s="455">
        <f>IF(D12="","",VLOOKUP(D12,listaBolsa!$D$2:$W$276,14,0))</f>
        <v>11700</v>
      </c>
      <c r="K12" s="455">
        <f t="shared" ref="K12:K19" si="0">J12*19%</f>
        <v>2223</v>
      </c>
      <c r="L12" s="455">
        <f t="shared" ref="L12:L45" si="1">J12+K12</f>
        <v>13923</v>
      </c>
      <c r="M12" s="455">
        <f t="shared" ref="M12:M45" si="2">IF(C12="","",(J12*G12))</f>
        <v>4680000</v>
      </c>
      <c r="N12" s="455">
        <f t="shared" ref="N12:N45" si="3">IF(C12="","",(L12*G12))</f>
        <v>5569200</v>
      </c>
      <c r="O12" s="456" t="str">
        <f>IF(D12="","",VLOOKUP(D12,listaBolsa!$D$2:$AZ$276,23,0))</f>
        <v>ENTERPRISE INVESTMENT DEVELOPMENT S.A.S.</v>
      </c>
      <c r="P12" s="457">
        <f>IF(D12="","",VLOOKUP(D12,listaBolsa!$D$2:$AZ$276,27,0))</f>
        <v>8570</v>
      </c>
      <c r="Q12" s="457">
        <f t="shared" ref="Q12:Q18" si="4">P12*19%</f>
        <v>1628.3</v>
      </c>
      <c r="R12" s="457">
        <f t="shared" ref="R12:R43" si="5">P12+Q12</f>
        <v>10198.299999999999</v>
      </c>
      <c r="S12" s="457">
        <f t="shared" ref="S12:S43" si="6">IF(C12="","",(P12*G12))</f>
        <v>3428000</v>
      </c>
      <c r="T12" s="457">
        <f t="shared" ref="T12:T43" si="7">IF(C12="","",(R12*G12))</f>
        <v>4079319.9999999995</v>
      </c>
      <c r="U12" s="458" t="str">
        <f>IF(D12="","",VLOOKUP(D12,listaBolsa!$D$2:$BB$276,36,0))</f>
        <v>Estimación de precios con base en el proceso FDLSUBA-LP-013-2025 (140689) – Contrato 1000 – 2025, indexando el incremento de precios en el mercado con base en el Índice de Precios al Consumidor (IPC) para el mes de marzo de 2026, el cual fue de 5,56%.</v>
      </c>
      <c r="V12" s="459">
        <f>IF(D12="","",VLOOKUP(D12,listaBolsa!$D$2:$BB$276,40,0))</f>
        <v>12843.518518518518</v>
      </c>
      <c r="W12" s="459">
        <f t="shared" ref="W12:W18" si="8">V12*19%</f>
        <v>2440.2685185185187</v>
      </c>
      <c r="X12" s="459">
        <f t="shared" ref="X12:X42" si="9">V12+W12</f>
        <v>15283.787037037036</v>
      </c>
      <c r="Y12" s="459">
        <f t="shared" ref="Y12:Y42" si="10">IF(C12="","",(V12*G12))</f>
        <v>5137407.4074074076</v>
      </c>
      <c r="Z12" s="459">
        <f t="shared" ref="Z12:Z42" si="11">IF(C12="","",(X12*G12))</f>
        <v>6113514.8148148144</v>
      </c>
      <c r="AA12" s="460">
        <f>IF(B12="","",AVERAGE(L12,R12,X12))</f>
        <v>13135.02901234568</v>
      </c>
      <c r="AB12" s="460">
        <f>IF(C12="","",AA12*G12)</f>
        <v>5254011.6049382724</v>
      </c>
      <c r="AC12" s="461">
        <f>IF(C12="","",STDEV(N12,T12,Z12))</f>
        <v>1053088.2818838458</v>
      </c>
      <c r="AD12" s="427">
        <f t="shared" ref="AD12:AD43" si="12">IF(C12="","",(AC12/AB12))</f>
        <v>0.20043508866521018</v>
      </c>
      <c r="AE12" s="428"/>
      <c r="BH12" s="7">
        <v>1</v>
      </c>
      <c r="DB12" s="7" t="str">
        <f>VLOOKUP(D12,listaBolsa!$D$2:$BA$1248,1,0)</f>
        <v>Refrigerio Tipo 1</v>
      </c>
      <c r="DC12" s="7" t="str">
        <f>VLOOKUP(D12,listaBolsa!$D$2:$BA$1248,2,0)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D12" s="7" t="str">
        <f>VLOOKUP(D12,listaBolsa!$D$2:$BA$1248,10,0)</f>
        <v>INVERSIONES BECORATI E Y O SAS</v>
      </c>
      <c r="DE12" s="7">
        <f>VLOOKUP(D12,listaBolsa!$D$2:$BA$1248,14,0)</f>
        <v>11700</v>
      </c>
      <c r="DF12" s="7" t="str">
        <f>VLOOKUP(D12,listaBolsa!$D$2:$BA$1248,23,0)</f>
        <v>ENTERPRISE INVESTMENT DEVELOPMENT S.A.S.</v>
      </c>
      <c r="DG12" s="7">
        <f>VLOOKUP(D12,listaBolsa!$D$2:$BA$1248,29,0)</f>
        <v>9255.6</v>
      </c>
      <c r="DH12" s="7" t="str">
        <f>VLOOKUP(D12,listaBolsa!$D$2:$BA$1248,36,0)</f>
        <v>Estimación de precios con base en el proceso FDLSUBA-LP-013-2025 (140689) – Contrato 1000 – 2025, indexando el incremento de precios en el mercado con base en el Índice de Precios al Consumidor (IPC) para el mes de marzo de 2026, el cual fue de 5,56%.</v>
      </c>
      <c r="DI12" s="7">
        <f>VLOOKUP(D12,listaBolsa!$D$2:$BA$1248,40,0)</f>
        <v>12843.518518518518</v>
      </c>
      <c r="DJ12" s="252">
        <f>VLOOKUP(D12,listaBolsa!$D$2:$BA$1248,48,0)</f>
        <v>0.20043508866520951</v>
      </c>
      <c r="DK12" s="7" t="b">
        <f t="shared" ref="DK12:DK43" si="13">DB12=D12</f>
        <v>1</v>
      </c>
      <c r="DL12" s="7" t="b">
        <f t="shared" ref="DL12:DL43" si="14">DC12=E12</f>
        <v>1</v>
      </c>
      <c r="DM12" s="7" t="b">
        <f t="shared" ref="DM12:DM43" si="15">DD12=I12</f>
        <v>1</v>
      </c>
      <c r="DN12" s="7" t="b">
        <f t="shared" ref="DN12:DN43" si="16">DE12=J12</f>
        <v>1</v>
      </c>
      <c r="DO12" s="7" t="b">
        <f t="shared" ref="DO12:DO43" si="17">DF12=O12</f>
        <v>1</v>
      </c>
      <c r="DP12" s="7" t="b">
        <f t="shared" ref="DP12:DP43" si="18">DG12=P12</f>
        <v>0</v>
      </c>
      <c r="DQ12" s="7" t="b">
        <f t="shared" ref="DQ12:DQ43" si="19">DH12=U12</f>
        <v>1</v>
      </c>
      <c r="DR12" s="7" t="b">
        <f t="shared" ref="DR12:DR43" si="20">DI12=V12</f>
        <v>1</v>
      </c>
      <c r="DS12" s="7" t="b">
        <f t="shared" ref="DS12:DS43" si="21">DJ12=AD12</f>
        <v>1</v>
      </c>
    </row>
    <row r="13" spans="1:123" s="7" customFormat="1" ht="72">
      <c r="A13" s="7" t="s">
        <v>173</v>
      </c>
      <c r="B13" s="453">
        <v>2</v>
      </c>
      <c r="C13" s="642" t="s">
        <v>186</v>
      </c>
      <c r="D13" s="453" t="s">
        <v>189</v>
      </c>
      <c r="E13" s="453" t="s">
        <v>190</v>
      </c>
      <c r="F13" s="194" t="s">
        <v>191</v>
      </c>
      <c r="G13" s="453">
        <v>1</v>
      </c>
      <c r="H13" s="443" t="s">
        <v>192</v>
      </c>
      <c r="I13" s="454" t="s">
        <v>193</v>
      </c>
      <c r="J13" s="455">
        <v>15000</v>
      </c>
      <c r="K13" s="455">
        <f t="shared" si="0"/>
        <v>2850</v>
      </c>
      <c r="L13" s="455">
        <f t="shared" si="1"/>
        <v>17850</v>
      </c>
      <c r="M13" s="455">
        <f t="shared" si="2"/>
        <v>15000</v>
      </c>
      <c r="N13" s="455">
        <f t="shared" si="3"/>
        <v>17850</v>
      </c>
      <c r="O13" s="456" t="s">
        <v>194</v>
      </c>
      <c r="P13" s="457">
        <v>16200</v>
      </c>
      <c r="Q13" s="457">
        <f t="shared" si="4"/>
        <v>3078</v>
      </c>
      <c r="R13" s="457">
        <f t="shared" si="5"/>
        <v>19278</v>
      </c>
      <c r="S13" s="457">
        <f t="shared" si="6"/>
        <v>16200</v>
      </c>
      <c r="T13" s="457">
        <f t="shared" si="7"/>
        <v>19278</v>
      </c>
      <c r="U13" s="458" t="s">
        <v>195</v>
      </c>
      <c r="V13" s="459">
        <v>13319.32773109244</v>
      </c>
      <c r="W13" s="459">
        <f t="shared" si="8"/>
        <v>2530.6722689075636</v>
      </c>
      <c r="X13" s="459">
        <f t="shared" si="9"/>
        <v>15850.000000000004</v>
      </c>
      <c r="Y13" s="459">
        <f t="shared" si="10"/>
        <v>13319.32773109244</v>
      </c>
      <c r="Z13" s="459">
        <f t="shared" si="11"/>
        <v>15850.000000000004</v>
      </c>
      <c r="AA13" s="460">
        <f>IF(B13="","",AVERAGE(L13,R13,X13))</f>
        <v>17659.333333333332</v>
      </c>
      <c r="AB13" s="460">
        <f>IF(C13="","",AA13*G13)</f>
        <v>17659.333333333332</v>
      </c>
      <c r="AC13" s="461">
        <f>IF(C13="","",STDEV(N13,T13,Z13))</f>
        <v>1721.9353452825478</v>
      </c>
      <c r="AD13" s="427">
        <f t="shared" si="12"/>
        <v>9.7508513644298453E-2</v>
      </c>
      <c r="AE13" s="428"/>
      <c r="BH13" s="7">
        <v>2</v>
      </c>
      <c r="DB13" s="7" t="str">
        <f>VLOOKUP(D13,listaBolsa!$D$2:$BA$1248,1,0)</f>
        <v>Bolsas negras</v>
      </c>
      <c r="DC13" s="7">
        <f>VLOOKUP(D13,listaBolsa!$D$2:$BA$1248,2,0)</f>
        <v>0</v>
      </c>
      <c r="DD13" s="7" t="str">
        <f>VLOOKUP(D13,listaBolsa!$D$2:$BA$1248,10,0)</f>
        <v>AVANCE ORGANIZACIONAL CONSULTORES SAS</v>
      </c>
      <c r="DE13" s="7">
        <f>VLOOKUP(D13,listaBolsa!$D$2:$BA$1248,14,0)</f>
        <v>15000</v>
      </c>
      <c r="DF13" s="7" t="str">
        <f>VLOOKUP(D13,listaBolsa!$D$2:$BA$1248,23,0)</f>
        <v>SIDED</v>
      </c>
      <c r="DG13" s="7">
        <f>VLOOKUP(D13,listaBolsa!$D$2:$BA$1248,29,0)</f>
        <v>19278</v>
      </c>
      <c r="DH13" s="7" t="str">
        <f>VLOOKUP(D13,listaBolsa!$D$2:$BA$1248,36,0)</f>
        <v>SUPER DESECHABLES DEL NORTE</v>
      </c>
      <c r="DI13" s="7">
        <f>VLOOKUP(D13,listaBolsa!$D$2:$BA$1248,40,0)</f>
        <v>13319.33</v>
      </c>
      <c r="DJ13" s="252">
        <f>VLOOKUP(D13,listaBolsa!$D$2:$BA$1248,48,0)</f>
        <v>9.7500000000000003E-2</v>
      </c>
      <c r="DK13" s="7" t="b">
        <f t="shared" si="13"/>
        <v>1</v>
      </c>
      <c r="DL13" s="7" t="b">
        <f t="shared" si="14"/>
        <v>0</v>
      </c>
      <c r="DM13" s="7" t="b">
        <f t="shared" si="15"/>
        <v>1</v>
      </c>
      <c r="DN13" s="7" t="b">
        <f t="shared" si="16"/>
        <v>1</v>
      </c>
      <c r="DO13" s="7" t="b">
        <f t="shared" si="17"/>
        <v>1</v>
      </c>
      <c r="DP13" s="7" t="b">
        <f t="shared" si="18"/>
        <v>0</v>
      </c>
      <c r="DQ13" s="7" t="b">
        <f t="shared" si="19"/>
        <v>1</v>
      </c>
      <c r="DR13" s="7" t="b">
        <f t="shared" si="20"/>
        <v>0</v>
      </c>
      <c r="DS13" s="7" t="b">
        <f t="shared" si="21"/>
        <v>0</v>
      </c>
    </row>
    <row r="14" spans="1:123" s="7" customFormat="1" ht="42">
      <c r="A14" s="7" t="s">
        <v>173</v>
      </c>
      <c r="B14" s="453">
        <v>3</v>
      </c>
      <c r="C14" s="642" t="s">
        <v>186</v>
      </c>
      <c r="D14" s="453" t="s">
        <v>197</v>
      </c>
      <c r="E14" s="453" t="s">
        <v>198</v>
      </c>
      <c r="F14" s="194" t="s">
        <v>191</v>
      </c>
      <c r="G14" s="453">
        <v>1</v>
      </c>
      <c r="H14" s="443" t="s">
        <v>192</v>
      </c>
      <c r="I14" s="454" t="s">
        <v>193</v>
      </c>
      <c r="J14" s="455">
        <v>15000</v>
      </c>
      <c r="K14" s="455">
        <f t="shared" si="0"/>
        <v>2850</v>
      </c>
      <c r="L14" s="455">
        <f t="shared" si="1"/>
        <v>17850</v>
      </c>
      <c r="M14" s="455">
        <f t="shared" si="2"/>
        <v>15000</v>
      </c>
      <c r="N14" s="455">
        <f t="shared" si="3"/>
        <v>17850</v>
      </c>
      <c r="O14" s="456" t="s">
        <v>194</v>
      </c>
      <c r="P14" s="457">
        <v>16200</v>
      </c>
      <c r="Q14" s="457">
        <f t="shared" si="4"/>
        <v>3078</v>
      </c>
      <c r="R14" s="457">
        <f t="shared" si="5"/>
        <v>19278</v>
      </c>
      <c r="S14" s="457">
        <f t="shared" si="6"/>
        <v>16200</v>
      </c>
      <c r="T14" s="457">
        <f t="shared" si="7"/>
        <v>19278</v>
      </c>
      <c r="U14" s="458" t="s">
        <v>195</v>
      </c>
      <c r="V14" s="459">
        <v>15110.9243697479</v>
      </c>
      <c r="W14" s="459">
        <f t="shared" si="8"/>
        <v>2871.0756302521008</v>
      </c>
      <c r="X14" s="459">
        <f t="shared" si="9"/>
        <v>17982</v>
      </c>
      <c r="Y14" s="459">
        <f t="shared" si="10"/>
        <v>15110.9243697479</v>
      </c>
      <c r="Z14" s="459">
        <f t="shared" si="11"/>
        <v>17982</v>
      </c>
      <c r="AA14" s="460">
        <f>IF(B14="","",AVERAGE(L14,R14,X14))</f>
        <v>18370</v>
      </c>
      <c r="AB14" s="460">
        <f>IF(C14="","",AA14*G14)</f>
        <v>18370</v>
      </c>
      <c r="AC14" s="461">
        <f>IF(C14="","",STDEV(N14,T14,Z14))</f>
        <v>789.11596106022341</v>
      </c>
      <c r="AD14" s="427">
        <f t="shared" si="12"/>
        <v>4.2956775234633829E-2</v>
      </c>
      <c r="AE14" s="428"/>
      <c r="BH14" s="7">
        <v>3</v>
      </c>
      <c r="DB14" s="7" t="e">
        <f>VLOOKUP(D14,listaBolsa!$D$2:$BA$1248,1,0)</f>
        <v>#N/A</v>
      </c>
      <c r="DC14" s="7" t="e">
        <f>VLOOKUP(D14,listaBolsa!$D$2:$BA$1248,2,0)</f>
        <v>#N/A</v>
      </c>
      <c r="DD14" s="7" t="e">
        <f>VLOOKUP(D14,listaBolsa!$D$2:$BA$1248,10,0)</f>
        <v>#N/A</v>
      </c>
      <c r="DE14" s="7" t="e">
        <f>VLOOKUP(D14,listaBolsa!$D$2:$BA$1248,14,0)</f>
        <v>#N/A</v>
      </c>
      <c r="DF14" s="7" t="e">
        <f>VLOOKUP(D14,listaBolsa!$D$2:$BA$1248,23,0)</f>
        <v>#N/A</v>
      </c>
      <c r="DG14" s="7" t="e">
        <f>VLOOKUP(D14,listaBolsa!$D$2:$BA$1248,29,0)</f>
        <v>#N/A</v>
      </c>
      <c r="DH14" s="7" t="e">
        <f>VLOOKUP(D14,listaBolsa!$D$2:$BA$1248,36,0)</f>
        <v>#N/A</v>
      </c>
      <c r="DI14" s="7" t="e">
        <f>VLOOKUP(D14,listaBolsa!$D$2:$BA$1248,40,0)</f>
        <v>#N/A</v>
      </c>
      <c r="DJ14" s="252" t="e">
        <f>VLOOKUP(D14,listaBolsa!$D$2:$BA$1248,48,0)</f>
        <v>#N/A</v>
      </c>
      <c r="DK14" s="7" t="e">
        <f t="shared" si="13"/>
        <v>#N/A</v>
      </c>
      <c r="DL14" s="7" t="e">
        <f t="shared" si="14"/>
        <v>#N/A</v>
      </c>
      <c r="DM14" s="7" t="e">
        <f t="shared" si="15"/>
        <v>#N/A</v>
      </c>
      <c r="DN14" s="7" t="e">
        <f t="shared" si="16"/>
        <v>#N/A</v>
      </c>
      <c r="DO14" s="7" t="e">
        <f t="shared" si="17"/>
        <v>#N/A</v>
      </c>
      <c r="DP14" s="7" t="e">
        <f t="shared" si="18"/>
        <v>#N/A</v>
      </c>
      <c r="DQ14" s="7" t="e">
        <f t="shared" si="19"/>
        <v>#N/A</v>
      </c>
      <c r="DR14" s="7" t="e">
        <f t="shared" si="20"/>
        <v>#N/A</v>
      </c>
      <c r="DS14" s="7" t="e">
        <f t="shared" si="21"/>
        <v>#N/A</v>
      </c>
    </row>
    <row r="15" spans="1:123" s="7" customFormat="1" ht="42">
      <c r="A15" s="7" t="s">
        <v>173</v>
      </c>
      <c r="B15" s="453">
        <v>4</v>
      </c>
      <c r="C15" s="642" t="s">
        <v>186</v>
      </c>
      <c r="D15" s="453" t="s">
        <v>200</v>
      </c>
      <c r="E15" s="453" t="s">
        <v>201</v>
      </c>
      <c r="F15" s="194" t="s">
        <v>191</v>
      </c>
      <c r="G15" s="453">
        <v>1</v>
      </c>
      <c r="H15" s="443" t="s">
        <v>192</v>
      </c>
      <c r="I15" s="454" t="s">
        <v>193</v>
      </c>
      <c r="J15" s="455">
        <v>15000</v>
      </c>
      <c r="K15" s="455">
        <f t="shared" si="0"/>
        <v>2850</v>
      </c>
      <c r="L15" s="455">
        <f t="shared" si="1"/>
        <v>17850</v>
      </c>
      <c r="M15" s="455">
        <f t="shared" si="2"/>
        <v>15000</v>
      </c>
      <c r="N15" s="455">
        <f t="shared" si="3"/>
        <v>17850</v>
      </c>
      <c r="O15" s="456" t="s">
        <v>194</v>
      </c>
      <c r="P15" s="457">
        <v>16200</v>
      </c>
      <c r="Q15" s="457">
        <f t="shared" si="4"/>
        <v>3078</v>
      </c>
      <c r="R15" s="457">
        <f t="shared" si="5"/>
        <v>19278</v>
      </c>
      <c r="S15" s="457">
        <f t="shared" si="6"/>
        <v>16200</v>
      </c>
      <c r="T15" s="457">
        <f t="shared" si="7"/>
        <v>19278</v>
      </c>
      <c r="U15" s="458" t="s">
        <v>195</v>
      </c>
      <c r="V15" s="459">
        <v>15110.9243697479</v>
      </c>
      <c r="W15" s="459">
        <f t="shared" si="8"/>
        <v>2871.0756302521008</v>
      </c>
      <c r="X15" s="459">
        <f t="shared" si="9"/>
        <v>17982</v>
      </c>
      <c r="Y15" s="459">
        <f t="shared" si="10"/>
        <v>15110.9243697479</v>
      </c>
      <c r="Z15" s="459">
        <f t="shared" si="11"/>
        <v>17982</v>
      </c>
      <c r="AA15" s="460">
        <f>IF(B15="","",AVERAGE(L15,R15,X15))</f>
        <v>18370</v>
      </c>
      <c r="AB15" s="460">
        <f>IF(C15="","",AA15*G15)</f>
        <v>18370</v>
      </c>
      <c r="AC15" s="461">
        <f>IF(C15="","",STDEV(N15,T15,Z15))</f>
        <v>789.11596106022341</v>
      </c>
      <c r="AD15" s="427">
        <f t="shared" si="12"/>
        <v>4.2956775234633829E-2</v>
      </c>
      <c r="AE15" s="428"/>
      <c r="BH15" s="7">
        <v>4</v>
      </c>
      <c r="DB15" s="7" t="e">
        <f>VLOOKUP(D15,listaBolsa!$D$2:$BA$1248,1,0)</f>
        <v>#N/A</v>
      </c>
      <c r="DC15" s="7" t="e">
        <f>VLOOKUP(D15,listaBolsa!$D$2:$BA$1248,2,0)</f>
        <v>#N/A</v>
      </c>
      <c r="DD15" s="7" t="e">
        <f>VLOOKUP(D15,listaBolsa!$D$2:$BA$1248,10,0)</f>
        <v>#N/A</v>
      </c>
      <c r="DE15" s="7" t="e">
        <f>VLOOKUP(D15,listaBolsa!$D$2:$BA$1248,14,0)</f>
        <v>#N/A</v>
      </c>
      <c r="DF15" s="7" t="e">
        <f>VLOOKUP(D15,listaBolsa!$D$2:$BA$1248,23,0)</f>
        <v>#N/A</v>
      </c>
      <c r="DG15" s="7" t="e">
        <f>VLOOKUP(D15,listaBolsa!$D$2:$BA$1248,29,0)</f>
        <v>#N/A</v>
      </c>
      <c r="DH15" s="7" t="e">
        <f>VLOOKUP(D15,listaBolsa!$D$2:$BA$1248,36,0)</f>
        <v>#N/A</v>
      </c>
      <c r="DI15" s="7" t="e">
        <f>VLOOKUP(D15,listaBolsa!$D$2:$BA$1248,40,0)</f>
        <v>#N/A</v>
      </c>
      <c r="DJ15" s="252" t="e">
        <f>VLOOKUP(D15,listaBolsa!$D$2:$BA$1248,48,0)</f>
        <v>#N/A</v>
      </c>
      <c r="DK15" s="7" t="e">
        <f t="shared" si="13"/>
        <v>#N/A</v>
      </c>
      <c r="DL15" s="7" t="e">
        <f t="shared" si="14"/>
        <v>#N/A</v>
      </c>
      <c r="DM15" s="7" t="e">
        <f t="shared" si="15"/>
        <v>#N/A</v>
      </c>
      <c r="DN15" s="7" t="e">
        <f t="shared" si="16"/>
        <v>#N/A</v>
      </c>
      <c r="DO15" s="7" t="e">
        <f t="shared" si="17"/>
        <v>#N/A</v>
      </c>
      <c r="DP15" s="7" t="e">
        <f t="shared" si="18"/>
        <v>#N/A</v>
      </c>
      <c r="DQ15" s="7" t="e">
        <f t="shared" si="19"/>
        <v>#N/A</v>
      </c>
      <c r="DR15" s="7" t="e">
        <f t="shared" si="20"/>
        <v>#N/A</v>
      </c>
      <c r="DS15" s="7" t="e">
        <f t="shared" si="21"/>
        <v>#N/A</v>
      </c>
    </row>
    <row r="16" spans="1:123" s="7" customFormat="1" ht="409.6">
      <c r="A16" s="7" t="s">
        <v>173</v>
      </c>
      <c r="B16" s="453">
        <v>5</v>
      </c>
      <c r="C16" s="642" t="s">
        <v>186</v>
      </c>
      <c r="D16" s="453" t="s">
        <v>203</v>
      </c>
      <c r="E16" s="453" t="str">
        <f>IF(D16="","",VLOOKUP(D16,listaBolsa!$D$2:$H$276,2,0))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F16" s="194" t="str">
        <f>IF(D16="","",VLOOKUP(D16,listaBolsa!$D$2:$H$276,3,0))</f>
        <v>Servicio</v>
      </c>
      <c r="G16" s="453">
        <v>5</v>
      </c>
      <c r="H16" s="443" t="str">
        <f>IF(D16="","",VLOOKUP(D16,listaBolsa!$D$2:$H$276,5,0))</f>
        <v>Alquiler</v>
      </c>
      <c r="I16" s="454" t="str">
        <f>IF(D16="","",VLOOKUP(D16,listaBolsa!$D$2:$W$276,10,0))</f>
        <v>RUTRASCOL</v>
      </c>
      <c r="J16" s="455">
        <f>IF(D16="","",VLOOKUP(D16,listaBolsa!$D$2:$W$276,14,0))</f>
        <v>850000</v>
      </c>
      <c r="K16" s="455">
        <f t="shared" si="0"/>
        <v>161500</v>
      </c>
      <c r="L16" s="455">
        <f t="shared" si="1"/>
        <v>1011500</v>
      </c>
      <c r="M16" s="455">
        <f t="shared" si="2"/>
        <v>4250000</v>
      </c>
      <c r="N16" s="455">
        <f t="shared" si="3"/>
        <v>5057500</v>
      </c>
      <c r="O16" s="456" t="str">
        <f>IF(D16="","",VLOOKUP(D16,listaBolsa!$D$2:$AZ$276,23,0))</f>
        <v>Destino Express</v>
      </c>
      <c r="P16" s="457">
        <f>IF(D16="","",VLOOKUP(D16,listaBolsa!$D$2:$AZ$276,27,0))</f>
        <v>790000</v>
      </c>
      <c r="Q16" s="457">
        <f t="shared" si="4"/>
        <v>150100</v>
      </c>
      <c r="R16" s="457">
        <f t="shared" si="5"/>
        <v>940100</v>
      </c>
      <c r="S16" s="457">
        <f t="shared" si="6"/>
        <v>3950000</v>
      </c>
      <c r="T16" s="457">
        <f t="shared" si="7"/>
        <v>4700500</v>
      </c>
      <c r="U16" s="458">
        <f>IF(D16="","",VLOOKUP(D16,listaBolsa!$D$2:$BB$276,36,0))</f>
        <v>0</v>
      </c>
      <c r="V16" s="459">
        <f>IF(D16="","",VLOOKUP(D16,listaBolsa!$D$2:$BB$276,40,0))</f>
        <v>0</v>
      </c>
      <c r="W16" s="459">
        <f t="shared" si="8"/>
        <v>0</v>
      </c>
      <c r="X16" s="459">
        <f t="shared" si="9"/>
        <v>0</v>
      </c>
      <c r="Y16" s="459">
        <f t="shared" si="10"/>
        <v>0</v>
      </c>
      <c r="Z16" s="459">
        <f t="shared" si="11"/>
        <v>0</v>
      </c>
      <c r="AA16" s="460">
        <v>820000</v>
      </c>
      <c r="AB16" s="460">
        <v>820000</v>
      </c>
      <c r="AC16" s="461">
        <v>42426</v>
      </c>
      <c r="AD16" s="427">
        <f t="shared" si="12"/>
        <v>5.1739024390243901E-2</v>
      </c>
      <c r="AE16" s="428"/>
      <c r="BH16" s="7">
        <v>5</v>
      </c>
      <c r="DB16" s="7" t="str">
        <f>VLOOKUP(D16,listaBolsa!$D$2:$BA$1248,1,0)</f>
        <v>Servicio de transporte zona Rural de la localidad de Suba para  40 personas por jornada</v>
      </c>
      <c r="DC16" s="7" t="str">
        <f>VLOOKUP(D16,listaBolsa!$D$2:$BA$1248,2,0)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D16" s="7" t="str">
        <f>VLOOKUP(D16,listaBolsa!$D$2:$BA$1248,10,0)</f>
        <v>RUTRASCOL</v>
      </c>
      <c r="DE16" s="7">
        <f>VLOOKUP(D16,listaBolsa!$D$2:$BA$1248,14,0)</f>
        <v>850000</v>
      </c>
      <c r="DF16" s="7" t="str">
        <f>VLOOKUP(D16,listaBolsa!$D$2:$BA$1248,23,0)</f>
        <v>Destino Express</v>
      </c>
      <c r="DG16" s="7">
        <f>VLOOKUP(D16,listaBolsa!$D$2:$BA$1248,29,0)</f>
        <v>790000</v>
      </c>
      <c r="DH16" s="7">
        <f>VLOOKUP(D16,listaBolsa!$D$2:$BA$1248,36,0)</f>
        <v>0</v>
      </c>
      <c r="DI16" s="7">
        <f>VLOOKUP(D16,listaBolsa!$D$2:$BA$1248,40,0)</f>
        <v>0</v>
      </c>
      <c r="DJ16" s="252">
        <f>VLOOKUP(D16,listaBolsa!$D$2:$BA$1248,48,0)</f>
        <v>5.1739520574625428E-2</v>
      </c>
      <c r="DK16" s="7" t="b">
        <f t="shared" si="13"/>
        <v>1</v>
      </c>
      <c r="DL16" s="7" t="b">
        <f t="shared" si="14"/>
        <v>1</v>
      </c>
      <c r="DM16" s="7" t="b">
        <f t="shared" si="15"/>
        <v>1</v>
      </c>
      <c r="DN16" s="7" t="b">
        <f t="shared" si="16"/>
        <v>1</v>
      </c>
      <c r="DO16" s="7" t="b">
        <f t="shared" si="17"/>
        <v>1</v>
      </c>
      <c r="DP16" s="7" t="b">
        <f t="shared" si="18"/>
        <v>1</v>
      </c>
      <c r="DQ16" s="7" t="b">
        <f t="shared" si="19"/>
        <v>1</v>
      </c>
      <c r="DR16" s="7" t="b">
        <f t="shared" si="20"/>
        <v>1</v>
      </c>
      <c r="DS16" s="7" t="b">
        <f t="shared" si="21"/>
        <v>0</v>
      </c>
    </row>
    <row r="17" spans="1:123" s="7" customFormat="1" ht="409.6">
      <c r="A17" s="7" t="s">
        <v>173</v>
      </c>
      <c r="B17" s="453">
        <v>6</v>
      </c>
      <c r="C17" s="642" t="s">
        <v>186</v>
      </c>
      <c r="D17" s="453" t="s">
        <v>205</v>
      </c>
      <c r="E17" s="453" t="str">
        <f>IF(D17="","",VLOOKUP(D17,listaBolsa!$D$2:$H$276,2,0))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F17" s="194" t="str">
        <f>IF(D17="","",VLOOKUP(D17,listaBolsa!$D$2:$H$276,3,0))</f>
        <v>Servicio</v>
      </c>
      <c r="G17" s="453">
        <v>5</v>
      </c>
      <c r="H17" s="443" t="str">
        <f>IF(D17="","",VLOOKUP(D17,listaBolsa!$D$2:$H$276,5,0))</f>
        <v>Alquiler</v>
      </c>
      <c r="I17" s="454" t="str">
        <f>IF(D17="","",VLOOKUP(D17,listaBolsa!$D$2:$W$276,10,0))</f>
        <v>Destino Express</v>
      </c>
      <c r="J17" s="455">
        <f>IF(D17="","",VLOOKUP(D17,listaBolsa!$D$2:$W$276,14,0))</f>
        <v>385000</v>
      </c>
      <c r="K17" s="455">
        <f t="shared" si="0"/>
        <v>73150</v>
      </c>
      <c r="L17" s="455">
        <f t="shared" si="1"/>
        <v>458150</v>
      </c>
      <c r="M17" s="455">
        <f t="shared" si="2"/>
        <v>1925000</v>
      </c>
      <c r="N17" s="455">
        <f t="shared" si="3"/>
        <v>2290750</v>
      </c>
      <c r="O17" s="456" t="str">
        <f>IF(D17="","",VLOOKUP(D17,listaBolsa!$D$2:$AZ$276,23,0))</f>
        <v>RENETUR</v>
      </c>
      <c r="P17" s="457">
        <f>IF(D17="","",VLOOKUP(D17,listaBolsa!$D$2:$AZ$276,27,0))</f>
        <v>350000</v>
      </c>
      <c r="Q17" s="457">
        <f t="shared" si="4"/>
        <v>66500</v>
      </c>
      <c r="R17" s="457">
        <f t="shared" si="5"/>
        <v>416500</v>
      </c>
      <c r="S17" s="457">
        <f t="shared" si="6"/>
        <v>1750000</v>
      </c>
      <c r="T17" s="457">
        <f t="shared" si="7"/>
        <v>2082500</v>
      </c>
      <c r="U17" s="458" t="str">
        <f>IF(D17="","",VLOOKUP(D17,listaBolsa!$D$2:$BB$276,36,0))</f>
        <v>RUTRASCOL Transporte_Varios</v>
      </c>
      <c r="V17" s="459">
        <f>IF(D17="","",VLOOKUP(D17,listaBolsa!$D$2:$BB$276,40,0))</f>
        <v>285000</v>
      </c>
      <c r="W17" s="459">
        <f t="shared" si="8"/>
        <v>54150</v>
      </c>
      <c r="X17" s="459">
        <f t="shared" si="9"/>
        <v>339150</v>
      </c>
      <c r="Y17" s="459">
        <f t="shared" si="10"/>
        <v>1425000</v>
      </c>
      <c r="Z17" s="459">
        <f t="shared" si="11"/>
        <v>1695750</v>
      </c>
      <c r="AA17" s="460">
        <f t="shared" ref="AA17:AA42" si="22">IF(B17="","",AVERAGE(L17,R17,X17))</f>
        <v>404600</v>
      </c>
      <c r="AB17" s="460">
        <f t="shared" ref="AB17:AB48" si="23">IF(C17="","",AA17*G17)</f>
        <v>2023000</v>
      </c>
      <c r="AC17" s="461">
        <f t="shared" ref="AC17:AC42" si="24">IF(C17="","",STDEV(N17,T17,Z17))</f>
        <v>301929.52406149352</v>
      </c>
      <c r="AD17" s="427">
        <f t="shared" si="12"/>
        <v>0.14924840536900322</v>
      </c>
      <c r="AE17" s="428"/>
      <c r="BH17" s="7">
        <v>6</v>
      </c>
      <c r="DB17" s="7" t="str">
        <f>VLOOKUP(D17,listaBolsa!$D$2:$BA$1248,1,0)</f>
        <v>Servicio de transporte zona Rural de la localidad de Suba para  10 personas por trayecto</v>
      </c>
      <c r="DC17" s="7" t="str">
        <f>VLOOKUP(D17,listaBolsa!$D$2:$BA$1248,2,0)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D17" s="7" t="str">
        <f>VLOOKUP(D17,listaBolsa!$D$2:$BA$1248,10,0)</f>
        <v>Destino Express</v>
      </c>
      <c r="DE17" s="7">
        <f>VLOOKUP(D17,listaBolsa!$D$2:$BA$1248,14,0)</f>
        <v>385000</v>
      </c>
      <c r="DF17" s="7" t="str">
        <f>VLOOKUP(D17,listaBolsa!$D$2:$BA$1248,23,0)</f>
        <v>RENETUR</v>
      </c>
      <c r="DG17" s="7">
        <f>VLOOKUP(D17,listaBolsa!$D$2:$BA$1248,29,0)</f>
        <v>350000</v>
      </c>
      <c r="DH17" s="7" t="str">
        <f>VLOOKUP(D17,listaBolsa!$D$2:$BA$1248,36,0)</f>
        <v>RUTRASCOL Transporte_Varios</v>
      </c>
      <c r="DI17" s="7">
        <f>VLOOKUP(D17,listaBolsa!$D$2:$BA$1248,40,0)</f>
        <v>285000</v>
      </c>
      <c r="DJ17" s="252">
        <f>VLOOKUP(D17,listaBolsa!$D$2:$BA$1248,48,0)</f>
        <v>0.14924840536900322</v>
      </c>
      <c r="DK17" s="7" t="b">
        <f t="shared" si="13"/>
        <v>1</v>
      </c>
      <c r="DL17" s="7" t="b">
        <f t="shared" si="14"/>
        <v>1</v>
      </c>
      <c r="DM17" s="7" t="b">
        <f t="shared" si="15"/>
        <v>1</v>
      </c>
      <c r="DN17" s="7" t="b">
        <f t="shared" si="16"/>
        <v>1</v>
      </c>
      <c r="DO17" s="7" t="b">
        <f t="shared" si="17"/>
        <v>1</v>
      </c>
      <c r="DP17" s="7" t="b">
        <f t="shared" si="18"/>
        <v>1</v>
      </c>
      <c r="DQ17" s="7" t="b">
        <f t="shared" si="19"/>
        <v>1</v>
      </c>
      <c r="DR17" s="7" t="b">
        <f t="shared" si="20"/>
        <v>1</v>
      </c>
      <c r="DS17" s="7" t="b">
        <f t="shared" si="21"/>
        <v>1</v>
      </c>
    </row>
    <row r="18" spans="1:123" s="7" customFormat="1" ht="72">
      <c r="A18" s="7" t="s">
        <v>173</v>
      </c>
      <c r="B18" s="453">
        <v>7</v>
      </c>
      <c r="C18" s="642" t="s">
        <v>186</v>
      </c>
      <c r="D18" s="453" t="s">
        <v>207</v>
      </c>
      <c r="E18" s="453" t="s">
        <v>208</v>
      </c>
      <c r="F18" s="194" t="s">
        <v>191</v>
      </c>
      <c r="G18" s="453">
        <v>5</v>
      </c>
      <c r="H18" s="443" t="s">
        <v>209</v>
      </c>
      <c r="I18" s="454" t="s">
        <v>194</v>
      </c>
      <c r="J18" s="455">
        <v>660000</v>
      </c>
      <c r="K18" s="455">
        <f t="shared" si="0"/>
        <v>125400</v>
      </c>
      <c r="L18" s="455">
        <f t="shared" si="1"/>
        <v>785400</v>
      </c>
      <c r="M18" s="455">
        <f t="shared" si="2"/>
        <v>3300000</v>
      </c>
      <c r="N18" s="455">
        <f t="shared" si="3"/>
        <v>3927000</v>
      </c>
      <c r="O18" s="456" t="s">
        <v>193</v>
      </c>
      <c r="P18" s="457">
        <v>620000</v>
      </c>
      <c r="Q18" s="457">
        <f t="shared" si="4"/>
        <v>117800</v>
      </c>
      <c r="R18" s="457">
        <f t="shared" si="5"/>
        <v>737800</v>
      </c>
      <c r="S18" s="457">
        <f t="shared" si="6"/>
        <v>3100000</v>
      </c>
      <c r="T18" s="457">
        <f t="shared" si="7"/>
        <v>3689000</v>
      </c>
      <c r="U18" s="458" t="s">
        <v>210</v>
      </c>
      <c r="V18" s="459">
        <v>850000</v>
      </c>
      <c r="W18" s="459">
        <f t="shared" si="8"/>
        <v>161500</v>
      </c>
      <c r="X18" s="459">
        <f t="shared" si="9"/>
        <v>1011500</v>
      </c>
      <c r="Y18" s="459">
        <f t="shared" si="10"/>
        <v>4250000</v>
      </c>
      <c r="Z18" s="459">
        <f t="shared" si="11"/>
        <v>5057500</v>
      </c>
      <c r="AA18" s="460">
        <f t="shared" si="22"/>
        <v>844900</v>
      </c>
      <c r="AB18" s="460">
        <f t="shared" si="23"/>
        <v>4224500</v>
      </c>
      <c r="AC18" s="461">
        <f t="shared" si="24"/>
        <v>731148.24078294821</v>
      </c>
      <c r="AD18" s="427">
        <f t="shared" si="12"/>
        <v>0.17307332010485221</v>
      </c>
      <c r="AE18" s="428"/>
      <c r="BH18" s="7">
        <v>7</v>
      </c>
      <c r="DB18" s="7" t="str">
        <f>VLOOKUP(D18,listaBolsa!$D$2:$BA$1248,1,0)</f>
        <v>Tallerista</v>
      </c>
      <c r="DC18" s="7">
        <f>VLOOKUP(D18,listaBolsa!$D$2:$BA$1248,2,0)</f>
        <v>0</v>
      </c>
      <c r="DD18" s="7" t="str">
        <f>VLOOKUP(D18,listaBolsa!$D$2:$BA$1248,10,0)</f>
        <v>SIDED</v>
      </c>
      <c r="DE18" s="7">
        <f>VLOOKUP(D18,listaBolsa!$D$2:$BA$1248,14,0)</f>
        <v>660000</v>
      </c>
      <c r="DF18" s="7" t="str">
        <f>VLOOKUP(D18,listaBolsa!$D$2:$BA$1248,23,0)</f>
        <v>AVANCE ORGANIZACIONAL CONSULTORES SAS</v>
      </c>
      <c r="DG18" s="7">
        <f>VLOOKUP(D18,listaBolsa!$D$2:$BA$1248,29,0)</f>
        <v>737800</v>
      </c>
      <c r="DH18" s="7" t="str">
        <f>VLOOKUP(D18,listaBolsa!$D$2:$BA$1248,36,0)</f>
        <v>CONANDES</v>
      </c>
      <c r="DI18" s="7">
        <f>VLOOKUP(D18,listaBolsa!$D$2:$BA$1248,40,0)</f>
        <v>850000</v>
      </c>
      <c r="DJ18" s="252">
        <f>VLOOKUP(D18,listaBolsa!$D$2:$BA$1248,48,0)</f>
        <v>0.1731</v>
      </c>
      <c r="DK18" s="7" t="b">
        <f t="shared" si="13"/>
        <v>1</v>
      </c>
      <c r="DL18" s="7" t="b">
        <f t="shared" si="14"/>
        <v>0</v>
      </c>
      <c r="DM18" s="7" t="b">
        <f t="shared" si="15"/>
        <v>1</v>
      </c>
      <c r="DN18" s="7" t="b">
        <f t="shared" si="16"/>
        <v>1</v>
      </c>
      <c r="DO18" s="7" t="b">
        <f t="shared" si="17"/>
        <v>1</v>
      </c>
      <c r="DP18" s="7" t="b">
        <f t="shared" si="18"/>
        <v>0</v>
      </c>
      <c r="DQ18" s="7" t="b">
        <f t="shared" si="19"/>
        <v>1</v>
      </c>
      <c r="DR18" s="7" t="b">
        <f t="shared" si="20"/>
        <v>1</v>
      </c>
      <c r="DS18" s="7" t="b">
        <f t="shared" si="21"/>
        <v>0</v>
      </c>
    </row>
    <row r="19" spans="1:123" s="7" customFormat="1" ht="129.6">
      <c r="A19" s="7" t="s">
        <v>173</v>
      </c>
      <c r="B19" s="453">
        <v>8</v>
      </c>
      <c r="C19" s="642" t="s">
        <v>186</v>
      </c>
      <c r="D19" s="453" t="s">
        <v>212</v>
      </c>
      <c r="E19" s="453" t="str">
        <f>IF(D19="","",VLOOKUP(D19,listaBolsa!$D$2:$H$276,2,0))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F19" s="194" t="str">
        <f>IF(D19="","",VLOOKUP(D19,listaBolsa!$D$2:$H$276,3,0))</f>
        <v>Unidad</v>
      </c>
      <c r="G19" s="453">
        <v>50</v>
      </c>
      <c r="H19" s="443" t="str">
        <f>IF(D19="","",VLOOKUP(D19,listaBolsa!$D$2:$H$276,5,0))</f>
        <v>Compra</v>
      </c>
      <c r="I19" s="454" t="str">
        <f>IF(D19="","",VLOOKUP(D19,listaBolsa!$D$2:$W$276,10,0))</f>
        <v>INVENTIVA</v>
      </c>
      <c r="J19" s="455">
        <f>IF(D19="","",VLOOKUP(D19,listaBolsa!$D$2:$W$276,14,0))</f>
        <v>26000</v>
      </c>
      <c r="K19" s="455">
        <f t="shared" si="0"/>
        <v>4940</v>
      </c>
      <c r="L19" s="455">
        <f t="shared" si="1"/>
        <v>30940</v>
      </c>
      <c r="M19" s="455">
        <f t="shared" si="2"/>
        <v>1300000</v>
      </c>
      <c r="N19" s="455">
        <f t="shared" si="3"/>
        <v>1547000</v>
      </c>
      <c r="O19" s="456" t="str">
        <f>IF(D19="","",VLOOKUP(D19,listaBolsa!$D$2:$AZ$276,23,0))</f>
        <v>Angie Pachon (personalizado INK)</v>
      </c>
      <c r="P19" s="457">
        <f>IF(D19="","",VLOOKUP(D19,listaBolsa!$D$2:$AZ$276,27,0))</f>
        <v>35000</v>
      </c>
      <c r="Q19" s="457"/>
      <c r="R19" s="457">
        <f t="shared" si="5"/>
        <v>35000</v>
      </c>
      <c r="S19" s="457">
        <f t="shared" si="6"/>
        <v>1750000</v>
      </c>
      <c r="T19" s="457">
        <f t="shared" si="7"/>
        <v>1750000</v>
      </c>
      <c r="U19" s="458" t="str">
        <f>IF(D19="","",VLOOKUP(D19,listaBolsa!$D$2:$BB$276,36,0))</f>
        <v>MARIA CONFLICTO</v>
      </c>
      <c r="V19" s="459">
        <f>IF(D19="","",VLOOKUP(D19,listaBolsa!$D$2:$BB$276,40,0))</f>
        <v>29000</v>
      </c>
      <c r="W19" s="459"/>
      <c r="X19" s="459">
        <f t="shared" si="9"/>
        <v>29000</v>
      </c>
      <c r="Y19" s="459">
        <f t="shared" si="10"/>
        <v>1450000</v>
      </c>
      <c r="Z19" s="459">
        <f t="shared" si="11"/>
        <v>1450000</v>
      </c>
      <c r="AA19" s="460">
        <f t="shared" si="22"/>
        <v>31646.666666666668</v>
      </c>
      <c r="AB19" s="460">
        <f t="shared" si="23"/>
        <v>1582333.3333333335</v>
      </c>
      <c r="AC19" s="461">
        <f t="shared" si="24"/>
        <v>153089.29855915252</v>
      </c>
      <c r="AD19" s="427">
        <f t="shared" si="12"/>
        <v>9.6749082721183377E-2</v>
      </c>
      <c r="AE19" s="428"/>
      <c r="BH19" s="7">
        <v>8</v>
      </c>
      <c r="DB19" s="7" t="str">
        <f>VLOOKUP(D19,listaBolsa!$D$2:$BA$1248,1,0)</f>
        <v>Agendas con esfero</v>
      </c>
      <c r="DC19" s="7" t="str">
        <f>VLOOKUP(D19,listaBolsa!$D$2:$BA$1248,2,0)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DD19" s="7" t="str">
        <f>VLOOKUP(D19,listaBolsa!$D$2:$BA$1248,10,0)</f>
        <v>INVENTIVA</v>
      </c>
      <c r="DE19" s="7">
        <f>VLOOKUP(D19,listaBolsa!$D$2:$BA$1248,14,0)</f>
        <v>26000</v>
      </c>
      <c r="DF19" s="7" t="str">
        <f>VLOOKUP(D19,listaBolsa!$D$2:$BA$1248,23,0)</f>
        <v>Angie Pachon (personalizado INK)</v>
      </c>
      <c r="DG19" s="7">
        <f>VLOOKUP(D19,listaBolsa!$D$2:$BA$1248,29,0)</f>
        <v>35000</v>
      </c>
      <c r="DH19" s="7" t="str">
        <f>VLOOKUP(D19,listaBolsa!$D$2:$BA$1248,36,0)</f>
        <v>MARIA CONFLICTO</v>
      </c>
      <c r="DI19" s="7">
        <f>VLOOKUP(D19,listaBolsa!$D$2:$BA$1248,40,0)</f>
        <v>29000</v>
      </c>
      <c r="DJ19" s="252">
        <f>VLOOKUP(D19,listaBolsa!$D$2:$BA$1248,48,0)</f>
        <v>9.6749082721183377E-2</v>
      </c>
      <c r="DK19" s="7" t="b">
        <f t="shared" si="13"/>
        <v>1</v>
      </c>
      <c r="DL19" s="7" t="b">
        <f t="shared" si="14"/>
        <v>1</v>
      </c>
      <c r="DM19" s="7" t="b">
        <f t="shared" si="15"/>
        <v>1</v>
      </c>
      <c r="DN19" s="7" t="b">
        <f t="shared" si="16"/>
        <v>1</v>
      </c>
      <c r="DO19" s="7" t="b">
        <f t="shared" si="17"/>
        <v>1</v>
      </c>
      <c r="DP19" s="7" t="b">
        <f t="shared" si="18"/>
        <v>1</v>
      </c>
      <c r="DQ19" s="7" t="b">
        <f t="shared" si="19"/>
        <v>1</v>
      </c>
      <c r="DR19" s="7" t="b">
        <f t="shared" si="20"/>
        <v>1</v>
      </c>
      <c r="DS19" s="7" t="b">
        <f t="shared" si="21"/>
        <v>1</v>
      </c>
    </row>
    <row r="20" spans="1:123" s="7" customFormat="1" ht="57.6">
      <c r="A20" s="7" t="s">
        <v>173</v>
      </c>
      <c r="B20" s="453">
        <v>9</v>
      </c>
      <c r="C20" s="642" t="s">
        <v>186</v>
      </c>
      <c r="D20" s="453" t="s">
        <v>214</v>
      </c>
      <c r="E20" s="453" t="str">
        <f>IF(D20="","",VLOOKUP(D20,listaBolsa!$D$2:$H$276,2,0))</f>
        <v>100% en algodón de 185 gr. cuello redondo y/o en v, de diferentes tallas, marcadas en screen 4 tintas. fabricación y materiales nacionales</v>
      </c>
      <c r="F20" s="194" t="str">
        <f>IF(D20="","",VLOOKUP(D20,listaBolsa!$D$2:$H$276,3,0))</f>
        <v>Unidad</v>
      </c>
      <c r="G20" s="453">
        <v>50</v>
      </c>
      <c r="H20" s="443" t="str">
        <f>IF(D20="","",VLOOKUP(D20,listaBolsa!$D$2:$H$276,5,0))</f>
        <v>Compra</v>
      </c>
      <c r="I20" s="454" t="str">
        <f>IF(D20="","",VLOOKUP(D20,listaBolsa!$D$2:$W$276,10,0))</f>
        <v>MARIA CONFLICTO</v>
      </c>
      <c r="J20" s="455">
        <f>IF(D20="","",VLOOKUP(D20,listaBolsa!$D$2:$W$276,14,0))</f>
        <v>22000</v>
      </c>
      <c r="K20" s="455"/>
      <c r="L20" s="455">
        <f t="shared" si="1"/>
        <v>22000</v>
      </c>
      <c r="M20" s="455">
        <f t="shared" si="2"/>
        <v>1100000</v>
      </c>
      <c r="N20" s="455">
        <f t="shared" si="3"/>
        <v>1100000</v>
      </c>
      <c r="O20" s="456" t="str">
        <f>IF(D20="","",VLOOKUP(D20,listaBolsa!$D$2:$AZ$276,23,0))</f>
        <v>Angie Pachon (personalizado INK)</v>
      </c>
      <c r="P20" s="457">
        <f>IF(D20="","",VLOOKUP(D20,listaBolsa!$D$2:$AZ$276,27,0))</f>
        <v>28000</v>
      </c>
      <c r="Q20" s="457"/>
      <c r="R20" s="457">
        <f t="shared" si="5"/>
        <v>28000</v>
      </c>
      <c r="S20" s="457">
        <f t="shared" si="6"/>
        <v>1400000</v>
      </c>
      <c r="T20" s="457">
        <f t="shared" si="7"/>
        <v>1400000</v>
      </c>
      <c r="U20" s="458" t="str">
        <f>IF(D20="","",VLOOKUP(D20,listaBolsa!$D$2:$BB$276,36,0))</f>
        <v>INVENTIVA</v>
      </c>
      <c r="V20" s="459">
        <f>IF(D20="","",VLOOKUP(D20,listaBolsa!$D$2:$BB$276,40,0))</f>
        <v>25000</v>
      </c>
      <c r="W20" s="459">
        <f t="shared" ref="W20:W42" si="25">V20*19%</f>
        <v>4750</v>
      </c>
      <c r="X20" s="459">
        <f t="shared" si="9"/>
        <v>29750</v>
      </c>
      <c r="Y20" s="459">
        <f t="shared" si="10"/>
        <v>1250000</v>
      </c>
      <c r="Z20" s="459">
        <f t="shared" si="11"/>
        <v>1487500</v>
      </c>
      <c r="AA20" s="460">
        <f t="shared" si="22"/>
        <v>26583.333333333332</v>
      </c>
      <c r="AB20" s="460">
        <f t="shared" si="23"/>
        <v>1329166.6666666665</v>
      </c>
      <c r="AC20" s="461">
        <f t="shared" si="24"/>
        <v>203229.13997095372</v>
      </c>
      <c r="AD20" s="427">
        <f t="shared" si="12"/>
        <v>0.15289966643582728</v>
      </c>
      <c r="AE20" s="428"/>
      <c r="BH20" s="7">
        <v>9</v>
      </c>
      <c r="DB20" s="7" t="str">
        <f>VLOOKUP(D20,listaBolsa!$D$2:$BA$1248,1,0)</f>
        <v>Camiseta t-shirt o Camiseta blanca</v>
      </c>
      <c r="DC20" s="7" t="str">
        <f>VLOOKUP(D20,listaBolsa!$D$2:$BA$1248,2,0)</f>
        <v>100% en algodón de 185 gr. cuello redondo y/o en v, de diferentes tallas, marcadas en screen 4 tintas. fabricación y materiales nacionales</v>
      </c>
      <c r="DD20" s="7" t="str">
        <f>VLOOKUP(D20,listaBolsa!$D$2:$BA$1248,10,0)</f>
        <v>MARIA CONFLICTO</v>
      </c>
      <c r="DE20" s="7">
        <f>VLOOKUP(D20,listaBolsa!$D$2:$BA$1248,14,0)</f>
        <v>22000</v>
      </c>
      <c r="DF20" s="7" t="str">
        <f>VLOOKUP(D20,listaBolsa!$D$2:$BA$1248,23,0)</f>
        <v>Angie Pachon (personalizado INK)</v>
      </c>
      <c r="DG20" s="7">
        <f>VLOOKUP(D20,listaBolsa!$D$2:$BA$1248,29,0)</f>
        <v>28000</v>
      </c>
      <c r="DH20" s="7" t="str">
        <f>VLOOKUP(D20,listaBolsa!$D$2:$BA$1248,36,0)</f>
        <v>INVENTIVA</v>
      </c>
      <c r="DI20" s="7">
        <f>VLOOKUP(D20,listaBolsa!$D$2:$BA$1248,40,0)</f>
        <v>25000</v>
      </c>
      <c r="DJ20" s="252">
        <f>VLOOKUP(D20,listaBolsa!$D$2:$BA$1248,48,0)</f>
        <v>0.15289966643582714</v>
      </c>
      <c r="DK20" s="7" t="b">
        <f t="shared" si="13"/>
        <v>1</v>
      </c>
      <c r="DL20" s="7" t="b">
        <f t="shared" si="14"/>
        <v>1</v>
      </c>
      <c r="DM20" s="7" t="b">
        <f t="shared" si="15"/>
        <v>1</v>
      </c>
      <c r="DN20" s="7" t="b">
        <f t="shared" si="16"/>
        <v>1</v>
      </c>
      <c r="DO20" s="7" t="b">
        <f t="shared" si="17"/>
        <v>1</v>
      </c>
      <c r="DP20" s="7" t="b">
        <f t="shared" si="18"/>
        <v>1</v>
      </c>
      <c r="DQ20" s="7" t="b">
        <f t="shared" si="19"/>
        <v>1</v>
      </c>
      <c r="DR20" s="7" t="b">
        <f t="shared" si="20"/>
        <v>1</v>
      </c>
      <c r="DS20" s="7" t="b">
        <f t="shared" si="21"/>
        <v>1</v>
      </c>
    </row>
    <row r="21" spans="1:123" s="7" customFormat="1" ht="72">
      <c r="A21" s="7" t="s">
        <v>173</v>
      </c>
      <c r="B21" s="453">
        <v>10</v>
      </c>
      <c r="C21" s="642" t="s">
        <v>186</v>
      </c>
      <c r="D21" s="453" t="s">
        <v>216</v>
      </c>
      <c r="E21" s="453" t="s">
        <v>217</v>
      </c>
      <c r="F21" s="194" t="s">
        <v>191</v>
      </c>
      <c r="G21" s="453">
        <v>24</v>
      </c>
      <c r="H21" s="443" t="s">
        <v>192</v>
      </c>
      <c r="I21" s="454" t="s">
        <v>193</v>
      </c>
      <c r="J21" s="455">
        <v>5500</v>
      </c>
      <c r="K21" s="455">
        <f t="shared" ref="K21:K41" si="26">J21*19%</f>
        <v>1045</v>
      </c>
      <c r="L21" s="455">
        <f t="shared" si="1"/>
        <v>6545</v>
      </c>
      <c r="M21" s="455">
        <f t="shared" si="2"/>
        <v>132000</v>
      </c>
      <c r="N21" s="455">
        <f t="shared" si="3"/>
        <v>157080</v>
      </c>
      <c r="O21" s="456" t="s">
        <v>218</v>
      </c>
      <c r="P21" s="457">
        <v>4210.93</v>
      </c>
      <c r="Q21" s="457">
        <f>P21*0.19</f>
        <v>800.07670000000007</v>
      </c>
      <c r="R21" s="457">
        <f t="shared" si="5"/>
        <v>5011.0066999999999</v>
      </c>
      <c r="S21" s="457">
        <f t="shared" si="6"/>
        <v>101062.32</v>
      </c>
      <c r="T21" s="457">
        <f t="shared" si="7"/>
        <v>120264.1608</v>
      </c>
      <c r="U21" s="458" t="s">
        <v>219</v>
      </c>
      <c r="V21" s="459">
        <v>5015.13</v>
      </c>
      <c r="W21" s="459">
        <f t="shared" si="25"/>
        <v>952.87470000000008</v>
      </c>
      <c r="X21" s="459">
        <f t="shared" si="9"/>
        <v>5968.0047000000004</v>
      </c>
      <c r="Y21" s="459">
        <f t="shared" si="10"/>
        <v>120363.12</v>
      </c>
      <c r="Z21" s="459">
        <f t="shared" si="11"/>
        <v>143232.1128</v>
      </c>
      <c r="AA21" s="460">
        <f t="shared" si="22"/>
        <v>5841.3371333333334</v>
      </c>
      <c r="AB21" s="460">
        <f t="shared" si="23"/>
        <v>140192.0912</v>
      </c>
      <c r="AC21" s="461">
        <f t="shared" si="24"/>
        <v>18595.236016152474</v>
      </c>
      <c r="AD21" s="427">
        <f t="shared" si="12"/>
        <v>0.13264112017292223</v>
      </c>
      <c r="AE21" s="428"/>
      <c r="BH21" s="7">
        <v>10</v>
      </c>
      <c r="DB21" s="7" t="str">
        <f>VLOOKUP(D21,listaBolsa!$D$2:$BA$1248,1,0)</f>
        <v>Codos</v>
      </c>
      <c r="DC21" s="7">
        <f>VLOOKUP(D21,listaBolsa!$D$2:$BA$1248,2,0)</f>
        <v>0</v>
      </c>
      <c r="DD21" s="7" t="str">
        <f>VLOOKUP(D21,listaBolsa!$D$2:$BA$1248,10,0)</f>
        <v>AVANCE ORGANIZACIONAL CONSULTORES SAS</v>
      </c>
      <c r="DE21" s="7">
        <f>VLOOKUP(D21,listaBolsa!$D$2:$BA$1248,14,0)</f>
        <v>5500</v>
      </c>
      <c r="DF21" s="7" t="str">
        <f>VLOOKUP(D21,listaBolsa!$D$2:$BA$1248,23,0)</f>
        <v>INVERSIONES PROIN</v>
      </c>
      <c r="DG21" s="7">
        <f>VLOOKUP(D21,listaBolsa!$D$2:$BA$1248,29,0)</f>
        <v>5011</v>
      </c>
      <c r="DH21" s="7" t="str">
        <f>VLOOKUP(D21,listaBolsa!$D$2:$BA$1248,36,0)</f>
        <v>FERRETERIA ALDIA</v>
      </c>
      <c r="DI21" s="7">
        <f>VLOOKUP(D21,listaBolsa!$D$2:$BA$1248,40,0)</f>
        <v>5015.13</v>
      </c>
      <c r="DJ21" s="252">
        <f>VLOOKUP(D21,listaBolsa!$D$2:$BA$1248,48,0)</f>
        <v>0.1326</v>
      </c>
      <c r="DK21" s="7" t="b">
        <f t="shared" si="13"/>
        <v>1</v>
      </c>
      <c r="DL21" s="7" t="b">
        <f t="shared" si="14"/>
        <v>0</v>
      </c>
      <c r="DM21" s="7" t="b">
        <f t="shared" si="15"/>
        <v>1</v>
      </c>
      <c r="DN21" s="7" t="b">
        <f t="shared" si="16"/>
        <v>1</v>
      </c>
      <c r="DO21" s="7" t="b">
        <f t="shared" si="17"/>
        <v>1</v>
      </c>
      <c r="DP21" s="7" t="b">
        <f t="shared" si="18"/>
        <v>0</v>
      </c>
      <c r="DQ21" s="7" t="b">
        <f t="shared" si="19"/>
        <v>0</v>
      </c>
      <c r="DR21" s="7" t="b">
        <f t="shared" si="20"/>
        <v>1</v>
      </c>
      <c r="DS21" s="7" t="b">
        <f t="shared" si="21"/>
        <v>0</v>
      </c>
    </row>
    <row r="22" spans="1:123" s="7" customFormat="1" ht="57.6">
      <c r="A22" s="7" t="s">
        <v>173</v>
      </c>
      <c r="B22" s="453">
        <v>11</v>
      </c>
      <c r="C22" s="642" t="s">
        <v>186</v>
      </c>
      <c r="D22" s="453" t="s">
        <v>221</v>
      </c>
      <c r="E22" s="453" t="s">
        <v>222</v>
      </c>
      <c r="F22" s="194" t="s">
        <v>191</v>
      </c>
      <c r="G22" s="453">
        <v>1</v>
      </c>
      <c r="H22" s="443" t="s">
        <v>192</v>
      </c>
      <c r="I22" s="454" t="s">
        <v>223</v>
      </c>
      <c r="J22" s="455">
        <v>26115.13</v>
      </c>
      <c r="K22" s="455">
        <f t="shared" si="26"/>
        <v>4961.8747000000003</v>
      </c>
      <c r="L22" s="455">
        <f t="shared" si="1"/>
        <v>31077.004700000001</v>
      </c>
      <c r="M22" s="455">
        <f t="shared" si="2"/>
        <v>26115.13</v>
      </c>
      <c r="N22" s="455">
        <f t="shared" si="3"/>
        <v>31077.004700000001</v>
      </c>
      <c r="O22" s="456" t="s">
        <v>224</v>
      </c>
      <c r="P22" s="457">
        <v>33529.410000000003</v>
      </c>
      <c r="Q22" s="457">
        <f t="shared" ref="Q22:Q27" si="27">P22*19%</f>
        <v>6370.5879000000004</v>
      </c>
      <c r="R22" s="457">
        <f t="shared" si="5"/>
        <v>39899.997900000002</v>
      </c>
      <c r="S22" s="457">
        <f t="shared" si="6"/>
        <v>33529.410000000003</v>
      </c>
      <c r="T22" s="457">
        <f t="shared" si="7"/>
        <v>39899.997900000002</v>
      </c>
      <c r="U22" s="458" t="s">
        <v>225</v>
      </c>
      <c r="V22" s="459">
        <v>27647.16</v>
      </c>
      <c r="W22" s="459">
        <f t="shared" si="25"/>
        <v>5252.9603999999999</v>
      </c>
      <c r="X22" s="459">
        <f t="shared" si="9"/>
        <v>32900.1204</v>
      </c>
      <c r="Y22" s="459">
        <f t="shared" si="10"/>
        <v>27647.16</v>
      </c>
      <c r="Z22" s="459">
        <f t="shared" si="11"/>
        <v>32900.1204</v>
      </c>
      <c r="AA22" s="460">
        <f t="shared" si="22"/>
        <v>34625.707666666669</v>
      </c>
      <c r="AB22" s="460">
        <f t="shared" si="23"/>
        <v>34625.707666666669</v>
      </c>
      <c r="AC22" s="461">
        <f t="shared" si="24"/>
        <v>4657.7398824938155</v>
      </c>
      <c r="AD22" s="427">
        <f t="shared" si="12"/>
        <v>0.13451681413511468</v>
      </c>
      <c r="AE22" s="428"/>
      <c r="BH22" s="7">
        <v>11</v>
      </c>
      <c r="DB22" s="7" t="str">
        <f>VLOOKUP(D22,listaBolsa!$D$2:$BA$1248,1,0)</f>
        <v>Tubos PVC</v>
      </c>
      <c r="DC22" s="7">
        <f>VLOOKUP(D22,listaBolsa!$D$2:$BA$1248,2,0)</f>
        <v>0</v>
      </c>
      <c r="DD22" s="7" t="str">
        <f>VLOOKUP(D22,listaBolsa!$D$2:$BA$1248,10,0)</f>
        <v>CENTRO DE LA CONSTRUCION</v>
      </c>
      <c r="DE22" s="7">
        <f>VLOOKUP(D22,listaBolsa!$D$2:$BA$1248,14,0)</f>
        <v>26115.13</v>
      </c>
      <c r="DF22" s="7" t="str">
        <f>VLOOKUP(D22,listaBolsa!$D$2:$BA$1248,23,0)</f>
        <v>COMADERAS</v>
      </c>
      <c r="DG22" s="7">
        <f>VLOOKUP(D22,listaBolsa!$D$2:$BA$1248,29,0)</f>
        <v>39900</v>
      </c>
      <c r="DH22" s="7" t="str">
        <f>VLOOKUP(D22,listaBolsa!$D$2:$BA$1248,36,0)</f>
        <v>FERRETITO</v>
      </c>
      <c r="DI22" s="7">
        <f>VLOOKUP(D22,listaBolsa!$D$2:$BA$1248,40,0)</f>
        <v>27647.06</v>
      </c>
      <c r="DJ22" s="252">
        <f>VLOOKUP(D22,listaBolsa!$D$2:$BA$1248,48,0)</f>
        <v>0.13450000000000001</v>
      </c>
      <c r="DK22" s="7" t="b">
        <f t="shared" si="13"/>
        <v>1</v>
      </c>
      <c r="DL22" s="7" t="b">
        <f t="shared" si="14"/>
        <v>0</v>
      </c>
      <c r="DM22" s="7" t="b">
        <f t="shared" si="15"/>
        <v>1</v>
      </c>
      <c r="DN22" s="7" t="b">
        <f t="shared" si="16"/>
        <v>1</v>
      </c>
      <c r="DO22" s="7" t="b">
        <f t="shared" si="17"/>
        <v>1</v>
      </c>
      <c r="DP22" s="7" t="b">
        <f t="shared" si="18"/>
        <v>0</v>
      </c>
      <c r="DQ22" s="7" t="b">
        <f t="shared" si="19"/>
        <v>1</v>
      </c>
      <c r="DR22" s="7" t="b">
        <f t="shared" si="20"/>
        <v>0</v>
      </c>
      <c r="DS22" s="7" t="b">
        <f t="shared" si="21"/>
        <v>0</v>
      </c>
    </row>
    <row r="23" spans="1:123" s="7" customFormat="1" ht="28.9">
      <c r="A23" s="7" t="s">
        <v>173</v>
      </c>
      <c r="B23" s="453">
        <v>12</v>
      </c>
      <c r="C23" s="642" t="s">
        <v>186</v>
      </c>
      <c r="D23" s="453" t="s">
        <v>227</v>
      </c>
      <c r="E23" s="453" t="s">
        <v>228</v>
      </c>
      <c r="F23" s="194" t="s">
        <v>191</v>
      </c>
      <c r="G23" s="453">
        <v>10</v>
      </c>
      <c r="H23" s="443" t="s">
        <v>192</v>
      </c>
      <c r="I23" s="454" t="s">
        <v>229</v>
      </c>
      <c r="J23" s="455">
        <v>43426.050420168067</v>
      </c>
      <c r="K23" s="455">
        <f t="shared" si="26"/>
        <v>8250.9495798319331</v>
      </c>
      <c r="L23" s="455">
        <f t="shared" si="1"/>
        <v>51677</v>
      </c>
      <c r="M23" s="455">
        <f t="shared" si="2"/>
        <v>434260.50420168065</v>
      </c>
      <c r="N23" s="455">
        <f t="shared" si="3"/>
        <v>516770</v>
      </c>
      <c r="O23" s="456" t="s">
        <v>230</v>
      </c>
      <c r="P23" s="457">
        <v>43613.445378151257</v>
      </c>
      <c r="Q23" s="457">
        <f t="shared" si="27"/>
        <v>8286.554621848738</v>
      </c>
      <c r="R23" s="457">
        <f t="shared" si="5"/>
        <v>51899.999999999993</v>
      </c>
      <c r="S23" s="457">
        <f t="shared" si="6"/>
        <v>436134.45378151257</v>
      </c>
      <c r="T23" s="457">
        <f t="shared" si="7"/>
        <v>518999.99999999994</v>
      </c>
      <c r="U23" s="458" t="s">
        <v>231</v>
      </c>
      <c r="V23" s="459">
        <v>54868.907563025212</v>
      </c>
      <c r="W23" s="459">
        <f t="shared" si="25"/>
        <v>10425.09243697479</v>
      </c>
      <c r="X23" s="459">
        <f t="shared" si="9"/>
        <v>65294</v>
      </c>
      <c r="Y23" s="459">
        <f t="shared" si="10"/>
        <v>548689.07563025213</v>
      </c>
      <c r="Z23" s="459">
        <f t="shared" si="11"/>
        <v>652940</v>
      </c>
      <c r="AA23" s="460">
        <f t="shared" si="22"/>
        <v>56290.333333333336</v>
      </c>
      <c r="AB23" s="460">
        <f t="shared" si="23"/>
        <v>562903.33333333337</v>
      </c>
      <c r="AC23" s="461">
        <f t="shared" si="24"/>
        <v>77982.012242140263</v>
      </c>
      <c r="AD23" s="427">
        <f t="shared" si="12"/>
        <v>0.1385353534511081</v>
      </c>
      <c r="AE23" s="428"/>
      <c r="BH23" s="7">
        <v>12</v>
      </c>
      <c r="DB23" s="7" t="str">
        <f>VLOOKUP(D23,listaBolsa!$D$2:$BA$1248,1,0)</f>
        <v>Pegamento</v>
      </c>
      <c r="DC23" s="7">
        <f>VLOOKUP(D23,listaBolsa!$D$2:$BA$1248,2,0)</f>
        <v>0</v>
      </c>
      <c r="DD23" s="7" t="str">
        <f>VLOOKUP(D23,listaBolsa!$D$2:$BA$1248,10,0)</f>
        <v>GRUPO SAN PIO</v>
      </c>
      <c r="DE23" s="7">
        <f>VLOOKUP(D23,listaBolsa!$D$2:$BA$1248,14,0)</f>
        <v>43426.05</v>
      </c>
      <c r="DF23" s="7" t="str">
        <f>VLOOKUP(D23,listaBolsa!$D$2:$BA$1248,23,0)</f>
        <v>HOMCENTER</v>
      </c>
      <c r="DG23" s="7">
        <f>VLOOKUP(D23,listaBolsa!$D$2:$BA$1248,29,0)</f>
        <v>51900</v>
      </c>
      <c r="DH23" s="7" t="str">
        <f>VLOOKUP(D23,listaBolsa!$D$2:$BA$1248,36,0)</f>
        <v>FERRETERIA FORERO</v>
      </c>
      <c r="DI23" s="7">
        <f>VLOOKUP(D23,listaBolsa!$D$2:$BA$1248,40,0)</f>
        <v>54868.91</v>
      </c>
      <c r="DJ23" s="252">
        <f>VLOOKUP(D23,listaBolsa!$D$2:$BA$1248,48,0)</f>
        <v>0.13850000000000001</v>
      </c>
      <c r="DK23" s="7" t="b">
        <f t="shared" si="13"/>
        <v>1</v>
      </c>
      <c r="DL23" s="7" t="b">
        <f t="shared" si="14"/>
        <v>0</v>
      </c>
      <c r="DM23" s="7" t="b">
        <f t="shared" si="15"/>
        <v>1</v>
      </c>
      <c r="DN23" s="7" t="b">
        <f t="shared" si="16"/>
        <v>0</v>
      </c>
      <c r="DO23" s="7" t="b">
        <f t="shared" si="17"/>
        <v>0</v>
      </c>
      <c r="DP23" s="7" t="b">
        <f t="shared" si="18"/>
        <v>0</v>
      </c>
      <c r="DQ23" s="7" t="b">
        <f t="shared" si="19"/>
        <v>1</v>
      </c>
      <c r="DR23" s="7" t="b">
        <f t="shared" si="20"/>
        <v>0</v>
      </c>
      <c r="DS23" s="7" t="b">
        <f t="shared" si="21"/>
        <v>0</v>
      </c>
    </row>
    <row r="24" spans="1:123" s="7" customFormat="1" ht="144">
      <c r="A24" s="7" t="s">
        <v>173</v>
      </c>
      <c r="B24" s="453">
        <v>13</v>
      </c>
      <c r="C24" s="642" t="s">
        <v>186</v>
      </c>
      <c r="D24" s="453" t="s">
        <v>233</v>
      </c>
      <c r="E24" s="453" t="str">
        <f>IF(D24="","",VLOOKUP(D24,listaBolsa!$D$2:$H$276,2,0))</f>
        <v>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v>
      </c>
      <c r="F24" s="194" t="str">
        <f>IF(D24="","",VLOOKUP(D24,listaBolsa!$D$2:$H$276,3,0))</f>
        <v>Unidad</v>
      </c>
      <c r="G24" s="453">
        <v>25</v>
      </c>
      <c r="H24" s="443" t="str">
        <f>IF(D24="","",VLOOKUP(D24,listaBolsa!$D$2:$H$276,5,0))</f>
        <v>Compra</v>
      </c>
      <c r="I24" s="454" t="str">
        <f>IF(D24="","",VLOOKUP(D24,listaBolsa!$D$2:$W$276,10,0))</f>
        <v>JEN SA</v>
      </c>
      <c r="J24" s="455">
        <f>IF(D24="","",VLOOKUP(D24,listaBolsa!$D$2:$W$276,14,0))</f>
        <v>9235.2941176470595</v>
      </c>
      <c r="K24" s="455">
        <f t="shared" si="26"/>
        <v>1754.7058823529412</v>
      </c>
      <c r="L24" s="455">
        <f t="shared" si="1"/>
        <v>10990</v>
      </c>
      <c r="M24" s="455">
        <f t="shared" si="2"/>
        <v>230882.35294117648</v>
      </c>
      <c r="N24" s="455">
        <f t="shared" si="3"/>
        <v>274750</v>
      </c>
      <c r="O24" s="456" t="str">
        <f>IF(D24="","",VLOOKUP(D24,listaBolsa!$D$2:$AZ$276,23,0))</f>
        <v>ADH PAPELES ADHESIVOS</v>
      </c>
      <c r="P24" s="457">
        <f>IF(D24="","",VLOOKUP(D24,listaBolsa!$D$2:$AZ$276,27,0))</f>
        <v>9012.6050420168067</v>
      </c>
      <c r="Q24" s="457">
        <f t="shared" si="27"/>
        <v>1712.3949579831933</v>
      </c>
      <c r="R24" s="457">
        <f t="shared" si="5"/>
        <v>10725</v>
      </c>
      <c r="S24" s="457">
        <f t="shared" si="6"/>
        <v>225315.12605042016</v>
      </c>
      <c r="T24" s="457">
        <f t="shared" si="7"/>
        <v>268125</v>
      </c>
      <c r="U24" s="458" t="str">
        <f>IF(D24="","",VLOOKUP(D24,listaBolsa!$D$2:$BB$276,36,0))</f>
        <v>EASY COLOMBIA</v>
      </c>
      <c r="V24" s="459">
        <f>IF(D24="","",VLOOKUP(D24,listaBolsa!$D$2:$BB$276,40,0))</f>
        <v>8394.957983193277</v>
      </c>
      <c r="W24" s="459">
        <f t="shared" si="25"/>
        <v>1595.0420168067226</v>
      </c>
      <c r="X24" s="459">
        <f t="shared" si="9"/>
        <v>9990</v>
      </c>
      <c r="Y24" s="459">
        <f t="shared" si="10"/>
        <v>209873.94957983191</v>
      </c>
      <c r="Z24" s="459">
        <f t="shared" si="11"/>
        <v>249750</v>
      </c>
      <c r="AA24" s="460">
        <f t="shared" si="22"/>
        <v>10568.333333333334</v>
      </c>
      <c r="AB24" s="460">
        <f t="shared" si="23"/>
        <v>264208.33333333337</v>
      </c>
      <c r="AC24" s="461">
        <f t="shared" si="24"/>
        <v>12952.034910906214</v>
      </c>
      <c r="AD24" s="427">
        <f t="shared" si="12"/>
        <v>4.9022052966684923E-2</v>
      </c>
      <c r="AE24" s="428"/>
      <c r="BH24" s="7">
        <v>13</v>
      </c>
      <c r="DB24" s="7" t="str">
        <f>VLOOKUP(D24,listaBolsa!$D$2:$BA$1248,1,0)</f>
        <v>Bisturí mediano</v>
      </c>
      <c r="DC24" s="7" t="str">
        <f>VLOOKUP(D24,listaBolsa!$D$2:$BA$1248,2,0)</f>
        <v>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v>
      </c>
      <c r="DD24" s="7" t="str">
        <f>VLOOKUP(D24,listaBolsa!$D$2:$BA$1248,10,0)</f>
        <v>JEN SA</v>
      </c>
      <c r="DE24" s="7">
        <f>VLOOKUP(D24,listaBolsa!$D$2:$BA$1248,14,0)</f>
        <v>9235.2941176470595</v>
      </c>
      <c r="DF24" s="7" t="str">
        <f>VLOOKUP(D24,listaBolsa!$D$2:$BA$1248,23,0)</f>
        <v>ADH PAPELES ADHESIVOS</v>
      </c>
      <c r="DG24" s="7">
        <f>VLOOKUP(D24,listaBolsa!$D$2:$BA$1248,29,0)</f>
        <v>10725</v>
      </c>
      <c r="DH24" s="7" t="str">
        <f>VLOOKUP(D24,listaBolsa!$D$2:$BA$1248,36,0)</f>
        <v>EASY COLOMBIA</v>
      </c>
      <c r="DI24" s="7">
        <f>VLOOKUP(D24,listaBolsa!$D$2:$BA$1248,40,0)</f>
        <v>8394.957983193277</v>
      </c>
      <c r="DJ24" s="252">
        <f>VLOOKUP(D24,listaBolsa!$D$2:$BA$1248,48,0)</f>
        <v>4.9022052966684923E-2</v>
      </c>
      <c r="DK24" s="7" t="b">
        <f t="shared" si="13"/>
        <v>1</v>
      </c>
      <c r="DL24" s="7" t="b">
        <f t="shared" si="14"/>
        <v>1</v>
      </c>
      <c r="DM24" s="7" t="b">
        <f t="shared" si="15"/>
        <v>1</v>
      </c>
      <c r="DN24" s="7" t="b">
        <f t="shared" si="16"/>
        <v>1</v>
      </c>
      <c r="DO24" s="7" t="b">
        <f t="shared" si="17"/>
        <v>1</v>
      </c>
      <c r="DP24" s="7" t="b">
        <f t="shared" si="18"/>
        <v>0</v>
      </c>
      <c r="DQ24" s="7" t="b">
        <f t="shared" si="19"/>
        <v>1</v>
      </c>
      <c r="DR24" s="7" t="b">
        <f t="shared" si="20"/>
        <v>1</v>
      </c>
      <c r="DS24" s="7" t="b">
        <f t="shared" si="21"/>
        <v>1</v>
      </c>
    </row>
    <row r="25" spans="1:123" s="7" customFormat="1" ht="43.15">
      <c r="A25" s="7" t="s">
        <v>173</v>
      </c>
      <c r="B25" s="453">
        <v>14</v>
      </c>
      <c r="C25" s="642" t="s">
        <v>186</v>
      </c>
      <c r="D25" s="453" t="s">
        <v>235</v>
      </c>
      <c r="E25" s="453" t="s">
        <v>236</v>
      </c>
      <c r="F25" s="194" t="s">
        <v>191</v>
      </c>
      <c r="G25" s="453">
        <v>3</v>
      </c>
      <c r="H25" s="443" t="s">
        <v>192</v>
      </c>
      <c r="I25" s="454" t="s">
        <v>237</v>
      </c>
      <c r="J25" s="455">
        <v>5882.3529411764712</v>
      </c>
      <c r="K25" s="455">
        <f t="shared" si="26"/>
        <v>1117.6470588235295</v>
      </c>
      <c r="L25" s="455">
        <f t="shared" si="1"/>
        <v>7000.0000000000009</v>
      </c>
      <c r="M25" s="455">
        <f t="shared" si="2"/>
        <v>17647.058823529413</v>
      </c>
      <c r="N25" s="455">
        <f t="shared" si="3"/>
        <v>21000.000000000004</v>
      </c>
      <c r="O25" s="456" t="s">
        <v>238</v>
      </c>
      <c r="P25" s="457">
        <v>7445.3781512605046</v>
      </c>
      <c r="Q25" s="457">
        <f t="shared" si="27"/>
        <v>1414.6218487394958</v>
      </c>
      <c r="R25" s="457">
        <f t="shared" si="5"/>
        <v>8860</v>
      </c>
      <c r="S25" s="457">
        <f t="shared" si="6"/>
        <v>22336.134453781513</v>
      </c>
      <c r="T25" s="457">
        <f t="shared" si="7"/>
        <v>26580</v>
      </c>
      <c r="U25" s="458" t="s">
        <v>239</v>
      </c>
      <c r="V25" s="459">
        <v>8571.4285714285725</v>
      </c>
      <c r="W25" s="459">
        <f t="shared" si="25"/>
        <v>1628.5714285714289</v>
      </c>
      <c r="X25" s="459">
        <f t="shared" si="9"/>
        <v>10200.000000000002</v>
      </c>
      <c r="Y25" s="459">
        <f t="shared" si="10"/>
        <v>25714.285714285717</v>
      </c>
      <c r="Z25" s="459">
        <f t="shared" si="11"/>
        <v>30600.000000000007</v>
      </c>
      <c r="AA25" s="460">
        <f t="shared" si="22"/>
        <v>8686.6666666666661</v>
      </c>
      <c r="AB25" s="460">
        <f t="shared" si="23"/>
        <v>26060</v>
      </c>
      <c r="AC25" s="461">
        <f t="shared" si="24"/>
        <v>4821.0787174656625</v>
      </c>
      <c r="AD25" s="427">
        <f t="shared" si="12"/>
        <v>0.18499918332562021</v>
      </c>
      <c r="AE25" s="428" t="s">
        <v>240</v>
      </c>
      <c r="BH25" s="7">
        <v>14</v>
      </c>
      <c r="DB25" s="7" t="str">
        <f>VLOOKUP(D25,listaBolsa!$D$2:$BA$1248,1,0)</f>
        <v>Amarres plásticos</v>
      </c>
      <c r="DC25" s="7">
        <f>VLOOKUP(D25,listaBolsa!$D$2:$BA$1248,2,0)</f>
        <v>0</v>
      </c>
      <c r="DD25" s="7" t="str">
        <f>VLOOKUP(D25,listaBolsa!$D$2:$BA$1248,10,0)</f>
        <v>C&amp;C GRUPO EMPRESARIAL SAS</v>
      </c>
      <c r="DE25" s="7">
        <f>VLOOKUP(D25,listaBolsa!$D$2:$BA$1248,14,0)</f>
        <v>5882.35</v>
      </c>
      <c r="DF25" s="7" t="str">
        <f>VLOOKUP(D25,listaBolsa!$D$2:$BA$1248,23,0)</f>
        <v>FERRETERIA DE MARCA</v>
      </c>
      <c r="DG25" s="7">
        <f>VLOOKUP(D25,listaBolsa!$D$2:$BA$1248,29,0)</f>
        <v>8860</v>
      </c>
      <c r="DH25" s="7" t="str">
        <f>VLOOKUP(D25,listaBolsa!$D$2:$BA$1248,36,0)</f>
        <v>EXITO</v>
      </c>
      <c r="DI25" s="7">
        <f>VLOOKUP(D25,listaBolsa!$D$2:$BA$1248,40,0)</f>
        <v>8571.43</v>
      </c>
      <c r="DJ25" s="252">
        <f>VLOOKUP(D25,listaBolsa!$D$2:$BA$1248,48,0)</f>
        <v>0.185</v>
      </c>
      <c r="DK25" s="7" t="b">
        <f t="shared" si="13"/>
        <v>1</v>
      </c>
      <c r="DL25" s="7" t="b">
        <f t="shared" si="14"/>
        <v>0</v>
      </c>
      <c r="DM25" s="7" t="b">
        <f t="shared" si="15"/>
        <v>1</v>
      </c>
      <c r="DN25" s="7" t="b">
        <f t="shared" si="16"/>
        <v>0</v>
      </c>
      <c r="DO25" s="7" t="b">
        <f t="shared" si="17"/>
        <v>1</v>
      </c>
      <c r="DP25" s="7" t="b">
        <f t="shared" si="18"/>
        <v>0</v>
      </c>
      <c r="DQ25" s="7" t="b">
        <f t="shared" si="19"/>
        <v>1</v>
      </c>
      <c r="DR25" s="7" t="b">
        <f t="shared" si="20"/>
        <v>0</v>
      </c>
      <c r="DS25" s="7" t="b">
        <f t="shared" si="21"/>
        <v>0</v>
      </c>
    </row>
    <row r="26" spans="1:123" s="7" customFormat="1" ht="72">
      <c r="A26" s="7" t="s">
        <v>173</v>
      </c>
      <c r="B26" s="453">
        <v>15</v>
      </c>
      <c r="C26" s="642" t="s">
        <v>186</v>
      </c>
      <c r="D26" s="453" t="s">
        <v>242</v>
      </c>
      <c r="E26" s="453" t="s">
        <v>243</v>
      </c>
      <c r="F26" s="194" t="s">
        <v>244</v>
      </c>
      <c r="G26" s="453">
        <v>2</v>
      </c>
      <c r="H26" s="443" t="s">
        <v>192</v>
      </c>
      <c r="I26" s="454" t="s">
        <v>193</v>
      </c>
      <c r="J26" s="455">
        <v>18000</v>
      </c>
      <c r="K26" s="455">
        <f t="shared" si="26"/>
        <v>3420</v>
      </c>
      <c r="L26" s="455">
        <f t="shared" si="1"/>
        <v>21420</v>
      </c>
      <c r="M26" s="455">
        <f t="shared" si="2"/>
        <v>36000</v>
      </c>
      <c r="N26" s="455">
        <f t="shared" si="3"/>
        <v>42840</v>
      </c>
      <c r="O26" s="456" t="s">
        <v>245</v>
      </c>
      <c r="P26" s="457">
        <v>16000</v>
      </c>
      <c r="Q26" s="457">
        <f t="shared" si="27"/>
        <v>3040</v>
      </c>
      <c r="R26" s="457">
        <f t="shared" si="5"/>
        <v>19040</v>
      </c>
      <c r="S26" s="457">
        <f t="shared" si="6"/>
        <v>32000</v>
      </c>
      <c r="T26" s="457">
        <f t="shared" si="7"/>
        <v>38080</v>
      </c>
      <c r="U26" s="458" t="s">
        <v>194</v>
      </c>
      <c r="V26" s="459">
        <v>20000</v>
      </c>
      <c r="W26" s="459">
        <f t="shared" si="25"/>
        <v>3800</v>
      </c>
      <c r="X26" s="459">
        <f t="shared" si="9"/>
        <v>23800</v>
      </c>
      <c r="Y26" s="459">
        <f t="shared" si="10"/>
        <v>40000</v>
      </c>
      <c r="Z26" s="459">
        <f t="shared" si="11"/>
        <v>47600</v>
      </c>
      <c r="AA26" s="460">
        <f t="shared" si="22"/>
        <v>21420</v>
      </c>
      <c r="AB26" s="460">
        <f t="shared" si="23"/>
        <v>42840</v>
      </c>
      <c r="AC26" s="461">
        <f t="shared" si="24"/>
        <v>4760</v>
      </c>
      <c r="AD26" s="427">
        <f t="shared" si="12"/>
        <v>0.1111111111111111</v>
      </c>
      <c r="AE26" s="428"/>
      <c r="BH26" s="7">
        <v>15</v>
      </c>
      <c r="DB26" s="7" t="str">
        <f>VLOOKUP(D26,listaBolsa!$D$2:$BA$1248,1,0)</f>
        <v>Alambre</v>
      </c>
      <c r="DC26" s="7">
        <f>VLOOKUP(D26,listaBolsa!$D$2:$BA$1248,2,0)</f>
        <v>0</v>
      </c>
      <c r="DD26" s="7" t="str">
        <f>VLOOKUP(D26,listaBolsa!$D$2:$BA$1248,10,0)</f>
        <v>AVANCE ORGANIZACIONAL CONSULTORES SAS</v>
      </c>
      <c r="DE26" s="7">
        <f>VLOOKUP(D26,listaBolsa!$D$2:$BA$1248,14,0)</f>
        <v>18000</v>
      </c>
      <c r="DF26" s="7" t="str">
        <f>VLOOKUP(D26,listaBolsa!$D$2:$BA$1248,23,0)</f>
        <v>CONADES</v>
      </c>
      <c r="DG26" s="7">
        <f>VLOOKUP(D26,listaBolsa!$D$2:$BA$1248,29,0)</f>
        <v>19040</v>
      </c>
      <c r="DH26" s="7" t="str">
        <f>VLOOKUP(D26,listaBolsa!$D$2:$BA$1248,36,0)</f>
        <v>SIDED</v>
      </c>
      <c r="DI26" s="7">
        <f>VLOOKUP(D26,listaBolsa!$D$2:$BA$1248,40,0)</f>
        <v>20000</v>
      </c>
      <c r="DJ26" s="252">
        <f>VLOOKUP(D26,listaBolsa!$D$2:$BA$1248,48,0)</f>
        <v>0.1111</v>
      </c>
      <c r="DK26" s="7" t="b">
        <f t="shared" si="13"/>
        <v>1</v>
      </c>
      <c r="DL26" s="7" t="b">
        <f t="shared" si="14"/>
        <v>0</v>
      </c>
      <c r="DM26" s="7" t="b">
        <f t="shared" si="15"/>
        <v>1</v>
      </c>
      <c r="DN26" s="7" t="b">
        <f t="shared" si="16"/>
        <v>1</v>
      </c>
      <c r="DO26" s="7" t="b">
        <f t="shared" si="17"/>
        <v>1</v>
      </c>
      <c r="DP26" s="7" t="b">
        <f t="shared" si="18"/>
        <v>0</v>
      </c>
      <c r="DQ26" s="7" t="b">
        <f t="shared" si="19"/>
        <v>1</v>
      </c>
      <c r="DR26" s="7" t="b">
        <f t="shared" si="20"/>
        <v>1</v>
      </c>
      <c r="DS26" s="7" t="b">
        <f t="shared" si="21"/>
        <v>0</v>
      </c>
    </row>
    <row r="27" spans="1:123" s="7" customFormat="1" ht="72">
      <c r="A27" s="7" t="s">
        <v>173</v>
      </c>
      <c r="B27" s="453">
        <v>16</v>
      </c>
      <c r="C27" s="642" t="s">
        <v>186</v>
      </c>
      <c r="D27" s="453" t="s">
        <v>247</v>
      </c>
      <c r="E27" s="453" t="s">
        <v>248</v>
      </c>
      <c r="F27" s="194" t="s">
        <v>191</v>
      </c>
      <c r="G27" s="453">
        <v>4</v>
      </c>
      <c r="H27" s="443" t="s">
        <v>192</v>
      </c>
      <c r="I27" s="454" t="s">
        <v>193</v>
      </c>
      <c r="J27" s="455">
        <v>24000</v>
      </c>
      <c r="K27" s="455">
        <f t="shared" si="26"/>
        <v>4560</v>
      </c>
      <c r="L27" s="455">
        <f t="shared" si="1"/>
        <v>28560</v>
      </c>
      <c r="M27" s="455">
        <f t="shared" si="2"/>
        <v>96000</v>
      </c>
      <c r="N27" s="455">
        <f t="shared" si="3"/>
        <v>114240</v>
      </c>
      <c r="O27" s="456" t="s">
        <v>194</v>
      </c>
      <c r="P27" s="457">
        <v>25000</v>
      </c>
      <c r="Q27" s="457">
        <f t="shared" si="27"/>
        <v>4750</v>
      </c>
      <c r="R27" s="457">
        <f t="shared" si="5"/>
        <v>29750</v>
      </c>
      <c r="S27" s="457">
        <f t="shared" si="6"/>
        <v>100000</v>
      </c>
      <c r="T27" s="457">
        <f t="shared" si="7"/>
        <v>119000</v>
      </c>
      <c r="U27" s="458" t="s">
        <v>245</v>
      </c>
      <c r="V27" s="459">
        <v>22000</v>
      </c>
      <c r="W27" s="459">
        <f t="shared" si="25"/>
        <v>4180</v>
      </c>
      <c r="X27" s="459">
        <f t="shared" si="9"/>
        <v>26180</v>
      </c>
      <c r="Y27" s="459">
        <f t="shared" si="10"/>
        <v>88000</v>
      </c>
      <c r="Z27" s="459">
        <f t="shared" si="11"/>
        <v>104720</v>
      </c>
      <c r="AA27" s="460">
        <f t="shared" si="22"/>
        <v>28163.333333333332</v>
      </c>
      <c r="AB27" s="460">
        <f t="shared" si="23"/>
        <v>112653.33333333333</v>
      </c>
      <c r="AC27" s="461">
        <f t="shared" si="24"/>
        <v>7271.0201026632658</v>
      </c>
      <c r="AD27" s="427">
        <f t="shared" si="12"/>
        <v>6.4543319647265354E-2</v>
      </c>
      <c r="AE27" s="428"/>
      <c r="BH27" s="7">
        <v>16</v>
      </c>
      <c r="DB27" s="7" t="str">
        <f>VLOOKUP(D27,listaBolsa!$D$2:$BA$1248,1,0)</f>
        <v>Silicona ácida</v>
      </c>
      <c r="DC27" s="7">
        <f>VLOOKUP(D27,listaBolsa!$D$2:$BA$1248,2,0)</f>
        <v>0</v>
      </c>
      <c r="DD27" s="7" t="str">
        <f>VLOOKUP(D27,listaBolsa!$D$2:$BA$1248,10,0)</f>
        <v>AVANCE ORGANIZACIONAL CONSULTORES SAS</v>
      </c>
      <c r="DE27" s="7">
        <f>VLOOKUP(D27,listaBolsa!$D$2:$BA$1248,14,0)</f>
        <v>24000</v>
      </c>
      <c r="DF27" s="7" t="str">
        <f>VLOOKUP(D27,listaBolsa!$D$2:$BA$1248,23,0)</f>
        <v>CONADES</v>
      </c>
      <c r="DG27" s="7">
        <f>VLOOKUP(D27,listaBolsa!$D$2:$BA$1248,29,0)</f>
        <v>26180</v>
      </c>
      <c r="DH27" s="7" t="str">
        <f>VLOOKUP(D27,listaBolsa!$D$2:$BA$1248,36,0)</f>
        <v>SIDED</v>
      </c>
      <c r="DI27" s="7">
        <f>VLOOKUP(D27,listaBolsa!$D$2:$BA$1248,40,0)</f>
        <v>25000</v>
      </c>
      <c r="DJ27" s="252">
        <f>VLOOKUP(D27,listaBolsa!$D$2:$BA$1248,48,0)</f>
        <v>6.4500000000000002E-2</v>
      </c>
      <c r="DK27" s="7" t="b">
        <f t="shared" si="13"/>
        <v>1</v>
      </c>
      <c r="DL27" s="7" t="b">
        <f t="shared" si="14"/>
        <v>0</v>
      </c>
      <c r="DM27" s="7" t="b">
        <f t="shared" si="15"/>
        <v>1</v>
      </c>
      <c r="DN27" s="7" t="b">
        <f t="shared" si="16"/>
        <v>1</v>
      </c>
      <c r="DO27" s="7" t="b">
        <f t="shared" si="17"/>
        <v>0</v>
      </c>
      <c r="DP27" s="7" t="b">
        <f t="shared" si="18"/>
        <v>0</v>
      </c>
      <c r="DQ27" s="7" t="b">
        <f t="shared" si="19"/>
        <v>0</v>
      </c>
      <c r="DR27" s="7" t="b">
        <f t="shared" si="20"/>
        <v>0</v>
      </c>
      <c r="DS27" s="7" t="b">
        <f t="shared" si="21"/>
        <v>0</v>
      </c>
    </row>
    <row r="28" spans="1:123" s="7" customFormat="1" ht="72">
      <c r="A28" s="7" t="s">
        <v>173</v>
      </c>
      <c r="B28" s="453">
        <v>17</v>
      </c>
      <c r="C28" s="642" t="s">
        <v>186</v>
      </c>
      <c r="D28" s="453" t="s">
        <v>250</v>
      </c>
      <c r="E28" s="453" t="s">
        <v>251</v>
      </c>
      <c r="F28" s="194" t="s">
        <v>191</v>
      </c>
      <c r="G28" s="453">
        <v>1</v>
      </c>
      <c r="H28" s="443" t="s">
        <v>192</v>
      </c>
      <c r="I28" s="454" t="s">
        <v>193</v>
      </c>
      <c r="J28" s="455">
        <v>42000</v>
      </c>
      <c r="K28" s="455">
        <f t="shared" si="26"/>
        <v>7980</v>
      </c>
      <c r="L28" s="455">
        <f t="shared" si="1"/>
        <v>49980</v>
      </c>
      <c r="M28" s="455">
        <f t="shared" si="2"/>
        <v>42000</v>
      </c>
      <c r="N28" s="455">
        <f t="shared" si="3"/>
        <v>49980</v>
      </c>
      <c r="O28" s="456" t="s">
        <v>194</v>
      </c>
      <c r="P28" s="457">
        <v>45000</v>
      </c>
      <c r="Q28" s="457"/>
      <c r="R28" s="457">
        <f t="shared" si="5"/>
        <v>45000</v>
      </c>
      <c r="S28" s="457">
        <f t="shared" si="6"/>
        <v>45000</v>
      </c>
      <c r="T28" s="457">
        <f t="shared" si="7"/>
        <v>45000</v>
      </c>
      <c r="U28" s="458" t="s">
        <v>252</v>
      </c>
      <c r="V28" s="459">
        <v>41302.521008403361</v>
      </c>
      <c r="W28" s="459">
        <f t="shared" si="25"/>
        <v>7847.4789915966385</v>
      </c>
      <c r="X28" s="459">
        <f t="shared" si="9"/>
        <v>49150</v>
      </c>
      <c r="Y28" s="459">
        <f t="shared" si="10"/>
        <v>41302.521008403361</v>
      </c>
      <c r="Z28" s="459">
        <f t="shared" si="11"/>
        <v>49150</v>
      </c>
      <c r="AA28" s="460">
        <f t="shared" si="22"/>
        <v>48043.333333333336</v>
      </c>
      <c r="AB28" s="460">
        <f t="shared" si="23"/>
        <v>48043.333333333336</v>
      </c>
      <c r="AC28" s="461">
        <f t="shared" si="24"/>
        <v>2668.0767105413843</v>
      </c>
      <c r="AD28" s="427">
        <f t="shared" si="12"/>
        <v>5.5534795889989261E-2</v>
      </c>
      <c r="AE28" s="428"/>
      <c r="BH28" s="7">
        <v>17</v>
      </c>
      <c r="DB28" s="7" t="str">
        <f>VLOOKUP(D28,listaBolsa!$D$2:$BA$1248,1,0)</f>
        <v>Zuncho plástico</v>
      </c>
      <c r="DC28" s="7">
        <f>VLOOKUP(D28,listaBolsa!$D$2:$BA$1248,2,0)</f>
        <v>0</v>
      </c>
      <c r="DD28" s="7" t="str">
        <f>VLOOKUP(D28,listaBolsa!$D$2:$BA$1248,10,0)</f>
        <v>AVANCE ORGANIZACIONAL CONSULTORES SAS</v>
      </c>
      <c r="DE28" s="7">
        <f>VLOOKUP(D28,listaBolsa!$D$2:$BA$1248,14,0)</f>
        <v>42000</v>
      </c>
      <c r="DF28" s="7" t="str">
        <f>VLOOKUP(D28,listaBolsa!$D$2:$BA$1248,23,0)</f>
        <v>SIDED</v>
      </c>
      <c r="DG28" s="7">
        <f>VLOOKUP(D28,listaBolsa!$D$2:$BA$1248,29,0)</f>
        <v>45000</v>
      </c>
      <c r="DH28" s="7" t="str">
        <f>VLOOKUP(D28,listaBolsa!$D$2:$BA$1248,36,0)</f>
        <v>CASA FERRETERIA</v>
      </c>
      <c r="DI28" s="7">
        <f>VLOOKUP(D28,listaBolsa!$D$2:$BA$1248,40,0)</f>
        <v>41302.519999999997</v>
      </c>
      <c r="DJ28" s="252">
        <f>VLOOKUP(D28,listaBolsa!$D$2:$BA$1248,48,0)</f>
        <v>5.5500000000000001E-2</v>
      </c>
      <c r="DK28" s="7" t="b">
        <f t="shared" si="13"/>
        <v>1</v>
      </c>
      <c r="DL28" s="7" t="b">
        <f t="shared" si="14"/>
        <v>0</v>
      </c>
      <c r="DM28" s="7" t="b">
        <f t="shared" si="15"/>
        <v>1</v>
      </c>
      <c r="DN28" s="7" t="b">
        <f t="shared" si="16"/>
        <v>1</v>
      </c>
      <c r="DO28" s="7" t="b">
        <f t="shared" si="17"/>
        <v>1</v>
      </c>
      <c r="DP28" s="7" t="b">
        <f t="shared" si="18"/>
        <v>1</v>
      </c>
      <c r="DQ28" s="7" t="b">
        <f t="shared" si="19"/>
        <v>1</v>
      </c>
      <c r="DR28" s="7" t="b">
        <f t="shared" si="20"/>
        <v>0</v>
      </c>
      <c r="DS28" s="7" t="b">
        <f t="shared" si="21"/>
        <v>0</v>
      </c>
    </row>
    <row r="29" spans="1:123" s="7" customFormat="1" ht="43.15">
      <c r="A29" s="7" t="s">
        <v>173</v>
      </c>
      <c r="B29" s="453">
        <v>18</v>
      </c>
      <c r="C29" s="642" t="s">
        <v>186</v>
      </c>
      <c r="D29" s="453" t="s">
        <v>254</v>
      </c>
      <c r="E29" s="453" t="s">
        <v>255</v>
      </c>
      <c r="F29" s="194" t="s">
        <v>191</v>
      </c>
      <c r="G29" s="453">
        <v>10</v>
      </c>
      <c r="H29" s="443" t="s">
        <v>192</v>
      </c>
      <c r="I29" s="454" t="s">
        <v>256</v>
      </c>
      <c r="J29" s="455">
        <v>150.42016806722691</v>
      </c>
      <c r="K29" s="455">
        <f t="shared" si="26"/>
        <v>28.579831932773114</v>
      </c>
      <c r="L29" s="455">
        <f t="shared" si="1"/>
        <v>179.00000000000003</v>
      </c>
      <c r="M29" s="455">
        <f t="shared" si="2"/>
        <v>1504.201680672269</v>
      </c>
      <c r="N29" s="455">
        <f t="shared" si="3"/>
        <v>1790.0000000000002</v>
      </c>
      <c r="O29" s="456" t="s">
        <v>257</v>
      </c>
      <c r="P29" s="457">
        <v>117.64705882352941</v>
      </c>
      <c r="Q29" s="457">
        <f t="shared" ref="Q29:Q41" si="28">P29*19%</f>
        <v>22.352941176470587</v>
      </c>
      <c r="R29" s="457">
        <f t="shared" si="5"/>
        <v>140</v>
      </c>
      <c r="S29" s="457">
        <f t="shared" si="6"/>
        <v>1176.4705882352941</v>
      </c>
      <c r="T29" s="457">
        <f t="shared" si="7"/>
        <v>1400</v>
      </c>
      <c r="U29" s="458" t="s">
        <v>258</v>
      </c>
      <c r="V29" s="459">
        <v>168.0672268907563</v>
      </c>
      <c r="W29" s="459">
        <f t="shared" si="25"/>
        <v>31.932773109243698</v>
      </c>
      <c r="X29" s="459">
        <f t="shared" si="9"/>
        <v>200</v>
      </c>
      <c r="Y29" s="459">
        <f t="shared" si="10"/>
        <v>1680.672268907563</v>
      </c>
      <c r="Z29" s="459">
        <f t="shared" si="11"/>
        <v>2000</v>
      </c>
      <c r="AA29" s="460">
        <f t="shared" si="22"/>
        <v>173</v>
      </c>
      <c r="AB29" s="460">
        <f t="shared" si="23"/>
        <v>1730</v>
      </c>
      <c r="AC29" s="461">
        <f t="shared" si="24"/>
        <v>304.46674695276658</v>
      </c>
      <c r="AD29" s="427">
        <f t="shared" si="12"/>
        <v>0.17599233927905583</v>
      </c>
      <c r="AE29" s="428"/>
      <c r="BH29" s="7">
        <v>18</v>
      </c>
      <c r="DB29" s="7" t="str">
        <f>VLOOKUP(D29,listaBolsa!$D$2:$BA$1248,1,0)</f>
        <v>Grapas</v>
      </c>
      <c r="DC29" s="7">
        <f>VLOOKUP(D29,listaBolsa!$D$2:$BA$1248,2,0)</f>
        <v>0</v>
      </c>
      <c r="DD29" s="7" t="str">
        <f>VLOOKUP(D29,listaBolsa!$D$2:$BA$1248,10,0)</f>
        <v>NACIONAL DE ELECTRICOS</v>
      </c>
      <c r="DE29" s="7">
        <f>VLOOKUP(D29,listaBolsa!$D$2:$BA$1248,14,0)</f>
        <v>150.41999999999999</v>
      </c>
      <c r="DF29" s="7" t="str">
        <f>VLOOKUP(D29,listaBolsa!$D$2:$BA$1248,23,0)</f>
        <v>INTER ELECTRICAS</v>
      </c>
      <c r="DG29" s="7">
        <f>VLOOKUP(D29,listaBolsa!$D$2:$BA$1248,29,0)</f>
        <v>140</v>
      </c>
      <c r="DH29" s="7" t="str">
        <f>VLOOKUP(D29,listaBolsa!$D$2:$BA$1248,36,0)</f>
        <v>PRODUCABOS</v>
      </c>
      <c r="DI29" s="7">
        <f>VLOOKUP(D29,listaBolsa!$D$2:$BA$1248,40,0)</f>
        <v>168.07</v>
      </c>
      <c r="DJ29" s="252">
        <f>VLOOKUP(D29,listaBolsa!$D$2:$BA$1248,48,0)</f>
        <v>0.17599999999999999</v>
      </c>
      <c r="DK29" s="7" t="b">
        <f t="shared" si="13"/>
        <v>1</v>
      </c>
      <c r="DL29" s="7" t="b">
        <f t="shared" si="14"/>
        <v>0</v>
      </c>
      <c r="DM29" s="7" t="b">
        <f t="shared" si="15"/>
        <v>1</v>
      </c>
      <c r="DN29" s="7" t="b">
        <f t="shared" si="16"/>
        <v>0</v>
      </c>
      <c r="DO29" s="7" t="b">
        <f t="shared" si="17"/>
        <v>1</v>
      </c>
      <c r="DP29" s="7" t="b">
        <f t="shared" si="18"/>
        <v>0</v>
      </c>
      <c r="DQ29" s="7" t="b">
        <f t="shared" si="19"/>
        <v>1</v>
      </c>
      <c r="DR29" s="7" t="b">
        <f t="shared" si="20"/>
        <v>0</v>
      </c>
      <c r="DS29" s="7" t="b">
        <f t="shared" si="21"/>
        <v>0</v>
      </c>
    </row>
    <row r="30" spans="1:123" s="7" customFormat="1" ht="84">
      <c r="A30" s="7" t="s">
        <v>173</v>
      </c>
      <c r="B30" s="453">
        <v>19</v>
      </c>
      <c r="C30" s="642" t="s">
        <v>186</v>
      </c>
      <c r="D30" s="453" t="s">
        <v>260</v>
      </c>
      <c r="E30" s="453" t="s">
        <v>261</v>
      </c>
      <c r="F30" s="194" t="s">
        <v>262</v>
      </c>
      <c r="G30" s="453">
        <v>1</v>
      </c>
      <c r="H30" s="443" t="s">
        <v>192</v>
      </c>
      <c r="I30" s="454" t="s">
        <v>193</v>
      </c>
      <c r="J30" s="455">
        <v>180000</v>
      </c>
      <c r="K30" s="455">
        <f t="shared" si="26"/>
        <v>34200</v>
      </c>
      <c r="L30" s="455">
        <f t="shared" si="1"/>
        <v>214200</v>
      </c>
      <c r="M30" s="455">
        <f t="shared" si="2"/>
        <v>180000</v>
      </c>
      <c r="N30" s="455">
        <f t="shared" si="3"/>
        <v>214200</v>
      </c>
      <c r="O30" s="456" t="s">
        <v>194</v>
      </c>
      <c r="P30" s="457">
        <v>200000</v>
      </c>
      <c r="Q30" s="457">
        <f t="shared" si="28"/>
        <v>38000</v>
      </c>
      <c r="R30" s="457">
        <f t="shared" si="5"/>
        <v>238000</v>
      </c>
      <c r="S30" s="457">
        <f t="shared" si="6"/>
        <v>200000</v>
      </c>
      <c r="T30" s="457">
        <f t="shared" si="7"/>
        <v>238000</v>
      </c>
      <c r="U30" s="458" t="s">
        <v>263</v>
      </c>
      <c r="V30" s="459">
        <v>173865.5462184874</v>
      </c>
      <c r="W30" s="459">
        <f t="shared" si="25"/>
        <v>33034.45378151261</v>
      </c>
      <c r="X30" s="459">
        <f t="shared" si="9"/>
        <v>206900</v>
      </c>
      <c r="Y30" s="459">
        <f t="shared" si="10"/>
        <v>173865.5462184874</v>
      </c>
      <c r="Z30" s="459">
        <f t="shared" si="11"/>
        <v>206900</v>
      </c>
      <c r="AA30" s="460">
        <f t="shared" si="22"/>
        <v>219700</v>
      </c>
      <c r="AB30" s="460">
        <f t="shared" si="23"/>
        <v>219700</v>
      </c>
      <c r="AC30" s="461">
        <f t="shared" si="24"/>
        <v>16263.148526653749</v>
      </c>
      <c r="AD30" s="427">
        <f t="shared" si="12"/>
        <v>7.402434468208352E-2</v>
      </c>
      <c r="AE30" s="428"/>
      <c r="BH30" s="7">
        <v>20</v>
      </c>
      <c r="DB30" s="7" t="str">
        <f>VLOOKUP(D30,listaBolsa!$D$2:$BA$1248,1,0)</f>
        <v>Pintura acrílica base (fondo)</v>
      </c>
      <c r="DC30" s="7">
        <f>VLOOKUP(D30,listaBolsa!$D$2:$BA$1248,2,0)</f>
        <v>0</v>
      </c>
      <c r="DD30" s="7" t="str">
        <f>VLOOKUP(D30,listaBolsa!$D$2:$BA$1248,10,0)</f>
        <v>AVANCE ORGANIZACIONAL CONSULTORES SAS</v>
      </c>
      <c r="DE30" s="7">
        <f>VLOOKUP(D30,listaBolsa!$D$2:$BA$1248,14,0)</f>
        <v>180000</v>
      </c>
      <c r="DF30" s="7" t="str">
        <f>VLOOKUP(D30,listaBolsa!$D$2:$BA$1248,23,0)</f>
        <v>SIDED</v>
      </c>
      <c r="DG30" s="7">
        <f>VLOOKUP(D30,listaBolsa!$D$2:$BA$1248,29,0)</f>
        <v>238000</v>
      </c>
      <c r="DH30" s="7" t="str">
        <f>VLOOKUP(D30,listaBolsa!$D$2:$BA$1248,36,0)</f>
        <v>HOMCENTER</v>
      </c>
      <c r="DI30" s="7">
        <f>VLOOKUP(D30,listaBolsa!$D$2:$BA$1248,40,0)</f>
        <v>173865.55</v>
      </c>
      <c r="DJ30" s="252">
        <f>VLOOKUP(D30,listaBolsa!$D$2:$BA$1248,48,0)</f>
        <v>7.3999999999999996E-2</v>
      </c>
      <c r="DK30" s="7" t="b">
        <f t="shared" si="13"/>
        <v>1</v>
      </c>
      <c r="DL30" s="7" t="b">
        <f t="shared" si="14"/>
        <v>0</v>
      </c>
      <c r="DM30" s="7" t="b">
        <f t="shared" si="15"/>
        <v>1</v>
      </c>
      <c r="DN30" s="7" t="b">
        <f t="shared" si="16"/>
        <v>1</v>
      </c>
      <c r="DO30" s="7" t="b">
        <f t="shared" si="17"/>
        <v>1</v>
      </c>
      <c r="DP30" s="7" t="b">
        <f t="shared" si="18"/>
        <v>0</v>
      </c>
      <c r="DQ30" s="7" t="b">
        <f t="shared" si="19"/>
        <v>1</v>
      </c>
      <c r="DR30" s="7" t="b">
        <f t="shared" si="20"/>
        <v>0</v>
      </c>
      <c r="DS30" s="7" t="b">
        <f t="shared" si="21"/>
        <v>0</v>
      </c>
    </row>
    <row r="31" spans="1:123" s="7" customFormat="1" ht="84">
      <c r="A31" s="7" t="s">
        <v>173</v>
      </c>
      <c r="B31" s="453">
        <v>20</v>
      </c>
      <c r="C31" s="642" t="s">
        <v>186</v>
      </c>
      <c r="D31" s="453" t="s">
        <v>265</v>
      </c>
      <c r="E31" s="453" t="s">
        <v>266</v>
      </c>
      <c r="F31" s="194" t="s">
        <v>267</v>
      </c>
      <c r="G31" s="453">
        <v>1</v>
      </c>
      <c r="H31" s="443" t="s">
        <v>192</v>
      </c>
      <c r="I31" s="454" t="s">
        <v>193</v>
      </c>
      <c r="J31" s="455">
        <v>180000</v>
      </c>
      <c r="K31" s="455">
        <f t="shared" si="26"/>
        <v>34200</v>
      </c>
      <c r="L31" s="455">
        <f t="shared" si="1"/>
        <v>214200</v>
      </c>
      <c r="M31" s="455">
        <f t="shared" si="2"/>
        <v>180000</v>
      </c>
      <c r="N31" s="455">
        <f t="shared" si="3"/>
        <v>214200</v>
      </c>
      <c r="O31" s="456" t="s">
        <v>245</v>
      </c>
      <c r="P31" s="457">
        <v>150000</v>
      </c>
      <c r="Q31" s="457">
        <f t="shared" si="28"/>
        <v>28500</v>
      </c>
      <c r="R31" s="457">
        <f t="shared" si="5"/>
        <v>178500</v>
      </c>
      <c r="S31" s="457">
        <f t="shared" si="6"/>
        <v>150000</v>
      </c>
      <c r="T31" s="457">
        <f t="shared" si="7"/>
        <v>178500</v>
      </c>
      <c r="U31" s="458" t="s">
        <v>194</v>
      </c>
      <c r="V31" s="459">
        <v>200000</v>
      </c>
      <c r="W31" s="459">
        <f t="shared" si="25"/>
        <v>38000</v>
      </c>
      <c r="X31" s="459">
        <f t="shared" si="9"/>
        <v>238000</v>
      </c>
      <c r="Y31" s="459">
        <f t="shared" si="10"/>
        <v>200000</v>
      </c>
      <c r="Z31" s="459">
        <f t="shared" si="11"/>
        <v>238000</v>
      </c>
      <c r="AA31" s="460">
        <f t="shared" si="22"/>
        <v>210233.33333333334</v>
      </c>
      <c r="AB31" s="460">
        <f t="shared" si="23"/>
        <v>210233.33333333334</v>
      </c>
      <c r="AC31" s="461">
        <f t="shared" si="24"/>
        <v>29947.676593240682</v>
      </c>
      <c r="AD31" s="427">
        <f t="shared" si="12"/>
        <v>0.1424497063258634</v>
      </c>
      <c r="AE31" s="428"/>
      <c r="BH31" s="7">
        <v>21</v>
      </c>
      <c r="DB31" s="7" t="str">
        <f>VLOOKUP(D31,listaBolsa!$D$2:$BA$1248,1,0)</f>
        <v>Pintura acrílica amarilla</v>
      </c>
      <c r="DC31" s="7">
        <f>VLOOKUP(D31,listaBolsa!$D$2:$BA$1248,2,0)</f>
        <v>0</v>
      </c>
      <c r="DD31" s="7" t="str">
        <f>VLOOKUP(D31,listaBolsa!$D$2:$BA$1248,10,0)</f>
        <v>AVANCE ORGANIZACIONAL CONSULTORES SAS</v>
      </c>
      <c r="DE31" s="7">
        <f>VLOOKUP(D31,listaBolsa!$D$2:$BA$1248,14,0)</f>
        <v>180000</v>
      </c>
      <c r="DF31" s="7" t="str">
        <f>VLOOKUP(D31,listaBolsa!$D$2:$BA$1248,23,0)</f>
        <v>CONADES</v>
      </c>
      <c r="DG31" s="7">
        <f>VLOOKUP(D31,listaBolsa!$D$2:$BA$1248,29,0)</f>
        <v>178500</v>
      </c>
      <c r="DH31" s="7" t="str">
        <f>VLOOKUP(D31,listaBolsa!$D$2:$BA$1248,36,0)</f>
        <v>SIDED</v>
      </c>
      <c r="DI31" s="7">
        <f>VLOOKUP(D31,listaBolsa!$D$2:$BA$1248,40,0)</f>
        <v>200000</v>
      </c>
      <c r="DJ31" s="252">
        <f>VLOOKUP(D31,listaBolsa!$D$2:$BA$1248,48,0)</f>
        <v>0.1424</v>
      </c>
      <c r="DK31" s="7" t="b">
        <f t="shared" si="13"/>
        <v>1</v>
      </c>
      <c r="DL31" s="7" t="b">
        <f t="shared" si="14"/>
        <v>0</v>
      </c>
      <c r="DM31" s="7" t="b">
        <f t="shared" si="15"/>
        <v>1</v>
      </c>
      <c r="DN31" s="7" t="b">
        <f t="shared" si="16"/>
        <v>1</v>
      </c>
      <c r="DO31" s="7" t="b">
        <f t="shared" si="17"/>
        <v>1</v>
      </c>
      <c r="DP31" s="7" t="b">
        <f t="shared" si="18"/>
        <v>0</v>
      </c>
      <c r="DQ31" s="7" t="b">
        <f t="shared" si="19"/>
        <v>1</v>
      </c>
      <c r="DR31" s="7" t="b">
        <f t="shared" si="20"/>
        <v>1</v>
      </c>
      <c r="DS31" s="7" t="b">
        <f t="shared" si="21"/>
        <v>0</v>
      </c>
    </row>
    <row r="32" spans="1:123" s="7" customFormat="1" ht="84">
      <c r="A32" s="7" t="s">
        <v>173</v>
      </c>
      <c r="B32" s="453">
        <v>21</v>
      </c>
      <c r="C32" s="642" t="s">
        <v>186</v>
      </c>
      <c r="D32" s="453" t="s">
        <v>269</v>
      </c>
      <c r="E32" s="453" t="s">
        <v>270</v>
      </c>
      <c r="F32" s="194" t="s">
        <v>271</v>
      </c>
      <c r="G32" s="453">
        <v>1</v>
      </c>
      <c r="H32" s="443" t="s">
        <v>192</v>
      </c>
      <c r="I32" s="454" t="s">
        <v>193</v>
      </c>
      <c r="J32" s="455">
        <v>180000</v>
      </c>
      <c r="K32" s="455">
        <f t="shared" si="26"/>
        <v>34200</v>
      </c>
      <c r="L32" s="455">
        <f t="shared" si="1"/>
        <v>214200</v>
      </c>
      <c r="M32" s="455">
        <f t="shared" si="2"/>
        <v>180000</v>
      </c>
      <c r="N32" s="455">
        <f t="shared" si="3"/>
        <v>214200</v>
      </c>
      <c r="O32" s="456" t="s">
        <v>245</v>
      </c>
      <c r="P32" s="457">
        <v>150000</v>
      </c>
      <c r="Q32" s="457">
        <f t="shared" si="28"/>
        <v>28500</v>
      </c>
      <c r="R32" s="457">
        <f t="shared" si="5"/>
        <v>178500</v>
      </c>
      <c r="S32" s="457">
        <f t="shared" si="6"/>
        <v>150000</v>
      </c>
      <c r="T32" s="457">
        <f t="shared" si="7"/>
        <v>178500</v>
      </c>
      <c r="U32" s="458" t="s">
        <v>194</v>
      </c>
      <c r="V32" s="459">
        <v>200000</v>
      </c>
      <c r="W32" s="459">
        <f t="shared" si="25"/>
        <v>38000</v>
      </c>
      <c r="X32" s="459">
        <f t="shared" si="9"/>
        <v>238000</v>
      </c>
      <c r="Y32" s="459">
        <f t="shared" si="10"/>
        <v>200000</v>
      </c>
      <c r="Z32" s="459">
        <f t="shared" si="11"/>
        <v>238000</v>
      </c>
      <c r="AA32" s="460">
        <f t="shared" si="22"/>
        <v>210233.33333333334</v>
      </c>
      <c r="AB32" s="460">
        <f t="shared" si="23"/>
        <v>210233.33333333334</v>
      </c>
      <c r="AC32" s="461">
        <f t="shared" si="24"/>
        <v>29947.676593240682</v>
      </c>
      <c r="AD32" s="427">
        <f t="shared" si="12"/>
        <v>0.1424497063258634</v>
      </c>
      <c r="AE32" s="428"/>
      <c r="BH32" s="7">
        <v>22</v>
      </c>
      <c r="DB32" s="7" t="str">
        <f>VLOOKUP(D32,listaBolsa!$D$2:$BA$1248,1,0)</f>
        <v>Pintura acrílica azul</v>
      </c>
      <c r="DC32" s="7">
        <f>VLOOKUP(D32,listaBolsa!$D$2:$BA$1248,2,0)</f>
        <v>0</v>
      </c>
      <c r="DD32" s="7" t="str">
        <f>VLOOKUP(D32,listaBolsa!$D$2:$BA$1248,10,0)</f>
        <v>AVANCE ORGANIZACIONAL CONSULTORES SAS</v>
      </c>
      <c r="DE32" s="7">
        <f>VLOOKUP(D32,listaBolsa!$D$2:$BA$1248,14,0)</f>
        <v>180000</v>
      </c>
      <c r="DF32" s="7" t="str">
        <f>VLOOKUP(D32,listaBolsa!$D$2:$BA$1248,23,0)</f>
        <v>CONADES</v>
      </c>
      <c r="DG32" s="7">
        <f>VLOOKUP(D32,listaBolsa!$D$2:$BA$1248,29,0)</f>
        <v>178500</v>
      </c>
      <c r="DH32" s="7" t="str">
        <f>VLOOKUP(D32,listaBolsa!$D$2:$BA$1248,36,0)</f>
        <v>SIDED</v>
      </c>
      <c r="DI32" s="7">
        <f>VLOOKUP(D32,listaBolsa!$D$2:$BA$1248,40,0)</f>
        <v>200000</v>
      </c>
      <c r="DJ32" s="252">
        <f>VLOOKUP(D32,listaBolsa!$D$2:$BA$1248,48,0)</f>
        <v>0.1424</v>
      </c>
      <c r="DK32" s="7" t="b">
        <f t="shared" si="13"/>
        <v>1</v>
      </c>
      <c r="DL32" s="7" t="b">
        <f t="shared" si="14"/>
        <v>0</v>
      </c>
      <c r="DM32" s="7" t="b">
        <f t="shared" si="15"/>
        <v>1</v>
      </c>
      <c r="DN32" s="7" t="b">
        <f t="shared" si="16"/>
        <v>1</v>
      </c>
      <c r="DO32" s="7" t="b">
        <f t="shared" si="17"/>
        <v>1</v>
      </c>
      <c r="DP32" s="7" t="b">
        <f t="shared" si="18"/>
        <v>0</v>
      </c>
      <c r="DQ32" s="7" t="b">
        <f t="shared" si="19"/>
        <v>1</v>
      </c>
      <c r="DR32" s="7" t="b">
        <f t="shared" si="20"/>
        <v>1</v>
      </c>
      <c r="DS32" s="7" t="b">
        <f t="shared" si="21"/>
        <v>0</v>
      </c>
    </row>
    <row r="33" spans="1:123" s="7" customFormat="1" ht="84">
      <c r="A33" s="7" t="s">
        <v>173</v>
      </c>
      <c r="B33" s="453">
        <v>22</v>
      </c>
      <c r="C33" s="642" t="s">
        <v>186</v>
      </c>
      <c r="D33" s="453" t="s">
        <v>273</v>
      </c>
      <c r="E33" s="453" t="s">
        <v>274</v>
      </c>
      <c r="F33" s="194" t="s">
        <v>267</v>
      </c>
      <c r="G33" s="453">
        <v>1</v>
      </c>
      <c r="H33" s="443" t="s">
        <v>192</v>
      </c>
      <c r="I33" s="454" t="s">
        <v>193</v>
      </c>
      <c r="J33" s="455">
        <v>180000</v>
      </c>
      <c r="K33" s="455">
        <f t="shared" si="26"/>
        <v>34200</v>
      </c>
      <c r="L33" s="455">
        <f t="shared" si="1"/>
        <v>214200</v>
      </c>
      <c r="M33" s="455">
        <f t="shared" si="2"/>
        <v>180000</v>
      </c>
      <c r="N33" s="455">
        <f t="shared" si="3"/>
        <v>214200</v>
      </c>
      <c r="O33" s="456" t="s">
        <v>245</v>
      </c>
      <c r="P33" s="457">
        <v>150000</v>
      </c>
      <c r="Q33" s="457">
        <f t="shared" si="28"/>
        <v>28500</v>
      </c>
      <c r="R33" s="457">
        <f t="shared" si="5"/>
        <v>178500</v>
      </c>
      <c r="S33" s="457">
        <f t="shared" si="6"/>
        <v>150000</v>
      </c>
      <c r="T33" s="457">
        <f t="shared" si="7"/>
        <v>178500</v>
      </c>
      <c r="U33" s="458" t="s">
        <v>194</v>
      </c>
      <c r="V33" s="459">
        <v>200000</v>
      </c>
      <c r="W33" s="459">
        <f t="shared" si="25"/>
        <v>38000</v>
      </c>
      <c r="X33" s="459">
        <f t="shared" si="9"/>
        <v>238000</v>
      </c>
      <c r="Y33" s="459">
        <f t="shared" si="10"/>
        <v>200000</v>
      </c>
      <c r="Z33" s="459">
        <f t="shared" si="11"/>
        <v>238000</v>
      </c>
      <c r="AA33" s="460">
        <f t="shared" si="22"/>
        <v>210233.33333333334</v>
      </c>
      <c r="AB33" s="460">
        <f t="shared" si="23"/>
        <v>210233.33333333334</v>
      </c>
      <c r="AC33" s="461">
        <f t="shared" si="24"/>
        <v>29947.676593240682</v>
      </c>
      <c r="AD33" s="427">
        <f t="shared" si="12"/>
        <v>0.1424497063258634</v>
      </c>
      <c r="AE33" s="428"/>
      <c r="BH33" s="7">
        <v>23</v>
      </c>
      <c r="DB33" s="7" t="str">
        <f>VLOOKUP(D33,listaBolsa!$D$2:$BA$1248,1,0)</f>
        <v>Pintura acrílica roja</v>
      </c>
      <c r="DC33" s="7">
        <f>VLOOKUP(D33,listaBolsa!$D$2:$BA$1248,2,0)</f>
        <v>0</v>
      </c>
      <c r="DD33" s="7" t="str">
        <f>VLOOKUP(D33,listaBolsa!$D$2:$BA$1248,10,0)</f>
        <v>AVANCE ORGANIZACIONAL CONSULTORES SAS</v>
      </c>
      <c r="DE33" s="7">
        <f>VLOOKUP(D33,listaBolsa!$D$2:$BA$1248,14,0)</f>
        <v>180000</v>
      </c>
      <c r="DF33" s="7" t="str">
        <f>VLOOKUP(D33,listaBolsa!$D$2:$BA$1248,23,0)</f>
        <v>CONADES</v>
      </c>
      <c r="DG33" s="7">
        <f>VLOOKUP(D33,listaBolsa!$D$2:$BA$1248,29,0)</f>
        <v>178500</v>
      </c>
      <c r="DH33" s="7" t="str">
        <f>VLOOKUP(D33,listaBolsa!$D$2:$BA$1248,36,0)</f>
        <v>SIDED</v>
      </c>
      <c r="DI33" s="7">
        <f>VLOOKUP(D33,listaBolsa!$D$2:$BA$1248,40,0)</f>
        <v>200000</v>
      </c>
      <c r="DJ33" s="252">
        <f>VLOOKUP(D33,listaBolsa!$D$2:$BA$1248,48,0)</f>
        <v>0.1424</v>
      </c>
      <c r="DK33" s="7" t="b">
        <f t="shared" si="13"/>
        <v>1</v>
      </c>
      <c r="DL33" s="7" t="b">
        <f t="shared" si="14"/>
        <v>0</v>
      </c>
      <c r="DM33" s="7" t="b">
        <f t="shared" si="15"/>
        <v>1</v>
      </c>
      <c r="DN33" s="7" t="b">
        <f t="shared" si="16"/>
        <v>1</v>
      </c>
      <c r="DO33" s="7" t="b">
        <f t="shared" si="17"/>
        <v>1</v>
      </c>
      <c r="DP33" s="7" t="b">
        <f t="shared" si="18"/>
        <v>0</v>
      </c>
      <c r="DQ33" s="7" t="b">
        <f t="shared" si="19"/>
        <v>1</v>
      </c>
      <c r="DR33" s="7" t="b">
        <f t="shared" si="20"/>
        <v>1</v>
      </c>
      <c r="DS33" s="7" t="b">
        <f t="shared" si="21"/>
        <v>0</v>
      </c>
    </row>
    <row r="34" spans="1:123" s="7" customFormat="1" ht="84">
      <c r="A34" s="7" t="s">
        <v>173</v>
      </c>
      <c r="B34" s="453">
        <v>23</v>
      </c>
      <c r="C34" s="642" t="s">
        <v>186</v>
      </c>
      <c r="D34" s="453" t="s">
        <v>276</v>
      </c>
      <c r="E34" s="453" t="s">
        <v>277</v>
      </c>
      <c r="F34" s="194" t="s">
        <v>267</v>
      </c>
      <c r="G34" s="453">
        <v>1</v>
      </c>
      <c r="H34" s="443" t="s">
        <v>192</v>
      </c>
      <c r="I34" s="454" t="s">
        <v>193</v>
      </c>
      <c r="J34" s="455">
        <v>180000</v>
      </c>
      <c r="K34" s="455">
        <f t="shared" si="26"/>
        <v>34200</v>
      </c>
      <c r="L34" s="455">
        <f t="shared" si="1"/>
        <v>214200</v>
      </c>
      <c r="M34" s="455">
        <f t="shared" si="2"/>
        <v>180000</v>
      </c>
      <c r="N34" s="455">
        <f t="shared" si="3"/>
        <v>214200</v>
      </c>
      <c r="O34" s="456" t="s">
        <v>245</v>
      </c>
      <c r="P34" s="457">
        <v>150000</v>
      </c>
      <c r="Q34" s="457">
        <f t="shared" si="28"/>
        <v>28500</v>
      </c>
      <c r="R34" s="457">
        <f t="shared" si="5"/>
        <v>178500</v>
      </c>
      <c r="S34" s="457">
        <f t="shared" si="6"/>
        <v>150000</v>
      </c>
      <c r="T34" s="457">
        <f t="shared" si="7"/>
        <v>178500</v>
      </c>
      <c r="U34" s="458" t="s">
        <v>194</v>
      </c>
      <c r="V34" s="459">
        <v>200000</v>
      </c>
      <c r="W34" s="459">
        <f t="shared" si="25"/>
        <v>38000</v>
      </c>
      <c r="X34" s="459">
        <f t="shared" si="9"/>
        <v>238000</v>
      </c>
      <c r="Y34" s="459">
        <f t="shared" si="10"/>
        <v>200000</v>
      </c>
      <c r="Z34" s="459">
        <f t="shared" si="11"/>
        <v>238000</v>
      </c>
      <c r="AA34" s="460">
        <f t="shared" si="22"/>
        <v>210233.33333333334</v>
      </c>
      <c r="AB34" s="460">
        <f t="shared" si="23"/>
        <v>210233.33333333334</v>
      </c>
      <c r="AC34" s="461">
        <f t="shared" si="24"/>
        <v>29947.676593240682</v>
      </c>
      <c r="AD34" s="427">
        <f t="shared" si="12"/>
        <v>0.1424497063258634</v>
      </c>
      <c r="AE34" s="428"/>
      <c r="BH34" s="7">
        <v>24</v>
      </c>
      <c r="DB34" s="7" t="str">
        <f>VLOOKUP(D34,listaBolsa!$D$2:$BA$1248,1,0)</f>
        <v>Pintura acrílica negra</v>
      </c>
      <c r="DC34" s="7">
        <f>VLOOKUP(D34,listaBolsa!$D$2:$BA$1248,2,0)</f>
        <v>0</v>
      </c>
      <c r="DD34" s="7" t="str">
        <f>VLOOKUP(D34,listaBolsa!$D$2:$BA$1248,10,0)</f>
        <v>AVANCE ORGANIZACIONAL CONSULTORES SAS</v>
      </c>
      <c r="DE34" s="7">
        <f>VLOOKUP(D34,listaBolsa!$D$2:$BA$1248,14,0)</f>
        <v>180000</v>
      </c>
      <c r="DF34" s="7" t="str">
        <f>VLOOKUP(D34,listaBolsa!$D$2:$BA$1248,23,0)</f>
        <v>CONADES</v>
      </c>
      <c r="DG34" s="7">
        <f>VLOOKUP(D34,listaBolsa!$D$2:$BA$1248,29,0)</f>
        <v>178500</v>
      </c>
      <c r="DH34" s="7" t="str">
        <f>VLOOKUP(D34,listaBolsa!$D$2:$BA$1248,36,0)</f>
        <v>SIDED</v>
      </c>
      <c r="DI34" s="7">
        <f>VLOOKUP(D34,listaBolsa!$D$2:$BA$1248,40,0)</f>
        <v>200000</v>
      </c>
      <c r="DJ34" s="252">
        <f>VLOOKUP(D34,listaBolsa!$D$2:$BA$1248,48,0)</f>
        <v>0.1424</v>
      </c>
      <c r="DK34" s="7" t="b">
        <f t="shared" si="13"/>
        <v>1</v>
      </c>
      <c r="DL34" s="7" t="b">
        <f t="shared" si="14"/>
        <v>0</v>
      </c>
      <c r="DM34" s="7" t="b">
        <f t="shared" si="15"/>
        <v>1</v>
      </c>
      <c r="DN34" s="7" t="b">
        <f t="shared" si="16"/>
        <v>1</v>
      </c>
      <c r="DO34" s="7" t="b">
        <f t="shared" si="17"/>
        <v>1</v>
      </c>
      <c r="DP34" s="7" t="b">
        <f t="shared" si="18"/>
        <v>0</v>
      </c>
      <c r="DQ34" s="7" t="b">
        <f t="shared" si="19"/>
        <v>1</v>
      </c>
      <c r="DR34" s="7" t="b">
        <f t="shared" si="20"/>
        <v>1</v>
      </c>
      <c r="DS34" s="7" t="b">
        <f t="shared" si="21"/>
        <v>0</v>
      </c>
    </row>
    <row r="35" spans="1:123" s="7" customFormat="1" ht="72">
      <c r="A35" s="7" t="s">
        <v>173</v>
      </c>
      <c r="B35" s="453">
        <v>24</v>
      </c>
      <c r="C35" s="642" t="s">
        <v>186</v>
      </c>
      <c r="D35" s="453" t="s">
        <v>279</v>
      </c>
      <c r="E35" s="453" t="s">
        <v>280</v>
      </c>
      <c r="F35" s="194" t="s">
        <v>191</v>
      </c>
      <c r="G35" s="453">
        <v>3</v>
      </c>
      <c r="H35" s="443" t="s">
        <v>192</v>
      </c>
      <c r="I35" s="454" t="s">
        <v>193</v>
      </c>
      <c r="J35" s="455">
        <v>13000</v>
      </c>
      <c r="K35" s="455">
        <f t="shared" si="26"/>
        <v>2470</v>
      </c>
      <c r="L35" s="455">
        <f t="shared" si="1"/>
        <v>15470</v>
      </c>
      <c r="M35" s="455">
        <f t="shared" si="2"/>
        <v>39000</v>
      </c>
      <c r="N35" s="455">
        <f t="shared" si="3"/>
        <v>46410</v>
      </c>
      <c r="O35" s="456" t="s">
        <v>245</v>
      </c>
      <c r="P35" s="457">
        <v>12000</v>
      </c>
      <c r="Q35" s="457">
        <f t="shared" si="28"/>
        <v>2280</v>
      </c>
      <c r="R35" s="457">
        <f t="shared" si="5"/>
        <v>14280</v>
      </c>
      <c r="S35" s="457">
        <f t="shared" si="6"/>
        <v>36000</v>
      </c>
      <c r="T35" s="457">
        <f t="shared" si="7"/>
        <v>42840</v>
      </c>
      <c r="U35" s="458" t="s">
        <v>194</v>
      </c>
      <c r="V35" s="459">
        <v>15000</v>
      </c>
      <c r="W35" s="459">
        <f t="shared" si="25"/>
        <v>2850</v>
      </c>
      <c r="X35" s="459">
        <f t="shared" si="9"/>
        <v>17850</v>
      </c>
      <c r="Y35" s="459">
        <f t="shared" si="10"/>
        <v>45000</v>
      </c>
      <c r="Z35" s="459">
        <f t="shared" si="11"/>
        <v>53550</v>
      </c>
      <c r="AA35" s="460">
        <f t="shared" si="22"/>
        <v>15866.666666666666</v>
      </c>
      <c r="AB35" s="460">
        <f t="shared" si="23"/>
        <v>47600</v>
      </c>
      <c r="AC35" s="461">
        <f t="shared" si="24"/>
        <v>5453.2650769974498</v>
      </c>
      <c r="AD35" s="427">
        <f t="shared" si="12"/>
        <v>0.114564392373896</v>
      </c>
      <c r="AE35" s="428"/>
      <c r="BH35" s="7">
        <v>25</v>
      </c>
      <c r="DB35" s="7" t="str">
        <f>VLOOKUP(D35,listaBolsa!$D$2:$BA$1248,1,0)</f>
        <v>Rodillos</v>
      </c>
      <c r="DC35" s="7">
        <f>VLOOKUP(D35,listaBolsa!$D$2:$BA$1248,2,0)</f>
        <v>0</v>
      </c>
      <c r="DD35" s="7" t="str">
        <f>VLOOKUP(D35,listaBolsa!$D$2:$BA$1248,10,0)</f>
        <v>AVANCE ORGANIZACIONAL CONSULTORES SAS</v>
      </c>
      <c r="DE35" s="7">
        <f>VLOOKUP(D35,listaBolsa!$D$2:$BA$1248,14,0)</f>
        <v>13000</v>
      </c>
      <c r="DF35" s="7" t="str">
        <f>VLOOKUP(D35,listaBolsa!$D$2:$BA$1248,23,0)</f>
        <v>CONADES</v>
      </c>
      <c r="DG35" s="7">
        <f>VLOOKUP(D35,listaBolsa!$D$2:$BA$1248,29,0)</f>
        <v>14280</v>
      </c>
      <c r="DH35" s="7" t="str">
        <f>VLOOKUP(D35,listaBolsa!$D$2:$BA$1248,36,0)</f>
        <v>SIDED</v>
      </c>
      <c r="DI35" s="7">
        <f>VLOOKUP(D35,listaBolsa!$D$2:$BA$1248,40,0)</f>
        <v>15000</v>
      </c>
      <c r="DJ35" s="252">
        <f>VLOOKUP(D35,listaBolsa!$D$2:$BA$1248,48,0)</f>
        <v>0.11459999999999999</v>
      </c>
      <c r="DK35" s="7" t="b">
        <f t="shared" si="13"/>
        <v>1</v>
      </c>
      <c r="DL35" s="7" t="b">
        <f t="shared" si="14"/>
        <v>0</v>
      </c>
      <c r="DM35" s="7" t="b">
        <f t="shared" si="15"/>
        <v>1</v>
      </c>
      <c r="DN35" s="7" t="b">
        <f t="shared" si="16"/>
        <v>1</v>
      </c>
      <c r="DO35" s="7" t="b">
        <f t="shared" si="17"/>
        <v>1</v>
      </c>
      <c r="DP35" s="7" t="b">
        <f t="shared" si="18"/>
        <v>0</v>
      </c>
      <c r="DQ35" s="7" t="b">
        <f t="shared" si="19"/>
        <v>1</v>
      </c>
      <c r="DR35" s="7" t="b">
        <f t="shared" si="20"/>
        <v>1</v>
      </c>
      <c r="DS35" s="7" t="b">
        <f t="shared" si="21"/>
        <v>0</v>
      </c>
    </row>
    <row r="36" spans="1:123" s="7" customFormat="1" ht="42">
      <c r="A36" s="7" t="s">
        <v>173</v>
      </c>
      <c r="B36" s="453">
        <v>25</v>
      </c>
      <c r="C36" s="642" t="s">
        <v>186</v>
      </c>
      <c r="D36" s="453" t="s">
        <v>282</v>
      </c>
      <c r="E36" s="453" t="s">
        <v>283</v>
      </c>
      <c r="F36" s="194" t="s">
        <v>191</v>
      </c>
      <c r="G36" s="453">
        <v>6</v>
      </c>
      <c r="H36" s="443" t="s">
        <v>192</v>
      </c>
      <c r="I36" s="454" t="s">
        <v>284</v>
      </c>
      <c r="J36" s="455">
        <v>4117.6470588235297</v>
      </c>
      <c r="K36" s="455">
        <f t="shared" si="26"/>
        <v>782.35294117647061</v>
      </c>
      <c r="L36" s="455">
        <f t="shared" si="1"/>
        <v>4900</v>
      </c>
      <c r="M36" s="455">
        <f t="shared" si="2"/>
        <v>24705.882352941178</v>
      </c>
      <c r="N36" s="455">
        <f t="shared" si="3"/>
        <v>29400</v>
      </c>
      <c r="O36" s="456" t="s">
        <v>285</v>
      </c>
      <c r="P36" s="457">
        <v>4117.6470588235297</v>
      </c>
      <c r="Q36" s="457">
        <f t="shared" si="28"/>
        <v>782.35294117647061</v>
      </c>
      <c r="R36" s="457">
        <f t="shared" si="5"/>
        <v>4900</v>
      </c>
      <c r="S36" s="457">
        <f t="shared" si="6"/>
        <v>24705.882352941178</v>
      </c>
      <c r="T36" s="457">
        <f t="shared" si="7"/>
        <v>29400</v>
      </c>
      <c r="U36" s="458" t="s">
        <v>286</v>
      </c>
      <c r="V36" s="459">
        <v>3500</v>
      </c>
      <c r="W36" s="459">
        <f t="shared" si="25"/>
        <v>665</v>
      </c>
      <c r="X36" s="459">
        <f t="shared" si="9"/>
        <v>4165</v>
      </c>
      <c r="Y36" s="459">
        <f t="shared" si="10"/>
        <v>21000</v>
      </c>
      <c r="Z36" s="459">
        <f t="shared" si="11"/>
        <v>24990</v>
      </c>
      <c r="AA36" s="460">
        <f t="shared" si="22"/>
        <v>4655</v>
      </c>
      <c r="AB36" s="460">
        <f t="shared" si="23"/>
        <v>27930</v>
      </c>
      <c r="AC36" s="461">
        <f t="shared" si="24"/>
        <v>2546.1146871262495</v>
      </c>
      <c r="AD36" s="427">
        <f t="shared" si="12"/>
        <v>9.1160568819414589E-2</v>
      </c>
      <c r="AE36" s="428"/>
      <c r="BH36" s="7">
        <v>26</v>
      </c>
      <c r="DB36" s="7" t="str">
        <f>VLOOKUP(D36,listaBolsa!$D$2:$BA$1248,1,0)</f>
        <v>Brochas</v>
      </c>
      <c r="DC36" s="7">
        <f>VLOOKUP(D36,listaBolsa!$D$2:$BA$1248,2,0)</f>
        <v>0</v>
      </c>
      <c r="DD36" s="7" t="str">
        <f>VLOOKUP(D36,listaBolsa!$D$2:$BA$1248,10,0)</f>
        <v>HOMMECENTER</v>
      </c>
      <c r="DE36" s="7">
        <f>VLOOKUP(D36,listaBolsa!$D$2:$BA$1248,14,0)</f>
        <v>4117.6499999999996</v>
      </c>
      <c r="DF36" s="7" t="str">
        <f>VLOOKUP(D36,listaBolsa!$D$2:$BA$1248,23,0)</f>
        <v>FALABELLA COLOMBIA</v>
      </c>
      <c r="DG36" s="7">
        <f>VLOOKUP(D36,listaBolsa!$D$2:$BA$1248,29,0)</f>
        <v>4900</v>
      </c>
      <c r="DH36" s="7" t="str">
        <f>VLOOKUP(D36,listaBolsa!$D$2:$BA$1248,36,0)</f>
        <v>FERRICENTRO</v>
      </c>
      <c r="DI36" s="7">
        <f>VLOOKUP(D36,listaBolsa!$D$2:$BA$1248,40,0)</f>
        <v>3500</v>
      </c>
      <c r="DJ36" s="252">
        <f>VLOOKUP(D36,listaBolsa!$D$2:$BA$1248,48,0)</f>
        <v>9.1200000000000003E-2</v>
      </c>
      <c r="DK36" s="7" t="b">
        <f t="shared" si="13"/>
        <v>1</v>
      </c>
      <c r="DL36" s="7" t="b">
        <f t="shared" si="14"/>
        <v>0</v>
      </c>
      <c r="DM36" s="7" t="b">
        <f t="shared" si="15"/>
        <v>1</v>
      </c>
      <c r="DN36" s="7" t="b">
        <f t="shared" si="16"/>
        <v>0</v>
      </c>
      <c r="DO36" s="7" t="b">
        <f t="shared" si="17"/>
        <v>1</v>
      </c>
      <c r="DP36" s="7" t="b">
        <f t="shared" si="18"/>
        <v>0</v>
      </c>
      <c r="DQ36" s="7" t="b">
        <f t="shared" si="19"/>
        <v>1</v>
      </c>
      <c r="DR36" s="7" t="b">
        <f t="shared" si="20"/>
        <v>1</v>
      </c>
      <c r="DS36" s="7" t="b">
        <f t="shared" si="21"/>
        <v>0</v>
      </c>
    </row>
    <row r="37" spans="1:123" s="7" customFormat="1" ht="28.9">
      <c r="A37" s="7" t="s">
        <v>173</v>
      </c>
      <c r="B37" s="453">
        <v>26</v>
      </c>
      <c r="C37" s="642" t="s">
        <v>186</v>
      </c>
      <c r="D37" s="453" t="s">
        <v>282</v>
      </c>
      <c r="E37" s="453" t="s">
        <v>288</v>
      </c>
      <c r="F37" s="194" t="s">
        <v>191</v>
      </c>
      <c r="G37" s="453">
        <v>4</v>
      </c>
      <c r="H37" s="443" t="s">
        <v>192</v>
      </c>
      <c r="I37" s="454" t="s">
        <v>285</v>
      </c>
      <c r="J37" s="455">
        <v>9707.5630252100837</v>
      </c>
      <c r="K37" s="455">
        <f t="shared" si="26"/>
        <v>1844.4369747899159</v>
      </c>
      <c r="L37" s="455">
        <f t="shared" si="1"/>
        <v>11552</v>
      </c>
      <c r="M37" s="455">
        <f t="shared" si="2"/>
        <v>38830.252100840335</v>
      </c>
      <c r="N37" s="455">
        <f t="shared" si="3"/>
        <v>46208</v>
      </c>
      <c r="O37" s="456" t="s">
        <v>239</v>
      </c>
      <c r="P37" s="457">
        <v>10672.268907563026</v>
      </c>
      <c r="Q37" s="457">
        <f t="shared" si="28"/>
        <v>2027.7310924369749</v>
      </c>
      <c r="R37" s="457">
        <f t="shared" si="5"/>
        <v>12700</v>
      </c>
      <c r="S37" s="457">
        <f t="shared" si="6"/>
        <v>42689.075630252104</v>
      </c>
      <c r="T37" s="457">
        <f t="shared" si="7"/>
        <v>50800</v>
      </c>
      <c r="U37" s="458" t="s">
        <v>289</v>
      </c>
      <c r="V37" s="459">
        <v>10671.428571428572</v>
      </c>
      <c r="W37" s="459">
        <f t="shared" si="25"/>
        <v>2027.5714285714289</v>
      </c>
      <c r="X37" s="459">
        <f t="shared" si="9"/>
        <v>12699.000000000002</v>
      </c>
      <c r="Y37" s="459">
        <f t="shared" si="10"/>
        <v>42685.71428571429</v>
      </c>
      <c r="Z37" s="459">
        <f t="shared" si="11"/>
        <v>50796.000000000007</v>
      </c>
      <c r="AA37" s="460">
        <f t="shared" si="22"/>
        <v>12317</v>
      </c>
      <c r="AB37" s="460">
        <f t="shared" si="23"/>
        <v>49268</v>
      </c>
      <c r="AC37" s="461">
        <f t="shared" si="24"/>
        <v>2650.0384902865112</v>
      </c>
      <c r="AD37" s="427">
        <f t="shared" si="12"/>
        <v>5.3788229485396424E-2</v>
      </c>
      <c r="AE37" s="428"/>
      <c r="BH37" s="7">
        <v>27</v>
      </c>
      <c r="DB37" s="7" t="str">
        <f>VLOOKUP(D37,listaBolsa!$D$2:$BA$1248,1,0)</f>
        <v>Brochas</v>
      </c>
      <c r="DC37" s="7">
        <f>VLOOKUP(D37,listaBolsa!$D$2:$BA$1248,2,0)</f>
        <v>0</v>
      </c>
      <c r="DD37" s="7" t="str">
        <f>VLOOKUP(D37,listaBolsa!$D$2:$BA$1248,10,0)</f>
        <v>HOMMECENTER</v>
      </c>
      <c r="DE37" s="7">
        <f>VLOOKUP(D37,listaBolsa!$D$2:$BA$1248,14,0)</f>
        <v>4117.6499999999996</v>
      </c>
      <c r="DF37" s="7" t="str">
        <f>VLOOKUP(D37,listaBolsa!$D$2:$BA$1248,23,0)</f>
        <v>FALABELLA COLOMBIA</v>
      </c>
      <c r="DG37" s="7">
        <f>VLOOKUP(D37,listaBolsa!$D$2:$BA$1248,29,0)</f>
        <v>4900</v>
      </c>
      <c r="DH37" s="7" t="str">
        <f>VLOOKUP(D37,listaBolsa!$D$2:$BA$1248,36,0)</f>
        <v>FERRICENTRO</v>
      </c>
      <c r="DI37" s="7">
        <f>VLOOKUP(D37,listaBolsa!$D$2:$BA$1248,40,0)</f>
        <v>3500</v>
      </c>
      <c r="DJ37" s="252">
        <f>VLOOKUP(D37,listaBolsa!$D$2:$BA$1248,48,0)</f>
        <v>9.1200000000000003E-2</v>
      </c>
      <c r="DK37" s="7" t="b">
        <f t="shared" si="13"/>
        <v>1</v>
      </c>
      <c r="DL37" s="7" t="b">
        <f t="shared" si="14"/>
        <v>0</v>
      </c>
      <c r="DM37" s="7" t="b">
        <f t="shared" si="15"/>
        <v>0</v>
      </c>
      <c r="DN37" s="7" t="b">
        <f t="shared" si="16"/>
        <v>0</v>
      </c>
      <c r="DO37" s="7" t="b">
        <f t="shared" si="17"/>
        <v>0</v>
      </c>
      <c r="DP37" s="7" t="b">
        <f t="shared" si="18"/>
        <v>0</v>
      </c>
      <c r="DQ37" s="7" t="b">
        <f t="shared" si="19"/>
        <v>0</v>
      </c>
      <c r="DR37" s="7" t="b">
        <f t="shared" si="20"/>
        <v>0</v>
      </c>
      <c r="DS37" s="7" t="b">
        <f t="shared" si="21"/>
        <v>0</v>
      </c>
    </row>
    <row r="38" spans="1:123" s="7" customFormat="1" ht="345.6">
      <c r="A38" s="7" t="s">
        <v>173</v>
      </c>
      <c r="B38" s="453">
        <v>27</v>
      </c>
      <c r="C38" s="642" t="s">
        <v>291</v>
      </c>
      <c r="D38" s="453" t="s">
        <v>187</v>
      </c>
      <c r="E38" s="453" t="str">
        <f>IF(D38="","",VLOOKUP(D38,listaBolsa!$D$2:$H$276,2,0))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F38" s="194" t="str">
        <f>IF(D38="","",VLOOKUP(D38,listaBolsa!$D$2:$H$276,3,0))</f>
        <v>Unidad</v>
      </c>
      <c r="G38" s="453">
        <v>580</v>
      </c>
      <c r="H38" s="443" t="str">
        <f>IF(D38="","",VLOOKUP(D38,listaBolsa!$D$2:$H$276,5,0))</f>
        <v>Compra</v>
      </c>
      <c r="I38" s="454" t="str">
        <f>IF(D38="","",VLOOKUP(D38,listaBolsa!$D$2:$W$276,10,0))</f>
        <v>INVERSIONES BECORATI E Y O SAS</v>
      </c>
      <c r="J38" s="455">
        <f>IF(D38="","",VLOOKUP(D38,listaBolsa!$D$2:$W$276,14,0))</f>
        <v>11700</v>
      </c>
      <c r="K38" s="455">
        <f t="shared" si="26"/>
        <v>2223</v>
      </c>
      <c r="L38" s="455">
        <f t="shared" si="1"/>
        <v>13923</v>
      </c>
      <c r="M38" s="455">
        <f t="shared" si="2"/>
        <v>6786000</v>
      </c>
      <c r="N38" s="455">
        <f t="shared" si="3"/>
        <v>8075340</v>
      </c>
      <c r="O38" s="456" t="str">
        <f>IF(D38="","",VLOOKUP(D38,listaBolsa!$D$2:$AZ$276,23,0))</f>
        <v>ENTERPRISE INVESTMENT DEVELOPMENT S.A.S.</v>
      </c>
      <c r="P38" s="457">
        <f>IF(D38="","",VLOOKUP(D38,listaBolsa!$D$2:$AZ$276,27,0))</f>
        <v>8570</v>
      </c>
      <c r="Q38" s="457">
        <f t="shared" si="28"/>
        <v>1628.3</v>
      </c>
      <c r="R38" s="457">
        <f t="shared" si="5"/>
        <v>10198.299999999999</v>
      </c>
      <c r="S38" s="457">
        <f t="shared" si="6"/>
        <v>4970600</v>
      </c>
      <c r="T38" s="457">
        <f t="shared" si="7"/>
        <v>5915014</v>
      </c>
      <c r="U38" s="458" t="str">
        <f>IF(D38="","",VLOOKUP(D38,listaBolsa!$D$2:$BB$276,36,0))</f>
        <v>Estimación de precios con base en el proceso FDLSUBA-LP-013-2025 (140689) – Contrato 1000 – 2025, indexando el incremento de precios en el mercado con base en el Índice de Precios al Consumidor (IPC) para el mes de marzo de 2026, el cual fue de 5,56%.</v>
      </c>
      <c r="V38" s="459">
        <f>IF(D38="","",VLOOKUP(D38,listaBolsa!$D$2:$BB$276,40,0))</f>
        <v>12843.518518518518</v>
      </c>
      <c r="W38" s="459">
        <f t="shared" si="25"/>
        <v>2440.2685185185187</v>
      </c>
      <c r="X38" s="459">
        <f t="shared" si="9"/>
        <v>15283.787037037036</v>
      </c>
      <c r="Y38" s="459">
        <f t="shared" si="10"/>
        <v>7449240.7407407407</v>
      </c>
      <c r="Z38" s="459">
        <f t="shared" si="11"/>
        <v>8864596.4814814813</v>
      </c>
      <c r="AA38" s="460">
        <f t="shared" si="22"/>
        <v>13135.02901234568</v>
      </c>
      <c r="AB38" s="460">
        <f t="shared" si="23"/>
        <v>7618316.8271604944</v>
      </c>
      <c r="AC38" s="461">
        <f t="shared" si="24"/>
        <v>1526978.0087315692</v>
      </c>
      <c r="AD38" s="427">
        <f t="shared" si="12"/>
        <v>0.20043508866520923</v>
      </c>
      <c r="AE38" s="428"/>
      <c r="BH38" s="7">
        <v>28</v>
      </c>
      <c r="DB38" s="7" t="str">
        <f>VLOOKUP(D38,listaBolsa!$D$2:$BA$1248,1,0)</f>
        <v>Refrigerio Tipo 1</v>
      </c>
      <c r="DC38" s="7" t="str">
        <f>VLOOKUP(D38,listaBolsa!$D$2:$BA$1248,2,0)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D38" s="7" t="str">
        <f>VLOOKUP(D38,listaBolsa!$D$2:$BA$1248,10,0)</f>
        <v>INVERSIONES BECORATI E Y O SAS</v>
      </c>
      <c r="DE38" s="7">
        <f>VLOOKUP(D38,listaBolsa!$D$2:$BA$1248,14,0)</f>
        <v>11700</v>
      </c>
      <c r="DF38" s="7" t="str">
        <f>VLOOKUP(D38,listaBolsa!$D$2:$BA$1248,23,0)</f>
        <v>ENTERPRISE INVESTMENT DEVELOPMENT S.A.S.</v>
      </c>
      <c r="DG38" s="7">
        <f>VLOOKUP(D38,listaBolsa!$D$2:$BA$1248,29,0)</f>
        <v>9255.6</v>
      </c>
      <c r="DH38" s="7" t="str">
        <f>VLOOKUP(D38,listaBolsa!$D$2:$BA$1248,36,0)</f>
        <v>Estimación de precios con base en el proceso FDLSUBA-LP-013-2025 (140689) – Contrato 1000 – 2025, indexando el incremento de precios en el mercado con base en el Índice de Precios al Consumidor (IPC) para el mes de marzo de 2026, el cual fue de 5,56%.</v>
      </c>
      <c r="DI38" s="7">
        <f>VLOOKUP(D38,listaBolsa!$D$2:$BA$1248,40,0)</f>
        <v>12843.518518518518</v>
      </c>
      <c r="DJ38" s="252">
        <f>VLOOKUP(D38,listaBolsa!$D$2:$BA$1248,48,0)</f>
        <v>0.20043508866520951</v>
      </c>
      <c r="DK38" s="7" t="b">
        <f t="shared" si="13"/>
        <v>1</v>
      </c>
      <c r="DL38" s="7" t="b">
        <f t="shared" si="14"/>
        <v>1</v>
      </c>
      <c r="DM38" s="7" t="b">
        <f t="shared" si="15"/>
        <v>1</v>
      </c>
      <c r="DN38" s="7" t="b">
        <f t="shared" si="16"/>
        <v>1</v>
      </c>
      <c r="DO38" s="7" t="b">
        <f t="shared" si="17"/>
        <v>1</v>
      </c>
      <c r="DP38" s="7" t="b">
        <f t="shared" si="18"/>
        <v>0</v>
      </c>
      <c r="DQ38" s="7" t="b">
        <f t="shared" si="19"/>
        <v>1</v>
      </c>
      <c r="DR38" s="7" t="b">
        <f t="shared" si="20"/>
        <v>1</v>
      </c>
      <c r="DS38" s="7" t="b">
        <f t="shared" si="21"/>
        <v>0</v>
      </c>
    </row>
    <row r="39" spans="1:123" s="7" customFormat="1" ht="72">
      <c r="A39" s="7" t="s">
        <v>173</v>
      </c>
      <c r="B39" s="453">
        <v>28</v>
      </c>
      <c r="C39" s="642" t="s">
        <v>291</v>
      </c>
      <c r="D39" s="453" t="s">
        <v>189</v>
      </c>
      <c r="E39" s="453" t="s">
        <v>190</v>
      </c>
      <c r="F39" s="194" t="s">
        <v>191</v>
      </c>
      <c r="G39" s="453">
        <v>1</v>
      </c>
      <c r="H39" s="443" t="s">
        <v>192</v>
      </c>
      <c r="I39" s="454" t="s">
        <v>193</v>
      </c>
      <c r="J39" s="455">
        <v>15000</v>
      </c>
      <c r="K39" s="455">
        <f t="shared" si="26"/>
        <v>2850</v>
      </c>
      <c r="L39" s="455">
        <f t="shared" si="1"/>
        <v>17850</v>
      </c>
      <c r="M39" s="455">
        <f t="shared" si="2"/>
        <v>15000</v>
      </c>
      <c r="N39" s="455">
        <f t="shared" si="3"/>
        <v>17850</v>
      </c>
      <c r="O39" s="456" t="s">
        <v>194</v>
      </c>
      <c r="P39" s="457">
        <v>16200</v>
      </c>
      <c r="Q39" s="457">
        <f t="shared" si="28"/>
        <v>3078</v>
      </c>
      <c r="R39" s="457">
        <f t="shared" si="5"/>
        <v>19278</v>
      </c>
      <c r="S39" s="457">
        <f t="shared" si="6"/>
        <v>16200</v>
      </c>
      <c r="T39" s="457">
        <f t="shared" si="7"/>
        <v>19278</v>
      </c>
      <c r="U39" s="458" t="s">
        <v>195</v>
      </c>
      <c r="V39" s="459">
        <v>13319.32773109244</v>
      </c>
      <c r="W39" s="459">
        <f t="shared" si="25"/>
        <v>2530.6722689075636</v>
      </c>
      <c r="X39" s="459">
        <f t="shared" si="9"/>
        <v>15850.000000000004</v>
      </c>
      <c r="Y39" s="459">
        <f t="shared" si="10"/>
        <v>13319.32773109244</v>
      </c>
      <c r="Z39" s="459">
        <f t="shared" si="11"/>
        <v>15850.000000000004</v>
      </c>
      <c r="AA39" s="460">
        <f t="shared" si="22"/>
        <v>17659.333333333332</v>
      </c>
      <c r="AB39" s="460">
        <f t="shared" si="23"/>
        <v>17659.333333333332</v>
      </c>
      <c r="AC39" s="461">
        <f t="shared" si="24"/>
        <v>1721.9353452825478</v>
      </c>
      <c r="AD39" s="427">
        <f t="shared" si="12"/>
        <v>9.7508513644298453E-2</v>
      </c>
      <c r="AE39" s="428"/>
      <c r="BH39" s="7">
        <v>29</v>
      </c>
      <c r="DB39" s="7" t="str">
        <f>VLOOKUP(D39,listaBolsa!$D$2:$BA$1248,1,0)</f>
        <v>Bolsas negras</v>
      </c>
      <c r="DC39" s="7">
        <f>VLOOKUP(D39,listaBolsa!$D$2:$BA$1248,2,0)</f>
        <v>0</v>
      </c>
      <c r="DD39" s="7" t="str">
        <f>VLOOKUP(D39,listaBolsa!$D$2:$BA$1248,10,0)</f>
        <v>AVANCE ORGANIZACIONAL CONSULTORES SAS</v>
      </c>
      <c r="DE39" s="7">
        <f>VLOOKUP(D39,listaBolsa!$D$2:$BA$1248,14,0)</f>
        <v>15000</v>
      </c>
      <c r="DF39" s="7" t="str">
        <f>VLOOKUP(D39,listaBolsa!$D$2:$BA$1248,23,0)</f>
        <v>SIDED</v>
      </c>
      <c r="DG39" s="7">
        <f>VLOOKUP(D39,listaBolsa!$D$2:$BA$1248,29,0)</f>
        <v>19278</v>
      </c>
      <c r="DH39" s="7" t="str">
        <f>VLOOKUP(D39,listaBolsa!$D$2:$BA$1248,36,0)</f>
        <v>SUPER DESECHABLES DEL NORTE</v>
      </c>
      <c r="DI39" s="7">
        <f>VLOOKUP(D39,listaBolsa!$D$2:$BA$1248,40,0)</f>
        <v>13319.33</v>
      </c>
      <c r="DJ39" s="252">
        <f>VLOOKUP(D39,listaBolsa!$D$2:$BA$1248,48,0)</f>
        <v>9.7500000000000003E-2</v>
      </c>
      <c r="DK39" s="7" t="b">
        <f t="shared" si="13"/>
        <v>1</v>
      </c>
      <c r="DL39" s="7" t="b">
        <f t="shared" si="14"/>
        <v>0</v>
      </c>
      <c r="DM39" s="7" t="b">
        <f t="shared" si="15"/>
        <v>1</v>
      </c>
      <c r="DN39" s="7" t="b">
        <f t="shared" si="16"/>
        <v>1</v>
      </c>
      <c r="DO39" s="7" t="b">
        <f t="shared" si="17"/>
        <v>1</v>
      </c>
      <c r="DP39" s="7" t="b">
        <f t="shared" si="18"/>
        <v>0</v>
      </c>
      <c r="DQ39" s="7" t="b">
        <f t="shared" si="19"/>
        <v>1</v>
      </c>
      <c r="DR39" s="7" t="b">
        <f t="shared" si="20"/>
        <v>0</v>
      </c>
      <c r="DS39" s="7" t="b">
        <f t="shared" si="21"/>
        <v>0</v>
      </c>
    </row>
    <row r="40" spans="1:123" s="7" customFormat="1" ht="42">
      <c r="A40" s="7" t="s">
        <v>173</v>
      </c>
      <c r="B40" s="453">
        <v>29</v>
      </c>
      <c r="C40" s="642" t="s">
        <v>291</v>
      </c>
      <c r="D40" s="453" t="s">
        <v>197</v>
      </c>
      <c r="E40" s="453" t="s">
        <v>198</v>
      </c>
      <c r="F40" s="194" t="s">
        <v>191</v>
      </c>
      <c r="G40" s="453">
        <v>1</v>
      </c>
      <c r="H40" s="443" t="s">
        <v>192</v>
      </c>
      <c r="I40" s="454" t="s">
        <v>193</v>
      </c>
      <c r="J40" s="455">
        <v>15000</v>
      </c>
      <c r="K40" s="455">
        <f t="shared" si="26"/>
        <v>2850</v>
      </c>
      <c r="L40" s="455">
        <f t="shared" si="1"/>
        <v>17850</v>
      </c>
      <c r="M40" s="455">
        <f t="shared" si="2"/>
        <v>15000</v>
      </c>
      <c r="N40" s="455">
        <f t="shared" si="3"/>
        <v>17850</v>
      </c>
      <c r="O40" s="456" t="s">
        <v>194</v>
      </c>
      <c r="P40" s="457">
        <v>16200</v>
      </c>
      <c r="Q40" s="457">
        <f t="shared" si="28"/>
        <v>3078</v>
      </c>
      <c r="R40" s="457">
        <f t="shared" si="5"/>
        <v>19278</v>
      </c>
      <c r="S40" s="457">
        <f t="shared" si="6"/>
        <v>16200</v>
      </c>
      <c r="T40" s="457">
        <f t="shared" si="7"/>
        <v>19278</v>
      </c>
      <c r="U40" s="458" t="s">
        <v>195</v>
      </c>
      <c r="V40" s="459">
        <v>15110.9243697479</v>
      </c>
      <c r="W40" s="459">
        <f t="shared" si="25"/>
        <v>2871.0756302521008</v>
      </c>
      <c r="X40" s="459">
        <f t="shared" si="9"/>
        <v>17982</v>
      </c>
      <c r="Y40" s="459">
        <f t="shared" si="10"/>
        <v>15110.9243697479</v>
      </c>
      <c r="Z40" s="459">
        <f t="shared" si="11"/>
        <v>17982</v>
      </c>
      <c r="AA40" s="460">
        <f t="shared" si="22"/>
        <v>18370</v>
      </c>
      <c r="AB40" s="460">
        <f t="shared" si="23"/>
        <v>18370</v>
      </c>
      <c r="AC40" s="461">
        <f t="shared" si="24"/>
        <v>789.11596106022341</v>
      </c>
      <c r="AD40" s="427">
        <f t="shared" si="12"/>
        <v>4.2956775234633829E-2</v>
      </c>
      <c r="AE40" s="428"/>
      <c r="BH40" s="7">
        <v>30</v>
      </c>
      <c r="DB40" s="7" t="e">
        <f>VLOOKUP(D40,listaBolsa!$D$2:$BA$1248,1,0)</f>
        <v>#N/A</v>
      </c>
      <c r="DC40" s="7" t="e">
        <f>VLOOKUP(D40,listaBolsa!$D$2:$BA$1248,2,0)</f>
        <v>#N/A</v>
      </c>
      <c r="DD40" s="7" t="e">
        <f>VLOOKUP(D40,listaBolsa!$D$2:$BA$1248,10,0)</f>
        <v>#N/A</v>
      </c>
      <c r="DE40" s="7" t="e">
        <f>VLOOKUP(D40,listaBolsa!$D$2:$BA$1248,14,0)</f>
        <v>#N/A</v>
      </c>
      <c r="DF40" s="7" t="e">
        <f>VLOOKUP(D40,listaBolsa!$D$2:$BA$1248,23,0)</f>
        <v>#N/A</v>
      </c>
      <c r="DG40" s="7" t="e">
        <f>VLOOKUP(D40,listaBolsa!$D$2:$BA$1248,29,0)</f>
        <v>#N/A</v>
      </c>
      <c r="DH40" s="7" t="e">
        <f>VLOOKUP(D40,listaBolsa!$D$2:$BA$1248,36,0)</f>
        <v>#N/A</v>
      </c>
      <c r="DI40" s="7" t="e">
        <f>VLOOKUP(D40,listaBolsa!$D$2:$BA$1248,40,0)</f>
        <v>#N/A</v>
      </c>
      <c r="DJ40" s="252" t="e">
        <f>VLOOKUP(D40,listaBolsa!$D$2:$BA$1248,48,0)</f>
        <v>#N/A</v>
      </c>
      <c r="DK40" s="7" t="e">
        <f t="shared" si="13"/>
        <v>#N/A</v>
      </c>
      <c r="DL40" s="7" t="e">
        <f t="shared" si="14"/>
        <v>#N/A</v>
      </c>
      <c r="DM40" s="7" t="e">
        <f t="shared" si="15"/>
        <v>#N/A</v>
      </c>
      <c r="DN40" s="7" t="e">
        <f t="shared" si="16"/>
        <v>#N/A</v>
      </c>
      <c r="DO40" s="7" t="e">
        <f t="shared" si="17"/>
        <v>#N/A</v>
      </c>
      <c r="DP40" s="7" t="e">
        <f t="shared" si="18"/>
        <v>#N/A</v>
      </c>
      <c r="DQ40" s="7" t="e">
        <f t="shared" si="19"/>
        <v>#N/A</v>
      </c>
      <c r="DR40" s="7" t="e">
        <f t="shared" si="20"/>
        <v>#N/A</v>
      </c>
      <c r="DS40" s="7" t="e">
        <f t="shared" si="21"/>
        <v>#N/A</v>
      </c>
    </row>
    <row r="41" spans="1:123" s="7" customFormat="1" ht="42">
      <c r="A41" s="7" t="s">
        <v>173</v>
      </c>
      <c r="B41" s="453">
        <v>30</v>
      </c>
      <c r="C41" s="642" t="s">
        <v>291</v>
      </c>
      <c r="D41" s="453" t="s">
        <v>200</v>
      </c>
      <c r="E41" s="453" t="s">
        <v>201</v>
      </c>
      <c r="F41" s="194" t="s">
        <v>191</v>
      </c>
      <c r="G41" s="453">
        <v>1</v>
      </c>
      <c r="H41" s="443" t="s">
        <v>192</v>
      </c>
      <c r="I41" s="454" t="s">
        <v>193</v>
      </c>
      <c r="J41" s="455">
        <v>15000</v>
      </c>
      <c r="K41" s="455">
        <f t="shared" si="26"/>
        <v>2850</v>
      </c>
      <c r="L41" s="455">
        <f t="shared" si="1"/>
        <v>17850</v>
      </c>
      <c r="M41" s="455">
        <f t="shared" si="2"/>
        <v>15000</v>
      </c>
      <c r="N41" s="455">
        <f t="shared" si="3"/>
        <v>17850</v>
      </c>
      <c r="O41" s="456" t="s">
        <v>194</v>
      </c>
      <c r="P41" s="457">
        <v>16200</v>
      </c>
      <c r="Q41" s="457">
        <f t="shared" si="28"/>
        <v>3078</v>
      </c>
      <c r="R41" s="457">
        <f t="shared" si="5"/>
        <v>19278</v>
      </c>
      <c r="S41" s="457">
        <f t="shared" si="6"/>
        <v>16200</v>
      </c>
      <c r="T41" s="457">
        <f t="shared" si="7"/>
        <v>19278</v>
      </c>
      <c r="U41" s="458" t="s">
        <v>195</v>
      </c>
      <c r="V41" s="459">
        <v>15110.9243697479</v>
      </c>
      <c r="W41" s="459">
        <f t="shared" si="25"/>
        <v>2871.0756302521008</v>
      </c>
      <c r="X41" s="459">
        <f t="shared" si="9"/>
        <v>17982</v>
      </c>
      <c r="Y41" s="459">
        <f t="shared" si="10"/>
        <v>15110.9243697479</v>
      </c>
      <c r="Z41" s="459">
        <f t="shared" si="11"/>
        <v>17982</v>
      </c>
      <c r="AA41" s="460">
        <f t="shared" si="22"/>
        <v>18370</v>
      </c>
      <c r="AB41" s="460">
        <f t="shared" si="23"/>
        <v>18370</v>
      </c>
      <c r="AC41" s="461">
        <f t="shared" si="24"/>
        <v>789.11596106022341</v>
      </c>
      <c r="AD41" s="427">
        <f t="shared" si="12"/>
        <v>4.2956775234633829E-2</v>
      </c>
      <c r="AE41" s="428"/>
      <c r="BH41" s="7">
        <v>31</v>
      </c>
      <c r="DB41" s="7" t="e">
        <f>VLOOKUP(D41,listaBolsa!$D$2:$BA$1248,1,0)</f>
        <v>#N/A</v>
      </c>
      <c r="DC41" s="7" t="e">
        <f>VLOOKUP(D41,listaBolsa!$D$2:$BA$1248,2,0)</f>
        <v>#N/A</v>
      </c>
      <c r="DD41" s="7" t="e">
        <f>VLOOKUP(D41,listaBolsa!$D$2:$BA$1248,10,0)</f>
        <v>#N/A</v>
      </c>
      <c r="DE41" s="7" t="e">
        <f>VLOOKUP(D41,listaBolsa!$D$2:$BA$1248,14,0)</f>
        <v>#N/A</v>
      </c>
      <c r="DF41" s="7" t="e">
        <f>VLOOKUP(D41,listaBolsa!$D$2:$BA$1248,23,0)</f>
        <v>#N/A</v>
      </c>
      <c r="DG41" s="7" t="e">
        <f>VLOOKUP(D41,listaBolsa!$D$2:$BA$1248,29,0)</f>
        <v>#N/A</v>
      </c>
      <c r="DH41" s="7" t="e">
        <f>VLOOKUP(D41,listaBolsa!$D$2:$BA$1248,36,0)</f>
        <v>#N/A</v>
      </c>
      <c r="DI41" s="7" t="e">
        <f>VLOOKUP(D41,listaBolsa!$D$2:$BA$1248,40,0)</f>
        <v>#N/A</v>
      </c>
      <c r="DJ41" s="252" t="e">
        <f>VLOOKUP(D41,listaBolsa!$D$2:$BA$1248,48,0)</f>
        <v>#N/A</v>
      </c>
      <c r="DK41" s="7" t="e">
        <f t="shared" si="13"/>
        <v>#N/A</v>
      </c>
      <c r="DL41" s="7" t="e">
        <f t="shared" si="14"/>
        <v>#N/A</v>
      </c>
      <c r="DM41" s="7" t="e">
        <f t="shared" si="15"/>
        <v>#N/A</v>
      </c>
      <c r="DN41" s="7" t="e">
        <f t="shared" si="16"/>
        <v>#N/A</v>
      </c>
      <c r="DO41" s="7" t="e">
        <f t="shared" si="17"/>
        <v>#N/A</v>
      </c>
      <c r="DP41" s="7" t="e">
        <f t="shared" si="18"/>
        <v>#N/A</v>
      </c>
      <c r="DQ41" s="7" t="e">
        <f t="shared" si="19"/>
        <v>#N/A</v>
      </c>
      <c r="DR41" s="7" t="e">
        <f t="shared" si="20"/>
        <v>#N/A</v>
      </c>
      <c r="DS41" s="7" t="e">
        <f t="shared" si="21"/>
        <v>#N/A</v>
      </c>
    </row>
    <row r="42" spans="1:123" s="7" customFormat="1" ht="57.6">
      <c r="A42" s="7" t="s">
        <v>173</v>
      </c>
      <c r="B42" s="453">
        <v>31</v>
      </c>
      <c r="C42" s="642" t="s">
        <v>291</v>
      </c>
      <c r="D42" s="453" t="s">
        <v>214</v>
      </c>
      <c r="E42" s="453" t="str">
        <f>IF(D42="","",VLOOKUP(D42,listaBolsa!$D$2:$H$276,2,0))</f>
        <v>100% en algodón de 185 gr. cuello redondo y/o en v, de diferentes tallas, marcadas en screen 4 tintas. fabricación y materiales nacionales</v>
      </c>
      <c r="F42" s="194" t="str">
        <f>IF(D42="","",VLOOKUP(D42,listaBolsa!$D$2:$H$276,3,0))</f>
        <v>Unidad</v>
      </c>
      <c r="G42" s="453">
        <v>50</v>
      </c>
      <c r="H42" s="443" t="str">
        <f>IF(D42="","",VLOOKUP(D42,listaBolsa!$D$2:$H$276,5,0))</f>
        <v>Compra</v>
      </c>
      <c r="I42" s="454" t="str">
        <f>IF(D42="","",VLOOKUP(D42,listaBolsa!$D$2:$W$276,10,0))</f>
        <v>MARIA CONFLICTO</v>
      </c>
      <c r="J42" s="455">
        <f>IF(D42="","",VLOOKUP(D42,listaBolsa!$D$2:$W$276,14,0))</f>
        <v>22000</v>
      </c>
      <c r="K42" s="455"/>
      <c r="L42" s="455">
        <f t="shared" si="1"/>
        <v>22000</v>
      </c>
      <c r="M42" s="455">
        <f t="shared" si="2"/>
        <v>1100000</v>
      </c>
      <c r="N42" s="455">
        <f t="shared" si="3"/>
        <v>1100000</v>
      </c>
      <c r="O42" s="456" t="str">
        <f>IF(D42="","",VLOOKUP(D42,listaBolsa!$D$2:$AZ$276,23,0))</f>
        <v>Angie Pachon (personalizado INK)</v>
      </c>
      <c r="P42" s="457">
        <f>IF(D42="","",VLOOKUP(D42,listaBolsa!$D$2:$AZ$276,27,0))</f>
        <v>28000</v>
      </c>
      <c r="Q42" s="457"/>
      <c r="R42" s="457">
        <f t="shared" si="5"/>
        <v>28000</v>
      </c>
      <c r="S42" s="457">
        <f t="shared" si="6"/>
        <v>1400000</v>
      </c>
      <c r="T42" s="457">
        <f t="shared" si="7"/>
        <v>1400000</v>
      </c>
      <c r="U42" s="458" t="str">
        <f>IF(D42="","",VLOOKUP(D42,listaBolsa!$D$2:$BB$276,36,0))</f>
        <v>INVENTIVA</v>
      </c>
      <c r="V42" s="459">
        <f>IF(D42="","",VLOOKUP(D42,listaBolsa!$D$2:$BB$276,40,0))</f>
        <v>25000</v>
      </c>
      <c r="W42" s="459">
        <f t="shared" si="25"/>
        <v>4750</v>
      </c>
      <c r="X42" s="459">
        <f t="shared" si="9"/>
        <v>29750</v>
      </c>
      <c r="Y42" s="459">
        <f t="shared" si="10"/>
        <v>1250000</v>
      </c>
      <c r="Z42" s="459">
        <f t="shared" si="11"/>
        <v>1487500</v>
      </c>
      <c r="AA42" s="460">
        <f t="shared" si="22"/>
        <v>26583.333333333332</v>
      </c>
      <c r="AB42" s="460">
        <f t="shared" si="23"/>
        <v>1329166.6666666665</v>
      </c>
      <c r="AC42" s="461">
        <f t="shared" si="24"/>
        <v>203229.13997095372</v>
      </c>
      <c r="AD42" s="427">
        <f t="shared" si="12"/>
        <v>0.15289966643582728</v>
      </c>
      <c r="AE42" s="428"/>
      <c r="BH42" s="7">
        <v>32</v>
      </c>
      <c r="DB42" s="7" t="str">
        <f>VLOOKUP(D42,listaBolsa!$D$2:$BA$1248,1,0)</f>
        <v>Camiseta t-shirt o Camiseta blanca</v>
      </c>
      <c r="DC42" s="7" t="str">
        <f>VLOOKUP(D42,listaBolsa!$D$2:$BA$1248,2,0)</f>
        <v>100% en algodón de 185 gr. cuello redondo y/o en v, de diferentes tallas, marcadas en screen 4 tintas. fabricación y materiales nacionales</v>
      </c>
      <c r="DD42" s="7" t="str">
        <f>VLOOKUP(D42,listaBolsa!$D$2:$BA$1248,10,0)</f>
        <v>MARIA CONFLICTO</v>
      </c>
      <c r="DE42" s="7">
        <f>VLOOKUP(D42,listaBolsa!$D$2:$BA$1248,14,0)</f>
        <v>22000</v>
      </c>
      <c r="DF42" s="7" t="str">
        <f>VLOOKUP(D42,listaBolsa!$D$2:$BA$1248,23,0)</f>
        <v>Angie Pachon (personalizado INK)</v>
      </c>
      <c r="DG42" s="7">
        <f>VLOOKUP(D42,listaBolsa!$D$2:$BA$1248,29,0)</f>
        <v>28000</v>
      </c>
      <c r="DH42" s="7" t="str">
        <f>VLOOKUP(D42,listaBolsa!$D$2:$BA$1248,36,0)</f>
        <v>INVENTIVA</v>
      </c>
      <c r="DI42" s="7">
        <f>VLOOKUP(D42,listaBolsa!$D$2:$BA$1248,40,0)</f>
        <v>25000</v>
      </c>
      <c r="DJ42" s="252">
        <f>VLOOKUP(D42,listaBolsa!$D$2:$BA$1248,48,0)</f>
        <v>0.15289966643582714</v>
      </c>
      <c r="DK42" s="7" t="b">
        <f t="shared" si="13"/>
        <v>1</v>
      </c>
      <c r="DL42" s="7" t="b">
        <f t="shared" si="14"/>
        <v>1</v>
      </c>
      <c r="DM42" s="7" t="b">
        <f t="shared" si="15"/>
        <v>1</v>
      </c>
      <c r="DN42" s="7" t="b">
        <f t="shared" si="16"/>
        <v>1</v>
      </c>
      <c r="DO42" s="7" t="b">
        <f t="shared" si="17"/>
        <v>1</v>
      </c>
      <c r="DP42" s="7" t="b">
        <f t="shared" si="18"/>
        <v>1</v>
      </c>
      <c r="DQ42" s="7" t="b">
        <f t="shared" si="19"/>
        <v>1</v>
      </c>
      <c r="DR42" s="7" t="b">
        <f t="shared" si="20"/>
        <v>1</v>
      </c>
      <c r="DS42" s="7" t="b">
        <f t="shared" si="21"/>
        <v>1</v>
      </c>
    </row>
    <row r="43" spans="1:123" s="7" customFormat="1" ht="409.6">
      <c r="A43" s="7" t="s">
        <v>173</v>
      </c>
      <c r="B43" s="453">
        <v>32</v>
      </c>
      <c r="C43" s="642" t="s">
        <v>291</v>
      </c>
      <c r="D43" s="453" t="s">
        <v>203</v>
      </c>
      <c r="E43" s="453" t="str">
        <f>IF(D43="","",VLOOKUP(D43,listaBolsa!$D$2:$H$276,2,0))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F43" s="194" t="str">
        <f>IF(D43="","",VLOOKUP(D43,listaBolsa!$D$2:$H$276,3,0))</f>
        <v>Servicio</v>
      </c>
      <c r="G43" s="453">
        <v>8</v>
      </c>
      <c r="H43" s="443" t="str">
        <f>IF(D43="","",VLOOKUP(D43,listaBolsa!$D$2:$H$276,5,0))</f>
        <v>Alquiler</v>
      </c>
      <c r="I43" s="454" t="str">
        <f>IF(D43="","",VLOOKUP(D43,listaBolsa!$D$2:$W$276,10,0))</f>
        <v>RUTRASCOL</v>
      </c>
      <c r="J43" s="455">
        <f>IF(D43="","",VLOOKUP(D43,listaBolsa!$D$2:$W$276,14,0))</f>
        <v>850000</v>
      </c>
      <c r="K43" s="455"/>
      <c r="L43" s="455">
        <f t="shared" si="1"/>
        <v>850000</v>
      </c>
      <c r="M43" s="455">
        <f t="shared" si="2"/>
        <v>6800000</v>
      </c>
      <c r="N43" s="455">
        <f t="shared" si="3"/>
        <v>6800000</v>
      </c>
      <c r="O43" s="456" t="str">
        <f>IF(D43="","",VLOOKUP(D43,listaBolsa!$D$2:$AZ$276,23,0))</f>
        <v>Destino Express</v>
      </c>
      <c r="P43" s="457">
        <f>IF(D43="","",VLOOKUP(D43,listaBolsa!$D$2:$AZ$276,27,0))</f>
        <v>790000</v>
      </c>
      <c r="Q43" s="457"/>
      <c r="R43" s="457">
        <f t="shared" si="5"/>
        <v>790000</v>
      </c>
      <c r="S43" s="457">
        <f t="shared" si="6"/>
        <v>6320000</v>
      </c>
      <c r="T43" s="457">
        <f t="shared" si="7"/>
        <v>6320000</v>
      </c>
      <c r="U43" s="458"/>
      <c r="V43" s="459"/>
      <c r="W43" s="459"/>
      <c r="X43" s="459"/>
      <c r="Y43" s="459"/>
      <c r="Z43" s="459"/>
      <c r="AA43" s="460">
        <f>IF(B43="","",AVERAGE(L43,R43))</f>
        <v>820000</v>
      </c>
      <c r="AB43" s="460">
        <f t="shared" si="23"/>
        <v>6560000</v>
      </c>
      <c r="AC43" s="461">
        <f>IF(C43="","",STDEV(N43,T43))</f>
        <v>339411.25496954279</v>
      </c>
      <c r="AD43" s="427">
        <f t="shared" si="12"/>
        <v>5.1739520574625428E-2</v>
      </c>
      <c r="AE43" s="428"/>
      <c r="BH43" s="7">
        <v>33</v>
      </c>
      <c r="DB43" s="7" t="str">
        <f>VLOOKUP(D43,listaBolsa!$D$2:$BA$1248,1,0)</f>
        <v>Servicio de transporte zona Rural de la localidad de Suba para  40 personas por jornada</v>
      </c>
      <c r="DC43" s="7" t="str">
        <f>VLOOKUP(D43,listaBolsa!$D$2:$BA$1248,2,0)</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D43" s="7" t="str">
        <f>VLOOKUP(D43,listaBolsa!$D$2:$BA$1248,10,0)</f>
        <v>RUTRASCOL</v>
      </c>
      <c r="DE43" s="7">
        <f>VLOOKUP(D43,listaBolsa!$D$2:$BA$1248,14,0)</f>
        <v>850000</v>
      </c>
      <c r="DF43" s="7" t="str">
        <f>VLOOKUP(D43,listaBolsa!$D$2:$BA$1248,23,0)</f>
        <v>Destino Express</v>
      </c>
      <c r="DG43" s="7">
        <f>VLOOKUP(D43,listaBolsa!$D$2:$BA$1248,29,0)</f>
        <v>790000</v>
      </c>
      <c r="DH43" s="7">
        <f>VLOOKUP(D43,listaBolsa!$D$2:$BA$1248,36,0)</f>
        <v>0</v>
      </c>
      <c r="DI43" s="7">
        <f>VLOOKUP(D43,listaBolsa!$D$2:$BA$1248,40,0)</f>
        <v>0</v>
      </c>
      <c r="DJ43" s="252">
        <f>VLOOKUP(D43,listaBolsa!$D$2:$BA$1248,48,0)</f>
        <v>5.1739520574625428E-2</v>
      </c>
      <c r="DK43" s="7" t="b">
        <f t="shared" si="13"/>
        <v>1</v>
      </c>
      <c r="DL43" s="7" t="b">
        <f t="shared" si="14"/>
        <v>1</v>
      </c>
      <c r="DM43" s="7" t="b">
        <f t="shared" si="15"/>
        <v>1</v>
      </c>
      <c r="DN43" s="7" t="b">
        <f t="shared" si="16"/>
        <v>1</v>
      </c>
      <c r="DO43" s="7" t="b">
        <f t="shared" si="17"/>
        <v>1</v>
      </c>
      <c r="DP43" s="7" t="b">
        <f t="shared" si="18"/>
        <v>1</v>
      </c>
      <c r="DQ43" s="7" t="b">
        <f t="shared" si="19"/>
        <v>1</v>
      </c>
      <c r="DR43" s="7" t="b">
        <f t="shared" si="20"/>
        <v>1</v>
      </c>
      <c r="DS43" s="7" t="b">
        <f t="shared" si="21"/>
        <v>1</v>
      </c>
    </row>
    <row r="44" spans="1:123" s="7" customFormat="1" ht="409.6">
      <c r="A44" s="7" t="s">
        <v>173</v>
      </c>
      <c r="B44" s="453">
        <v>33</v>
      </c>
      <c r="C44" s="642" t="s">
        <v>291</v>
      </c>
      <c r="D44" s="453" t="s">
        <v>205</v>
      </c>
      <c r="E44" s="453" t="str">
        <f>IF(D44="","",VLOOKUP(D44,listaBolsa!$D$2:$H$276,2,0))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F44" s="194" t="str">
        <f>IF(D44="","",VLOOKUP(D44,listaBolsa!$D$2:$H$276,3,0))</f>
        <v>Servicio</v>
      </c>
      <c r="G44" s="453">
        <v>8</v>
      </c>
      <c r="H44" s="443" t="str">
        <f>IF(D44="","",VLOOKUP(D44,listaBolsa!$D$2:$H$276,5,0))</f>
        <v>Alquiler</v>
      </c>
      <c r="I44" s="454" t="str">
        <f>IF(D44="","",VLOOKUP(D44,listaBolsa!$D$2:$W$276,10,0))</f>
        <v>Destino Express</v>
      </c>
      <c r="J44" s="455">
        <f>IF(D44="","",VLOOKUP(D44,listaBolsa!$D$2:$W$276,14,0))</f>
        <v>385000</v>
      </c>
      <c r="K44" s="455">
        <f>J44*19%</f>
        <v>73150</v>
      </c>
      <c r="L44" s="455">
        <f t="shared" si="1"/>
        <v>458150</v>
      </c>
      <c r="M44" s="455">
        <f t="shared" si="2"/>
        <v>3080000</v>
      </c>
      <c r="N44" s="455">
        <f t="shared" si="3"/>
        <v>3665200</v>
      </c>
      <c r="O44" s="456" t="str">
        <f>IF(D44="","",VLOOKUP(D44,listaBolsa!$D$2:$AZ$276,23,0))</f>
        <v>RENETUR</v>
      </c>
      <c r="P44" s="457">
        <f>IF(D44="","",VLOOKUP(D44,listaBolsa!$D$2:$AZ$276,27,0))</f>
        <v>350000</v>
      </c>
      <c r="Q44" s="457">
        <f t="shared" ref="Q44:Q75" si="29">P44*19%</f>
        <v>66500</v>
      </c>
      <c r="R44" s="457">
        <f t="shared" ref="R44:R75" si="30">P44+Q44</f>
        <v>416500</v>
      </c>
      <c r="S44" s="457">
        <f t="shared" ref="S44:S75" si="31">IF(C44="","",(P44*G44))</f>
        <v>2800000</v>
      </c>
      <c r="T44" s="457">
        <f t="shared" ref="T44:T75" si="32">IF(C44="","",(R44*G44))</f>
        <v>3332000</v>
      </c>
      <c r="U44" s="458" t="str">
        <f>IF(D44="","",VLOOKUP(D44,listaBolsa!$D$2:$BB$276,36,0))</f>
        <v>RUTRASCOL Transporte_Varios</v>
      </c>
      <c r="V44" s="459">
        <f>IF(D44="","",VLOOKUP(D44,listaBolsa!$D$2:$BB$276,40,0))</f>
        <v>285000</v>
      </c>
      <c r="W44" s="459">
        <f>V44*19%</f>
        <v>54150</v>
      </c>
      <c r="X44" s="459">
        <f>V44+W44</f>
        <v>339150</v>
      </c>
      <c r="Y44" s="459">
        <f>IF(C44="","",(V44*G44))</f>
        <v>2280000</v>
      </c>
      <c r="Z44" s="459">
        <f>IF(C44="","",(X44*G44))</f>
        <v>2713200</v>
      </c>
      <c r="AA44" s="460">
        <f>IF(B44="","",AVERAGE(L44,R44,X44))</f>
        <v>404600</v>
      </c>
      <c r="AB44" s="460">
        <f t="shared" si="23"/>
        <v>3236800</v>
      </c>
      <c r="AC44" s="461">
        <f>IF(C44="","",STDEV(N44,T44,Z44))</f>
        <v>483087.23849838966</v>
      </c>
      <c r="AD44" s="427">
        <f t="shared" ref="AD44:AD75" si="33">IF(C44="","",(AC44/AB44))</f>
        <v>0.14924840536900325</v>
      </c>
      <c r="AE44" s="428"/>
      <c r="BH44" s="7">
        <v>34</v>
      </c>
      <c r="DB44" s="7" t="str">
        <f>VLOOKUP(D44,listaBolsa!$D$2:$BA$1248,1,0)</f>
        <v>Servicio de transporte zona Rural de la localidad de Suba para  10 personas por trayecto</v>
      </c>
      <c r="DC44" s="7" t="str">
        <f>VLOOKUP(D44,listaBolsa!$D$2:$BA$1248,2,0)</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DD44" s="7" t="str">
        <f>VLOOKUP(D44,listaBolsa!$D$2:$BA$1248,10,0)</f>
        <v>Destino Express</v>
      </c>
      <c r="DE44" s="7">
        <f>VLOOKUP(D44,listaBolsa!$D$2:$BA$1248,14,0)</f>
        <v>385000</v>
      </c>
      <c r="DF44" s="7" t="str">
        <f>VLOOKUP(D44,listaBolsa!$D$2:$BA$1248,23,0)</f>
        <v>RENETUR</v>
      </c>
      <c r="DG44" s="7">
        <f>VLOOKUP(D44,listaBolsa!$D$2:$BA$1248,29,0)</f>
        <v>350000</v>
      </c>
      <c r="DH44" s="7" t="str">
        <f>VLOOKUP(D44,listaBolsa!$D$2:$BA$1248,36,0)</f>
        <v>RUTRASCOL Transporte_Varios</v>
      </c>
      <c r="DI44" s="7">
        <f>VLOOKUP(D44,listaBolsa!$D$2:$BA$1248,40,0)</f>
        <v>285000</v>
      </c>
      <c r="DJ44" s="252">
        <f>VLOOKUP(D44,listaBolsa!$D$2:$BA$1248,48,0)</f>
        <v>0.14924840536900322</v>
      </c>
      <c r="DK44" s="7" t="b">
        <f t="shared" ref="DK44:DK75" si="34">DB44=D44</f>
        <v>1</v>
      </c>
      <c r="DL44" s="7" t="b">
        <f t="shared" ref="DL44:DL75" si="35">DC44=E44</f>
        <v>1</v>
      </c>
      <c r="DM44" s="7" t="b">
        <f t="shared" ref="DM44:DM75" si="36">DD44=I44</f>
        <v>1</v>
      </c>
      <c r="DN44" s="7" t="b">
        <f t="shared" ref="DN44:DN75" si="37">DE44=J44</f>
        <v>1</v>
      </c>
      <c r="DO44" s="7" t="b">
        <f t="shared" ref="DO44:DO75" si="38">DF44=O44</f>
        <v>1</v>
      </c>
      <c r="DP44" s="7" t="b">
        <f t="shared" ref="DP44:DP75" si="39">DG44=P44</f>
        <v>1</v>
      </c>
      <c r="DQ44" s="7" t="b">
        <f t="shared" ref="DQ44:DQ75" si="40">DH44=U44</f>
        <v>1</v>
      </c>
      <c r="DR44" s="7" t="b">
        <f t="shared" ref="DR44:DR75" si="41">DI44=V44</f>
        <v>1</v>
      </c>
      <c r="DS44" s="7" t="b">
        <f t="shared" ref="DS44:DS75" si="42">DJ44=AD44</f>
        <v>1</v>
      </c>
    </row>
    <row r="45" spans="1:123" s="7" customFormat="1" ht="210">
      <c r="A45" s="7" t="s">
        <v>173</v>
      </c>
      <c r="B45" s="453">
        <v>34</v>
      </c>
      <c r="C45" s="642" t="s">
        <v>291</v>
      </c>
      <c r="D45" s="453" t="s">
        <v>299</v>
      </c>
      <c r="E45" s="453" t="str">
        <f>IF(D45="","",VLOOKUP(D45,listaBolsa!$D$2:$H$276,2,0))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F45" s="194" t="str">
        <f>IF(D45="","",VLOOKUP(D45,listaBolsa!$D$2:$H$276,3,0))</f>
        <v>Unidad</v>
      </c>
      <c r="G45" s="453">
        <v>9</v>
      </c>
      <c r="H45" s="443" t="str">
        <f>IF(D44="","",VLOOKUP(D44,listaBolsa!$D$2:$H$276,5,0))</f>
        <v>Alquiler</v>
      </c>
      <c r="I45" s="454" t="str">
        <f>IF(D45="","",VLOOKUP(D45,listaBolsa!$D$2:$W$276,10,0))</f>
        <v>D&amp;R PRODUCCIONES SAS</v>
      </c>
      <c r="J45" s="455">
        <f>IF(D45="","",VLOOKUP(D45,listaBolsa!$D$2:$W$276,14,0))</f>
        <v>3150000</v>
      </c>
      <c r="K45" s="455">
        <f>J45*19%</f>
        <v>598500</v>
      </c>
      <c r="L45" s="455">
        <f t="shared" si="1"/>
        <v>3748500</v>
      </c>
      <c r="M45" s="455">
        <f t="shared" si="2"/>
        <v>28350000</v>
      </c>
      <c r="N45" s="455">
        <f t="shared" si="3"/>
        <v>33736500</v>
      </c>
      <c r="O45" s="456" t="str">
        <f>IF(D45="","",VLOOKUP(D45,listaBolsa!$D$2:$AZ$276,23,0))</f>
        <v>EFECTO MASIVO</v>
      </c>
      <c r="P45" s="457">
        <f>IF(D45="","",VLOOKUP(D45,listaBolsa!$D$2:$AZ$276,27,0))</f>
        <v>3200000</v>
      </c>
      <c r="Q45" s="457">
        <f t="shared" si="29"/>
        <v>608000</v>
      </c>
      <c r="R45" s="457">
        <f t="shared" si="30"/>
        <v>3808000</v>
      </c>
      <c r="S45" s="457">
        <f t="shared" si="31"/>
        <v>28800000</v>
      </c>
      <c r="T45" s="457">
        <f t="shared" si="32"/>
        <v>34272000</v>
      </c>
      <c r="U45" s="458" t="str">
        <f>IF(D45="","",VLOOKUP(D45,listaBolsa!$D$2:$BB$276,36,0))</f>
        <v>AMCI INGENIERIAS SAS</v>
      </c>
      <c r="V45" s="459">
        <f>IF(D45="","",VLOOKUP(D45,listaBolsa!$D$2:$BB$276,40,0))</f>
        <v>2865546.22</v>
      </c>
      <c r="W45" s="459">
        <f>V45*19%</f>
        <v>544453.7818</v>
      </c>
      <c r="X45" s="459">
        <f>V45+W45</f>
        <v>3410000.0018000002</v>
      </c>
      <c r="Y45" s="459">
        <f>IF(C45="","",(V45*G45))</f>
        <v>25789915.98</v>
      </c>
      <c r="Z45" s="459">
        <f>IF(C45="","",(X45*G45))</f>
        <v>30690000.016200002</v>
      </c>
      <c r="AA45" s="460">
        <f>IF(B45="","",AVERAGE(L45,R45,X45))</f>
        <v>3655500.0006000004</v>
      </c>
      <c r="AB45" s="460">
        <f t="shared" si="23"/>
        <v>32899500.005400002</v>
      </c>
      <c r="AC45" s="461">
        <f>IF(C45="","",STDEV(N45,T45,Z45))</f>
        <v>1932125.1807805039</v>
      </c>
      <c r="AD45" s="427">
        <f t="shared" si="33"/>
        <v>5.8728101656966583E-2</v>
      </c>
      <c r="AE45" s="428"/>
      <c r="BH45" s="7">
        <v>35</v>
      </c>
      <c r="DB45" s="7" t="str">
        <f>VLOOKUP(D45,listaBolsa!$D$2:$BA$1248,1,0)</f>
        <v>Auditorio para 50 personas media jornada</v>
      </c>
      <c r="DC45" s="7" t="str">
        <f>VLOOKUP(D45,listaBolsa!$D$2:$BA$1248,2,0)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D45" s="7" t="str">
        <f>VLOOKUP(D45,listaBolsa!$D$2:$BA$1248,10,0)</f>
        <v>D&amp;R PRODUCCIONES SAS</v>
      </c>
      <c r="DE45" s="7">
        <f>VLOOKUP(D45,listaBolsa!$D$2:$BA$1248,14,0)</f>
        <v>3150000</v>
      </c>
      <c r="DF45" s="7" t="str">
        <f>VLOOKUP(D45,listaBolsa!$D$2:$BA$1248,23,0)</f>
        <v>EFECTO MASIVO</v>
      </c>
      <c r="DG45" s="7">
        <f>VLOOKUP(D45,listaBolsa!$D$2:$BA$1248,29,0)</f>
        <v>3808000</v>
      </c>
      <c r="DH45" s="7" t="str">
        <f>VLOOKUP(D45,listaBolsa!$D$2:$BA$1248,36,0)</f>
        <v>AMCI INGENIERIAS SAS</v>
      </c>
      <c r="DI45" s="7">
        <f>VLOOKUP(D45,listaBolsa!$D$2:$BA$1248,40,0)</f>
        <v>2865546.22</v>
      </c>
      <c r="DJ45" s="252">
        <f>VLOOKUP(D45,listaBolsa!$D$2:$BA$1248,48,0)</f>
        <v>5.872810165696659E-2</v>
      </c>
      <c r="DK45" s="7" t="b">
        <f t="shared" si="34"/>
        <v>1</v>
      </c>
      <c r="DL45" s="7" t="b">
        <f t="shared" si="35"/>
        <v>1</v>
      </c>
      <c r="DM45" s="7" t="b">
        <f t="shared" si="36"/>
        <v>1</v>
      </c>
      <c r="DN45" s="7" t="b">
        <f t="shared" si="37"/>
        <v>1</v>
      </c>
      <c r="DO45" s="7" t="b">
        <f t="shared" si="38"/>
        <v>1</v>
      </c>
      <c r="DP45" s="7" t="b">
        <f t="shared" si="39"/>
        <v>0</v>
      </c>
      <c r="DQ45" s="7" t="b">
        <f t="shared" si="40"/>
        <v>1</v>
      </c>
      <c r="DR45" s="7" t="b">
        <f t="shared" si="41"/>
        <v>1</v>
      </c>
      <c r="DS45" s="7" t="b">
        <f t="shared" si="42"/>
        <v>1</v>
      </c>
    </row>
    <row r="46" spans="1:123" s="7" customFormat="1" ht="345.6">
      <c r="A46" s="7" t="s">
        <v>173</v>
      </c>
      <c r="B46" s="453">
        <v>35</v>
      </c>
      <c r="C46" s="642" t="s">
        <v>291</v>
      </c>
      <c r="D46" s="453" t="s">
        <v>301</v>
      </c>
      <c r="E46" s="453" t="str">
        <f>IF(D46="","",VLOOKUP(D46,listaBolsa!$D$2:$H$276,2,0))</f>
        <v>CARPA PAGODA DE 4X4 CON LATERALES  INCLUYE INSTALACIÓN, TRASPORTE Y ENTREGA EN EL LUGAR REQUERIDO, MONTAJE Y DESMONTAJE DE LA MISMA (JORNADA POR EVENTO O DÍA)</v>
      </c>
      <c r="F46" s="194" t="str">
        <f>IF(D46="","",VLOOKUP(D46,listaBolsa!$D$2:$H$276,3,0))</f>
        <v>SERVICIO</v>
      </c>
      <c r="G46" s="453">
        <v>20</v>
      </c>
      <c r="H46" s="443" t="str">
        <f>IF(D45="","",VLOOKUP(D45,listaBolsa!$D$2:$H$276,5,0))</f>
        <v>Alquiler</v>
      </c>
      <c r="I46" s="454"/>
      <c r="J46" s="455"/>
      <c r="K46" s="455"/>
      <c r="L46" s="455"/>
      <c r="M46" s="455"/>
      <c r="N46" s="455"/>
      <c r="O46" s="456" t="str">
        <f>IF(D46="","",VLOOKUP(D46,listaBolsa!$D$2:$AZ$276,23,0))</f>
        <v>Estimación de precios con base en el proceso FDLSUBA-LP-013-2025 (140689) – Contrato 1000 – 2025, indexando el incremento de precios en el mercado con base en el Índice de Precios al Consumidor (IPC) para el mes de marzo de 2026, el cual fue de 5,56%.</v>
      </c>
      <c r="P46" s="457">
        <f>535717/1.19</f>
        <v>450182.3529411765</v>
      </c>
      <c r="Q46" s="457">
        <f t="shared" si="29"/>
        <v>85534.647058823539</v>
      </c>
      <c r="R46" s="457">
        <f t="shared" si="30"/>
        <v>535717</v>
      </c>
      <c r="S46" s="457">
        <f t="shared" si="31"/>
        <v>9003647.0588235296</v>
      </c>
      <c r="T46" s="457">
        <f t="shared" si="32"/>
        <v>10714340</v>
      </c>
      <c r="U46" s="458" t="str">
        <f>IF(D46="","",VLOOKUP(D46,listaBolsa!$D$2:$BB$276,36,0))</f>
        <v>FUNCAS</v>
      </c>
      <c r="V46" s="459">
        <f>IF(D46="","",VLOOKUP(D46,listaBolsa!$D$2:$BB$276,40,0))</f>
        <v>443529</v>
      </c>
      <c r="W46" s="459">
        <f>V46*19%</f>
        <v>84270.51</v>
      </c>
      <c r="X46" s="459">
        <f>V46+W46</f>
        <v>527799.51</v>
      </c>
      <c r="Y46" s="459">
        <f>IF(C46="","",(V46*G46))</f>
        <v>8870580</v>
      </c>
      <c r="Z46" s="459">
        <f>IF(C46="","",(X46*G46))</f>
        <v>10555990.199999999</v>
      </c>
      <c r="AA46" s="460">
        <v>531759</v>
      </c>
      <c r="AB46" s="460">
        <f t="shared" si="23"/>
        <v>10635180</v>
      </c>
      <c r="AC46" s="461">
        <v>5598.16</v>
      </c>
      <c r="AD46" s="427">
        <f t="shared" si="33"/>
        <v>5.2638131183487251E-4</v>
      </c>
      <c r="AE46" s="428"/>
      <c r="BH46" s="7">
        <v>36</v>
      </c>
      <c r="DB46" s="7" t="str">
        <f>VLOOKUP(D46,listaBolsa!$D$2:$BA$1248,1,0)</f>
        <v>Alquiler Carpa Pagoda 4 x 4</v>
      </c>
      <c r="DC46" s="7" t="str">
        <f>VLOOKUP(D46,listaBolsa!$D$2:$BA$1248,2,0)</f>
        <v>CARPA PAGODA DE 4X4 CON LATERALES  INCLUYE INSTALACIÓN, TRASPORTE Y ENTREGA EN EL LUGAR REQUERIDO, MONTAJE Y DESMONTAJE DE LA MISMA (JORNADA POR EVENTO O DÍA)</v>
      </c>
      <c r="DD46" s="7" t="str">
        <f>VLOOKUP(D46,listaBolsa!$D$2:$BA$1248,10,0)</f>
        <v>OPERADOR LOGÍSTICO</v>
      </c>
      <c r="DE46" s="7" t="str">
        <f>VLOOKUP(D46,listaBolsa!$D$2:$BA$1248,14,0)</f>
        <v> </v>
      </c>
      <c r="DF46" s="7" t="str">
        <f>VLOOKUP(D46,listaBolsa!$D$2:$BA$1248,23,0)</f>
        <v>Estimación de precios con base en el proceso FDLSUBA-LP-013-2025 (140689) – Contrato 1000 – 2025, indexando el incremento de precios en el mercado con base en el Índice de Precios al Consumidor (IPC) para el mes de marzo de 2026, el cual fue de 5,56%.</v>
      </c>
      <c r="DG46" s="7">
        <f>VLOOKUP(D46,listaBolsa!$D$2:$BA$1248,29,0)</f>
        <v>507500</v>
      </c>
      <c r="DH46" s="7" t="str">
        <f>VLOOKUP(D46,listaBolsa!$D$2:$BA$1248,36,0)</f>
        <v>FUNCAS</v>
      </c>
      <c r="DI46" s="7">
        <f>VLOOKUP(D46,listaBolsa!$D$2:$BA$1248,40,0)</f>
        <v>443529</v>
      </c>
      <c r="DJ46" s="252">
        <f>VLOOKUP(D46,listaBolsa!$D$2:$BA$1248,48,0)</f>
        <v>1.0500000000000001E-2</v>
      </c>
      <c r="DK46" s="7" t="b">
        <f t="shared" si="34"/>
        <v>1</v>
      </c>
      <c r="DL46" s="7" t="b">
        <f t="shared" si="35"/>
        <v>1</v>
      </c>
      <c r="DM46" s="7" t="b">
        <f t="shared" si="36"/>
        <v>0</v>
      </c>
      <c r="DN46" s="7" t="b">
        <f t="shared" si="37"/>
        <v>0</v>
      </c>
      <c r="DO46" s="7" t="b">
        <f t="shared" si="38"/>
        <v>1</v>
      </c>
      <c r="DP46" s="7" t="b">
        <f t="shared" si="39"/>
        <v>0</v>
      </c>
      <c r="DQ46" s="7" t="b">
        <f t="shared" si="40"/>
        <v>1</v>
      </c>
      <c r="DR46" s="7" t="b">
        <f t="shared" si="41"/>
        <v>1</v>
      </c>
      <c r="DS46" s="7" t="b">
        <f t="shared" si="42"/>
        <v>0</v>
      </c>
    </row>
    <row r="47" spans="1:123" s="7" customFormat="1" ht="72">
      <c r="A47" s="7" t="s">
        <v>173</v>
      </c>
      <c r="B47" s="453">
        <v>36</v>
      </c>
      <c r="C47" s="642" t="s">
        <v>291</v>
      </c>
      <c r="D47" s="453" t="s">
        <v>303</v>
      </c>
      <c r="E47" s="453" t="s">
        <v>304</v>
      </c>
      <c r="F47" s="194" t="s">
        <v>191</v>
      </c>
      <c r="G47" s="453">
        <v>80</v>
      </c>
      <c r="H47" s="443" t="s">
        <v>305</v>
      </c>
      <c r="I47" s="454" t="s">
        <v>193</v>
      </c>
      <c r="J47" s="455">
        <v>3400</v>
      </c>
      <c r="K47" s="455">
        <f t="shared" ref="K47:K93" si="43">J47*19%</f>
        <v>646</v>
      </c>
      <c r="L47" s="455">
        <f t="shared" ref="L47:L93" si="44">J47+K47</f>
        <v>4046</v>
      </c>
      <c r="M47" s="455">
        <f t="shared" ref="M47:M89" si="45">IF(C47="","",(J47*G47))</f>
        <v>272000</v>
      </c>
      <c r="N47" s="455">
        <f t="shared" ref="N47:N89" si="46">IF(C47="","",(L47*G47))</f>
        <v>323680</v>
      </c>
      <c r="O47" s="456" t="s">
        <v>245</v>
      </c>
      <c r="P47" s="457">
        <v>3000</v>
      </c>
      <c r="Q47" s="457">
        <f t="shared" si="29"/>
        <v>570</v>
      </c>
      <c r="R47" s="457">
        <f t="shared" si="30"/>
        <v>3570</v>
      </c>
      <c r="S47" s="457">
        <f t="shared" si="31"/>
        <v>240000</v>
      </c>
      <c r="T47" s="457">
        <f t="shared" si="32"/>
        <v>285600</v>
      </c>
      <c r="U47" s="458" t="s">
        <v>194</v>
      </c>
      <c r="V47" s="459">
        <v>3400</v>
      </c>
      <c r="W47" s="459">
        <f>V47*19%</f>
        <v>646</v>
      </c>
      <c r="X47" s="459">
        <f>V47+W47</f>
        <v>4046</v>
      </c>
      <c r="Y47" s="459">
        <f>IF(C47="","",(V47*G47))</f>
        <v>272000</v>
      </c>
      <c r="Z47" s="459">
        <f>IF(C47="","",(X47*G47))</f>
        <v>323680</v>
      </c>
      <c r="AA47" s="460">
        <f>IF(B47="","",AVERAGE(L47,R47,X47))</f>
        <v>3887.3333333333335</v>
      </c>
      <c r="AB47" s="460">
        <f t="shared" si="23"/>
        <v>310986.66666666669</v>
      </c>
      <c r="AC47" s="461">
        <f>IF(C47="","",STDEV(N47,T47,Z47))</f>
        <v>21985.498250740951</v>
      </c>
      <c r="AD47" s="427">
        <f t="shared" si="33"/>
        <v>7.0695951329341936E-2</v>
      </c>
      <c r="AE47" s="428"/>
      <c r="BH47" s="7">
        <v>37</v>
      </c>
      <c r="DB47" s="7" t="str">
        <f>VLOOKUP(D47,listaBolsa!$D$2:$BA$1248,1,0)</f>
        <v>Sillas</v>
      </c>
      <c r="DC47" s="7">
        <f>VLOOKUP(D47,listaBolsa!$D$2:$BA$1248,2,0)</f>
        <v>0</v>
      </c>
      <c r="DD47" s="7" t="str">
        <f>VLOOKUP(D47,listaBolsa!$D$2:$BA$1248,10,0)</f>
        <v>AVANCE ORGANIZACIONAL CONSULTORES SAS</v>
      </c>
      <c r="DE47" s="7">
        <f>VLOOKUP(D47,listaBolsa!$D$2:$BA$1248,14,0)</f>
        <v>3400</v>
      </c>
      <c r="DF47" s="7" t="str">
        <f>VLOOKUP(D47,listaBolsa!$D$2:$BA$1248,23,0)</f>
        <v>CONADES</v>
      </c>
      <c r="DG47" s="7">
        <f>VLOOKUP(D47,listaBolsa!$D$2:$BA$1248,29,0)</f>
        <v>3570</v>
      </c>
      <c r="DH47" s="7" t="str">
        <f>VLOOKUP(D47,listaBolsa!$D$2:$BA$1248,36,0)</f>
        <v>SIDED</v>
      </c>
      <c r="DI47" s="7">
        <f>VLOOKUP(D47,listaBolsa!$D$2:$BA$1248,40,0)</f>
        <v>3400</v>
      </c>
      <c r="DJ47" s="252">
        <f>VLOOKUP(D47,listaBolsa!$D$2:$BA$1248,48,0)</f>
        <v>7.0699999999999999E-2</v>
      </c>
      <c r="DK47" s="7" t="b">
        <f t="shared" si="34"/>
        <v>1</v>
      </c>
      <c r="DL47" s="7" t="b">
        <f t="shared" si="35"/>
        <v>0</v>
      </c>
      <c r="DM47" s="7" t="b">
        <f t="shared" si="36"/>
        <v>1</v>
      </c>
      <c r="DN47" s="7" t="b">
        <f t="shared" si="37"/>
        <v>1</v>
      </c>
      <c r="DO47" s="7" t="b">
        <f t="shared" si="38"/>
        <v>1</v>
      </c>
      <c r="DP47" s="7" t="b">
        <f t="shared" si="39"/>
        <v>0</v>
      </c>
      <c r="DQ47" s="7" t="b">
        <f t="shared" si="40"/>
        <v>1</v>
      </c>
      <c r="DR47" s="7" t="b">
        <f t="shared" si="41"/>
        <v>1</v>
      </c>
      <c r="DS47" s="7" t="b">
        <f t="shared" si="42"/>
        <v>0</v>
      </c>
    </row>
    <row r="48" spans="1:123" s="7" customFormat="1" ht="345.6">
      <c r="A48" s="7" t="s">
        <v>173</v>
      </c>
      <c r="B48" s="453">
        <v>37</v>
      </c>
      <c r="C48" s="642" t="s">
        <v>291</v>
      </c>
      <c r="D48" s="453" t="s">
        <v>307</v>
      </c>
      <c r="E48" s="453" t="str">
        <f>IF(D48="","",VLOOKUP(D48,listaBolsa!$D$2:$H$276,2,0))</f>
        <v>Alquiler de Mesas plásticas blancas, cuadrada de 75 cms de largo X 75 cms de ancho X 70,5 cms de alto Incluye transporte, instalación y entrega en el lugar requerido.</v>
      </c>
      <c r="F48" s="194" t="str">
        <f>IF(D48="","",VLOOKUP(D48,listaBolsa!$D$2:$H$276,3,0))</f>
        <v>Unidad</v>
      </c>
      <c r="G48" s="453">
        <v>40</v>
      </c>
      <c r="H48" s="443" t="str">
        <f>IF(D48="","",VLOOKUP(D48,listaBolsa!$D$2:$H$276,5,0))</f>
        <v>Alquiler</v>
      </c>
      <c r="I48" s="454" t="str">
        <f>IF(D48="","",VLOOKUP(D48,listaBolsa!$D$2:$W$276,10,0))</f>
        <v>Estimación de precios con base en el proceso FDLSUBA-LP-013-2025 (140689) – Contrato 1000 – 2025, indexando el incremento de precios en el mercado con base en el Índice de Precios al Consumidor (IPC) para el mes de marzo de 2026, el cual fue de 5,56%.</v>
      </c>
      <c r="J48" s="455">
        <f>11508/1.19</f>
        <v>9670.5882352941189</v>
      </c>
      <c r="K48" s="455">
        <f t="shared" si="43"/>
        <v>1837.4117647058827</v>
      </c>
      <c r="L48" s="455">
        <f t="shared" si="44"/>
        <v>11508.000000000002</v>
      </c>
      <c r="M48" s="455">
        <f t="shared" si="45"/>
        <v>386823.52941176476</v>
      </c>
      <c r="N48" s="455">
        <f t="shared" si="46"/>
        <v>460320.00000000006</v>
      </c>
      <c r="O48" s="456" t="str">
        <f>IF(D48="","",VLOOKUP(D48,listaBolsa!$D$2:$AZ$276,23,0))</f>
        <v>FUNCAS</v>
      </c>
      <c r="P48" s="457">
        <f>IF(D48="","",VLOOKUP(D48,listaBolsa!$D$2:$AZ$276,27,0))</f>
        <v>9528</v>
      </c>
      <c r="Q48" s="457">
        <f t="shared" si="29"/>
        <v>1810.32</v>
      </c>
      <c r="R48" s="457">
        <f t="shared" si="30"/>
        <v>11338.32</v>
      </c>
      <c r="S48" s="457">
        <f t="shared" si="31"/>
        <v>381120</v>
      </c>
      <c r="T48" s="457">
        <f t="shared" si="32"/>
        <v>453532.8</v>
      </c>
      <c r="U48" s="458"/>
      <c r="V48" s="459"/>
      <c r="W48" s="459"/>
      <c r="X48" s="459"/>
      <c r="Y48" s="459"/>
      <c r="Z48" s="459"/>
      <c r="AA48" s="460">
        <f>IF(B48="","",AVERAGE(L48,R48))</f>
        <v>11423.16</v>
      </c>
      <c r="AB48" s="460">
        <f t="shared" si="23"/>
        <v>456926.4</v>
      </c>
      <c r="AC48" s="461">
        <f>IF(C48="","",STDEV(N48,T48))</f>
        <v>4799.2751452693847</v>
      </c>
      <c r="AD48" s="427">
        <f t="shared" si="33"/>
        <v>1.0503387734369003E-2</v>
      </c>
      <c r="AE48" s="428"/>
      <c r="BH48" s="7">
        <v>38</v>
      </c>
      <c r="DB48" s="7" t="str">
        <f>VLOOKUP(D48,listaBolsa!$D$2:$BA$1248,1,0)</f>
        <v>Mesas cuadradas</v>
      </c>
      <c r="DC48" s="7" t="str">
        <f>VLOOKUP(D48,listaBolsa!$D$2:$BA$1248,2,0)</f>
        <v>Alquiler de Mesas plásticas blancas, cuadrada de 75 cms de largo X 75 cms de ancho X 70,5 cms de alto Incluye transporte, instalación y entrega en el lugar requerido.</v>
      </c>
      <c r="DD48" s="7" t="str">
        <f>VLOOKUP(D48,listaBolsa!$D$2:$BA$1248,10,0)</f>
        <v>Estimación de precios con base en el proceso FDLSUBA-LP-013-2025 (140689) – Contrato 1000 – 2025, indexando el incremento de precios en el mercado con base en el Índice de Precios al Consumidor (IPC) para el mes de marzo de 2026, el cual fue de 5,56%.</v>
      </c>
      <c r="DE48" s="7">
        <f>VLOOKUP(D48,listaBolsa!$D$2:$BA$1248,14,0)</f>
        <v>11508</v>
      </c>
      <c r="DF48" s="7" t="str">
        <f>VLOOKUP(D48,listaBolsa!$D$2:$BA$1248,23,0)</f>
        <v>FUNCAS</v>
      </c>
      <c r="DG48" s="7">
        <f>VLOOKUP(D48,listaBolsa!$D$2:$BA$1248,29,0)</f>
        <v>11338.32</v>
      </c>
      <c r="DH48" s="7">
        <f>VLOOKUP(D48,listaBolsa!$D$2:$BA$1248,36,0)</f>
        <v>0</v>
      </c>
      <c r="DI48" s="7">
        <f>VLOOKUP(D48,listaBolsa!$D$2:$BA$1248,40,0)</f>
        <v>0</v>
      </c>
      <c r="DJ48" s="252">
        <f>VLOOKUP(D48,listaBolsa!$D$2:$BA$1248,48,0)</f>
        <v>1.0503387734368914E-2</v>
      </c>
      <c r="DK48" s="7" t="b">
        <f t="shared" si="34"/>
        <v>1</v>
      </c>
      <c r="DL48" s="7" t="b">
        <f t="shared" si="35"/>
        <v>1</v>
      </c>
      <c r="DM48" s="7" t="b">
        <f t="shared" si="36"/>
        <v>1</v>
      </c>
      <c r="DN48" s="7" t="b">
        <f t="shared" si="37"/>
        <v>0</v>
      </c>
      <c r="DO48" s="7" t="b">
        <f t="shared" si="38"/>
        <v>1</v>
      </c>
      <c r="DP48" s="7" t="b">
        <f t="shared" si="39"/>
        <v>0</v>
      </c>
      <c r="DQ48" s="7" t="b">
        <f t="shared" si="40"/>
        <v>1</v>
      </c>
      <c r="DR48" s="7" t="b">
        <f t="shared" si="41"/>
        <v>1</v>
      </c>
      <c r="DS48" s="7" t="b">
        <f t="shared" si="42"/>
        <v>0</v>
      </c>
    </row>
    <row r="49" spans="1:123" s="7" customFormat="1" ht="210">
      <c r="A49" s="7" t="s">
        <v>173</v>
      </c>
      <c r="B49" s="453">
        <v>38</v>
      </c>
      <c r="C49" s="642" t="s">
        <v>309</v>
      </c>
      <c r="D49" s="453" t="s">
        <v>299</v>
      </c>
      <c r="E49" s="453" t="str">
        <f>IF(D49="","",VLOOKUP(D49,listaBolsa!$D$2:$H$276,2,0))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F49" s="194" t="str">
        <f>IF(D49="","",VLOOKUP(D49,listaBolsa!$D$2:$H$276,3,0))</f>
        <v>Unidad</v>
      </c>
      <c r="G49" s="453">
        <v>12</v>
      </c>
      <c r="H49" s="443" t="str">
        <f>IF(D49="","",VLOOKUP(D49,listaBolsa!$D$2:$H$276,5,0))</f>
        <v>Alquiler</v>
      </c>
      <c r="I49" s="454" t="str">
        <f>IF(D49="","",VLOOKUP(D49,listaBolsa!$D$2:$W$276,10,0))</f>
        <v>D&amp;R PRODUCCIONES SAS</v>
      </c>
      <c r="J49" s="455">
        <f>IF(D49="","",VLOOKUP(D49,listaBolsa!$D$2:$W$276,14,0))</f>
        <v>3150000</v>
      </c>
      <c r="K49" s="455">
        <f t="shared" si="43"/>
        <v>598500</v>
      </c>
      <c r="L49" s="455">
        <f t="shared" si="44"/>
        <v>3748500</v>
      </c>
      <c r="M49" s="455">
        <f t="shared" si="45"/>
        <v>37800000</v>
      </c>
      <c r="N49" s="455">
        <f t="shared" si="46"/>
        <v>44982000</v>
      </c>
      <c r="O49" s="456" t="str">
        <f>IF(D49="","",VLOOKUP(D49,listaBolsa!$D$2:$AZ$276,23,0))</f>
        <v>EFECTO MASIVO</v>
      </c>
      <c r="P49" s="457">
        <f>IF(D49="","",VLOOKUP(D49,listaBolsa!$D$2:$AZ$276,27,0))</f>
        <v>3200000</v>
      </c>
      <c r="Q49" s="457">
        <f t="shared" si="29"/>
        <v>608000</v>
      </c>
      <c r="R49" s="457">
        <f t="shared" si="30"/>
        <v>3808000</v>
      </c>
      <c r="S49" s="457">
        <f t="shared" si="31"/>
        <v>38400000</v>
      </c>
      <c r="T49" s="457">
        <f t="shared" si="32"/>
        <v>45696000</v>
      </c>
      <c r="U49" s="458" t="str">
        <f>IF(D49="","",VLOOKUP(D49,listaBolsa!$D$2:$BB$276,36,0))</f>
        <v>AMCI INGENIERIAS SAS</v>
      </c>
      <c r="V49" s="459">
        <f>IF(D49="","",VLOOKUP(D49,listaBolsa!$D$2:$BB$276,40,0))</f>
        <v>2865546.22</v>
      </c>
      <c r="W49" s="459">
        <f t="shared" ref="W49:W60" si="47">V49*19%</f>
        <v>544453.7818</v>
      </c>
      <c r="X49" s="459">
        <f t="shared" ref="X49:X60" si="48">V49+W49</f>
        <v>3410000.0018000002</v>
      </c>
      <c r="Y49" s="459">
        <f t="shared" ref="Y49:Y60" si="49">IF(C49="","",(V49*G49))</f>
        <v>34386554.640000001</v>
      </c>
      <c r="Z49" s="459">
        <f t="shared" ref="Z49:Z60" si="50">IF(C49="","",(X49*G49))</f>
        <v>40920000.021600001</v>
      </c>
      <c r="AA49" s="460">
        <f t="shared" ref="AA49:AA60" si="51">IF(B49="","",AVERAGE(L49,R49,X49))</f>
        <v>3655500.0006000004</v>
      </c>
      <c r="AB49" s="460">
        <f t="shared" ref="AB49:AB80" si="52">IF(C49="","",AA49*G49)</f>
        <v>43866000.007200003</v>
      </c>
      <c r="AC49" s="461">
        <f t="shared" ref="AC49:AC60" si="53">IF(C49="","",STDEV(N49,T49,Z49))</f>
        <v>2576166.9077073401</v>
      </c>
      <c r="AD49" s="427">
        <f t="shared" si="33"/>
        <v>5.8728101656966618E-2</v>
      </c>
      <c r="AE49" s="428"/>
      <c r="BH49" s="7">
        <v>39</v>
      </c>
      <c r="DB49" s="7" t="str">
        <f>VLOOKUP(D49,listaBolsa!$D$2:$BA$1248,1,0)</f>
        <v>Auditorio para 50 personas media jornada</v>
      </c>
      <c r="DC49" s="7" t="str">
        <f>VLOOKUP(D49,listaBolsa!$D$2:$BA$1248,2,0)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D49" s="7" t="str">
        <f>VLOOKUP(D49,listaBolsa!$D$2:$BA$1248,10,0)</f>
        <v>D&amp;R PRODUCCIONES SAS</v>
      </c>
      <c r="DE49" s="7">
        <f>VLOOKUP(D49,listaBolsa!$D$2:$BA$1248,14,0)</f>
        <v>3150000</v>
      </c>
      <c r="DF49" s="7" t="str">
        <f>VLOOKUP(D49,listaBolsa!$D$2:$BA$1248,23,0)</f>
        <v>EFECTO MASIVO</v>
      </c>
      <c r="DG49" s="7">
        <f>VLOOKUP(D49,listaBolsa!$D$2:$BA$1248,29,0)</f>
        <v>3808000</v>
      </c>
      <c r="DH49" s="7" t="str">
        <f>VLOOKUP(D49,listaBolsa!$D$2:$BA$1248,36,0)</f>
        <v>AMCI INGENIERIAS SAS</v>
      </c>
      <c r="DI49" s="7">
        <f>VLOOKUP(D49,listaBolsa!$D$2:$BA$1248,40,0)</f>
        <v>2865546.22</v>
      </c>
      <c r="DJ49" s="252">
        <f>VLOOKUP(D49,listaBolsa!$D$2:$BA$1248,48,0)</f>
        <v>5.872810165696659E-2</v>
      </c>
      <c r="DK49" s="7" t="b">
        <f t="shared" si="34"/>
        <v>1</v>
      </c>
      <c r="DL49" s="7" t="b">
        <f t="shared" si="35"/>
        <v>1</v>
      </c>
      <c r="DM49" s="7" t="b">
        <f t="shared" si="36"/>
        <v>1</v>
      </c>
      <c r="DN49" s="7" t="b">
        <f t="shared" si="37"/>
        <v>1</v>
      </c>
      <c r="DO49" s="7" t="b">
        <f t="shared" si="38"/>
        <v>1</v>
      </c>
      <c r="DP49" s="7" t="b">
        <f t="shared" si="39"/>
        <v>0</v>
      </c>
      <c r="DQ49" s="7" t="b">
        <f t="shared" si="40"/>
        <v>1</v>
      </c>
      <c r="DR49" s="7" t="b">
        <f t="shared" si="41"/>
        <v>1</v>
      </c>
      <c r="DS49" s="7" t="b">
        <f t="shared" si="42"/>
        <v>1</v>
      </c>
    </row>
    <row r="50" spans="1:123" s="7" customFormat="1" ht="72">
      <c r="A50" s="7" t="s">
        <v>173</v>
      </c>
      <c r="B50" s="453">
        <v>39</v>
      </c>
      <c r="C50" s="642" t="s">
        <v>309</v>
      </c>
      <c r="D50" s="453" t="s">
        <v>311</v>
      </c>
      <c r="E50" s="453" t="s">
        <v>312</v>
      </c>
      <c r="F50" s="194" t="s">
        <v>191</v>
      </c>
      <c r="G50" s="453">
        <v>27</v>
      </c>
      <c r="H50" s="443" t="s">
        <v>192</v>
      </c>
      <c r="I50" s="454" t="s">
        <v>193</v>
      </c>
      <c r="J50" s="455">
        <v>19000</v>
      </c>
      <c r="K50" s="455">
        <f t="shared" si="43"/>
        <v>3610</v>
      </c>
      <c r="L50" s="455">
        <f t="shared" si="44"/>
        <v>22610</v>
      </c>
      <c r="M50" s="455">
        <f t="shared" si="45"/>
        <v>513000</v>
      </c>
      <c r="N50" s="455">
        <f t="shared" si="46"/>
        <v>610470</v>
      </c>
      <c r="O50" s="456" t="s">
        <v>194</v>
      </c>
      <c r="P50" s="457">
        <v>19000</v>
      </c>
      <c r="Q50" s="457">
        <f t="shared" si="29"/>
        <v>3610</v>
      </c>
      <c r="R50" s="457">
        <f t="shared" si="30"/>
        <v>22610</v>
      </c>
      <c r="S50" s="457">
        <f t="shared" si="31"/>
        <v>513000</v>
      </c>
      <c r="T50" s="457">
        <f t="shared" si="32"/>
        <v>610470</v>
      </c>
      <c r="U50" s="458" t="s">
        <v>313</v>
      </c>
      <c r="V50" s="459">
        <v>13445.378151260509</v>
      </c>
      <c r="W50" s="459">
        <f t="shared" si="47"/>
        <v>2554.6218487394967</v>
      </c>
      <c r="X50" s="459">
        <f t="shared" si="48"/>
        <v>16000.000000000005</v>
      </c>
      <c r="Y50" s="459">
        <f t="shared" si="49"/>
        <v>363025.21008403372</v>
      </c>
      <c r="Z50" s="459">
        <f t="shared" si="50"/>
        <v>432000.00000000017</v>
      </c>
      <c r="AA50" s="460">
        <f t="shared" si="51"/>
        <v>20406.666666666668</v>
      </c>
      <c r="AB50" s="460">
        <f t="shared" si="52"/>
        <v>550980</v>
      </c>
      <c r="AC50" s="461">
        <f t="shared" si="53"/>
        <v>103039.70254227192</v>
      </c>
      <c r="AD50" s="427">
        <f t="shared" si="33"/>
        <v>0.18701169287863792</v>
      </c>
      <c r="AE50" s="428"/>
      <c r="BH50" s="7">
        <v>43</v>
      </c>
      <c r="DB50" s="7" t="str">
        <f>VLOOKUP(D50,listaBolsa!$D$2:$BA$1248,1,0)</f>
        <v>Moldes</v>
      </c>
      <c r="DC50" s="7">
        <f>VLOOKUP(D50,listaBolsa!$D$2:$BA$1248,2,0)</f>
        <v>0</v>
      </c>
      <c r="DD50" s="7" t="str">
        <f>VLOOKUP(D50,listaBolsa!$D$2:$BA$1248,10,0)</f>
        <v>AVANCE ORGANIZACIONAL CONSULTORES SAS</v>
      </c>
      <c r="DE50" s="7">
        <f>VLOOKUP(D50,listaBolsa!$D$2:$BA$1248,14,0)</f>
        <v>19000</v>
      </c>
      <c r="DF50" s="7" t="str">
        <f>VLOOKUP(D50,listaBolsa!$D$2:$BA$1248,23,0)</f>
        <v>SIDED</v>
      </c>
      <c r="DG50" s="7">
        <f>VLOOKUP(D50,listaBolsa!$D$2:$BA$1248,29,0)</f>
        <v>22610</v>
      </c>
      <c r="DH50" s="7" t="str">
        <f>VLOOKUP(D50,listaBolsa!$D$2:$BA$1248,36,0)</f>
        <v>VELAS E INSUMOS LEON</v>
      </c>
      <c r="DI50" s="7">
        <f>VLOOKUP(D50,listaBolsa!$D$2:$BA$1248,40,0)</f>
        <v>13445.38</v>
      </c>
      <c r="DJ50" s="252">
        <f>VLOOKUP(D50,listaBolsa!$D$2:$BA$1248,48,0)</f>
        <v>0.187</v>
      </c>
      <c r="DK50" s="7" t="b">
        <f t="shared" si="34"/>
        <v>1</v>
      </c>
      <c r="DL50" s="7" t="b">
        <f t="shared" si="35"/>
        <v>0</v>
      </c>
      <c r="DM50" s="7" t="b">
        <f t="shared" si="36"/>
        <v>1</v>
      </c>
      <c r="DN50" s="7" t="b">
        <f t="shared" si="37"/>
        <v>1</v>
      </c>
      <c r="DO50" s="7" t="b">
        <f t="shared" si="38"/>
        <v>1</v>
      </c>
      <c r="DP50" s="7" t="b">
        <f t="shared" si="39"/>
        <v>0</v>
      </c>
      <c r="DQ50" s="7" t="b">
        <f t="shared" si="40"/>
        <v>1</v>
      </c>
      <c r="DR50" s="7" t="b">
        <f t="shared" si="41"/>
        <v>0</v>
      </c>
      <c r="DS50" s="7" t="b">
        <f t="shared" si="42"/>
        <v>0</v>
      </c>
    </row>
    <row r="51" spans="1:123" s="7" customFormat="1" ht="57.6">
      <c r="A51" s="7" t="s">
        <v>173</v>
      </c>
      <c r="B51" s="453">
        <v>40</v>
      </c>
      <c r="C51" s="642" t="s">
        <v>309</v>
      </c>
      <c r="D51" s="453" t="s">
        <v>315</v>
      </c>
      <c r="E51" s="453" t="s">
        <v>316</v>
      </c>
      <c r="F51" s="194" t="s">
        <v>191</v>
      </c>
      <c r="G51" s="453">
        <v>1</v>
      </c>
      <c r="H51" s="443" t="s">
        <v>192</v>
      </c>
      <c r="I51" s="454" t="s">
        <v>317</v>
      </c>
      <c r="J51" s="455">
        <v>19663.865546218491</v>
      </c>
      <c r="K51" s="455">
        <f t="shared" si="43"/>
        <v>3736.1344537815135</v>
      </c>
      <c r="L51" s="455">
        <f t="shared" si="44"/>
        <v>23400.000000000004</v>
      </c>
      <c r="M51" s="455">
        <f t="shared" si="45"/>
        <v>19663.865546218491</v>
      </c>
      <c r="N51" s="455">
        <f t="shared" si="46"/>
        <v>23400.000000000004</v>
      </c>
      <c r="O51" s="456" t="s">
        <v>318</v>
      </c>
      <c r="P51" s="457">
        <v>20557.142857142859</v>
      </c>
      <c r="Q51" s="457">
        <f t="shared" si="29"/>
        <v>3905.8571428571431</v>
      </c>
      <c r="R51" s="457">
        <f t="shared" si="30"/>
        <v>24463</v>
      </c>
      <c r="S51" s="457">
        <f t="shared" si="31"/>
        <v>20557.142857142859</v>
      </c>
      <c r="T51" s="457">
        <f t="shared" si="32"/>
        <v>24463</v>
      </c>
      <c r="U51" s="458" t="s">
        <v>319</v>
      </c>
      <c r="V51" s="459">
        <v>18487.39495798319</v>
      </c>
      <c r="W51" s="459">
        <f t="shared" si="47"/>
        <v>3512.6050420168062</v>
      </c>
      <c r="X51" s="459">
        <f t="shared" si="48"/>
        <v>21999.999999999996</v>
      </c>
      <c r="Y51" s="459">
        <f t="shared" si="49"/>
        <v>18487.39495798319</v>
      </c>
      <c r="Z51" s="459">
        <f t="shared" si="50"/>
        <v>21999.999999999996</v>
      </c>
      <c r="AA51" s="460">
        <f t="shared" si="51"/>
        <v>23287.666666666668</v>
      </c>
      <c r="AB51" s="460">
        <f t="shared" si="52"/>
        <v>23287.666666666668</v>
      </c>
      <c r="AC51" s="461">
        <f t="shared" si="53"/>
        <v>1235.3365263495361</v>
      </c>
      <c r="AD51" s="427">
        <f t="shared" si="33"/>
        <v>5.3046814179875015E-2</v>
      </c>
      <c r="AE51" s="428"/>
      <c r="BH51" s="7">
        <v>46</v>
      </c>
      <c r="DB51" s="7" t="str">
        <f>VLOOKUP(D51,listaBolsa!$D$2:$BA$1248,1,0)</f>
        <v>Desmoldante</v>
      </c>
      <c r="DC51" s="7">
        <f>VLOOKUP(D51,listaBolsa!$D$2:$BA$1248,2,0)</f>
        <v>0</v>
      </c>
      <c r="DD51" s="7" t="str">
        <f>VLOOKUP(D51,listaBolsa!$D$2:$BA$1248,10,0)</f>
        <v>MUNDO HUEVO</v>
      </c>
      <c r="DE51" s="7">
        <f>VLOOKUP(D51,listaBolsa!$D$2:$BA$1248,14,0)</f>
        <v>19663.87</v>
      </c>
      <c r="DF51" s="7" t="str">
        <f>VLOOKUP(D51,listaBolsa!$D$2:$BA$1248,23,0)</f>
        <v>TALSA</v>
      </c>
      <c r="DG51" s="7">
        <f>VLOOKUP(D51,listaBolsa!$D$2:$BA$1248,29,0)</f>
        <v>24463</v>
      </c>
      <c r="DH51" s="7" t="str">
        <f>VLOOKUP(D51,listaBolsa!$D$2:$BA$1248,36,0)</f>
        <v>TECNOLOGIA Y SUMINSTROS TESUMA</v>
      </c>
      <c r="DI51" s="7">
        <f>VLOOKUP(D51,listaBolsa!$D$2:$BA$1248,40,0)</f>
        <v>18487.39</v>
      </c>
      <c r="DJ51" s="252">
        <f>VLOOKUP(D51,listaBolsa!$D$2:$BA$1248,48,0)</f>
        <v>5.2999999999999999E-2</v>
      </c>
      <c r="DK51" s="7" t="b">
        <f t="shared" si="34"/>
        <v>1</v>
      </c>
      <c r="DL51" s="7" t="b">
        <f t="shared" si="35"/>
        <v>0</v>
      </c>
      <c r="DM51" s="7" t="b">
        <f t="shared" si="36"/>
        <v>1</v>
      </c>
      <c r="DN51" s="7" t="b">
        <f t="shared" si="37"/>
        <v>0</v>
      </c>
      <c r="DO51" s="7" t="b">
        <f t="shared" si="38"/>
        <v>1</v>
      </c>
      <c r="DP51" s="7" t="b">
        <f t="shared" si="39"/>
        <v>0</v>
      </c>
      <c r="DQ51" s="7" t="b">
        <f t="shared" si="40"/>
        <v>1</v>
      </c>
      <c r="DR51" s="7" t="b">
        <f t="shared" si="41"/>
        <v>0</v>
      </c>
      <c r="DS51" s="7" t="b">
        <f t="shared" si="42"/>
        <v>0</v>
      </c>
    </row>
    <row r="52" spans="1:123" s="7" customFormat="1" ht="43.15">
      <c r="A52" s="7" t="s">
        <v>173</v>
      </c>
      <c r="B52" s="453">
        <v>41</v>
      </c>
      <c r="C52" s="642" t="s">
        <v>309</v>
      </c>
      <c r="D52" s="453" t="s">
        <v>321</v>
      </c>
      <c r="E52" s="453" t="s">
        <v>322</v>
      </c>
      <c r="F52" s="194" t="s">
        <v>191</v>
      </c>
      <c r="G52" s="453">
        <v>6</v>
      </c>
      <c r="H52" s="443" t="s">
        <v>192</v>
      </c>
      <c r="I52" s="454" t="s">
        <v>323</v>
      </c>
      <c r="J52" s="455">
        <v>16806.722689075628</v>
      </c>
      <c r="K52" s="455">
        <f t="shared" si="43"/>
        <v>3193.2773109243694</v>
      </c>
      <c r="L52" s="455">
        <f t="shared" si="44"/>
        <v>19999.999999999996</v>
      </c>
      <c r="M52" s="455">
        <f t="shared" si="45"/>
        <v>100840.33613445377</v>
      </c>
      <c r="N52" s="455">
        <f t="shared" si="46"/>
        <v>119999.99999999997</v>
      </c>
      <c r="O52" s="456" t="s">
        <v>324</v>
      </c>
      <c r="P52" s="457">
        <v>17647.058823529409</v>
      </c>
      <c r="Q52" s="457">
        <f t="shared" si="29"/>
        <v>3352.9411764705878</v>
      </c>
      <c r="R52" s="457">
        <f t="shared" si="30"/>
        <v>20999.999999999996</v>
      </c>
      <c r="S52" s="457">
        <f t="shared" si="31"/>
        <v>105882.35294117645</v>
      </c>
      <c r="T52" s="457">
        <f t="shared" si="32"/>
        <v>125999.99999999997</v>
      </c>
      <c r="U52" s="458" t="s">
        <v>317</v>
      </c>
      <c r="V52" s="459">
        <v>17647.058823529409</v>
      </c>
      <c r="W52" s="459">
        <f t="shared" si="47"/>
        <v>3352.9411764705878</v>
      </c>
      <c r="X52" s="459">
        <f t="shared" si="48"/>
        <v>20999.999999999996</v>
      </c>
      <c r="Y52" s="459">
        <f t="shared" si="49"/>
        <v>105882.35294117645</v>
      </c>
      <c r="Z52" s="459">
        <f t="shared" si="50"/>
        <v>125999.99999999997</v>
      </c>
      <c r="AA52" s="460">
        <f t="shared" si="51"/>
        <v>20666.666666666661</v>
      </c>
      <c r="AB52" s="460">
        <f t="shared" si="52"/>
        <v>123999.99999999997</v>
      </c>
      <c r="AC52" s="461">
        <f t="shared" si="53"/>
        <v>3464.1016151377548</v>
      </c>
      <c r="AD52" s="427">
        <f t="shared" si="33"/>
        <v>2.7936303347885126E-2</v>
      </c>
      <c r="AE52" s="428"/>
      <c r="BH52" s="7">
        <v>54</v>
      </c>
      <c r="DB52" s="7" t="str">
        <f>VLOOKUP(D52,listaBolsa!$D$2:$BA$1248,1,0)</f>
        <v>Colorantes</v>
      </c>
      <c r="DC52" s="7">
        <f>VLOOKUP(D52,listaBolsa!$D$2:$BA$1248,2,0)</f>
        <v>0</v>
      </c>
      <c r="DD52" s="7" t="str">
        <f>VLOOKUP(D52,listaBolsa!$D$2:$BA$1248,10,0)</f>
        <v>DEW GENIAL</v>
      </c>
      <c r="DE52" s="7">
        <f>VLOOKUP(D52,listaBolsa!$D$2:$BA$1248,14,0)</f>
        <v>16806.72</v>
      </c>
      <c r="DF52" s="7" t="str">
        <f>VLOOKUP(D52,listaBolsa!$D$2:$BA$1248,23,0)</f>
        <v>TIENDA DEL CHOCOLATE</v>
      </c>
      <c r="DG52" s="7">
        <f>VLOOKUP(D52,listaBolsa!$D$2:$BA$1248,29,0)</f>
        <v>21000</v>
      </c>
      <c r="DH52" s="7" t="str">
        <f>VLOOKUP(D52,listaBolsa!$D$2:$BA$1248,36,0)</f>
        <v>MUNDO HUEVO</v>
      </c>
      <c r="DI52" s="7">
        <f>VLOOKUP(D52,listaBolsa!$D$2:$BA$1248,40,0)</f>
        <v>17647.060000000001</v>
      </c>
      <c r="DJ52" s="252">
        <f>VLOOKUP(D52,listaBolsa!$D$2:$BA$1248,48,0)</f>
        <v>2.7900000000000001E-2</v>
      </c>
      <c r="DK52" s="7" t="b">
        <f t="shared" si="34"/>
        <v>1</v>
      </c>
      <c r="DL52" s="7" t="b">
        <f t="shared" si="35"/>
        <v>0</v>
      </c>
      <c r="DM52" s="7" t="b">
        <f t="shared" si="36"/>
        <v>1</v>
      </c>
      <c r="DN52" s="7" t="b">
        <f t="shared" si="37"/>
        <v>0</v>
      </c>
      <c r="DO52" s="7" t="b">
        <f t="shared" si="38"/>
        <v>1</v>
      </c>
      <c r="DP52" s="7" t="b">
        <f t="shared" si="39"/>
        <v>0</v>
      </c>
      <c r="DQ52" s="7" t="b">
        <f t="shared" si="40"/>
        <v>1</v>
      </c>
      <c r="DR52" s="7" t="b">
        <f t="shared" si="41"/>
        <v>0</v>
      </c>
      <c r="DS52" s="7" t="b">
        <f t="shared" si="42"/>
        <v>0</v>
      </c>
    </row>
    <row r="53" spans="1:123" s="7" customFormat="1" ht="42">
      <c r="A53" s="7" t="s">
        <v>173</v>
      </c>
      <c r="B53" s="453">
        <v>42</v>
      </c>
      <c r="C53" s="642" t="s">
        <v>309</v>
      </c>
      <c r="D53" s="453" t="s">
        <v>326</v>
      </c>
      <c r="E53" s="453" t="s">
        <v>327</v>
      </c>
      <c r="F53" s="194" t="s">
        <v>191</v>
      </c>
      <c r="G53" s="453">
        <v>60</v>
      </c>
      <c r="H53" s="443" t="s">
        <v>192</v>
      </c>
      <c r="I53" s="454" t="s">
        <v>328</v>
      </c>
      <c r="J53" s="455">
        <v>10084.033613445379</v>
      </c>
      <c r="K53" s="455">
        <f t="shared" si="43"/>
        <v>1915.966386554622</v>
      </c>
      <c r="L53" s="455">
        <f t="shared" si="44"/>
        <v>12000.000000000002</v>
      </c>
      <c r="M53" s="455">
        <f t="shared" si="45"/>
        <v>605042.01680672274</v>
      </c>
      <c r="N53" s="455">
        <f t="shared" si="46"/>
        <v>720000.00000000012</v>
      </c>
      <c r="O53" s="456" t="s">
        <v>245</v>
      </c>
      <c r="P53" s="457">
        <v>10000</v>
      </c>
      <c r="Q53" s="457">
        <f t="shared" si="29"/>
        <v>1900</v>
      </c>
      <c r="R53" s="457">
        <f t="shared" si="30"/>
        <v>11900</v>
      </c>
      <c r="S53" s="457">
        <f t="shared" si="31"/>
        <v>600000</v>
      </c>
      <c r="T53" s="457">
        <f t="shared" si="32"/>
        <v>714000</v>
      </c>
      <c r="U53" s="458" t="s">
        <v>329</v>
      </c>
      <c r="V53" s="459">
        <v>10924.36974789916</v>
      </c>
      <c r="W53" s="459">
        <f t="shared" si="47"/>
        <v>2075.6302521008406</v>
      </c>
      <c r="X53" s="459">
        <f t="shared" si="48"/>
        <v>13000</v>
      </c>
      <c r="Y53" s="459">
        <f t="shared" si="49"/>
        <v>655462.18487394962</v>
      </c>
      <c r="Z53" s="459">
        <f t="shared" si="50"/>
        <v>780000</v>
      </c>
      <c r="AA53" s="460">
        <f t="shared" si="51"/>
        <v>12300</v>
      </c>
      <c r="AB53" s="460">
        <f t="shared" si="52"/>
        <v>738000</v>
      </c>
      <c r="AC53" s="461">
        <f t="shared" si="53"/>
        <v>36496.575181789289</v>
      </c>
      <c r="AD53" s="427">
        <f t="shared" si="33"/>
        <v>4.9453353904863537E-2</v>
      </c>
      <c r="AE53" s="428"/>
      <c r="BH53" s="7">
        <v>56</v>
      </c>
      <c r="DB53" s="7" t="str">
        <f>VLOOKUP(D53,listaBolsa!$D$2:$BA$1248,1,0)</f>
        <v>Agua destilada</v>
      </c>
      <c r="DC53" s="7">
        <f>VLOOKUP(D53,listaBolsa!$D$2:$BA$1248,2,0)</f>
        <v>0</v>
      </c>
      <c r="DD53" s="7" t="str">
        <f>VLOOKUP(D53,listaBolsa!$D$2:$BA$1248,10,0)</f>
        <v>LA CASA DEL CIENTIFICO</v>
      </c>
      <c r="DE53" s="7">
        <f>VLOOKUP(D53,listaBolsa!$D$2:$BA$1248,14,0)</f>
        <v>10084.030000000001</v>
      </c>
      <c r="DF53" s="7" t="str">
        <f>VLOOKUP(D53,listaBolsa!$D$2:$BA$1248,23,0)</f>
        <v>CONADES</v>
      </c>
      <c r="DG53" s="7">
        <f>VLOOKUP(D53,listaBolsa!$D$2:$BA$1248,29,0)</f>
        <v>11900</v>
      </c>
      <c r="DH53" s="7" t="str">
        <f>VLOOKUP(D53,listaBolsa!$D$2:$BA$1248,36,0)</f>
        <v>ASENIX</v>
      </c>
      <c r="DI53" s="7">
        <f>VLOOKUP(D53,listaBolsa!$D$2:$BA$1248,40,0)</f>
        <v>10924.37</v>
      </c>
      <c r="DJ53" s="252">
        <f>VLOOKUP(D53,listaBolsa!$D$2:$BA$1248,48,0)</f>
        <v>4.9500000000000002E-2</v>
      </c>
      <c r="DK53" s="7" t="b">
        <f t="shared" si="34"/>
        <v>1</v>
      </c>
      <c r="DL53" s="7" t="b">
        <f t="shared" si="35"/>
        <v>0</v>
      </c>
      <c r="DM53" s="7" t="b">
        <f t="shared" si="36"/>
        <v>1</v>
      </c>
      <c r="DN53" s="7" t="b">
        <f t="shared" si="37"/>
        <v>0</v>
      </c>
      <c r="DO53" s="7" t="b">
        <f t="shared" si="38"/>
        <v>1</v>
      </c>
      <c r="DP53" s="7" t="b">
        <f t="shared" si="39"/>
        <v>0</v>
      </c>
      <c r="DQ53" s="7" t="b">
        <f t="shared" si="40"/>
        <v>1</v>
      </c>
      <c r="DR53" s="7" t="b">
        <f t="shared" si="41"/>
        <v>0</v>
      </c>
      <c r="DS53" s="7" t="b">
        <f t="shared" si="42"/>
        <v>0</v>
      </c>
    </row>
    <row r="54" spans="1:123" s="7" customFormat="1" ht="72">
      <c r="A54" s="7" t="s">
        <v>173</v>
      </c>
      <c r="B54" s="453">
        <v>43</v>
      </c>
      <c r="C54" s="642" t="s">
        <v>309</v>
      </c>
      <c r="D54" s="453" t="s">
        <v>331</v>
      </c>
      <c r="E54" s="453" t="s">
        <v>332</v>
      </c>
      <c r="F54" s="194" t="s">
        <v>191</v>
      </c>
      <c r="G54" s="453">
        <v>2</v>
      </c>
      <c r="H54" s="443" t="s">
        <v>192</v>
      </c>
      <c r="I54" s="454" t="s">
        <v>1058</v>
      </c>
      <c r="J54" s="455">
        <v>27731.09</v>
      </c>
      <c r="K54" s="455">
        <f t="shared" si="43"/>
        <v>5268.9071000000004</v>
      </c>
      <c r="L54" s="455">
        <f t="shared" si="44"/>
        <v>32999.997100000001</v>
      </c>
      <c r="M54" s="455">
        <f t="shared" si="45"/>
        <v>55462.18</v>
      </c>
      <c r="N54" s="455">
        <f t="shared" si="46"/>
        <v>65999.994200000001</v>
      </c>
      <c r="O54" s="456" t="s">
        <v>1059</v>
      </c>
      <c r="P54" s="457">
        <v>23529.41</v>
      </c>
      <c r="Q54" s="457">
        <f t="shared" si="29"/>
        <v>4470.5879000000004</v>
      </c>
      <c r="R54" s="457">
        <f t="shared" si="30"/>
        <v>27999.997900000002</v>
      </c>
      <c r="S54" s="457">
        <f t="shared" si="31"/>
        <v>47058.82</v>
      </c>
      <c r="T54" s="457">
        <f t="shared" si="32"/>
        <v>55999.995800000004</v>
      </c>
      <c r="U54" s="458" t="s">
        <v>1060</v>
      </c>
      <c r="V54" s="459">
        <v>23949.58</v>
      </c>
      <c r="W54" s="459">
        <f t="shared" si="47"/>
        <v>4550.4202000000005</v>
      </c>
      <c r="X54" s="459">
        <f t="shared" si="48"/>
        <v>28500.000200000002</v>
      </c>
      <c r="Y54" s="459">
        <f t="shared" si="49"/>
        <v>47899.16</v>
      </c>
      <c r="Z54" s="459">
        <f t="shared" si="50"/>
        <v>57000.000400000004</v>
      </c>
      <c r="AA54" s="460">
        <f t="shared" si="51"/>
        <v>29833.331733333336</v>
      </c>
      <c r="AB54" s="460">
        <f t="shared" si="52"/>
        <v>59666.663466666672</v>
      </c>
      <c r="AC54" s="461">
        <f t="shared" si="53"/>
        <v>5507.5685137221553</v>
      </c>
      <c r="AD54" s="427">
        <f t="shared" si="33"/>
        <v>9.2305622498885145E-2</v>
      </c>
      <c r="AE54" s="428"/>
      <c r="BH54" s="7">
        <v>57</v>
      </c>
      <c r="DB54" s="7" t="str">
        <f>VLOOKUP(D54,listaBolsa!$D$2:$BA$1248,1,0)</f>
        <v>Jabón biodegradable</v>
      </c>
      <c r="DC54" s="7">
        <f>VLOOKUP(D54,listaBolsa!$D$2:$BA$1248,2,0)</f>
        <v>0</v>
      </c>
      <c r="DD54" s="7" t="str">
        <f>VLOOKUP(D54,listaBolsa!$D$2:$BA$1248,10,0)</f>
        <v>AVANCE ORGANIZACIONAL CONSULTORES SAS</v>
      </c>
      <c r="DE54" s="7">
        <f>VLOOKUP(D54,listaBolsa!$D$2:$BA$1248,14,0)</f>
        <v>82000</v>
      </c>
      <c r="DF54" s="7" t="str">
        <f>VLOOKUP(D54,listaBolsa!$D$2:$BA$1248,23,0)</f>
        <v>SIDED</v>
      </c>
      <c r="DG54" s="7">
        <f>VLOOKUP(D54,listaBolsa!$D$2:$BA$1248,29,0)</f>
        <v>97580</v>
      </c>
      <c r="DH54" s="7" t="str">
        <f>VLOOKUP(D54,listaBolsa!$D$2:$BA$1248,36,0)</f>
        <v>HOMECENTER</v>
      </c>
      <c r="DI54" s="7">
        <f>VLOOKUP(D54,listaBolsa!$D$2:$BA$1248,40,0)</f>
        <v>83949.58</v>
      </c>
      <c r="DJ54" s="252">
        <f>VLOOKUP(D54,listaBolsa!$D$2:$BA$1248,48,0)</f>
        <v>1.3599999999999999E-2</v>
      </c>
      <c r="DK54" s="7" t="b">
        <f t="shared" si="34"/>
        <v>1</v>
      </c>
      <c r="DL54" s="7" t="b">
        <f t="shared" si="35"/>
        <v>0</v>
      </c>
      <c r="DM54" s="7" t="b">
        <f t="shared" si="36"/>
        <v>0</v>
      </c>
      <c r="DN54" s="7" t="b">
        <f t="shared" si="37"/>
        <v>0</v>
      </c>
      <c r="DO54" s="7" t="b">
        <f t="shared" si="38"/>
        <v>0</v>
      </c>
      <c r="DP54" s="7" t="b">
        <f t="shared" si="39"/>
        <v>0</v>
      </c>
      <c r="DQ54" s="7" t="b">
        <f t="shared" si="40"/>
        <v>0</v>
      </c>
      <c r="DR54" s="7" t="b">
        <f t="shared" si="41"/>
        <v>0</v>
      </c>
      <c r="DS54" s="7" t="b">
        <f t="shared" si="42"/>
        <v>0</v>
      </c>
    </row>
    <row r="55" spans="1:123" s="7" customFormat="1" ht="42">
      <c r="A55" s="7" t="s">
        <v>173</v>
      </c>
      <c r="B55" s="453">
        <v>44</v>
      </c>
      <c r="C55" s="642" t="s">
        <v>309</v>
      </c>
      <c r="D55" s="453" t="s">
        <v>334</v>
      </c>
      <c r="E55" s="453" t="s">
        <v>335</v>
      </c>
      <c r="F55" s="194" t="s">
        <v>191</v>
      </c>
      <c r="G55" s="453">
        <v>15</v>
      </c>
      <c r="H55" s="443" t="s">
        <v>192</v>
      </c>
      <c r="I55" s="454" t="s">
        <v>336</v>
      </c>
      <c r="J55" s="455">
        <v>5000</v>
      </c>
      <c r="K55" s="455">
        <f t="shared" si="43"/>
        <v>950</v>
      </c>
      <c r="L55" s="455">
        <f t="shared" si="44"/>
        <v>5950</v>
      </c>
      <c r="M55" s="455">
        <f t="shared" si="45"/>
        <v>75000</v>
      </c>
      <c r="N55" s="455">
        <f t="shared" si="46"/>
        <v>89250</v>
      </c>
      <c r="O55" s="456" t="s">
        <v>337</v>
      </c>
      <c r="P55" s="457">
        <v>4697.4789915966376</v>
      </c>
      <c r="Q55" s="457">
        <f t="shared" si="29"/>
        <v>892.52100840336118</v>
      </c>
      <c r="R55" s="457">
        <f t="shared" si="30"/>
        <v>5589.9999999999991</v>
      </c>
      <c r="S55" s="457">
        <f t="shared" si="31"/>
        <v>70462.184873949562</v>
      </c>
      <c r="T55" s="457">
        <f t="shared" si="32"/>
        <v>83849.999999999985</v>
      </c>
      <c r="U55" s="458" t="s">
        <v>338</v>
      </c>
      <c r="V55" s="459">
        <v>6090</v>
      </c>
      <c r="W55" s="459">
        <f t="shared" si="47"/>
        <v>1157.0999999999999</v>
      </c>
      <c r="X55" s="459">
        <f t="shared" si="48"/>
        <v>7247.1</v>
      </c>
      <c r="Y55" s="459">
        <f t="shared" si="49"/>
        <v>91350</v>
      </c>
      <c r="Z55" s="459">
        <f t="shared" si="50"/>
        <v>108706.5</v>
      </c>
      <c r="AA55" s="460">
        <f t="shared" si="51"/>
        <v>6262.3666666666659</v>
      </c>
      <c r="AB55" s="460">
        <f t="shared" si="52"/>
        <v>93935.499999999985</v>
      </c>
      <c r="AC55" s="461">
        <f t="shared" si="53"/>
        <v>13073.898835083515</v>
      </c>
      <c r="AD55" s="427">
        <f t="shared" si="33"/>
        <v>0.13917953100886796</v>
      </c>
      <c r="AE55" s="428"/>
      <c r="BH55" s="7">
        <v>58</v>
      </c>
      <c r="DB55" s="7" t="str">
        <f>VLOOKUP(D55,listaBolsa!$D$2:$BA$1248,1,0)</f>
        <v>Vinagre blanco</v>
      </c>
      <c r="DC55" s="7">
        <f>VLOOKUP(D55,listaBolsa!$D$2:$BA$1248,2,0)</f>
        <v>0</v>
      </c>
      <c r="DD55" s="7" t="str">
        <f>VLOOKUP(D55,listaBolsa!$D$2:$BA$1248,10,0)</f>
        <v>MERCADONCASA</v>
      </c>
      <c r="DE55" s="7">
        <f>VLOOKUP(D55,listaBolsa!$D$2:$BA$1248,14,0)</f>
        <v>5000</v>
      </c>
      <c r="DF55" s="7" t="str">
        <f>VLOOKUP(D55,listaBolsa!$D$2:$BA$1248,23,0)</f>
        <v>CARULLA</v>
      </c>
      <c r="DG55" s="7">
        <f>VLOOKUP(D55,listaBolsa!$D$2:$BA$1248,29,0)</f>
        <v>5590</v>
      </c>
      <c r="DH55" s="7" t="str">
        <f>VLOOKUP(D55,listaBolsa!$D$2:$BA$1248,36,0)</f>
        <v>SUPERMERCADOEURO</v>
      </c>
      <c r="DI55" s="7">
        <f>VLOOKUP(D55,listaBolsa!$D$2:$BA$1248,40,0)</f>
        <v>6090</v>
      </c>
      <c r="DJ55" s="252">
        <f>VLOOKUP(D55,listaBolsa!$D$2:$BA$1248,48,0)</f>
        <v>0.13919999999999999</v>
      </c>
      <c r="DK55" s="7" t="b">
        <f t="shared" si="34"/>
        <v>1</v>
      </c>
      <c r="DL55" s="7" t="b">
        <f t="shared" si="35"/>
        <v>0</v>
      </c>
      <c r="DM55" s="7" t="b">
        <f t="shared" si="36"/>
        <v>1</v>
      </c>
      <c r="DN55" s="7" t="b">
        <f t="shared" si="37"/>
        <v>1</v>
      </c>
      <c r="DO55" s="7" t="b">
        <f t="shared" si="38"/>
        <v>1</v>
      </c>
      <c r="DP55" s="7" t="b">
        <f t="shared" si="39"/>
        <v>0</v>
      </c>
      <c r="DQ55" s="7" t="b">
        <f t="shared" si="40"/>
        <v>1</v>
      </c>
      <c r="DR55" s="7" t="b">
        <f t="shared" si="41"/>
        <v>1</v>
      </c>
      <c r="DS55" s="7" t="b">
        <f t="shared" si="42"/>
        <v>0</v>
      </c>
    </row>
    <row r="56" spans="1:123" s="7" customFormat="1" ht="42">
      <c r="A56" s="7" t="s">
        <v>173</v>
      </c>
      <c r="B56" s="453">
        <v>45</v>
      </c>
      <c r="C56" s="642" t="s">
        <v>309</v>
      </c>
      <c r="D56" s="453" t="s">
        <v>340</v>
      </c>
      <c r="E56" s="453" t="s">
        <v>340</v>
      </c>
      <c r="F56" s="194" t="s">
        <v>191</v>
      </c>
      <c r="G56" s="453">
        <v>81</v>
      </c>
      <c r="H56" s="443" t="s">
        <v>192</v>
      </c>
      <c r="I56" s="454" t="s">
        <v>341</v>
      </c>
      <c r="J56" s="455">
        <v>15966.386554621849</v>
      </c>
      <c r="K56" s="455">
        <f t="shared" si="43"/>
        <v>3033.6134453781515</v>
      </c>
      <c r="L56" s="455">
        <f t="shared" si="44"/>
        <v>19000</v>
      </c>
      <c r="M56" s="455">
        <f t="shared" si="45"/>
        <v>1293277.3109243698</v>
      </c>
      <c r="N56" s="455">
        <f t="shared" si="46"/>
        <v>1539000</v>
      </c>
      <c r="O56" s="456" t="s">
        <v>194</v>
      </c>
      <c r="P56" s="457">
        <v>15000</v>
      </c>
      <c r="Q56" s="457">
        <f t="shared" si="29"/>
        <v>2850</v>
      </c>
      <c r="R56" s="457">
        <f t="shared" si="30"/>
        <v>17850</v>
      </c>
      <c r="S56" s="457">
        <f t="shared" si="31"/>
        <v>1215000</v>
      </c>
      <c r="T56" s="457">
        <f t="shared" si="32"/>
        <v>1445850</v>
      </c>
      <c r="U56" s="458" t="s">
        <v>342</v>
      </c>
      <c r="V56" s="459">
        <v>13361.344537815126</v>
      </c>
      <c r="W56" s="459">
        <f t="shared" si="47"/>
        <v>2538.6554621848741</v>
      </c>
      <c r="X56" s="459">
        <f t="shared" si="48"/>
        <v>15900</v>
      </c>
      <c r="Y56" s="459">
        <f t="shared" si="49"/>
        <v>1082268.9075630251</v>
      </c>
      <c r="Z56" s="459">
        <f t="shared" si="50"/>
        <v>1287900</v>
      </c>
      <c r="AA56" s="460">
        <f t="shared" si="51"/>
        <v>17583.333333333332</v>
      </c>
      <c r="AB56" s="460">
        <f t="shared" si="52"/>
        <v>1424250</v>
      </c>
      <c r="AC56" s="461">
        <f t="shared" si="53"/>
        <v>126935.89917749824</v>
      </c>
      <c r="AD56" s="427">
        <f t="shared" si="33"/>
        <v>8.912473173775548E-2</v>
      </c>
      <c r="AE56" s="428"/>
      <c r="BH56" s="7">
        <v>59</v>
      </c>
      <c r="DB56" s="7" t="e">
        <f>VLOOKUP(D56,listaBolsa!$D$2:$BA$1248,1,0)</f>
        <v>#N/A</v>
      </c>
      <c r="DC56" s="7" t="e">
        <f>VLOOKUP(D56,listaBolsa!$D$2:$BA$1248,2,0)</f>
        <v>#N/A</v>
      </c>
      <c r="DD56" s="7" t="e">
        <f>VLOOKUP(D56,listaBolsa!$D$2:$BA$1248,10,0)</f>
        <v>#N/A</v>
      </c>
      <c r="DE56" s="7" t="e">
        <f>VLOOKUP(D56,listaBolsa!$D$2:$BA$1248,14,0)</f>
        <v>#N/A</v>
      </c>
      <c r="DF56" s="7" t="e">
        <f>VLOOKUP(D56,listaBolsa!$D$2:$BA$1248,23,0)</f>
        <v>#N/A</v>
      </c>
      <c r="DG56" s="7" t="e">
        <f>VLOOKUP(D56,listaBolsa!$D$2:$BA$1248,29,0)</f>
        <v>#N/A</v>
      </c>
      <c r="DH56" s="7" t="e">
        <f>VLOOKUP(D56,listaBolsa!$D$2:$BA$1248,36,0)</f>
        <v>#N/A</v>
      </c>
      <c r="DI56" s="7" t="e">
        <f>VLOOKUP(D56,listaBolsa!$D$2:$BA$1248,40,0)</f>
        <v>#N/A</v>
      </c>
      <c r="DJ56" s="252" t="e">
        <f>VLOOKUP(D56,listaBolsa!$D$2:$BA$1248,48,0)</f>
        <v>#N/A</v>
      </c>
      <c r="DK56" s="7" t="e">
        <f t="shared" si="34"/>
        <v>#N/A</v>
      </c>
      <c r="DL56" s="7" t="e">
        <f t="shared" si="35"/>
        <v>#N/A</v>
      </c>
      <c r="DM56" s="7" t="e">
        <f t="shared" si="36"/>
        <v>#N/A</v>
      </c>
      <c r="DN56" s="7" t="e">
        <f t="shared" si="37"/>
        <v>#N/A</v>
      </c>
      <c r="DO56" s="7" t="e">
        <f t="shared" si="38"/>
        <v>#N/A</v>
      </c>
      <c r="DP56" s="7" t="e">
        <f t="shared" si="39"/>
        <v>#N/A</v>
      </c>
      <c r="DQ56" s="7" t="e">
        <f t="shared" si="40"/>
        <v>#N/A</v>
      </c>
      <c r="DR56" s="7" t="e">
        <f t="shared" si="41"/>
        <v>#N/A</v>
      </c>
      <c r="DS56" s="7" t="e">
        <f t="shared" si="42"/>
        <v>#N/A</v>
      </c>
    </row>
    <row r="57" spans="1:123" s="7" customFormat="1" ht="72">
      <c r="A57" s="7" t="s">
        <v>173</v>
      </c>
      <c r="B57" s="453">
        <v>46</v>
      </c>
      <c r="C57" s="642" t="s">
        <v>309</v>
      </c>
      <c r="D57" s="453" t="s">
        <v>344</v>
      </c>
      <c r="E57" s="453" t="s">
        <v>345</v>
      </c>
      <c r="F57" s="194" t="s">
        <v>191</v>
      </c>
      <c r="G57" s="453">
        <v>3</v>
      </c>
      <c r="H57" s="443" t="s">
        <v>192</v>
      </c>
      <c r="I57" s="454" t="s">
        <v>193</v>
      </c>
      <c r="J57" s="455">
        <v>15000</v>
      </c>
      <c r="K57" s="455">
        <f t="shared" si="43"/>
        <v>2850</v>
      </c>
      <c r="L57" s="455">
        <f t="shared" si="44"/>
        <v>17850</v>
      </c>
      <c r="M57" s="455">
        <f t="shared" si="45"/>
        <v>45000</v>
      </c>
      <c r="N57" s="455">
        <f t="shared" si="46"/>
        <v>53550</v>
      </c>
      <c r="O57" s="456" t="s">
        <v>194</v>
      </c>
      <c r="P57" s="457">
        <v>15000</v>
      </c>
      <c r="Q57" s="457">
        <f t="shared" si="29"/>
        <v>2850</v>
      </c>
      <c r="R57" s="457">
        <f t="shared" si="30"/>
        <v>17850</v>
      </c>
      <c r="S57" s="457">
        <f t="shared" si="31"/>
        <v>45000</v>
      </c>
      <c r="T57" s="457">
        <f t="shared" si="32"/>
        <v>53550</v>
      </c>
      <c r="U57" s="458" t="s">
        <v>346</v>
      </c>
      <c r="V57" s="459">
        <v>11893.27731092437</v>
      </c>
      <c r="W57" s="459">
        <f t="shared" si="47"/>
        <v>2259.7226890756301</v>
      </c>
      <c r="X57" s="459">
        <f t="shared" si="48"/>
        <v>14153</v>
      </c>
      <c r="Y57" s="459">
        <f t="shared" si="49"/>
        <v>35679.831932773108</v>
      </c>
      <c r="Z57" s="459">
        <f t="shared" si="50"/>
        <v>42459</v>
      </c>
      <c r="AA57" s="460">
        <f t="shared" si="51"/>
        <v>16617.666666666668</v>
      </c>
      <c r="AB57" s="460">
        <f t="shared" si="52"/>
        <v>49853</v>
      </c>
      <c r="AC57" s="461">
        <f t="shared" si="53"/>
        <v>6403.3918355821397</v>
      </c>
      <c r="AD57" s="427">
        <f t="shared" si="33"/>
        <v>0.12844546638280824</v>
      </c>
      <c r="AE57" s="428"/>
      <c r="BH57" s="7">
        <v>60</v>
      </c>
      <c r="DB57" s="7" t="str">
        <f>VLOOKUP(D57,listaBolsa!$D$2:$BA$1248,1,0)</f>
        <v>Alcohol</v>
      </c>
      <c r="DC57" s="7">
        <f>VLOOKUP(D57,listaBolsa!$D$2:$BA$1248,2,0)</f>
        <v>0</v>
      </c>
      <c r="DD57" s="7" t="str">
        <f>VLOOKUP(D57,listaBolsa!$D$2:$BA$1248,10,0)</f>
        <v>AVANCE ORGANIZACIONAL CONSULTORES SAS</v>
      </c>
      <c r="DE57" s="7">
        <f>VLOOKUP(D57,listaBolsa!$D$2:$BA$1248,14,0)</f>
        <v>15000</v>
      </c>
      <c r="DF57" s="7" t="str">
        <f>VLOOKUP(D57,listaBolsa!$D$2:$BA$1248,23,0)</f>
        <v>SIDED</v>
      </c>
      <c r="DG57" s="7">
        <f>VLOOKUP(D57,listaBolsa!$D$2:$BA$1248,29,0)</f>
        <v>17850</v>
      </c>
      <c r="DH57" s="7" t="str">
        <f>VLOOKUP(D57,listaBolsa!$D$2:$BA$1248,36,0)</f>
        <v>DROGUERIA PASTEUR</v>
      </c>
      <c r="DI57" s="7">
        <f>VLOOKUP(D57,listaBolsa!$D$2:$BA$1248,40,0)</f>
        <v>11893.28</v>
      </c>
      <c r="DJ57" s="252">
        <f>VLOOKUP(D57,listaBolsa!$D$2:$BA$1248,48,0)</f>
        <v>0.12839999999999999</v>
      </c>
      <c r="DK57" s="7" t="b">
        <f t="shared" si="34"/>
        <v>1</v>
      </c>
      <c r="DL57" s="7" t="b">
        <f t="shared" si="35"/>
        <v>0</v>
      </c>
      <c r="DM57" s="7" t="b">
        <f t="shared" si="36"/>
        <v>1</v>
      </c>
      <c r="DN57" s="7" t="b">
        <f t="shared" si="37"/>
        <v>1</v>
      </c>
      <c r="DO57" s="7" t="b">
        <f t="shared" si="38"/>
        <v>1</v>
      </c>
      <c r="DP57" s="7" t="b">
        <f t="shared" si="39"/>
        <v>0</v>
      </c>
      <c r="DQ57" s="7" t="b">
        <f t="shared" si="40"/>
        <v>1</v>
      </c>
      <c r="DR57" s="7" t="b">
        <f t="shared" si="41"/>
        <v>0</v>
      </c>
      <c r="DS57" s="7" t="b">
        <f t="shared" si="42"/>
        <v>0</v>
      </c>
    </row>
    <row r="58" spans="1:123" s="7" customFormat="1" ht="42">
      <c r="A58" s="7" t="s">
        <v>173</v>
      </c>
      <c r="B58" s="453">
        <v>47</v>
      </c>
      <c r="C58" s="642" t="s">
        <v>309</v>
      </c>
      <c r="D58" s="453" t="s">
        <v>348</v>
      </c>
      <c r="E58" s="453" t="s">
        <v>349</v>
      </c>
      <c r="F58" s="194" t="s">
        <v>191</v>
      </c>
      <c r="G58" s="453">
        <v>150</v>
      </c>
      <c r="H58" s="443" t="s">
        <v>192</v>
      </c>
      <c r="I58" s="454" t="s">
        <v>350</v>
      </c>
      <c r="J58" s="455">
        <v>469</v>
      </c>
      <c r="K58" s="455">
        <f t="shared" si="43"/>
        <v>89.11</v>
      </c>
      <c r="L58" s="455">
        <f t="shared" si="44"/>
        <v>558.11</v>
      </c>
      <c r="M58" s="455">
        <f t="shared" si="45"/>
        <v>70350</v>
      </c>
      <c r="N58" s="455">
        <f t="shared" si="46"/>
        <v>83716.5</v>
      </c>
      <c r="O58" s="456" t="s">
        <v>351</v>
      </c>
      <c r="P58" s="457">
        <v>364.70588235294122</v>
      </c>
      <c r="Q58" s="457">
        <f t="shared" si="29"/>
        <v>69.294117647058826</v>
      </c>
      <c r="R58" s="457">
        <f t="shared" si="30"/>
        <v>434.00000000000006</v>
      </c>
      <c r="S58" s="457">
        <f t="shared" si="31"/>
        <v>54705.882352941182</v>
      </c>
      <c r="T58" s="457">
        <f t="shared" si="32"/>
        <v>65100.000000000007</v>
      </c>
      <c r="U58" s="458" t="s">
        <v>352</v>
      </c>
      <c r="V58" s="459">
        <v>461</v>
      </c>
      <c r="W58" s="459">
        <f t="shared" si="47"/>
        <v>87.59</v>
      </c>
      <c r="X58" s="459">
        <f t="shared" si="48"/>
        <v>548.59</v>
      </c>
      <c r="Y58" s="459">
        <f t="shared" si="49"/>
        <v>69150</v>
      </c>
      <c r="Z58" s="459">
        <f t="shared" si="50"/>
        <v>82288.5</v>
      </c>
      <c r="AA58" s="460">
        <f t="shared" si="51"/>
        <v>513.56666666666672</v>
      </c>
      <c r="AB58" s="460">
        <f t="shared" si="52"/>
        <v>77035.000000000015</v>
      </c>
      <c r="AC58" s="461">
        <f t="shared" si="53"/>
        <v>10360.644996813664</v>
      </c>
      <c r="AD58" s="427">
        <f t="shared" si="33"/>
        <v>0.13449269808286704</v>
      </c>
      <c r="AE58" s="428"/>
      <c r="BH58" s="7">
        <v>61</v>
      </c>
      <c r="DB58" s="7" t="e">
        <f>VLOOKUP(D58,listaBolsa!$D$2:$BA$1248,1,0)</f>
        <v>#N/A</v>
      </c>
      <c r="DC58" s="7" t="e">
        <f>VLOOKUP(D58,listaBolsa!$D$2:$BA$1248,2,0)</f>
        <v>#N/A</v>
      </c>
      <c r="DD58" s="7" t="e">
        <f>VLOOKUP(D58,listaBolsa!$D$2:$BA$1248,10,0)</f>
        <v>#N/A</v>
      </c>
      <c r="DE58" s="7" t="e">
        <f>VLOOKUP(D58,listaBolsa!$D$2:$BA$1248,14,0)</f>
        <v>#N/A</v>
      </c>
      <c r="DF58" s="7" t="e">
        <f>VLOOKUP(D58,listaBolsa!$D$2:$BA$1248,23,0)</f>
        <v>#N/A</v>
      </c>
      <c r="DG58" s="7" t="e">
        <f>VLOOKUP(D58,listaBolsa!$D$2:$BA$1248,29,0)</f>
        <v>#N/A</v>
      </c>
      <c r="DH58" s="7" t="e">
        <f>VLOOKUP(D58,listaBolsa!$D$2:$BA$1248,36,0)</f>
        <v>#N/A</v>
      </c>
      <c r="DI58" s="7" t="e">
        <f>VLOOKUP(D58,listaBolsa!$D$2:$BA$1248,40,0)</f>
        <v>#N/A</v>
      </c>
      <c r="DJ58" s="252" t="e">
        <f>VLOOKUP(D58,listaBolsa!$D$2:$BA$1248,48,0)</f>
        <v>#N/A</v>
      </c>
      <c r="DK58" s="7" t="e">
        <f t="shared" si="34"/>
        <v>#N/A</v>
      </c>
      <c r="DL58" s="7" t="e">
        <f t="shared" si="35"/>
        <v>#N/A</v>
      </c>
      <c r="DM58" s="7" t="e">
        <f t="shared" si="36"/>
        <v>#N/A</v>
      </c>
      <c r="DN58" s="7" t="e">
        <f t="shared" si="37"/>
        <v>#N/A</v>
      </c>
      <c r="DO58" s="7" t="e">
        <f t="shared" si="38"/>
        <v>#N/A</v>
      </c>
      <c r="DP58" s="7" t="e">
        <f t="shared" si="39"/>
        <v>#N/A</v>
      </c>
      <c r="DQ58" s="7" t="e">
        <f t="shared" si="40"/>
        <v>#N/A</v>
      </c>
      <c r="DR58" s="7" t="e">
        <f t="shared" si="41"/>
        <v>#N/A</v>
      </c>
      <c r="DS58" s="7" t="e">
        <f t="shared" si="42"/>
        <v>#N/A</v>
      </c>
    </row>
    <row r="59" spans="1:123" s="7" customFormat="1" ht="43.15">
      <c r="A59" s="7" t="s">
        <v>173</v>
      </c>
      <c r="B59" s="453">
        <v>48</v>
      </c>
      <c r="C59" s="642" t="s">
        <v>309</v>
      </c>
      <c r="D59" s="453" t="s">
        <v>354</v>
      </c>
      <c r="E59" s="453" t="s">
        <v>355</v>
      </c>
      <c r="F59" s="194" t="s">
        <v>191</v>
      </c>
      <c r="G59" s="453">
        <v>150</v>
      </c>
      <c r="H59" s="443" t="s">
        <v>192</v>
      </c>
      <c r="I59" s="454" t="s">
        <v>356</v>
      </c>
      <c r="J59" s="455">
        <v>67.226890756302524</v>
      </c>
      <c r="K59" s="455">
        <f t="shared" si="43"/>
        <v>12.77310924369748</v>
      </c>
      <c r="L59" s="455">
        <f t="shared" si="44"/>
        <v>80</v>
      </c>
      <c r="M59" s="455">
        <f t="shared" si="45"/>
        <v>10084.033613445379</v>
      </c>
      <c r="N59" s="455">
        <f t="shared" si="46"/>
        <v>12000</v>
      </c>
      <c r="O59" s="456" t="s">
        <v>357</v>
      </c>
      <c r="P59" s="457">
        <v>88</v>
      </c>
      <c r="Q59" s="457">
        <f t="shared" si="29"/>
        <v>16.72</v>
      </c>
      <c r="R59" s="457">
        <f t="shared" si="30"/>
        <v>104.72</v>
      </c>
      <c r="S59" s="457">
        <f t="shared" si="31"/>
        <v>13200</v>
      </c>
      <c r="T59" s="457">
        <f t="shared" si="32"/>
        <v>15708</v>
      </c>
      <c r="U59" s="458" t="s">
        <v>358</v>
      </c>
      <c r="V59" s="459">
        <v>85</v>
      </c>
      <c r="W59" s="459">
        <f t="shared" si="47"/>
        <v>16.149999999999999</v>
      </c>
      <c r="X59" s="459">
        <f t="shared" si="48"/>
        <v>101.15</v>
      </c>
      <c r="Y59" s="459">
        <f t="shared" si="49"/>
        <v>12750</v>
      </c>
      <c r="Z59" s="459">
        <f t="shared" si="50"/>
        <v>15172.5</v>
      </c>
      <c r="AA59" s="460">
        <f t="shared" si="51"/>
        <v>95.29</v>
      </c>
      <c r="AB59" s="460">
        <f t="shared" si="52"/>
        <v>14293.500000000002</v>
      </c>
      <c r="AC59" s="461">
        <f t="shared" si="53"/>
        <v>2004.1947884374911</v>
      </c>
      <c r="AD59" s="427">
        <f t="shared" si="33"/>
        <v>0.1402172168074643</v>
      </c>
      <c r="AE59" s="428" t="s">
        <v>359</v>
      </c>
      <c r="BH59" s="7">
        <v>62</v>
      </c>
      <c r="DB59" s="7" t="str">
        <f>VLOOKUP(D59,listaBolsa!$D$2:$BA$1248,1,0)</f>
        <v>Tapas para botella</v>
      </c>
      <c r="DC59" s="7">
        <f>VLOOKUP(D59,listaBolsa!$D$2:$BA$1248,2,0)</f>
        <v>0</v>
      </c>
      <c r="DD59" s="7" t="str">
        <f>VLOOKUP(D59,listaBolsa!$D$2:$BA$1248,10,0)</f>
        <v>SOLOENVASES</v>
      </c>
      <c r="DE59" s="7">
        <f>VLOOKUP(D59,listaBolsa!$D$2:$BA$1248,14,0)</f>
        <v>67.23</v>
      </c>
      <c r="DF59" s="7" t="str">
        <f>VLOOKUP(D59,listaBolsa!$D$2:$BA$1248,23,0)</f>
        <v>UNICORSA S.A</v>
      </c>
      <c r="DG59" s="7">
        <f>VLOOKUP(D59,listaBolsa!$D$2:$BA$1248,29,0)</f>
        <v>105</v>
      </c>
      <c r="DH59" s="7" t="str">
        <f>VLOOKUP(D59,listaBolsa!$D$2:$BA$1248,36,0)</f>
        <v>TECNOPRES GRAFICA S.A</v>
      </c>
      <c r="DI59" s="7">
        <f>VLOOKUP(D59,listaBolsa!$D$2:$BA$1248,40,0)</f>
        <v>85</v>
      </c>
      <c r="DJ59" s="252">
        <f>VLOOKUP(D59,listaBolsa!$D$2:$BA$1248,48,0)</f>
        <v>0.14019999999999999</v>
      </c>
      <c r="DK59" s="7" t="b">
        <f t="shared" si="34"/>
        <v>1</v>
      </c>
      <c r="DL59" s="7" t="b">
        <f t="shared" si="35"/>
        <v>0</v>
      </c>
      <c r="DM59" s="7" t="b">
        <f t="shared" si="36"/>
        <v>1</v>
      </c>
      <c r="DN59" s="7" t="b">
        <f t="shared" si="37"/>
        <v>0</v>
      </c>
      <c r="DO59" s="7" t="b">
        <f t="shared" si="38"/>
        <v>1</v>
      </c>
      <c r="DP59" s="7" t="b">
        <f t="shared" si="39"/>
        <v>0</v>
      </c>
      <c r="DQ59" s="7" t="b">
        <f t="shared" si="40"/>
        <v>1</v>
      </c>
      <c r="DR59" s="7" t="b">
        <f t="shared" si="41"/>
        <v>1</v>
      </c>
      <c r="DS59" s="7" t="b">
        <f t="shared" si="42"/>
        <v>0</v>
      </c>
    </row>
    <row r="60" spans="1:123" s="7" customFormat="1" ht="42">
      <c r="A60" s="7" t="s">
        <v>173</v>
      </c>
      <c r="B60" s="453">
        <v>49</v>
      </c>
      <c r="C60" s="642" t="s">
        <v>309</v>
      </c>
      <c r="D60" s="453" t="s">
        <v>361</v>
      </c>
      <c r="E60" s="453" t="s">
        <v>362</v>
      </c>
      <c r="F60" s="194" t="s">
        <v>191</v>
      </c>
      <c r="G60" s="453">
        <v>5</v>
      </c>
      <c r="H60" s="443" t="s">
        <v>192</v>
      </c>
      <c r="I60" s="454" t="s">
        <v>363</v>
      </c>
      <c r="J60" s="455">
        <v>3949.5798319327728</v>
      </c>
      <c r="K60" s="455">
        <f t="shared" si="43"/>
        <v>750.42016806722688</v>
      </c>
      <c r="L60" s="455">
        <f t="shared" si="44"/>
        <v>4700</v>
      </c>
      <c r="M60" s="455">
        <f t="shared" si="45"/>
        <v>19747.899159663863</v>
      </c>
      <c r="N60" s="455">
        <f t="shared" si="46"/>
        <v>23500</v>
      </c>
      <c r="O60" s="456" t="s">
        <v>364</v>
      </c>
      <c r="P60" s="457">
        <v>3529.411764705882</v>
      </c>
      <c r="Q60" s="457">
        <f t="shared" si="29"/>
        <v>670.58823529411757</v>
      </c>
      <c r="R60" s="457">
        <f t="shared" si="30"/>
        <v>4200</v>
      </c>
      <c r="S60" s="457">
        <f t="shared" si="31"/>
        <v>17647.058823529409</v>
      </c>
      <c r="T60" s="457">
        <f t="shared" si="32"/>
        <v>21000</v>
      </c>
      <c r="U60" s="458" t="s">
        <v>365</v>
      </c>
      <c r="V60" s="459">
        <v>4621.8487394957983</v>
      </c>
      <c r="W60" s="459">
        <f t="shared" si="47"/>
        <v>878.15126050420167</v>
      </c>
      <c r="X60" s="459">
        <f t="shared" si="48"/>
        <v>5500</v>
      </c>
      <c r="Y60" s="459">
        <f t="shared" si="49"/>
        <v>23109.243697478993</v>
      </c>
      <c r="Z60" s="459">
        <f t="shared" si="50"/>
        <v>27500</v>
      </c>
      <c r="AA60" s="460">
        <f t="shared" si="51"/>
        <v>4800</v>
      </c>
      <c r="AB60" s="460">
        <f t="shared" si="52"/>
        <v>24000</v>
      </c>
      <c r="AC60" s="461">
        <f t="shared" si="53"/>
        <v>3278.7192621510003</v>
      </c>
      <c r="AD60" s="427">
        <f t="shared" si="33"/>
        <v>0.13661330258962501</v>
      </c>
      <c r="AE60" s="428"/>
      <c r="BH60" s="7">
        <v>63</v>
      </c>
      <c r="DB60" s="7" t="str">
        <f>VLOOKUP(D60,listaBolsa!$D$2:$BA$1248,1,0)</f>
        <v>Glicerina vegetal</v>
      </c>
      <c r="DC60" s="7">
        <f>VLOOKUP(D60,listaBolsa!$D$2:$BA$1248,2,0)</f>
        <v>0</v>
      </c>
      <c r="DD60" s="7" t="str">
        <f>VLOOKUP(D60,listaBolsa!$D$2:$BA$1248,10,0)</f>
        <v>INSUMOS MYM</v>
      </c>
      <c r="DE60" s="7">
        <f>VLOOKUP(D60,listaBolsa!$D$2:$BA$1248,14,0)</f>
        <v>3949.58</v>
      </c>
      <c r="DF60" s="7" t="str">
        <f>VLOOKUP(D60,listaBolsa!$D$2:$BA$1248,23,0)</f>
        <v>QUIMICOS PROQUIMPI</v>
      </c>
      <c r="DG60" s="7">
        <f>VLOOKUP(D60,listaBolsa!$D$2:$BA$1248,29,0)</f>
        <v>4200</v>
      </c>
      <c r="DH60" s="7" t="str">
        <f>VLOOKUP(D60,listaBolsa!$D$2:$BA$1248,36,0)</f>
        <v>BODEGA PORTILLA</v>
      </c>
      <c r="DI60" s="7">
        <f>VLOOKUP(D60,listaBolsa!$D$2:$BA$1248,40,0)</f>
        <v>4621.8500000000004</v>
      </c>
      <c r="DJ60" s="252">
        <f>VLOOKUP(D60,listaBolsa!$D$2:$BA$1248,48,0)</f>
        <v>0.1366</v>
      </c>
      <c r="DK60" s="7" t="b">
        <f t="shared" si="34"/>
        <v>1</v>
      </c>
      <c r="DL60" s="7" t="b">
        <f t="shared" si="35"/>
        <v>0</v>
      </c>
      <c r="DM60" s="7" t="b">
        <f t="shared" si="36"/>
        <v>1</v>
      </c>
      <c r="DN60" s="7" t="b">
        <f t="shared" si="37"/>
        <v>0</v>
      </c>
      <c r="DO60" s="7" t="b">
        <f t="shared" si="38"/>
        <v>1</v>
      </c>
      <c r="DP60" s="7" t="b">
        <f t="shared" si="39"/>
        <v>0</v>
      </c>
      <c r="DQ60" s="7" t="b">
        <f t="shared" si="40"/>
        <v>1</v>
      </c>
      <c r="DR60" s="7" t="b">
        <f t="shared" si="41"/>
        <v>0</v>
      </c>
      <c r="DS60" s="7" t="b">
        <f t="shared" si="42"/>
        <v>0</v>
      </c>
    </row>
    <row r="61" spans="1:123" s="7" customFormat="1" ht="42">
      <c r="A61" s="7" t="s">
        <v>173</v>
      </c>
      <c r="B61" s="453">
        <v>50</v>
      </c>
      <c r="C61" s="642" t="s">
        <v>309</v>
      </c>
      <c r="D61" s="453" t="s">
        <v>367</v>
      </c>
      <c r="E61" s="453" t="s">
        <v>368</v>
      </c>
      <c r="F61" s="194" t="s">
        <v>191</v>
      </c>
      <c r="G61" s="453">
        <v>1</v>
      </c>
      <c r="H61" s="443" t="s">
        <v>192</v>
      </c>
      <c r="I61" s="454" t="s">
        <v>193</v>
      </c>
      <c r="J61" s="455">
        <v>190000</v>
      </c>
      <c r="K61" s="455">
        <f t="shared" si="43"/>
        <v>36100</v>
      </c>
      <c r="L61" s="455">
        <f t="shared" si="44"/>
        <v>226100</v>
      </c>
      <c r="M61" s="455">
        <f t="shared" si="45"/>
        <v>190000</v>
      </c>
      <c r="N61" s="455">
        <f t="shared" si="46"/>
        <v>226100</v>
      </c>
      <c r="O61" s="456" t="s">
        <v>194</v>
      </c>
      <c r="P61" s="457">
        <v>190000</v>
      </c>
      <c r="Q61" s="457">
        <f t="shared" si="29"/>
        <v>36100</v>
      </c>
      <c r="R61" s="457">
        <f t="shared" si="30"/>
        <v>226100</v>
      </c>
      <c r="S61" s="457">
        <f t="shared" si="31"/>
        <v>190000</v>
      </c>
      <c r="T61" s="457">
        <f t="shared" si="32"/>
        <v>226100</v>
      </c>
      <c r="U61" s="458"/>
      <c r="V61" s="459"/>
      <c r="W61" s="459"/>
      <c r="X61" s="459"/>
      <c r="Y61" s="459"/>
      <c r="Z61" s="459"/>
      <c r="AA61" s="460">
        <f>IF(B61="","",AVERAGE(L61,R61))</f>
        <v>226100</v>
      </c>
      <c r="AB61" s="460">
        <f t="shared" si="52"/>
        <v>226100</v>
      </c>
      <c r="AC61" s="461">
        <f>IF(C61="","",STDEV(N61,T61))</f>
        <v>0</v>
      </c>
      <c r="AD61" s="427">
        <f t="shared" si="33"/>
        <v>0</v>
      </c>
      <c r="AE61" s="428"/>
      <c r="BH61" s="7">
        <v>64</v>
      </c>
      <c r="DB61" s="7" t="e">
        <f>VLOOKUP(D61,listaBolsa!$D$2:$BA$1248,1,0)</f>
        <v>#N/A</v>
      </c>
      <c r="DC61" s="7" t="e">
        <f>VLOOKUP(D61,listaBolsa!$D$2:$BA$1248,2,0)</f>
        <v>#N/A</v>
      </c>
      <c r="DD61" s="7" t="e">
        <f>VLOOKUP(D61,listaBolsa!$D$2:$BA$1248,10,0)</f>
        <v>#N/A</v>
      </c>
      <c r="DE61" s="7" t="e">
        <f>VLOOKUP(D61,listaBolsa!$D$2:$BA$1248,14,0)</f>
        <v>#N/A</v>
      </c>
      <c r="DF61" s="7" t="e">
        <f>VLOOKUP(D61,listaBolsa!$D$2:$BA$1248,23,0)</f>
        <v>#N/A</v>
      </c>
      <c r="DG61" s="7" t="e">
        <f>VLOOKUP(D61,listaBolsa!$D$2:$BA$1248,29,0)</f>
        <v>#N/A</v>
      </c>
      <c r="DH61" s="7" t="e">
        <f>VLOOKUP(D61,listaBolsa!$D$2:$BA$1248,36,0)</f>
        <v>#N/A</v>
      </c>
      <c r="DI61" s="7" t="e">
        <f>VLOOKUP(D61,listaBolsa!$D$2:$BA$1248,40,0)</f>
        <v>#N/A</v>
      </c>
      <c r="DJ61" s="252" t="e">
        <f>VLOOKUP(D61,listaBolsa!$D$2:$BA$1248,48,0)</f>
        <v>#N/A</v>
      </c>
      <c r="DK61" s="7" t="e">
        <f t="shared" si="34"/>
        <v>#N/A</v>
      </c>
      <c r="DL61" s="7" t="e">
        <f t="shared" si="35"/>
        <v>#N/A</v>
      </c>
      <c r="DM61" s="7" t="e">
        <f t="shared" si="36"/>
        <v>#N/A</v>
      </c>
      <c r="DN61" s="7" t="e">
        <f t="shared" si="37"/>
        <v>#N/A</v>
      </c>
      <c r="DO61" s="7" t="e">
        <f t="shared" si="38"/>
        <v>#N/A</v>
      </c>
      <c r="DP61" s="7" t="e">
        <f t="shared" si="39"/>
        <v>#N/A</v>
      </c>
      <c r="DQ61" s="7" t="e">
        <f t="shared" si="40"/>
        <v>#N/A</v>
      </c>
      <c r="DR61" s="7" t="e">
        <f t="shared" si="41"/>
        <v>#N/A</v>
      </c>
      <c r="DS61" s="7" t="e">
        <f t="shared" si="42"/>
        <v>#N/A</v>
      </c>
    </row>
    <row r="62" spans="1:123" s="7" customFormat="1" ht="42">
      <c r="A62" s="7" t="s">
        <v>173</v>
      </c>
      <c r="B62" s="453">
        <v>51</v>
      </c>
      <c r="C62" s="642" t="s">
        <v>309</v>
      </c>
      <c r="D62" s="453" t="s">
        <v>370</v>
      </c>
      <c r="E62" s="453" t="s">
        <v>371</v>
      </c>
      <c r="F62" s="194" t="s">
        <v>191</v>
      </c>
      <c r="G62" s="453">
        <v>1</v>
      </c>
      <c r="H62" s="443" t="s">
        <v>192</v>
      </c>
      <c r="I62" s="454" t="s">
        <v>193</v>
      </c>
      <c r="J62" s="455">
        <v>250000</v>
      </c>
      <c r="K62" s="455">
        <f t="shared" si="43"/>
        <v>47500</v>
      </c>
      <c r="L62" s="455">
        <f t="shared" si="44"/>
        <v>297500</v>
      </c>
      <c r="M62" s="455">
        <f t="shared" si="45"/>
        <v>250000</v>
      </c>
      <c r="N62" s="455">
        <f t="shared" si="46"/>
        <v>297500</v>
      </c>
      <c r="O62" s="456" t="s">
        <v>194</v>
      </c>
      <c r="P62" s="457">
        <v>250000</v>
      </c>
      <c r="Q62" s="457">
        <f t="shared" si="29"/>
        <v>47500</v>
      </c>
      <c r="R62" s="457">
        <f t="shared" si="30"/>
        <v>297500</v>
      </c>
      <c r="S62" s="457">
        <f t="shared" si="31"/>
        <v>250000</v>
      </c>
      <c r="T62" s="457">
        <f t="shared" si="32"/>
        <v>297500</v>
      </c>
      <c r="U62" s="458"/>
      <c r="V62" s="459"/>
      <c r="W62" s="459"/>
      <c r="X62" s="459"/>
      <c r="Y62" s="459"/>
      <c r="Z62" s="459"/>
      <c r="AA62" s="460">
        <f>IF(B62="","",AVERAGE(L62,R62))</f>
        <v>297500</v>
      </c>
      <c r="AB62" s="460">
        <f t="shared" si="52"/>
        <v>297500</v>
      </c>
      <c r="AC62" s="461">
        <f>IF(C62="","",STDEV(N62,T62))</f>
        <v>0</v>
      </c>
      <c r="AD62" s="427">
        <f t="shared" si="33"/>
        <v>0</v>
      </c>
      <c r="AE62" s="428"/>
      <c r="BH62" s="7">
        <v>65</v>
      </c>
      <c r="DB62" s="7" t="e">
        <f>VLOOKUP(D62,listaBolsa!$D$2:$BA$1248,1,0)</f>
        <v>#N/A</v>
      </c>
      <c r="DC62" s="7" t="e">
        <f>VLOOKUP(D62,listaBolsa!$D$2:$BA$1248,2,0)</f>
        <v>#N/A</v>
      </c>
      <c r="DD62" s="7" t="e">
        <f>VLOOKUP(D62,listaBolsa!$D$2:$BA$1248,10,0)</f>
        <v>#N/A</v>
      </c>
      <c r="DE62" s="7" t="e">
        <f>VLOOKUP(D62,listaBolsa!$D$2:$BA$1248,14,0)</f>
        <v>#N/A</v>
      </c>
      <c r="DF62" s="7" t="e">
        <f>VLOOKUP(D62,listaBolsa!$D$2:$BA$1248,23,0)</f>
        <v>#N/A</v>
      </c>
      <c r="DG62" s="7" t="e">
        <f>VLOOKUP(D62,listaBolsa!$D$2:$BA$1248,29,0)</f>
        <v>#N/A</v>
      </c>
      <c r="DH62" s="7" t="e">
        <f>VLOOKUP(D62,listaBolsa!$D$2:$BA$1248,36,0)</f>
        <v>#N/A</v>
      </c>
      <c r="DI62" s="7" t="e">
        <f>VLOOKUP(D62,listaBolsa!$D$2:$BA$1248,40,0)</f>
        <v>#N/A</v>
      </c>
      <c r="DJ62" s="252" t="e">
        <f>VLOOKUP(D62,listaBolsa!$D$2:$BA$1248,48,0)</f>
        <v>#N/A</v>
      </c>
      <c r="DK62" s="7" t="e">
        <f t="shared" si="34"/>
        <v>#N/A</v>
      </c>
      <c r="DL62" s="7" t="e">
        <f t="shared" si="35"/>
        <v>#N/A</v>
      </c>
      <c r="DM62" s="7" t="e">
        <f t="shared" si="36"/>
        <v>#N/A</v>
      </c>
      <c r="DN62" s="7" t="e">
        <f t="shared" si="37"/>
        <v>#N/A</v>
      </c>
      <c r="DO62" s="7" t="e">
        <f t="shared" si="38"/>
        <v>#N/A</v>
      </c>
      <c r="DP62" s="7" t="e">
        <f t="shared" si="39"/>
        <v>#N/A</v>
      </c>
      <c r="DQ62" s="7" t="e">
        <f t="shared" si="40"/>
        <v>#N/A</v>
      </c>
      <c r="DR62" s="7" t="e">
        <f t="shared" si="41"/>
        <v>#N/A</v>
      </c>
      <c r="DS62" s="7" t="e">
        <f t="shared" si="42"/>
        <v>#N/A</v>
      </c>
    </row>
    <row r="63" spans="1:123" s="7" customFormat="1" ht="43.15">
      <c r="A63" s="7" t="s">
        <v>173</v>
      </c>
      <c r="B63" s="453">
        <v>52</v>
      </c>
      <c r="C63" s="642" t="s">
        <v>309</v>
      </c>
      <c r="D63" s="453" t="s">
        <v>373</v>
      </c>
      <c r="E63" s="453" t="s">
        <v>374</v>
      </c>
      <c r="F63" s="194" t="s">
        <v>191</v>
      </c>
      <c r="G63" s="453">
        <v>40</v>
      </c>
      <c r="H63" s="443" t="s">
        <v>192</v>
      </c>
      <c r="I63" s="454" t="s">
        <v>284</v>
      </c>
      <c r="J63" s="455">
        <v>1344.53781512605</v>
      </c>
      <c r="K63" s="455">
        <f t="shared" si="43"/>
        <v>255.4621848739495</v>
      </c>
      <c r="L63" s="455">
        <f t="shared" si="44"/>
        <v>1599.9999999999995</v>
      </c>
      <c r="M63" s="455">
        <f t="shared" si="45"/>
        <v>53781.512605042</v>
      </c>
      <c r="N63" s="455">
        <f t="shared" si="46"/>
        <v>63999.999999999985</v>
      </c>
      <c r="O63" s="456" t="s">
        <v>375</v>
      </c>
      <c r="P63" s="457">
        <v>1512.6050420168069</v>
      </c>
      <c r="Q63" s="457">
        <f t="shared" si="29"/>
        <v>287.39495798319331</v>
      </c>
      <c r="R63" s="457">
        <f t="shared" si="30"/>
        <v>1800.0000000000002</v>
      </c>
      <c r="S63" s="457">
        <f t="shared" si="31"/>
        <v>60504.201680672275</v>
      </c>
      <c r="T63" s="457">
        <f t="shared" si="32"/>
        <v>72000.000000000015</v>
      </c>
      <c r="U63" s="458" t="s">
        <v>376</v>
      </c>
      <c r="V63" s="459">
        <v>1008.403361344538</v>
      </c>
      <c r="W63" s="459">
        <f t="shared" ref="W63:W74" si="54">V63*19%</f>
        <v>191.59663865546221</v>
      </c>
      <c r="X63" s="459">
        <f t="shared" ref="X63:X74" si="55">V63+W63</f>
        <v>1200.0000000000002</v>
      </c>
      <c r="Y63" s="459">
        <f t="shared" ref="Y63:Y74" si="56">IF(C63="","",(V63*G63))</f>
        <v>40336.134453781517</v>
      </c>
      <c r="Z63" s="459">
        <f t="shared" ref="Z63:Z74" si="57">IF(C63="","",(X63*G63))</f>
        <v>48000.000000000007</v>
      </c>
      <c r="AA63" s="460">
        <f t="shared" ref="AA63:AA74" si="58">IF(B63="","",AVERAGE(L63,R63,X63))</f>
        <v>1533.3333333333333</v>
      </c>
      <c r="AB63" s="460">
        <f t="shared" si="52"/>
        <v>61333.333333333328</v>
      </c>
      <c r="AC63" s="461">
        <f t="shared" ref="AC63:AC74" si="59">IF(C63="","",STDEV(N63,T63,Z63))</f>
        <v>12220.20185321556</v>
      </c>
      <c r="AD63" s="427">
        <f t="shared" si="33"/>
        <v>0.19924242151981891</v>
      </c>
      <c r="AE63" s="428"/>
      <c r="BH63" s="7">
        <v>66</v>
      </c>
      <c r="DB63" s="7" t="str">
        <f>VLOOKUP(D63,listaBolsa!$D$2:$BA$1248,1,0)</f>
        <v>Sacos para empaque</v>
      </c>
      <c r="DC63" s="7">
        <f>VLOOKUP(D63,listaBolsa!$D$2:$BA$1248,2,0)</f>
        <v>0</v>
      </c>
      <c r="DD63" s="7" t="str">
        <f>VLOOKUP(D63,listaBolsa!$D$2:$BA$1248,10,0)</f>
        <v>HOMMECENTER</v>
      </c>
      <c r="DE63" s="7">
        <f>VLOOKUP(D63,listaBolsa!$D$2:$BA$1248,14,0)</f>
        <v>1344.54</v>
      </c>
      <c r="DF63" s="7" t="str">
        <f>VLOOKUP(D63,listaBolsa!$D$2:$BA$1248,23,0)</f>
        <v>MULTIPLASTICPS CARTAGENA</v>
      </c>
      <c r="DG63" s="7">
        <f>VLOOKUP(D63,listaBolsa!$D$2:$BA$1248,29,0)</f>
        <v>1800</v>
      </c>
      <c r="DH63" s="7" t="str">
        <f>VLOOKUP(D63,listaBolsa!$D$2:$BA$1248,36,0)</f>
        <v>GABY VENTAS</v>
      </c>
      <c r="DI63" s="7">
        <f>VLOOKUP(D63,listaBolsa!$D$2:$BA$1248,40,0)</f>
        <v>1008.4</v>
      </c>
      <c r="DJ63" s="252">
        <f>VLOOKUP(D63,listaBolsa!$D$2:$BA$1248,48,0)</f>
        <v>0.19919999999999999</v>
      </c>
      <c r="DK63" s="7" t="b">
        <f t="shared" si="34"/>
        <v>1</v>
      </c>
      <c r="DL63" s="7" t="b">
        <f t="shared" si="35"/>
        <v>0</v>
      </c>
      <c r="DM63" s="7" t="b">
        <f t="shared" si="36"/>
        <v>1</v>
      </c>
      <c r="DN63" s="7" t="b">
        <f t="shared" si="37"/>
        <v>0</v>
      </c>
      <c r="DO63" s="7" t="b">
        <f t="shared" si="38"/>
        <v>1</v>
      </c>
      <c r="DP63" s="7" t="b">
        <f t="shared" si="39"/>
        <v>0</v>
      </c>
      <c r="DQ63" s="7" t="b">
        <f t="shared" si="40"/>
        <v>1</v>
      </c>
      <c r="DR63" s="7" t="b">
        <f t="shared" si="41"/>
        <v>0</v>
      </c>
      <c r="DS63" s="7" t="b">
        <f t="shared" si="42"/>
        <v>0</v>
      </c>
    </row>
    <row r="64" spans="1:123" s="7" customFormat="1" ht="42">
      <c r="A64" s="7" t="s">
        <v>173</v>
      </c>
      <c r="B64" s="453">
        <v>53</v>
      </c>
      <c r="C64" s="642" t="s">
        <v>309</v>
      </c>
      <c r="D64" s="453" t="s">
        <v>378</v>
      </c>
      <c r="E64" s="453" t="s">
        <v>379</v>
      </c>
      <c r="F64" s="194" t="s">
        <v>191</v>
      </c>
      <c r="G64" s="453">
        <v>450</v>
      </c>
      <c r="H64" s="443" t="s">
        <v>192</v>
      </c>
      <c r="I64" s="454" t="s">
        <v>380</v>
      </c>
      <c r="J64" s="455">
        <v>18000</v>
      </c>
      <c r="K64" s="455">
        <f t="shared" si="43"/>
        <v>3420</v>
      </c>
      <c r="L64" s="455">
        <f t="shared" si="44"/>
        <v>21420</v>
      </c>
      <c r="M64" s="455">
        <f t="shared" si="45"/>
        <v>8100000</v>
      </c>
      <c r="N64" s="455">
        <f t="shared" si="46"/>
        <v>9639000</v>
      </c>
      <c r="O64" s="456" t="s">
        <v>381</v>
      </c>
      <c r="P64" s="457">
        <v>17000</v>
      </c>
      <c r="Q64" s="457">
        <f t="shared" si="29"/>
        <v>3230</v>
      </c>
      <c r="R64" s="457">
        <f t="shared" si="30"/>
        <v>20230</v>
      </c>
      <c r="S64" s="457">
        <f t="shared" si="31"/>
        <v>7650000</v>
      </c>
      <c r="T64" s="457">
        <f t="shared" si="32"/>
        <v>9103500</v>
      </c>
      <c r="U64" s="458" t="s">
        <v>382</v>
      </c>
      <c r="V64" s="459">
        <v>15260</v>
      </c>
      <c r="W64" s="459">
        <f t="shared" si="54"/>
        <v>2899.4</v>
      </c>
      <c r="X64" s="459">
        <f t="shared" si="55"/>
        <v>18159.400000000001</v>
      </c>
      <c r="Y64" s="459">
        <f t="shared" si="56"/>
        <v>6867000</v>
      </c>
      <c r="Z64" s="459">
        <f t="shared" si="57"/>
        <v>8171730.0000000009</v>
      </c>
      <c r="AA64" s="460">
        <f t="shared" si="58"/>
        <v>19936.466666666667</v>
      </c>
      <c r="AB64" s="460">
        <f t="shared" si="52"/>
        <v>8971410</v>
      </c>
      <c r="AC64" s="461">
        <f t="shared" si="59"/>
        <v>742499.92545454123</v>
      </c>
      <c r="AD64" s="427">
        <f t="shared" si="33"/>
        <v>8.2762901868774386E-2</v>
      </c>
      <c r="AE64" s="428"/>
      <c r="BH64" s="7">
        <v>67</v>
      </c>
      <c r="DB64" s="7" t="e">
        <f>VLOOKUP(D64,listaBolsa!$D$2:$BA$1248,1,0)</f>
        <v>#N/A</v>
      </c>
      <c r="DC64" s="7" t="e">
        <f>VLOOKUP(D64,listaBolsa!$D$2:$BA$1248,2,0)</f>
        <v>#N/A</v>
      </c>
      <c r="DD64" s="7" t="e">
        <f>VLOOKUP(D64,listaBolsa!$D$2:$BA$1248,10,0)</f>
        <v>#N/A</v>
      </c>
      <c r="DE64" s="7" t="e">
        <f>VLOOKUP(D64,listaBolsa!$D$2:$BA$1248,14,0)</f>
        <v>#N/A</v>
      </c>
      <c r="DF64" s="7" t="e">
        <f>VLOOKUP(D64,listaBolsa!$D$2:$BA$1248,23,0)</f>
        <v>#N/A</v>
      </c>
      <c r="DG64" s="7" t="e">
        <f>VLOOKUP(D64,listaBolsa!$D$2:$BA$1248,29,0)</f>
        <v>#N/A</v>
      </c>
      <c r="DH64" s="7" t="e">
        <f>VLOOKUP(D64,listaBolsa!$D$2:$BA$1248,36,0)</f>
        <v>#N/A</v>
      </c>
      <c r="DI64" s="7" t="e">
        <f>VLOOKUP(D64,listaBolsa!$D$2:$BA$1248,40,0)</f>
        <v>#N/A</v>
      </c>
      <c r="DJ64" s="252" t="e">
        <f>VLOOKUP(D64,listaBolsa!$D$2:$BA$1248,48,0)</f>
        <v>#N/A</v>
      </c>
      <c r="DK64" s="7" t="e">
        <f t="shared" si="34"/>
        <v>#N/A</v>
      </c>
      <c r="DL64" s="7" t="e">
        <f t="shared" si="35"/>
        <v>#N/A</v>
      </c>
      <c r="DM64" s="7" t="e">
        <f t="shared" si="36"/>
        <v>#N/A</v>
      </c>
      <c r="DN64" s="7" t="e">
        <f t="shared" si="37"/>
        <v>#N/A</v>
      </c>
      <c r="DO64" s="7" t="e">
        <f t="shared" si="38"/>
        <v>#N/A</v>
      </c>
      <c r="DP64" s="7" t="e">
        <f t="shared" si="39"/>
        <v>#N/A</v>
      </c>
      <c r="DQ64" s="7" t="e">
        <f t="shared" si="40"/>
        <v>#N/A</v>
      </c>
      <c r="DR64" s="7" t="e">
        <f t="shared" si="41"/>
        <v>#N/A</v>
      </c>
      <c r="DS64" s="7" t="e">
        <f t="shared" si="42"/>
        <v>#N/A</v>
      </c>
    </row>
    <row r="65" spans="1:123" s="7" customFormat="1" ht="63">
      <c r="A65" s="7" t="s">
        <v>173</v>
      </c>
      <c r="B65" s="453">
        <v>54</v>
      </c>
      <c r="C65" s="642" t="s">
        <v>309</v>
      </c>
      <c r="D65" s="453" t="s">
        <v>384</v>
      </c>
      <c r="E65" s="453" t="s">
        <v>385</v>
      </c>
      <c r="F65" s="194" t="s">
        <v>191</v>
      </c>
      <c r="G65" s="453">
        <v>6</v>
      </c>
      <c r="H65" s="443" t="s">
        <v>192</v>
      </c>
      <c r="I65" s="454" t="s">
        <v>386</v>
      </c>
      <c r="J65" s="455">
        <v>8907.5630252100837</v>
      </c>
      <c r="K65" s="455">
        <f t="shared" si="43"/>
        <v>1692.4369747899159</v>
      </c>
      <c r="L65" s="455">
        <f t="shared" si="44"/>
        <v>10600</v>
      </c>
      <c r="M65" s="455">
        <f t="shared" si="45"/>
        <v>53445.378151260506</v>
      </c>
      <c r="N65" s="455">
        <f t="shared" si="46"/>
        <v>63600</v>
      </c>
      <c r="O65" s="456" t="s">
        <v>387</v>
      </c>
      <c r="P65" s="457">
        <v>12605.042016806719</v>
      </c>
      <c r="Q65" s="457">
        <f t="shared" si="29"/>
        <v>2394.9579831932765</v>
      </c>
      <c r="R65" s="457">
        <f t="shared" si="30"/>
        <v>14999.999999999996</v>
      </c>
      <c r="S65" s="457">
        <f t="shared" si="31"/>
        <v>75630.252100840313</v>
      </c>
      <c r="T65" s="457">
        <f t="shared" si="32"/>
        <v>89999.999999999971</v>
      </c>
      <c r="U65" s="458" t="s">
        <v>388</v>
      </c>
      <c r="V65" s="459">
        <v>10504.20168067227</v>
      </c>
      <c r="W65" s="459">
        <f t="shared" si="54"/>
        <v>1995.7983193277312</v>
      </c>
      <c r="X65" s="459">
        <f t="shared" si="55"/>
        <v>12500</v>
      </c>
      <c r="Y65" s="459">
        <f t="shared" si="56"/>
        <v>63025.210084033621</v>
      </c>
      <c r="Z65" s="459">
        <f t="shared" si="57"/>
        <v>75000</v>
      </c>
      <c r="AA65" s="460">
        <f t="shared" si="58"/>
        <v>12700</v>
      </c>
      <c r="AB65" s="460">
        <f t="shared" si="52"/>
        <v>76200</v>
      </c>
      <c r="AC65" s="461">
        <f t="shared" si="59"/>
        <v>13240.845894428347</v>
      </c>
      <c r="AD65" s="427">
        <f t="shared" si="33"/>
        <v>0.17376438181664497</v>
      </c>
      <c r="AE65" s="428"/>
      <c r="BH65" s="7">
        <v>68</v>
      </c>
      <c r="DB65" s="7" t="str">
        <f>VLOOKUP(D65,listaBolsa!$D$2:$BA$1248,1,0)</f>
        <v>Tapabocas</v>
      </c>
      <c r="DC65" s="7">
        <f>VLOOKUP(D65,listaBolsa!$D$2:$BA$1248,2,0)</f>
        <v>0</v>
      </c>
      <c r="DD65" s="7" t="str">
        <f>VLOOKUP(D65,listaBolsa!$D$2:$BA$1248,10,0)</f>
        <v>COMERCIALIZADORA PROCOL DEL VALLE</v>
      </c>
      <c r="DE65" s="7">
        <f>VLOOKUP(D65,listaBolsa!$D$2:$BA$1248,14,0)</f>
        <v>8907.56</v>
      </c>
      <c r="DF65" s="7" t="str">
        <f>VLOOKUP(D65,listaBolsa!$D$2:$BA$1248,23,0)</f>
        <v>PYP VIDA</v>
      </c>
      <c r="DG65" s="7">
        <f>VLOOKUP(D65,listaBolsa!$D$2:$BA$1248,29,0)</f>
        <v>15000</v>
      </c>
      <c r="DH65" s="7" t="str">
        <f>VLOOKUP(D65,listaBolsa!$D$2:$BA$1248,36,0)</f>
        <v>FLOW CHEMICAL</v>
      </c>
      <c r="DI65" s="7">
        <f>VLOOKUP(D65,listaBolsa!$D$2:$BA$1248,40,0)</f>
        <v>10504.2</v>
      </c>
      <c r="DJ65" s="252">
        <f>VLOOKUP(D65,listaBolsa!$D$2:$BA$1248,48,0)</f>
        <v>0.17380000000000001</v>
      </c>
      <c r="DK65" s="7" t="b">
        <f t="shared" si="34"/>
        <v>1</v>
      </c>
      <c r="DL65" s="7" t="b">
        <f t="shared" si="35"/>
        <v>0</v>
      </c>
      <c r="DM65" s="7" t="b">
        <f t="shared" si="36"/>
        <v>1</v>
      </c>
      <c r="DN65" s="7" t="b">
        <f t="shared" si="37"/>
        <v>0</v>
      </c>
      <c r="DO65" s="7" t="b">
        <f t="shared" si="38"/>
        <v>1</v>
      </c>
      <c r="DP65" s="7" t="b">
        <f t="shared" si="39"/>
        <v>0</v>
      </c>
      <c r="DQ65" s="7" t="b">
        <f t="shared" si="40"/>
        <v>1</v>
      </c>
      <c r="DR65" s="7" t="b">
        <f t="shared" si="41"/>
        <v>0</v>
      </c>
      <c r="DS65" s="7" t="b">
        <f t="shared" si="42"/>
        <v>0</v>
      </c>
    </row>
    <row r="66" spans="1:123" s="7" customFormat="1" ht="168">
      <c r="A66" s="7" t="s">
        <v>173</v>
      </c>
      <c r="B66" s="453">
        <v>55</v>
      </c>
      <c r="C66" s="642" t="s">
        <v>309</v>
      </c>
      <c r="D66" s="453" t="s">
        <v>390</v>
      </c>
      <c r="E66" s="453" t="s">
        <v>391</v>
      </c>
      <c r="F66" s="194" t="s">
        <v>191</v>
      </c>
      <c r="G66" s="453">
        <v>150</v>
      </c>
      <c r="H66" s="443" t="s">
        <v>192</v>
      </c>
      <c r="I66" s="454" t="s">
        <v>193</v>
      </c>
      <c r="J66" s="455">
        <v>38000</v>
      </c>
      <c r="K66" s="455">
        <f t="shared" si="43"/>
        <v>7220</v>
      </c>
      <c r="L66" s="455">
        <f t="shared" si="44"/>
        <v>45220</v>
      </c>
      <c r="M66" s="455">
        <f t="shared" si="45"/>
        <v>5700000</v>
      </c>
      <c r="N66" s="455">
        <f t="shared" si="46"/>
        <v>6783000</v>
      </c>
      <c r="O66" s="456" t="s">
        <v>194</v>
      </c>
      <c r="P66" s="457">
        <v>38000</v>
      </c>
      <c r="Q66" s="457">
        <f t="shared" si="29"/>
        <v>7220</v>
      </c>
      <c r="R66" s="457">
        <f t="shared" si="30"/>
        <v>45220</v>
      </c>
      <c r="S66" s="457">
        <f t="shared" si="31"/>
        <v>5700000</v>
      </c>
      <c r="T66" s="457">
        <f t="shared" si="32"/>
        <v>6783000</v>
      </c>
      <c r="U66" s="458" t="s">
        <v>392</v>
      </c>
      <c r="V66" s="459">
        <v>26806.722689075628</v>
      </c>
      <c r="W66" s="459">
        <f t="shared" si="54"/>
        <v>5093.2773109243699</v>
      </c>
      <c r="X66" s="459">
        <f t="shared" si="55"/>
        <v>31900</v>
      </c>
      <c r="Y66" s="459">
        <f t="shared" si="56"/>
        <v>4021008.4033613442</v>
      </c>
      <c r="Z66" s="459">
        <f t="shared" si="57"/>
        <v>4785000</v>
      </c>
      <c r="AA66" s="460">
        <f t="shared" si="58"/>
        <v>40780</v>
      </c>
      <c r="AB66" s="460">
        <f t="shared" si="52"/>
        <v>6117000</v>
      </c>
      <c r="AC66" s="461">
        <f t="shared" si="59"/>
        <v>1153545.8378408724</v>
      </c>
      <c r="AD66" s="427">
        <f t="shared" si="33"/>
        <v>0.18858032333511074</v>
      </c>
      <c r="AE66" s="428"/>
      <c r="BH66" s="7">
        <v>69</v>
      </c>
      <c r="DB66" s="7" t="str">
        <f>VLOOKUP(D66,listaBolsa!$D$2:$BA$1248,1,0)</f>
        <v>Gafas de protección</v>
      </c>
      <c r="DC66" s="7">
        <f>VLOOKUP(D66,listaBolsa!$D$2:$BA$1248,2,0)</f>
        <v>0</v>
      </c>
      <c r="DD66" s="7" t="str">
        <f>VLOOKUP(D66,listaBolsa!$D$2:$BA$1248,10,0)</f>
        <v>AVANCE ORGANIZACIONAL CONSULTORES SAS</v>
      </c>
      <c r="DE66" s="7">
        <f>VLOOKUP(D66,listaBolsa!$D$2:$BA$1248,14,0)</f>
        <v>38000</v>
      </c>
      <c r="DF66" s="7" t="str">
        <f>VLOOKUP(D66,listaBolsa!$D$2:$BA$1248,23,0)</f>
        <v>SIDED</v>
      </c>
      <c r="DG66" s="7">
        <f>VLOOKUP(D66,listaBolsa!$D$2:$BA$1248,29,0)</f>
        <v>45220</v>
      </c>
      <c r="DH66" s="7" t="str">
        <f>VLOOKUP(D66,listaBolsa!$D$2:$BA$1248,36,0)</f>
        <v>HOMME CENTER</v>
      </c>
      <c r="DI66" s="7">
        <f>VLOOKUP(D66,listaBolsa!$D$2:$BA$1248,40,0)</f>
        <v>26806.720000000001</v>
      </c>
      <c r="DJ66" s="252">
        <f>VLOOKUP(D66,listaBolsa!$D$2:$BA$1248,48,0)</f>
        <v>0.18859999999999999</v>
      </c>
      <c r="DK66" s="7" t="b">
        <f t="shared" si="34"/>
        <v>1</v>
      </c>
      <c r="DL66" s="7" t="b">
        <f t="shared" si="35"/>
        <v>0</v>
      </c>
      <c r="DM66" s="7" t="b">
        <f t="shared" si="36"/>
        <v>1</v>
      </c>
      <c r="DN66" s="7" t="b">
        <f t="shared" si="37"/>
        <v>1</v>
      </c>
      <c r="DO66" s="7" t="b">
        <f t="shared" si="38"/>
        <v>1</v>
      </c>
      <c r="DP66" s="7" t="b">
        <f t="shared" si="39"/>
        <v>0</v>
      </c>
      <c r="DQ66" s="7" t="b">
        <f t="shared" si="40"/>
        <v>1</v>
      </c>
      <c r="DR66" s="7" t="b">
        <f t="shared" si="41"/>
        <v>0</v>
      </c>
      <c r="DS66" s="7" t="b">
        <f t="shared" si="42"/>
        <v>0</v>
      </c>
    </row>
    <row r="67" spans="1:123" s="7" customFormat="1" ht="72">
      <c r="A67" s="7" t="s">
        <v>173</v>
      </c>
      <c r="B67" s="453">
        <v>56</v>
      </c>
      <c r="C67" s="642" t="s">
        <v>309</v>
      </c>
      <c r="D67" s="453" t="s">
        <v>394</v>
      </c>
      <c r="E67" s="453" t="s">
        <v>395</v>
      </c>
      <c r="F67" s="194" t="s">
        <v>191</v>
      </c>
      <c r="G67" s="453">
        <v>8</v>
      </c>
      <c r="H67" s="443" t="s">
        <v>192</v>
      </c>
      <c r="I67" s="454" t="s">
        <v>193</v>
      </c>
      <c r="J67" s="455">
        <v>35000</v>
      </c>
      <c r="K67" s="455">
        <f t="shared" si="43"/>
        <v>6650</v>
      </c>
      <c r="L67" s="455">
        <f t="shared" si="44"/>
        <v>41650</v>
      </c>
      <c r="M67" s="455">
        <f t="shared" si="45"/>
        <v>280000</v>
      </c>
      <c r="N67" s="455">
        <f t="shared" si="46"/>
        <v>333200</v>
      </c>
      <c r="O67" s="456" t="s">
        <v>194</v>
      </c>
      <c r="P67" s="457">
        <v>35000</v>
      </c>
      <c r="Q67" s="457">
        <f t="shared" si="29"/>
        <v>6650</v>
      </c>
      <c r="R67" s="457">
        <f t="shared" si="30"/>
        <v>41650</v>
      </c>
      <c r="S67" s="457">
        <f t="shared" si="31"/>
        <v>280000</v>
      </c>
      <c r="T67" s="457">
        <f t="shared" si="32"/>
        <v>333200</v>
      </c>
      <c r="U67" s="458" t="s">
        <v>230</v>
      </c>
      <c r="V67" s="459">
        <v>32900</v>
      </c>
      <c r="W67" s="459">
        <f t="shared" si="54"/>
        <v>6251</v>
      </c>
      <c r="X67" s="459">
        <f t="shared" si="55"/>
        <v>39151</v>
      </c>
      <c r="Y67" s="459">
        <f t="shared" si="56"/>
        <v>263200</v>
      </c>
      <c r="Z67" s="459">
        <f t="shared" si="57"/>
        <v>313208</v>
      </c>
      <c r="AA67" s="460">
        <f t="shared" si="58"/>
        <v>40817</v>
      </c>
      <c r="AB67" s="460">
        <f t="shared" si="52"/>
        <v>326536</v>
      </c>
      <c r="AC67" s="461">
        <f t="shared" si="59"/>
        <v>11542.386581638999</v>
      </c>
      <c r="AD67" s="427">
        <f t="shared" si="33"/>
        <v>3.5347975664670968E-2</v>
      </c>
      <c r="AE67" s="428"/>
      <c r="BH67" s="7">
        <v>70</v>
      </c>
      <c r="DB67" s="7" t="str">
        <f>VLOOKUP(D67,listaBolsa!$D$2:$BA$1248,1,0)</f>
        <v>Cemento</v>
      </c>
      <c r="DC67" s="7">
        <f>VLOOKUP(D67,listaBolsa!$D$2:$BA$1248,2,0)</f>
        <v>0</v>
      </c>
      <c r="DD67" s="7" t="str">
        <f>VLOOKUP(D67,listaBolsa!$D$2:$BA$1248,10,0)</f>
        <v>AVANCE ORGANIZACIONAL CONSULTORES SAS</v>
      </c>
      <c r="DE67" s="7">
        <f>VLOOKUP(D67,listaBolsa!$D$2:$BA$1248,14,0)</f>
        <v>35000</v>
      </c>
      <c r="DF67" s="7" t="str">
        <f>VLOOKUP(D67,listaBolsa!$D$2:$BA$1248,23,0)</f>
        <v>SIDED</v>
      </c>
      <c r="DG67" s="7">
        <f>VLOOKUP(D67,listaBolsa!$D$2:$BA$1248,29,0)</f>
        <v>41650</v>
      </c>
      <c r="DH67" s="7" t="str">
        <f>VLOOKUP(D67,listaBolsa!$D$2:$BA$1248,36,0)</f>
        <v>HOMECENTER</v>
      </c>
      <c r="DI67" s="7">
        <f>VLOOKUP(D67,listaBolsa!$D$2:$BA$1248,40,0)</f>
        <v>32900</v>
      </c>
      <c r="DJ67" s="252">
        <f>VLOOKUP(D67,listaBolsa!$D$2:$BA$1248,48,0)</f>
        <v>3.5299999999999998E-2</v>
      </c>
      <c r="DK67" s="7" t="b">
        <f t="shared" si="34"/>
        <v>1</v>
      </c>
      <c r="DL67" s="7" t="b">
        <f t="shared" si="35"/>
        <v>0</v>
      </c>
      <c r="DM67" s="7" t="b">
        <f t="shared" si="36"/>
        <v>1</v>
      </c>
      <c r="DN67" s="7" t="b">
        <f t="shared" si="37"/>
        <v>1</v>
      </c>
      <c r="DO67" s="7" t="b">
        <f t="shared" si="38"/>
        <v>1</v>
      </c>
      <c r="DP67" s="7" t="b">
        <f t="shared" si="39"/>
        <v>0</v>
      </c>
      <c r="DQ67" s="7" t="b">
        <f t="shared" si="40"/>
        <v>1</v>
      </c>
      <c r="DR67" s="7" t="b">
        <f t="shared" si="41"/>
        <v>1</v>
      </c>
      <c r="DS67" s="7" t="b">
        <f t="shared" si="42"/>
        <v>0</v>
      </c>
    </row>
    <row r="68" spans="1:123" s="7" customFormat="1" ht="42">
      <c r="A68" s="7" t="s">
        <v>173</v>
      </c>
      <c r="B68" s="453">
        <v>57</v>
      </c>
      <c r="C68" s="642" t="s">
        <v>309</v>
      </c>
      <c r="D68" s="453" t="s">
        <v>397</v>
      </c>
      <c r="E68" s="453" t="s">
        <v>398</v>
      </c>
      <c r="F68" s="194" t="s">
        <v>244</v>
      </c>
      <c r="G68" s="453">
        <v>8</v>
      </c>
      <c r="H68" s="443" t="s">
        <v>192</v>
      </c>
      <c r="I68" s="454" t="s">
        <v>399</v>
      </c>
      <c r="J68" s="455">
        <v>6386.5546218487398</v>
      </c>
      <c r="K68" s="455">
        <f t="shared" si="43"/>
        <v>1213.4453781512607</v>
      </c>
      <c r="L68" s="455">
        <f t="shared" si="44"/>
        <v>7600</v>
      </c>
      <c r="M68" s="455">
        <f t="shared" si="45"/>
        <v>51092.436974789918</v>
      </c>
      <c r="N68" s="455">
        <f t="shared" si="46"/>
        <v>60800</v>
      </c>
      <c r="O68" s="456" t="s">
        <v>245</v>
      </c>
      <c r="P68" s="457">
        <v>8000</v>
      </c>
      <c r="Q68" s="457">
        <f t="shared" si="29"/>
        <v>1520</v>
      </c>
      <c r="R68" s="457">
        <f t="shared" si="30"/>
        <v>9520</v>
      </c>
      <c r="S68" s="457">
        <f t="shared" si="31"/>
        <v>64000</v>
      </c>
      <c r="T68" s="457">
        <f t="shared" si="32"/>
        <v>76160</v>
      </c>
      <c r="U68" s="458" t="s">
        <v>365</v>
      </c>
      <c r="V68" s="459">
        <v>7563.0252100840344</v>
      </c>
      <c r="W68" s="459">
        <f t="shared" si="54"/>
        <v>1436.9747899159665</v>
      </c>
      <c r="X68" s="459">
        <f t="shared" si="55"/>
        <v>9000</v>
      </c>
      <c r="Y68" s="459">
        <f t="shared" si="56"/>
        <v>60504.201680672275</v>
      </c>
      <c r="Z68" s="459">
        <f t="shared" si="57"/>
        <v>72000</v>
      </c>
      <c r="AA68" s="460">
        <f t="shared" si="58"/>
        <v>8706.6666666666661</v>
      </c>
      <c r="AB68" s="460">
        <f t="shared" si="52"/>
        <v>69653.333333333328</v>
      </c>
      <c r="AC68" s="461">
        <f t="shared" si="59"/>
        <v>7944.3397040492509</v>
      </c>
      <c r="AD68" s="427">
        <f t="shared" si="33"/>
        <v>0.11405541305583726</v>
      </c>
      <c r="AE68" s="428"/>
      <c r="BH68" s="7">
        <v>71</v>
      </c>
      <c r="DB68" s="7" t="str">
        <f>VLOOKUP(D68,listaBolsa!$D$2:$BA$1248,1,0)</f>
        <v>Almidón</v>
      </c>
      <c r="DC68" s="7">
        <f>VLOOKUP(D68,listaBolsa!$D$2:$BA$1248,2,0)</f>
        <v>0</v>
      </c>
      <c r="DD68" s="7" t="str">
        <f>VLOOKUP(D68,listaBolsa!$D$2:$BA$1248,10,0)</f>
        <v>HAIKU</v>
      </c>
      <c r="DE68" s="7">
        <f>VLOOKUP(D68,listaBolsa!$D$2:$BA$1248,14,0)</f>
        <v>6386.55</v>
      </c>
      <c r="DF68" s="7" t="str">
        <f>VLOOKUP(D68,listaBolsa!$D$2:$BA$1248,23,0)</f>
        <v>CONADES</v>
      </c>
      <c r="DG68" s="7">
        <f>VLOOKUP(D68,listaBolsa!$D$2:$BA$1248,29,0)</f>
        <v>9520</v>
      </c>
      <c r="DH68" s="7" t="str">
        <f>VLOOKUP(D68,listaBolsa!$D$2:$BA$1248,36,0)</f>
        <v>BODEGA PORTILLA</v>
      </c>
      <c r="DI68" s="7">
        <f>VLOOKUP(D68,listaBolsa!$D$2:$BA$1248,40,0)</f>
        <v>7563.03</v>
      </c>
      <c r="DJ68" s="252">
        <f>VLOOKUP(D68,listaBolsa!$D$2:$BA$1248,48,0)</f>
        <v>0.11409999999999999</v>
      </c>
      <c r="DK68" s="7" t="b">
        <f t="shared" si="34"/>
        <v>1</v>
      </c>
      <c r="DL68" s="7" t="b">
        <f t="shared" si="35"/>
        <v>0</v>
      </c>
      <c r="DM68" s="7" t="b">
        <f t="shared" si="36"/>
        <v>1</v>
      </c>
      <c r="DN68" s="7" t="b">
        <f t="shared" si="37"/>
        <v>0</v>
      </c>
      <c r="DO68" s="7" t="b">
        <f t="shared" si="38"/>
        <v>1</v>
      </c>
      <c r="DP68" s="7" t="b">
        <f t="shared" si="39"/>
        <v>0</v>
      </c>
      <c r="DQ68" s="7" t="b">
        <f t="shared" si="40"/>
        <v>1</v>
      </c>
      <c r="DR68" s="7" t="b">
        <f t="shared" si="41"/>
        <v>0</v>
      </c>
      <c r="DS68" s="7" t="b">
        <f t="shared" si="42"/>
        <v>0</v>
      </c>
    </row>
    <row r="69" spans="1:123" s="7" customFormat="1" ht="72">
      <c r="A69" s="7" t="s">
        <v>173</v>
      </c>
      <c r="B69" s="453">
        <v>58</v>
      </c>
      <c r="C69" s="642" t="s">
        <v>309</v>
      </c>
      <c r="D69" s="453" t="s">
        <v>401</v>
      </c>
      <c r="E69" s="453" t="s">
        <v>402</v>
      </c>
      <c r="F69" s="194" t="s">
        <v>403</v>
      </c>
      <c r="G69" s="453">
        <v>200</v>
      </c>
      <c r="H69" s="443" t="s">
        <v>192</v>
      </c>
      <c r="I69" s="454" t="s">
        <v>193</v>
      </c>
      <c r="J69" s="455">
        <v>8300</v>
      </c>
      <c r="K69" s="455">
        <f t="shared" si="43"/>
        <v>1577</v>
      </c>
      <c r="L69" s="455">
        <f t="shared" si="44"/>
        <v>9877</v>
      </c>
      <c r="M69" s="455">
        <f t="shared" si="45"/>
        <v>1660000</v>
      </c>
      <c r="N69" s="455">
        <f t="shared" si="46"/>
        <v>1975400</v>
      </c>
      <c r="O69" s="456" t="s">
        <v>194</v>
      </c>
      <c r="P69" s="457">
        <v>8300</v>
      </c>
      <c r="Q69" s="457">
        <f t="shared" si="29"/>
        <v>1577</v>
      </c>
      <c r="R69" s="457">
        <f t="shared" si="30"/>
        <v>9877</v>
      </c>
      <c r="S69" s="457">
        <f t="shared" si="31"/>
        <v>1660000</v>
      </c>
      <c r="T69" s="457">
        <f t="shared" si="32"/>
        <v>1975400</v>
      </c>
      <c r="U69" s="458" t="s">
        <v>404</v>
      </c>
      <c r="V69" s="459">
        <v>9075.6302521008402</v>
      </c>
      <c r="W69" s="459">
        <f t="shared" si="54"/>
        <v>1724.3697478991596</v>
      </c>
      <c r="X69" s="459">
        <f t="shared" si="55"/>
        <v>10800</v>
      </c>
      <c r="Y69" s="459">
        <f t="shared" si="56"/>
        <v>1815126.0504201681</v>
      </c>
      <c r="Z69" s="459">
        <f t="shared" si="57"/>
        <v>2160000</v>
      </c>
      <c r="AA69" s="460">
        <f t="shared" si="58"/>
        <v>10184.666666666666</v>
      </c>
      <c r="AB69" s="460">
        <f t="shared" si="52"/>
        <v>2036933.3333333333</v>
      </c>
      <c r="AC69" s="461">
        <f t="shared" si="59"/>
        <v>106578.85969240492</v>
      </c>
      <c r="AD69" s="427">
        <f t="shared" si="33"/>
        <v>5.2323194848009222E-2</v>
      </c>
      <c r="AE69" s="428"/>
      <c r="BH69" s="7">
        <v>72</v>
      </c>
      <c r="DB69" s="7" t="str">
        <f>VLOOKUP(D69,listaBolsa!$D$2:$BA$1248,1,0)</f>
        <v>Fibra natural</v>
      </c>
      <c r="DC69" s="7">
        <f>VLOOKUP(D69,listaBolsa!$D$2:$BA$1248,2,0)</f>
        <v>0</v>
      </c>
      <c r="DD69" s="7" t="str">
        <f>VLOOKUP(D69,listaBolsa!$D$2:$BA$1248,10,0)</f>
        <v>AVANCE ORGANIZACIONAL CONSULTORES SAS</v>
      </c>
      <c r="DE69" s="7">
        <f>VLOOKUP(D69,listaBolsa!$D$2:$BA$1248,14,0)</f>
        <v>8300</v>
      </c>
      <c r="DF69" s="7" t="str">
        <f>VLOOKUP(D69,listaBolsa!$D$2:$BA$1248,23,0)</f>
        <v>CONADES</v>
      </c>
      <c r="DG69" s="7">
        <f>VLOOKUP(D69,listaBolsa!$D$2:$BA$1248,29,0)</f>
        <v>9520</v>
      </c>
      <c r="DH69" s="7" t="str">
        <f>VLOOKUP(D69,listaBolsa!$D$2:$BA$1248,36,0)</f>
        <v>SIDED</v>
      </c>
      <c r="DI69" s="7">
        <f>VLOOKUP(D69,listaBolsa!$D$2:$BA$1248,40,0)</f>
        <v>9800</v>
      </c>
      <c r="DJ69" s="252">
        <f>VLOOKUP(D69,listaBolsa!$D$2:$BA$1248,48,0)</f>
        <v>0.1108</v>
      </c>
      <c r="DK69" s="7" t="b">
        <f t="shared" si="34"/>
        <v>1</v>
      </c>
      <c r="DL69" s="7" t="b">
        <f t="shared" si="35"/>
        <v>0</v>
      </c>
      <c r="DM69" s="7" t="b">
        <f t="shared" si="36"/>
        <v>1</v>
      </c>
      <c r="DN69" s="7" t="b">
        <f t="shared" si="37"/>
        <v>1</v>
      </c>
      <c r="DO69" s="7" t="b">
        <f t="shared" si="38"/>
        <v>0</v>
      </c>
      <c r="DP69" s="7" t="b">
        <f t="shared" si="39"/>
        <v>0</v>
      </c>
      <c r="DQ69" s="7" t="b">
        <f t="shared" si="40"/>
        <v>0</v>
      </c>
      <c r="DR69" s="7" t="b">
        <f t="shared" si="41"/>
        <v>0</v>
      </c>
      <c r="DS69" s="7" t="b">
        <f t="shared" si="42"/>
        <v>0</v>
      </c>
    </row>
    <row r="70" spans="1:123" s="7" customFormat="1" ht="42">
      <c r="A70" s="7" t="s">
        <v>173</v>
      </c>
      <c r="B70" s="453">
        <v>59</v>
      </c>
      <c r="C70" s="642" t="s">
        <v>309</v>
      </c>
      <c r="D70" s="453" t="s">
        <v>406</v>
      </c>
      <c r="E70" s="453" t="s">
        <v>407</v>
      </c>
      <c r="F70" s="194" t="s">
        <v>191</v>
      </c>
      <c r="G70" s="453">
        <v>10</v>
      </c>
      <c r="H70" s="443" t="s">
        <v>192</v>
      </c>
      <c r="I70" s="454" t="s">
        <v>245</v>
      </c>
      <c r="J70" s="455">
        <v>25000</v>
      </c>
      <c r="K70" s="455">
        <f t="shared" si="43"/>
        <v>4750</v>
      </c>
      <c r="L70" s="455">
        <f t="shared" si="44"/>
        <v>29750</v>
      </c>
      <c r="M70" s="455">
        <f t="shared" si="45"/>
        <v>250000</v>
      </c>
      <c r="N70" s="455">
        <f t="shared" si="46"/>
        <v>297500</v>
      </c>
      <c r="O70" s="456" t="s">
        <v>194</v>
      </c>
      <c r="P70" s="457">
        <v>23000</v>
      </c>
      <c r="Q70" s="457">
        <f t="shared" si="29"/>
        <v>4370</v>
      </c>
      <c r="R70" s="457">
        <f t="shared" si="30"/>
        <v>27370</v>
      </c>
      <c r="S70" s="457">
        <f t="shared" si="31"/>
        <v>230000</v>
      </c>
      <c r="T70" s="457">
        <f t="shared" si="32"/>
        <v>273700</v>
      </c>
      <c r="U70" s="458" t="s">
        <v>408</v>
      </c>
      <c r="V70" s="459">
        <v>25168.067226890758</v>
      </c>
      <c r="W70" s="459">
        <f t="shared" si="54"/>
        <v>4781.9327731092444</v>
      </c>
      <c r="X70" s="459">
        <f t="shared" si="55"/>
        <v>29950.000000000004</v>
      </c>
      <c r="Y70" s="459">
        <f t="shared" si="56"/>
        <v>251680.6722689076</v>
      </c>
      <c r="Z70" s="459">
        <f t="shared" si="57"/>
        <v>299500.00000000006</v>
      </c>
      <c r="AA70" s="460">
        <f t="shared" si="58"/>
        <v>29023.333333333332</v>
      </c>
      <c r="AB70" s="460">
        <f t="shared" si="52"/>
        <v>290233.33333333331</v>
      </c>
      <c r="AC70" s="461">
        <f t="shared" si="59"/>
        <v>14353.164575567782</v>
      </c>
      <c r="AD70" s="427">
        <f t="shared" si="33"/>
        <v>4.9453880471693294E-2</v>
      </c>
      <c r="AE70" s="428"/>
      <c r="BH70" s="7">
        <v>73</v>
      </c>
      <c r="DB70" s="7" t="str">
        <f>VLOOKUP(D70,listaBolsa!$D$2:$BA$1248,1,0)</f>
        <v>Láminas</v>
      </c>
      <c r="DC70" s="7">
        <f>VLOOKUP(D70,listaBolsa!$D$2:$BA$1248,2,0)</f>
        <v>0</v>
      </c>
      <c r="DD70" s="7" t="str">
        <f>VLOOKUP(D70,listaBolsa!$D$2:$BA$1248,10,0)</f>
        <v>CONADES</v>
      </c>
      <c r="DE70" s="7">
        <f>VLOOKUP(D70,listaBolsa!$D$2:$BA$1248,14,0)</f>
        <v>25000</v>
      </c>
      <c r="DF70" s="7" t="str">
        <f>VLOOKUP(D70,listaBolsa!$D$2:$BA$1248,23,0)</f>
        <v>SIDED</v>
      </c>
      <c r="DG70" s="7">
        <f>VLOOKUP(D70,listaBolsa!$D$2:$BA$1248,29,0)</f>
        <v>27370</v>
      </c>
      <c r="DH70" s="7" t="str">
        <f>VLOOKUP(D70,listaBolsa!$D$2:$BA$1248,36,0)</f>
        <v>AMBIENTE GROUMENT</v>
      </c>
      <c r="DI70" s="7">
        <f>VLOOKUP(D70,listaBolsa!$D$2:$BA$1248,40,0)</f>
        <v>25168.07</v>
      </c>
      <c r="DJ70" s="252">
        <f>VLOOKUP(D70,listaBolsa!$D$2:$BA$1248,48,0)</f>
        <v>4.9500000000000002E-2</v>
      </c>
      <c r="DK70" s="7" t="b">
        <f t="shared" si="34"/>
        <v>1</v>
      </c>
      <c r="DL70" s="7" t="b">
        <f t="shared" si="35"/>
        <v>0</v>
      </c>
      <c r="DM70" s="7" t="b">
        <f t="shared" si="36"/>
        <v>1</v>
      </c>
      <c r="DN70" s="7" t="b">
        <f t="shared" si="37"/>
        <v>1</v>
      </c>
      <c r="DO70" s="7" t="b">
        <f t="shared" si="38"/>
        <v>1</v>
      </c>
      <c r="DP70" s="7" t="b">
        <f t="shared" si="39"/>
        <v>0</v>
      </c>
      <c r="DQ70" s="7" t="b">
        <f t="shared" si="40"/>
        <v>1</v>
      </c>
      <c r="DR70" s="7" t="b">
        <f t="shared" si="41"/>
        <v>0</v>
      </c>
      <c r="DS70" s="7" t="b">
        <f t="shared" si="42"/>
        <v>0</v>
      </c>
    </row>
    <row r="71" spans="1:123" s="7" customFormat="1" ht="42">
      <c r="A71" s="7" t="s">
        <v>173</v>
      </c>
      <c r="B71" s="453">
        <v>60</v>
      </c>
      <c r="C71" s="642" t="s">
        <v>309</v>
      </c>
      <c r="D71" s="453" t="s">
        <v>410</v>
      </c>
      <c r="E71" s="453" t="s">
        <v>411</v>
      </c>
      <c r="F71" s="194" t="s">
        <v>191</v>
      </c>
      <c r="G71" s="453">
        <v>1</v>
      </c>
      <c r="H71" s="443" t="s">
        <v>192</v>
      </c>
      <c r="I71" s="454" t="s">
        <v>245</v>
      </c>
      <c r="J71" s="455">
        <v>18000</v>
      </c>
      <c r="K71" s="455">
        <f t="shared" si="43"/>
        <v>3420</v>
      </c>
      <c r="L71" s="455">
        <f t="shared" si="44"/>
        <v>21420</v>
      </c>
      <c r="M71" s="455">
        <f t="shared" si="45"/>
        <v>18000</v>
      </c>
      <c r="N71" s="455">
        <f t="shared" si="46"/>
        <v>21420</v>
      </c>
      <c r="O71" s="456" t="s">
        <v>412</v>
      </c>
      <c r="P71" s="457">
        <v>15042.02</v>
      </c>
      <c r="Q71" s="457">
        <f t="shared" si="29"/>
        <v>2857.9838</v>
      </c>
      <c r="R71" s="457">
        <f t="shared" si="30"/>
        <v>17900.003799999999</v>
      </c>
      <c r="S71" s="457">
        <f t="shared" si="31"/>
        <v>15042.02</v>
      </c>
      <c r="T71" s="457">
        <f t="shared" si="32"/>
        <v>17900.003799999999</v>
      </c>
      <c r="U71" s="458" t="s">
        <v>194</v>
      </c>
      <c r="V71" s="459">
        <v>21000</v>
      </c>
      <c r="W71" s="459">
        <f t="shared" si="54"/>
        <v>3990</v>
      </c>
      <c r="X71" s="459">
        <f t="shared" si="55"/>
        <v>24990</v>
      </c>
      <c r="Y71" s="459">
        <f t="shared" si="56"/>
        <v>21000</v>
      </c>
      <c r="Z71" s="459">
        <f t="shared" si="57"/>
        <v>24990</v>
      </c>
      <c r="AA71" s="460">
        <f t="shared" si="58"/>
        <v>21436.667933333334</v>
      </c>
      <c r="AB71" s="460">
        <f t="shared" si="52"/>
        <v>21436.667933333334</v>
      </c>
      <c r="AC71" s="461">
        <f t="shared" si="59"/>
        <v>3545.0274884695468</v>
      </c>
      <c r="AD71" s="427">
        <f t="shared" si="33"/>
        <v>0.16537213243655011</v>
      </c>
      <c r="AE71" s="428"/>
      <c r="BH71" s="7">
        <v>74</v>
      </c>
      <c r="DB71" s="7" t="e">
        <f>VLOOKUP(D71,listaBolsa!$D$2:$BA$1248,1,0)</f>
        <v>#N/A</v>
      </c>
      <c r="DC71" s="7" t="e">
        <f>VLOOKUP(D71,listaBolsa!$D$2:$BA$1248,2,0)</f>
        <v>#N/A</v>
      </c>
      <c r="DD71" s="7" t="e">
        <f>VLOOKUP(D71,listaBolsa!$D$2:$BA$1248,10,0)</f>
        <v>#N/A</v>
      </c>
      <c r="DE71" s="7" t="e">
        <f>VLOOKUP(D71,listaBolsa!$D$2:$BA$1248,14,0)</f>
        <v>#N/A</v>
      </c>
      <c r="DF71" s="7" t="e">
        <f>VLOOKUP(D71,listaBolsa!$D$2:$BA$1248,23,0)</f>
        <v>#N/A</v>
      </c>
      <c r="DG71" s="7" t="e">
        <f>VLOOKUP(D71,listaBolsa!$D$2:$BA$1248,29,0)</f>
        <v>#N/A</v>
      </c>
      <c r="DH71" s="7" t="e">
        <f>VLOOKUP(D71,listaBolsa!$D$2:$BA$1248,36,0)</f>
        <v>#N/A</v>
      </c>
      <c r="DI71" s="7" t="e">
        <f>VLOOKUP(D71,listaBolsa!$D$2:$BA$1248,40,0)</f>
        <v>#N/A</v>
      </c>
      <c r="DJ71" s="252" t="e">
        <f>VLOOKUP(D71,listaBolsa!$D$2:$BA$1248,48,0)</f>
        <v>#N/A</v>
      </c>
      <c r="DK71" s="7" t="e">
        <f t="shared" si="34"/>
        <v>#N/A</v>
      </c>
      <c r="DL71" s="7" t="e">
        <f t="shared" si="35"/>
        <v>#N/A</v>
      </c>
      <c r="DM71" s="7" t="e">
        <f t="shared" si="36"/>
        <v>#N/A</v>
      </c>
      <c r="DN71" s="7" t="e">
        <f t="shared" si="37"/>
        <v>#N/A</v>
      </c>
      <c r="DO71" s="7" t="e">
        <f t="shared" si="38"/>
        <v>#N/A</v>
      </c>
      <c r="DP71" s="7" t="e">
        <f t="shared" si="39"/>
        <v>#N/A</v>
      </c>
      <c r="DQ71" s="7" t="e">
        <f t="shared" si="40"/>
        <v>#N/A</v>
      </c>
      <c r="DR71" s="7" t="e">
        <f t="shared" si="41"/>
        <v>#N/A</v>
      </c>
      <c r="DS71" s="7" t="e">
        <f t="shared" si="42"/>
        <v>#N/A</v>
      </c>
    </row>
    <row r="72" spans="1:123" s="7" customFormat="1" ht="42">
      <c r="A72" s="7" t="s">
        <v>173</v>
      </c>
      <c r="B72" s="453">
        <v>61</v>
      </c>
      <c r="C72" s="642" t="s">
        <v>309</v>
      </c>
      <c r="D72" s="453" t="s">
        <v>1062</v>
      </c>
      <c r="E72" s="453" t="s">
        <v>1063</v>
      </c>
      <c r="F72" s="194" t="s">
        <v>191</v>
      </c>
      <c r="G72" s="453">
        <v>1</v>
      </c>
      <c r="H72" s="443" t="s">
        <v>192</v>
      </c>
      <c r="I72" s="454" t="s">
        <v>416</v>
      </c>
      <c r="J72" s="455">
        <v>83109.240000000005</v>
      </c>
      <c r="K72" s="455">
        <f t="shared" si="43"/>
        <v>15790.7556</v>
      </c>
      <c r="L72" s="455">
        <f t="shared" si="44"/>
        <v>98899.995600000009</v>
      </c>
      <c r="M72" s="455">
        <f t="shared" si="45"/>
        <v>83109.240000000005</v>
      </c>
      <c r="N72" s="455">
        <f t="shared" si="46"/>
        <v>98899.995600000009</v>
      </c>
      <c r="O72" s="456" t="s">
        <v>1064</v>
      </c>
      <c r="P72" s="457">
        <v>83949.58</v>
      </c>
      <c r="Q72" s="457">
        <f t="shared" si="29"/>
        <v>15950.4202</v>
      </c>
      <c r="R72" s="457">
        <f t="shared" si="30"/>
        <v>99900.000200000009</v>
      </c>
      <c r="S72" s="457">
        <f t="shared" si="31"/>
        <v>83949.58</v>
      </c>
      <c r="T72" s="457">
        <f t="shared" si="32"/>
        <v>99900.000200000009</v>
      </c>
      <c r="U72" s="458" t="s">
        <v>230</v>
      </c>
      <c r="V72" s="459">
        <v>75546.22</v>
      </c>
      <c r="W72" s="459">
        <f t="shared" si="54"/>
        <v>14353.781800000001</v>
      </c>
      <c r="X72" s="459">
        <f t="shared" si="55"/>
        <v>89900.001799999998</v>
      </c>
      <c r="Y72" s="459">
        <f t="shared" si="56"/>
        <v>75546.22</v>
      </c>
      <c r="Z72" s="459">
        <f t="shared" si="57"/>
        <v>89900.001799999998</v>
      </c>
      <c r="AA72" s="460">
        <f t="shared" si="58"/>
        <v>96233.332533333334</v>
      </c>
      <c r="AB72" s="460">
        <f t="shared" si="52"/>
        <v>96233.332533333334</v>
      </c>
      <c r="AC72" s="461">
        <f t="shared" si="59"/>
        <v>5507.5685137221635</v>
      </c>
      <c r="AD72" s="427">
        <f t="shared" si="33"/>
        <v>5.7231401726781622E-2</v>
      </c>
      <c r="AE72" s="428"/>
      <c r="BH72" s="7">
        <v>75</v>
      </c>
      <c r="DB72" s="7" t="e">
        <f>VLOOKUP(D72,listaBolsa!$D$2:$BA$1248,1,0)</f>
        <v>#N/A</v>
      </c>
      <c r="DC72" s="7" t="e">
        <f>VLOOKUP(D72,listaBolsa!$D$2:$BA$1248,2,0)</f>
        <v>#N/A</v>
      </c>
      <c r="DD72" s="7" t="e">
        <f>VLOOKUP(D72,listaBolsa!$D$2:$BA$1248,10,0)</f>
        <v>#N/A</v>
      </c>
      <c r="DE72" s="7" t="e">
        <f>VLOOKUP(D72,listaBolsa!$D$2:$BA$1248,14,0)</f>
        <v>#N/A</v>
      </c>
      <c r="DF72" s="7" t="e">
        <f>VLOOKUP(D72,listaBolsa!$D$2:$BA$1248,23,0)</f>
        <v>#N/A</v>
      </c>
      <c r="DG72" s="7" t="e">
        <f>VLOOKUP(D72,listaBolsa!$D$2:$BA$1248,29,0)</f>
        <v>#N/A</v>
      </c>
      <c r="DH72" s="7" t="e">
        <f>VLOOKUP(D72,listaBolsa!$D$2:$BA$1248,36,0)</f>
        <v>#N/A</v>
      </c>
      <c r="DI72" s="7" t="e">
        <f>VLOOKUP(D72,listaBolsa!$D$2:$BA$1248,40,0)</f>
        <v>#N/A</v>
      </c>
      <c r="DJ72" s="252" t="e">
        <f>VLOOKUP(D72,listaBolsa!$D$2:$BA$1248,48,0)</f>
        <v>#N/A</v>
      </c>
      <c r="DK72" s="7" t="e">
        <f t="shared" si="34"/>
        <v>#N/A</v>
      </c>
      <c r="DL72" s="7" t="e">
        <f t="shared" si="35"/>
        <v>#N/A</v>
      </c>
      <c r="DM72" s="7" t="e">
        <f t="shared" si="36"/>
        <v>#N/A</v>
      </c>
      <c r="DN72" s="7" t="e">
        <f t="shared" si="37"/>
        <v>#N/A</v>
      </c>
      <c r="DO72" s="7" t="e">
        <f t="shared" si="38"/>
        <v>#N/A</v>
      </c>
      <c r="DP72" s="7" t="e">
        <f t="shared" si="39"/>
        <v>#N/A</v>
      </c>
      <c r="DQ72" s="7" t="e">
        <f t="shared" si="40"/>
        <v>#N/A</v>
      </c>
      <c r="DR72" s="7" t="e">
        <f t="shared" si="41"/>
        <v>#N/A</v>
      </c>
      <c r="DS72" s="7" t="e">
        <f t="shared" si="42"/>
        <v>#N/A</v>
      </c>
    </row>
    <row r="73" spans="1:123" s="7" customFormat="1" ht="42">
      <c r="A73" s="7" t="s">
        <v>173</v>
      </c>
      <c r="B73" s="453">
        <v>62</v>
      </c>
      <c r="C73" s="642" t="s">
        <v>309</v>
      </c>
      <c r="D73" s="453" t="s">
        <v>397</v>
      </c>
      <c r="E73" s="453" t="s">
        <v>398</v>
      </c>
      <c r="F73" s="194" t="s">
        <v>244</v>
      </c>
      <c r="G73" s="453">
        <v>2.6</v>
      </c>
      <c r="H73" s="443" t="str">
        <f>IF(D73="","",VLOOKUP(D73,listaBolsa!$D$2:$H$276,5,0))</f>
        <v>Compra</v>
      </c>
      <c r="I73" s="454" t="s">
        <v>399</v>
      </c>
      <c r="J73" s="455">
        <v>6386.5546218487398</v>
      </c>
      <c r="K73" s="455">
        <f t="shared" si="43"/>
        <v>1213.4453781512607</v>
      </c>
      <c r="L73" s="455">
        <f t="shared" si="44"/>
        <v>7600</v>
      </c>
      <c r="M73" s="455">
        <f t="shared" si="45"/>
        <v>16605.042016806725</v>
      </c>
      <c r="N73" s="455">
        <f t="shared" si="46"/>
        <v>19760</v>
      </c>
      <c r="O73" s="456" t="s">
        <v>245</v>
      </c>
      <c r="P73" s="457">
        <v>8000</v>
      </c>
      <c r="Q73" s="457">
        <f t="shared" si="29"/>
        <v>1520</v>
      </c>
      <c r="R73" s="457">
        <f t="shared" si="30"/>
        <v>9520</v>
      </c>
      <c r="S73" s="457">
        <f t="shared" si="31"/>
        <v>20800</v>
      </c>
      <c r="T73" s="457">
        <f t="shared" si="32"/>
        <v>24752</v>
      </c>
      <c r="U73" s="458" t="s">
        <v>365</v>
      </c>
      <c r="V73" s="459">
        <v>7563.0252100840298</v>
      </c>
      <c r="W73" s="459">
        <f t="shared" si="54"/>
        <v>1436.9747899159656</v>
      </c>
      <c r="X73" s="459">
        <f t="shared" si="55"/>
        <v>8999.9999999999964</v>
      </c>
      <c r="Y73" s="459">
        <f t="shared" si="56"/>
        <v>19663.86554621848</v>
      </c>
      <c r="Z73" s="459">
        <f t="shared" si="57"/>
        <v>23399.999999999993</v>
      </c>
      <c r="AA73" s="460">
        <f t="shared" si="58"/>
        <v>8706.6666666666661</v>
      </c>
      <c r="AB73" s="460">
        <f t="shared" si="52"/>
        <v>22637.333333333332</v>
      </c>
      <c r="AC73" s="461">
        <f t="shared" si="59"/>
        <v>2581.9104038160053</v>
      </c>
      <c r="AD73" s="427">
        <f t="shared" si="33"/>
        <v>0.1140554130558372</v>
      </c>
      <c r="AE73" s="428"/>
      <c r="BH73" s="7">
        <v>76</v>
      </c>
      <c r="DB73" s="7" t="str">
        <f>VLOOKUP(D73,listaBolsa!$D$2:$BA$1248,1,0)</f>
        <v>Almidón</v>
      </c>
      <c r="DC73" s="7">
        <f>VLOOKUP(D73,listaBolsa!$D$2:$BA$1248,2,0)</f>
        <v>0</v>
      </c>
      <c r="DD73" s="7" t="str">
        <f>VLOOKUP(D73,listaBolsa!$D$2:$BA$1248,10,0)</f>
        <v>HAIKU</v>
      </c>
      <c r="DE73" s="7">
        <f>VLOOKUP(D73,listaBolsa!$D$2:$BA$1248,14,0)</f>
        <v>6386.55</v>
      </c>
      <c r="DF73" s="7" t="str">
        <f>VLOOKUP(D73,listaBolsa!$D$2:$BA$1248,23,0)</f>
        <v>CONADES</v>
      </c>
      <c r="DG73" s="7">
        <f>VLOOKUP(D73,listaBolsa!$D$2:$BA$1248,29,0)</f>
        <v>9520</v>
      </c>
      <c r="DH73" s="7" t="str">
        <f>VLOOKUP(D73,listaBolsa!$D$2:$BA$1248,36,0)</f>
        <v>BODEGA PORTILLA</v>
      </c>
      <c r="DI73" s="7">
        <f>VLOOKUP(D73,listaBolsa!$D$2:$BA$1248,40,0)</f>
        <v>7563.03</v>
      </c>
      <c r="DJ73" s="252">
        <f>VLOOKUP(D73,listaBolsa!$D$2:$BA$1248,48,0)</f>
        <v>0.11409999999999999</v>
      </c>
      <c r="DK73" s="7" t="b">
        <f t="shared" si="34"/>
        <v>1</v>
      </c>
      <c r="DL73" s="7" t="b">
        <f t="shared" si="35"/>
        <v>0</v>
      </c>
      <c r="DM73" s="7" t="b">
        <f t="shared" si="36"/>
        <v>1</v>
      </c>
      <c r="DN73" s="7" t="b">
        <f t="shared" si="37"/>
        <v>0</v>
      </c>
      <c r="DO73" s="7" t="b">
        <f t="shared" si="38"/>
        <v>1</v>
      </c>
      <c r="DP73" s="7" t="b">
        <f t="shared" si="39"/>
        <v>0</v>
      </c>
      <c r="DQ73" s="7" t="b">
        <f t="shared" si="40"/>
        <v>1</v>
      </c>
      <c r="DR73" s="7" t="b">
        <f t="shared" si="41"/>
        <v>0</v>
      </c>
      <c r="DS73" s="7" t="b">
        <f t="shared" si="42"/>
        <v>0</v>
      </c>
    </row>
    <row r="74" spans="1:123" s="7" customFormat="1" ht="72">
      <c r="A74" s="7" t="s">
        <v>173</v>
      </c>
      <c r="B74" s="453">
        <v>63</v>
      </c>
      <c r="C74" s="642" t="s">
        <v>309</v>
      </c>
      <c r="D74" s="453" t="s">
        <v>419</v>
      </c>
      <c r="E74" s="453" t="s">
        <v>420</v>
      </c>
      <c r="F74" s="194" t="s">
        <v>421</v>
      </c>
      <c r="G74" s="453">
        <v>3.3</v>
      </c>
      <c r="H74" s="443" t="e">
        <f>IF(D74="","",VLOOKUP(D74,listaBolsa!$D$2:$H$276,5,0))</f>
        <v>#N/A</v>
      </c>
      <c r="I74" s="454" t="s">
        <v>1065</v>
      </c>
      <c r="J74" s="455">
        <v>105042.02</v>
      </c>
      <c r="K74" s="455">
        <f t="shared" si="43"/>
        <v>19957.983800000002</v>
      </c>
      <c r="L74" s="455">
        <f t="shared" si="44"/>
        <v>125000.00380000001</v>
      </c>
      <c r="M74" s="455">
        <f t="shared" si="45"/>
        <v>346638.66599999997</v>
      </c>
      <c r="N74" s="455">
        <f t="shared" si="46"/>
        <v>412500.01254000003</v>
      </c>
      <c r="O74" s="456" t="s">
        <v>194</v>
      </c>
      <c r="P74" s="457">
        <v>116000</v>
      </c>
      <c r="Q74" s="457">
        <f t="shared" si="29"/>
        <v>22040</v>
      </c>
      <c r="R74" s="457">
        <f t="shared" si="30"/>
        <v>138040</v>
      </c>
      <c r="S74" s="457">
        <f t="shared" si="31"/>
        <v>382800</v>
      </c>
      <c r="T74" s="457">
        <f t="shared" si="32"/>
        <v>455532</v>
      </c>
      <c r="U74" s="458" t="s">
        <v>422</v>
      </c>
      <c r="V74" s="459">
        <v>96176.470588235301</v>
      </c>
      <c r="W74" s="459">
        <f t="shared" si="54"/>
        <v>18273.529411764706</v>
      </c>
      <c r="X74" s="459">
        <f t="shared" si="55"/>
        <v>114450</v>
      </c>
      <c r="Y74" s="459">
        <f t="shared" si="56"/>
        <v>317382.3529411765</v>
      </c>
      <c r="Z74" s="459">
        <f t="shared" si="57"/>
        <v>377685</v>
      </c>
      <c r="AA74" s="460">
        <f t="shared" si="58"/>
        <v>125830.00126666667</v>
      </c>
      <c r="AB74" s="460">
        <f t="shared" si="52"/>
        <v>415239.00417999999</v>
      </c>
      <c r="AC74" s="461">
        <f t="shared" si="59"/>
        <v>38995.710131410509</v>
      </c>
      <c r="AD74" s="427">
        <f t="shared" si="33"/>
        <v>9.3911481674073288E-2</v>
      </c>
      <c r="AE74" s="428"/>
      <c r="BH74" s="7">
        <v>77</v>
      </c>
      <c r="DB74" s="7" t="str">
        <f>VLOOKUP(D74,listaBolsa!$D$2:$BA$1248,1,0)</f>
        <v>Resina PLA</v>
      </c>
      <c r="DC74" s="7">
        <f>VLOOKUP(D74,listaBolsa!$D$2:$BA$1248,2,0)</f>
        <v>0</v>
      </c>
      <c r="DD74" s="7" t="str">
        <f>VLOOKUP(D74,listaBolsa!$D$2:$BA$1248,10,0)</f>
        <v>AVANCE ORGANIZACIONAL CONSULTORES SAS</v>
      </c>
      <c r="DE74" s="7">
        <f>VLOOKUP(D74,listaBolsa!$D$2:$BA$1248,14,0)</f>
        <v>128000</v>
      </c>
      <c r="DF74" s="7" t="str">
        <f>VLOOKUP(D74,listaBolsa!$D$2:$BA$1248,23,0)</f>
        <v>SIDED</v>
      </c>
      <c r="DG74" s="7">
        <f>VLOOKUP(D74,listaBolsa!$D$2:$BA$1248,29,0)</f>
        <v>138040</v>
      </c>
      <c r="DH74" s="7" t="str">
        <f>VLOOKUP(D74,listaBolsa!$D$2:$BA$1248,36,0)</f>
        <v>ZULUPRINT</v>
      </c>
      <c r="DI74" s="7">
        <f>VLOOKUP(D74,listaBolsa!$D$2:$BA$1248,40,0)</f>
        <v>96176.47</v>
      </c>
      <c r="DJ74" s="252">
        <f>VLOOKUP(D74,listaBolsa!$D$2:$BA$1248,48,0)</f>
        <v>0.14169999999999999</v>
      </c>
      <c r="DK74" s="7" t="b">
        <f t="shared" si="34"/>
        <v>1</v>
      </c>
      <c r="DL74" s="7" t="b">
        <f t="shared" si="35"/>
        <v>0</v>
      </c>
      <c r="DM74" s="7" t="b">
        <f t="shared" si="36"/>
        <v>0</v>
      </c>
      <c r="DN74" s="7" t="b">
        <f t="shared" si="37"/>
        <v>0</v>
      </c>
      <c r="DO74" s="7" t="b">
        <f t="shared" si="38"/>
        <v>1</v>
      </c>
      <c r="DP74" s="7" t="b">
        <f t="shared" si="39"/>
        <v>0</v>
      </c>
      <c r="DQ74" s="7" t="b">
        <f t="shared" si="40"/>
        <v>1</v>
      </c>
      <c r="DR74" s="7" t="b">
        <f t="shared" si="41"/>
        <v>0</v>
      </c>
      <c r="DS74" s="7" t="b">
        <f t="shared" si="42"/>
        <v>0</v>
      </c>
    </row>
    <row r="75" spans="1:123" s="7" customFormat="1" ht="72">
      <c r="A75" s="7" t="s">
        <v>173</v>
      </c>
      <c r="B75" s="453">
        <v>64</v>
      </c>
      <c r="C75" s="642" t="s">
        <v>309</v>
      </c>
      <c r="D75" s="453" t="s">
        <v>401</v>
      </c>
      <c r="E75" s="453" t="s">
        <v>424</v>
      </c>
      <c r="F75" s="194" t="s">
        <v>191</v>
      </c>
      <c r="G75" s="453">
        <v>1</v>
      </c>
      <c r="H75" s="443" t="s">
        <v>192</v>
      </c>
      <c r="I75" s="454" t="s">
        <v>193</v>
      </c>
      <c r="J75" s="455">
        <v>8300</v>
      </c>
      <c r="K75" s="455">
        <f t="shared" si="43"/>
        <v>1577</v>
      </c>
      <c r="L75" s="455">
        <f t="shared" si="44"/>
        <v>9877</v>
      </c>
      <c r="M75" s="455">
        <f t="shared" si="45"/>
        <v>8300</v>
      </c>
      <c r="N75" s="455">
        <f t="shared" si="46"/>
        <v>9877</v>
      </c>
      <c r="O75" s="456" t="s">
        <v>194</v>
      </c>
      <c r="P75" s="457">
        <v>8300</v>
      </c>
      <c r="Q75" s="457">
        <f t="shared" si="29"/>
        <v>1577</v>
      </c>
      <c r="R75" s="457">
        <f t="shared" si="30"/>
        <v>9877</v>
      </c>
      <c r="S75" s="457">
        <f t="shared" si="31"/>
        <v>8300</v>
      </c>
      <c r="T75" s="457">
        <f t="shared" si="32"/>
        <v>9877</v>
      </c>
      <c r="U75" s="458"/>
      <c r="V75" s="459"/>
      <c r="W75" s="459"/>
      <c r="X75" s="459"/>
      <c r="Y75" s="459"/>
      <c r="Z75" s="459"/>
      <c r="AA75" s="460">
        <f>IF(B75="","",AVERAGE(L75,R75))</f>
        <v>9877</v>
      </c>
      <c r="AB75" s="460">
        <f t="shared" si="52"/>
        <v>9877</v>
      </c>
      <c r="AC75" s="461">
        <f>IF(C75="","",STDEV(N75,T75))</f>
        <v>0</v>
      </c>
      <c r="AD75" s="427">
        <f t="shared" si="33"/>
        <v>0</v>
      </c>
      <c r="AE75" s="428"/>
      <c r="BH75" s="7">
        <v>78</v>
      </c>
      <c r="DB75" s="7" t="str">
        <f>VLOOKUP(D75,listaBolsa!$D$2:$BA$1248,1,0)</f>
        <v>Fibra natural</v>
      </c>
      <c r="DC75" s="7">
        <f>VLOOKUP(D75,listaBolsa!$D$2:$BA$1248,2,0)</f>
        <v>0</v>
      </c>
      <c r="DD75" s="7" t="str">
        <f>VLOOKUP(D75,listaBolsa!$D$2:$BA$1248,10,0)</f>
        <v>AVANCE ORGANIZACIONAL CONSULTORES SAS</v>
      </c>
      <c r="DE75" s="7">
        <f>VLOOKUP(D75,listaBolsa!$D$2:$BA$1248,14,0)</f>
        <v>8300</v>
      </c>
      <c r="DF75" s="7" t="str">
        <f>VLOOKUP(D75,listaBolsa!$D$2:$BA$1248,23,0)</f>
        <v>CONADES</v>
      </c>
      <c r="DG75" s="7">
        <f>VLOOKUP(D75,listaBolsa!$D$2:$BA$1248,29,0)</f>
        <v>9520</v>
      </c>
      <c r="DH75" s="7" t="str">
        <f>VLOOKUP(D75,listaBolsa!$D$2:$BA$1248,36,0)</f>
        <v>SIDED</v>
      </c>
      <c r="DI75" s="7">
        <f>VLOOKUP(D75,listaBolsa!$D$2:$BA$1248,40,0)</f>
        <v>9800</v>
      </c>
      <c r="DJ75" s="252">
        <f>VLOOKUP(D75,listaBolsa!$D$2:$BA$1248,48,0)</f>
        <v>0.1108</v>
      </c>
      <c r="DK75" s="7" t="b">
        <f t="shared" si="34"/>
        <v>1</v>
      </c>
      <c r="DL75" s="7" t="b">
        <f t="shared" si="35"/>
        <v>0</v>
      </c>
      <c r="DM75" s="7" t="b">
        <f t="shared" si="36"/>
        <v>1</v>
      </c>
      <c r="DN75" s="7" t="b">
        <f t="shared" si="37"/>
        <v>1</v>
      </c>
      <c r="DO75" s="7" t="b">
        <f t="shared" si="38"/>
        <v>0</v>
      </c>
      <c r="DP75" s="7" t="b">
        <f t="shared" si="39"/>
        <v>0</v>
      </c>
      <c r="DQ75" s="7" t="b">
        <f t="shared" si="40"/>
        <v>0</v>
      </c>
      <c r="DR75" s="7" t="b">
        <f t="shared" si="41"/>
        <v>0</v>
      </c>
      <c r="DS75" s="7" t="b">
        <f t="shared" si="42"/>
        <v>0</v>
      </c>
    </row>
    <row r="76" spans="1:123" s="7" customFormat="1" ht="72">
      <c r="A76" s="7" t="s">
        <v>173</v>
      </c>
      <c r="B76" s="453">
        <v>65</v>
      </c>
      <c r="C76" s="642" t="s">
        <v>309</v>
      </c>
      <c r="D76" s="453" t="s">
        <v>401</v>
      </c>
      <c r="E76" s="453" t="s">
        <v>426</v>
      </c>
      <c r="F76" s="194" t="s">
        <v>191</v>
      </c>
      <c r="G76" s="453">
        <v>150</v>
      </c>
      <c r="H76" s="443" t="s">
        <v>192</v>
      </c>
      <c r="I76" s="454" t="s">
        <v>193</v>
      </c>
      <c r="J76" s="455">
        <v>8300</v>
      </c>
      <c r="K76" s="455">
        <f t="shared" si="43"/>
        <v>1577</v>
      </c>
      <c r="L76" s="455">
        <f t="shared" si="44"/>
        <v>9877</v>
      </c>
      <c r="M76" s="455">
        <f t="shared" si="45"/>
        <v>1245000</v>
      </c>
      <c r="N76" s="455">
        <f t="shared" si="46"/>
        <v>1481550</v>
      </c>
      <c r="O76" s="456" t="s">
        <v>194</v>
      </c>
      <c r="P76" s="457">
        <v>8300</v>
      </c>
      <c r="Q76" s="457">
        <f t="shared" ref="Q76:Q93" si="60">P76*19%</f>
        <v>1577</v>
      </c>
      <c r="R76" s="457">
        <f t="shared" ref="R76:R107" si="61">P76+Q76</f>
        <v>9877</v>
      </c>
      <c r="S76" s="457">
        <f t="shared" ref="S76:S89" si="62">IF(C76="","",(P76*G76))</f>
        <v>1245000</v>
      </c>
      <c r="T76" s="457">
        <f t="shared" ref="T76:T89" si="63">IF(C76="","",(R76*G76))</f>
        <v>1481550</v>
      </c>
      <c r="U76" s="458" t="s">
        <v>427</v>
      </c>
      <c r="V76" s="459">
        <v>8394.957983193277</v>
      </c>
      <c r="W76" s="459">
        <f t="shared" ref="W76:W88" si="64">V76*19%</f>
        <v>1595.0420168067226</v>
      </c>
      <c r="X76" s="459">
        <f t="shared" ref="X76:X88" si="65">V76+W76</f>
        <v>9990</v>
      </c>
      <c r="Y76" s="459">
        <f t="shared" ref="Y76:Y88" si="66">IF(C76="","",(V76*G76))</f>
        <v>1259243.6974789915</v>
      </c>
      <c r="Z76" s="459">
        <f t="shared" ref="Z76:Z88" si="67">IF(C76="","",(X76*G76))</f>
        <v>1498500</v>
      </c>
      <c r="AA76" s="460">
        <f t="shared" ref="AA76:AA89" si="68">IF(B76="","",AVERAGE(L76,R76,X76))</f>
        <v>9914.6666666666661</v>
      </c>
      <c r="AB76" s="460">
        <f t="shared" si="52"/>
        <v>1487200</v>
      </c>
      <c r="AC76" s="461">
        <f t="shared" ref="AC76:AC89" si="69">IF(C76="","",STDEV(N76,T76,Z76))</f>
        <v>9786.0870627641561</v>
      </c>
      <c r="AD76" s="427">
        <f t="shared" ref="AD76:AD89" si="70">IF(C76="","",(AC76/AB76))</f>
        <v>6.5802091600081734E-3</v>
      </c>
      <c r="AE76" s="428"/>
      <c r="BH76" s="7">
        <v>79</v>
      </c>
      <c r="DB76" s="7" t="str">
        <f>VLOOKUP(D76,listaBolsa!$D$2:$BA$1248,1,0)</f>
        <v>Fibra natural</v>
      </c>
      <c r="DC76" s="7">
        <f>VLOOKUP(D76,listaBolsa!$D$2:$BA$1248,2,0)</f>
        <v>0</v>
      </c>
      <c r="DD76" s="7" t="str">
        <f>VLOOKUP(D76,listaBolsa!$D$2:$BA$1248,10,0)</f>
        <v>AVANCE ORGANIZACIONAL CONSULTORES SAS</v>
      </c>
      <c r="DE76" s="7">
        <f>VLOOKUP(D76,listaBolsa!$D$2:$BA$1248,14,0)</f>
        <v>8300</v>
      </c>
      <c r="DF76" s="7" t="str">
        <f>VLOOKUP(D76,listaBolsa!$D$2:$BA$1248,23,0)</f>
        <v>CONADES</v>
      </c>
      <c r="DG76" s="7">
        <f>VLOOKUP(D76,listaBolsa!$D$2:$BA$1248,29,0)</f>
        <v>9520</v>
      </c>
      <c r="DH76" s="7" t="str">
        <f>VLOOKUP(D76,listaBolsa!$D$2:$BA$1248,36,0)</f>
        <v>SIDED</v>
      </c>
      <c r="DI76" s="7">
        <f>VLOOKUP(D76,listaBolsa!$D$2:$BA$1248,40,0)</f>
        <v>9800</v>
      </c>
      <c r="DJ76" s="252">
        <f>VLOOKUP(D76,listaBolsa!$D$2:$BA$1248,48,0)</f>
        <v>0.1108</v>
      </c>
      <c r="DK76" s="7" t="b">
        <f t="shared" ref="DK76:DK88" si="71">DB76=D76</f>
        <v>1</v>
      </c>
      <c r="DL76" s="7" t="b">
        <f t="shared" ref="DL76:DL88" si="72">DC76=E76</f>
        <v>0</v>
      </c>
      <c r="DM76" s="7" t="b">
        <f t="shared" ref="DM76:DM110" si="73">DD76=I76</f>
        <v>1</v>
      </c>
      <c r="DN76" s="7" t="b">
        <f t="shared" ref="DN76:DN110" si="74">DE76=J76</f>
        <v>1</v>
      </c>
      <c r="DO76" s="7" t="b">
        <f t="shared" ref="DO76:DO110" si="75">DF76=O76</f>
        <v>0</v>
      </c>
      <c r="DP76" s="7" t="b">
        <f t="shared" ref="DP76:DP110" si="76">DG76=P76</f>
        <v>0</v>
      </c>
      <c r="DQ76" s="7" t="b">
        <f t="shared" ref="DQ76:DQ110" si="77">DH76=U76</f>
        <v>0</v>
      </c>
      <c r="DR76" s="7" t="b">
        <f t="shared" ref="DR76:DR110" si="78">DI76=V76</f>
        <v>0</v>
      </c>
      <c r="DS76" s="7" t="b">
        <f t="shared" ref="DS76:DS110" si="79">DJ76=AD76</f>
        <v>0</v>
      </c>
    </row>
    <row r="77" spans="1:123" s="7" customFormat="1" ht="43.15">
      <c r="A77" s="7" t="s">
        <v>173</v>
      </c>
      <c r="B77" s="453">
        <v>66</v>
      </c>
      <c r="C77" s="642" t="s">
        <v>309</v>
      </c>
      <c r="D77" s="453" t="s">
        <v>254</v>
      </c>
      <c r="E77" s="453" t="s">
        <v>255</v>
      </c>
      <c r="F77" s="194" t="s">
        <v>191</v>
      </c>
      <c r="G77" s="453">
        <v>15</v>
      </c>
      <c r="H77" s="443" t="s">
        <v>192</v>
      </c>
      <c r="I77" s="454" t="s">
        <v>256</v>
      </c>
      <c r="J77" s="455">
        <v>150.42016806722691</v>
      </c>
      <c r="K77" s="455">
        <f t="shared" si="43"/>
        <v>28.579831932773114</v>
      </c>
      <c r="L77" s="455">
        <f t="shared" si="44"/>
        <v>179.00000000000003</v>
      </c>
      <c r="M77" s="455">
        <f t="shared" si="45"/>
        <v>2256.3025210084038</v>
      </c>
      <c r="N77" s="455">
        <f t="shared" si="46"/>
        <v>2685.0000000000005</v>
      </c>
      <c r="O77" s="456" t="s">
        <v>257</v>
      </c>
      <c r="P77" s="457">
        <v>117.64705882352941</v>
      </c>
      <c r="Q77" s="457">
        <f t="shared" si="60"/>
        <v>22.352941176470587</v>
      </c>
      <c r="R77" s="457">
        <f t="shared" si="61"/>
        <v>140</v>
      </c>
      <c r="S77" s="457">
        <f t="shared" si="62"/>
        <v>1764.705882352941</v>
      </c>
      <c r="T77" s="457">
        <f t="shared" si="63"/>
        <v>2100</v>
      </c>
      <c r="U77" s="458" t="s">
        <v>258</v>
      </c>
      <c r="V77" s="459">
        <v>168.0672268907563</v>
      </c>
      <c r="W77" s="459">
        <f t="shared" si="64"/>
        <v>31.932773109243698</v>
      </c>
      <c r="X77" s="459">
        <f t="shared" si="65"/>
        <v>200</v>
      </c>
      <c r="Y77" s="459">
        <f t="shared" si="66"/>
        <v>2521.0084033613443</v>
      </c>
      <c r="Z77" s="459">
        <f t="shared" si="67"/>
        <v>3000</v>
      </c>
      <c r="AA77" s="460">
        <f t="shared" si="68"/>
        <v>173</v>
      </c>
      <c r="AB77" s="460">
        <f t="shared" si="52"/>
        <v>2595</v>
      </c>
      <c r="AC77" s="461">
        <f t="shared" si="69"/>
        <v>456.70012042915192</v>
      </c>
      <c r="AD77" s="427">
        <f t="shared" si="70"/>
        <v>0.17599233927905661</v>
      </c>
      <c r="AE77" s="428"/>
      <c r="BH77" s="7">
        <v>80</v>
      </c>
      <c r="DB77" s="7" t="str">
        <f>VLOOKUP(D77,listaBolsa!$D$2:$BA$1248,1,0)</f>
        <v>Grapas</v>
      </c>
      <c r="DC77" s="7">
        <f>VLOOKUP(D77,listaBolsa!$D$2:$BA$1248,2,0)</f>
        <v>0</v>
      </c>
      <c r="DD77" s="7" t="str">
        <f>VLOOKUP(D77,listaBolsa!$D$2:$BA$1248,10,0)</f>
        <v>NACIONAL DE ELECTRICOS</v>
      </c>
      <c r="DE77" s="7">
        <f>VLOOKUP(D77,listaBolsa!$D$2:$BA$1248,14,0)</f>
        <v>150.41999999999999</v>
      </c>
      <c r="DF77" s="7" t="str">
        <f>VLOOKUP(D77,listaBolsa!$D$2:$BA$1248,23,0)</f>
        <v>INTER ELECTRICAS</v>
      </c>
      <c r="DG77" s="7">
        <f>VLOOKUP(D77,listaBolsa!$D$2:$BA$1248,29,0)</f>
        <v>140</v>
      </c>
      <c r="DH77" s="7" t="str">
        <f>VLOOKUP(D77,listaBolsa!$D$2:$BA$1248,36,0)</f>
        <v>PRODUCABOS</v>
      </c>
      <c r="DI77" s="7">
        <f>VLOOKUP(D77,listaBolsa!$D$2:$BA$1248,40,0)</f>
        <v>168.07</v>
      </c>
      <c r="DJ77" s="252">
        <f>VLOOKUP(D77,listaBolsa!$D$2:$BA$1248,48,0)</f>
        <v>0.17599999999999999</v>
      </c>
      <c r="DK77" s="7" t="b">
        <f t="shared" si="71"/>
        <v>1</v>
      </c>
      <c r="DL77" s="7" t="b">
        <f t="shared" si="72"/>
        <v>0</v>
      </c>
      <c r="DM77" s="7" t="b">
        <f t="shared" si="73"/>
        <v>1</v>
      </c>
      <c r="DN77" s="7" t="b">
        <f t="shared" si="74"/>
        <v>0</v>
      </c>
      <c r="DO77" s="7" t="b">
        <f t="shared" si="75"/>
        <v>1</v>
      </c>
      <c r="DP77" s="7" t="b">
        <f t="shared" si="76"/>
        <v>0</v>
      </c>
      <c r="DQ77" s="7" t="b">
        <f t="shared" si="77"/>
        <v>1</v>
      </c>
      <c r="DR77" s="7" t="b">
        <f t="shared" si="78"/>
        <v>0</v>
      </c>
      <c r="DS77" s="7" t="b">
        <f t="shared" si="79"/>
        <v>0</v>
      </c>
    </row>
    <row r="78" spans="1:123" s="7" customFormat="1" ht="63">
      <c r="A78" s="7" t="s">
        <v>173</v>
      </c>
      <c r="B78" s="453">
        <v>67</v>
      </c>
      <c r="C78" s="642" t="s">
        <v>309</v>
      </c>
      <c r="D78" s="453" t="s">
        <v>227</v>
      </c>
      <c r="E78" s="453" t="s">
        <v>430</v>
      </c>
      <c r="F78" s="194" t="s">
        <v>191</v>
      </c>
      <c r="G78" s="453">
        <v>1</v>
      </c>
      <c r="H78" s="443" t="s">
        <v>192</v>
      </c>
      <c r="I78" s="454" t="s">
        <v>431</v>
      </c>
      <c r="J78" s="455">
        <v>8655.4621848739498</v>
      </c>
      <c r="K78" s="455">
        <f t="shared" si="43"/>
        <v>1644.5378151260504</v>
      </c>
      <c r="L78" s="455">
        <f t="shared" si="44"/>
        <v>10300</v>
      </c>
      <c r="M78" s="455">
        <f t="shared" si="45"/>
        <v>8655.4621848739498</v>
      </c>
      <c r="N78" s="455">
        <f t="shared" si="46"/>
        <v>10300</v>
      </c>
      <c r="O78" s="456" t="s">
        <v>432</v>
      </c>
      <c r="P78" s="457">
        <v>9831.9327731092435</v>
      </c>
      <c r="Q78" s="457">
        <f t="shared" si="60"/>
        <v>1868.0672268907563</v>
      </c>
      <c r="R78" s="457">
        <f t="shared" si="61"/>
        <v>11700</v>
      </c>
      <c r="S78" s="457">
        <f t="shared" si="62"/>
        <v>9831.9327731092435</v>
      </c>
      <c r="T78" s="457">
        <f t="shared" si="63"/>
        <v>11700</v>
      </c>
      <c r="U78" s="458" t="s">
        <v>433</v>
      </c>
      <c r="V78" s="459">
        <v>8739.495798319329</v>
      </c>
      <c r="W78" s="459">
        <f t="shared" si="64"/>
        <v>1660.5042016806726</v>
      </c>
      <c r="X78" s="459">
        <f t="shared" si="65"/>
        <v>10400.000000000002</v>
      </c>
      <c r="Y78" s="459">
        <f t="shared" si="66"/>
        <v>8739.495798319329</v>
      </c>
      <c r="Z78" s="459">
        <f t="shared" si="67"/>
        <v>10400.000000000002</v>
      </c>
      <c r="AA78" s="460">
        <f t="shared" si="68"/>
        <v>10800</v>
      </c>
      <c r="AB78" s="460">
        <f t="shared" si="52"/>
        <v>10800</v>
      </c>
      <c r="AC78" s="461">
        <f t="shared" si="69"/>
        <v>781.02496759066503</v>
      </c>
      <c r="AD78" s="427">
        <f t="shared" si="70"/>
        <v>7.2317126628765285E-2</v>
      </c>
      <c r="AE78" s="428"/>
      <c r="BH78" s="7">
        <v>81</v>
      </c>
      <c r="DB78" s="7" t="str">
        <f>VLOOKUP(D78,listaBolsa!$D$2:$BA$1248,1,0)</f>
        <v>Pegamento</v>
      </c>
      <c r="DC78" s="7">
        <f>VLOOKUP(D78,listaBolsa!$D$2:$BA$1248,2,0)</f>
        <v>0</v>
      </c>
      <c r="DD78" s="7" t="str">
        <f>VLOOKUP(D78,listaBolsa!$D$2:$BA$1248,10,0)</f>
        <v>GRUPO SAN PIO</v>
      </c>
      <c r="DE78" s="7">
        <f>VLOOKUP(D78,listaBolsa!$D$2:$BA$1248,14,0)</f>
        <v>43426.05</v>
      </c>
      <c r="DF78" s="7" t="str">
        <f>VLOOKUP(D78,listaBolsa!$D$2:$BA$1248,23,0)</f>
        <v>HOMCENTER</v>
      </c>
      <c r="DG78" s="7">
        <f>VLOOKUP(D78,listaBolsa!$D$2:$BA$1248,29,0)</f>
        <v>51900</v>
      </c>
      <c r="DH78" s="7" t="str">
        <f>VLOOKUP(D78,listaBolsa!$D$2:$BA$1248,36,0)</f>
        <v>FERRETERIA FORERO</v>
      </c>
      <c r="DI78" s="7">
        <f>VLOOKUP(D78,listaBolsa!$D$2:$BA$1248,40,0)</f>
        <v>54868.91</v>
      </c>
      <c r="DJ78" s="252">
        <f>VLOOKUP(D78,listaBolsa!$D$2:$BA$1248,48,0)</f>
        <v>0.13850000000000001</v>
      </c>
      <c r="DK78" s="7" t="b">
        <f t="shared" si="71"/>
        <v>1</v>
      </c>
      <c r="DL78" s="7" t="b">
        <f t="shared" si="72"/>
        <v>0</v>
      </c>
      <c r="DM78" s="7" t="b">
        <f t="shared" si="73"/>
        <v>0</v>
      </c>
      <c r="DN78" s="7" t="b">
        <f t="shared" si="74"/>
        <v>0</v>
      </c>
      <c r="DO78" s="7" t="b">
        <f t="shared" si="75"/>
        <v>0</v>
      </c>
      <c r="DP78" s="7" t="b">
        <f t="shared" si="76"/>
        <v>0</v>
      </c>
      <c r="DQ78" s="7" t="b">
        <f t="shared" si="77"/>
        <v>0</v>
      </c>
      <c r="DR78" s="7" t="b">
        <f t="shared" si="78"/>
        <v>0</v>
      </c>
      <c r="DS78" s="7" t="b">
        <f t="shared" si="79"/>
        <v>0</v>
      </c>
    </row>
    <row r="79" spans="1:123" s="7" customFormat="1" ht="72">
      <c r="A79" s="7" t="s">
        <v>173</v>
      </c>
      <c r="B79" s="453">
        <v>68</v>
      </c>
      <c r="C79" s="642" t="s">
        <v>309</v>
      </c>
      <c r="D79" s="453" t="s">
        <v>435</v>
      </c>
      <c r="E79" s="453" t="s">
        <v>436</v>
      </c>
      <c r="F79" s="194" t="s">
        <v>191</v>
      </c>
      <c r="G79" s="453">
        <v>150</v>
      </c>
      <c r="H79" s="443" t="s">
        <v>192</v>
      </c>
      <c r="I79" s="454" t="s">
        <v>193</v>
      </c>
      <c r="J79" s="455">
        <v>3800</v>
      </c>
      <c r="K79" s="455">
        <f t="shared" si="43"/>
        <v>722</v>
      </c>
      <c r="L79" s="455">
        <f t="shared" si="44"/>
        <v>4522</v>
      </c>
      <c r="M79" s="455">
        <f t="shared" si="45"/>
        <v>570000</v>
      </c>
      <c r="N79" s="455">
        <f t="shared" si="46"/>
        <v>678300</v>
      </c>
      <c r="O79" s="456" t="s">
        <v>245</v>
      </c>
      <c r="P79" s="457">
        <v>6000</v>
      </c>
      <c r="Q79" s="457">
        <f t="shared" si="60"/>
        <v>1140</v>
      </c>
      <c r="R79" s="457">
        <f t="shared" si="61"/>
        <v>7140</v>
      </c>
      <c r="S79" s="457">
        <f t="shared" si="62"/>
        <v>900000</v>
      </c>
      <c r="T79" s="457">
        <f t="shared" si="63"/>
        <v>1071000</v>
      </c>
      <c r="U79" s="458" t="s">
        <v>437</v>
      </c>
      <c r="V79" s="459">
        <v>6722.6890756302528</v>
      </c>
      <c r="W79" s="459">
        <f t="shared" si="64"/>
        <v>1277.3109243697481</v>
      </c>
      <c r="X79" s="459">
        <f t="shared" si="65"/>
        <v>8000.0000000000009</v>
      </c>
      <c r="Y79" s="459">
        <f t="shared" si="66"/>
        <v>1008403.3613445379</v>
      </c>
      <c r="Z79" s="459">
        <f t="shared" si="67"/>
        <v>1200000.0000000002</v>
      </c>
      <c r="AA79" s="460">
        <f t="shared" si="68"/>
        <v>6554</v>
      </c>
      <c r="AB79" s="460">
        <f t="shared" si="52"/>
        <v>983100</v>
      </c>
      <c r="AC79" s="461">
        <f t="shared" si="69"/>
        <v>271730.62028413406</v>
      </c>
      <c r="AD79" s="427">
        <f t="shared" si="70"/>
        <v>0.2764018108881437</v>
      </c>
      <c r="AE79" s="428"/>
      <c r="BH79" s="7">
        <v>82</v>
      </c>
      <c r="DB79" s="7" t="str">
        <f>VLOOKUP(D79,listaBolsa!$D$2:$BA$1248,1,0)</f>
        <v>Lijas</v>
      </c>
      <c r="DC79" s="7">
        <f>VLOOKUP(D79,listaBolsa!$D$2:$BA$1248,2,0)</f>
        <v>0</v>
      </c>
      <c r="DD79" s="7" t="str">
        <f>VLOOKUP(D79,listaBolsa!$D$2:$BA$1248,10,0)</f>
        <v>AVANCE ORGANIZACIONAL CONSULTORES SAS</v>
      </c>
      <c r="DE79" s="7">
        <f>VLOOKUP(D79,listaBolsa!$D$2:$BA$1248,14,0)</f>
        <v>3800</v>
      </c>
      <c r="DF79" s="7" t="str">
        <f>VLOOKUP(D79,listaBolsa!$D$2:$BA$1248,23,0)</f>
        <v>CONADES</v>
      </c>
      <c r="DG79" s="7">
        <f>VLOOKUP(D79,listaBolsa!$D$2:$BA$1248,29,0)</f>
        <v>7140</v>
      </c>
      <c r="DH79" s="7" t="str">
        <f>VLOOKUP(D79,listaBolsa!$D$2:$BA$1248,36,0)</f>
        <v>EAOSDE</v>
      </c>
      <c r="DI79" s="7">
        <f>VLOOKUP(D79,listaBolsa!$D$2:$BA$1248,40,0)</f>
        <v>6722.69</v>
      </c>
      <c r="DJ79" s="252">
        <f>VLOOKUP(D79,listaBolsa!$D$2:$BA$1248,48,0)</f>
        <v>0.27639999999999998</v>
      </c>
      <c r="DK79" s="7" t="b">
        <f t="shared" si="71"/>
        <v>1</v>
      </c>
      <c r="DL79" s="7" t="b">
        <f t="shared" si="72"/>
        <v>0</v>
      </c>
      <c r="DM79" s="7" t="b">
        <f t="shared" si="73"/>
        <v>1</v>
      </c>
      <c r="DN79" s="7" t="b">
        <f t="shared" si="74"/>
        <v>1</v>
      </c>
      <c r="DO79" s="7" t="b">
        <f t="shared" si="75"/>
        <v>1</v>
      </c>
      <c r="DP79" s="7" t="b">
        <f t="shared" si="76"/>
        <v>0</v>
      </c>
      <c r="DQ79" s="7" t="b">
        <f t="shared" si="77"/>
        <v>1</v>
      </c>
      <c r="DR79" s="7" t="b">
        <f t="shared" si="78"/>
        <v>0</v>
      </c>
      <c r="DS79" s="7" t="b">
        <f t="shared" si="79"/>
        <v>0</v>
      </c>
    </row>
    <row r="80" spans="1:123" s="7" customFormat="1" ht="72">
      <c r="A80" s="7" t="s">
        <v>173</v>
      </c>
      <c r="B80" s="453">
        <v>69</v>
      </c>
      <c r="C80" s="642" t="s">
        <v>309</v>
      </c>
      <c r="D80" s="453" t="s">
        <v>439</v>
      </c>
      <c r="E80" s="453" t="s">
        <v>440</v>
      </c>
      <c r="F80" s="194" t="s">
        <v>191</v>
      </c>
      <c r="G80" s="453">
        <v>1</v>
      </c>
      <c r="H80" s="443" t="s">
        <v>192</v>
      </c>
      <c r="I80" s="454" t="s">
        <v>193</v>
      </c>
      <c r="J80" s="455">
        <v>12000</v>
      </c>
      <c r="K80" s="455">
        <f t="shared" si="43"/>
        <v>2280</v>
      </c>
      <c r="L80" s="455">
        <f t="shared" si="44"/>
        <v>14280</v>
      </c>
      <c r="M80" s="455">
        <f t="shared" si="45"/>
        <v>12000</v>
      </c>
      <c r="N80" s="455">
        <f t="shared" si="46"/>
        <v>14280</v>
      </c>
      <c r="O80" s="456" t="s">
        <v>194</v>
      </c>
      <c r="P80" s="457">
        <v>12000</v>
      </c>
      <c r="Q80" s="457">
        <f t="shared" si="60"/>
        <v>2280</v>
      </c>
      <c r="R80" s="457">
        <f t="shared" si="61"/>
        <v>14280</v>
      </c>
      <c r="S80" s="457">
        <f t="shared" si="62"/>
        <v>12000</v>
      </c>
      <c r="T80" s="457">
        <f t="shared" si="63"/>
        <v>14280</v>
      </c>
      <c r="U80" s="458" t="s">
        <v>313</v>
      </c>
      <c r="V80" s="459">
        <v>16638.65546218487</v>
      </c>
      <c r="W80" s="459">
        <f t="shared" si="64"/>
        <v>3161.3445378151255</v>
      </c>
      <c r="X80" s="459">
        <f t="shared" si="65"/>
        <v>19799.999999999996</v>
      </c>
      <c r="Y80" s="459">
        <f t="shared" si="66"/>
        <v>16638.65546218487</v>
      </c>
      <c r="Z80" s="459">
        <f t="shared" si="67"/>
        <v>19799.999999999996</v>
      </c>
      <c r="AA80" s="460">
        <f t="shared" si="68"/>
        <v>16120</v>
      </c>
      <c r="AB80" s="460">
        <f t="shared" si="52"/>
        <v>16120</v>
      </c>
      <c r="AC80" s="461">
        <f t="shared" si="69"/>
        <v>3186.9734859267251</v>
      </c>
      <c r="AD80" s="427">
        <f t="shared" si="70"/>
        <v>0.19770306984657104</v>
      </c>
      <c r="AE80" s="428"/>
      <c r="BH80" s="7">
        <v>83</v>
      </c>
      <c r="DB80" s="7" t="str">
        <f>VLOOKUP(D80,listaBolsa!$D$2:$BA$1248,1,0)</f>
        <v>Cera</v>
      </c>
      <c r="DC80" s="7">
        <f>VLOOKUP(D80,listaBolsa!$D$2:$BA$1248,2,0)</f>
        <v>0</v>
      </c>
      <c r="DD80" s="7" t="str">
        <f>VLOOKUP(D80,listaBolsa!$D$2:$BA$1248,10,0)</f>
        <v>AVANCE ORGANIZACIONAL CONSULTORES SAS</v>
      </c>
      <c r="DE80" s="7">
        <f>VLOOKUP(D80,listaBolsa!$D$2:$BA$1248,14,0)</f>
        <v>12000</v>
      </c>
      <c r="DF80" s="7" t="str">
        <f>VLOOKUP(D80,listaBolsa!$D$2:$BA$1248,23,0)</f>
        <v>SIDED</v>
      </c>
      <c r="DG80" s="7">
        <f>VLOOKUP(D80,listaBolsa!$D$2:$BA$1248,29,0)</f>
        <v>14280</v>
      </c>
      <c r="DH80" s="7" t="str">
        <f>VLOOKUP(D80,listaBolsa!$D$2:$BA$1248,36,0)</f>
        <v>VELAS E INSUMOS LEON</v>
      </c>
      <c r="DI80" s="7">
        <f>VLOOKUP(D80,listaBolsa!$D$2:$BA$1248,40,0)</f>
        <v>16638.66</v>
      </c>
      <c r="DJ80" s="252">
        <f>VLOOKUP(D80,listaBolsa!$D$2:$BA$1248,48,0)</f>
        <v>0.19769999999999999</v>
      </c>
      <c r="DK80" s="7" t="b">
        <f t="shared" si="71"/>
        <v>1</v>
      </c>
      <c r="DL80" s="7" t="b">
        <f t="shared" si="72"/>
        <v>0</v>
      </c>
      <c r="DM80" s="7" t="b">
        <f t="shared" si="73"/>
        <v>1</v>
      </c>
      <c r="DN80" s="7" t="b">
        <f t="shared" si="74"/>
        <v>1</v>
      </c>
      <c r="DO80" s="7" t="b">
        <f t="shared" si="75"/>
        <v>1</v>
      </c>
      <c r="DP80" s="7" t="b">
        <f t="shared" si="76"/>
        <v>0</v>
      </c>
      <c r="DQ80" s="7" t="b">
        <f t="shared" si="77"/>
        <v>1</v>
      </c>
      <c r="DR80" s="7" t="b">
        <f t="shared" si="78"/>
        <v>0</v>
      </c>
      <c r="DS80" s="7" t="b">
        <f t="shared" si="79"/>
        <v>0</v>
      </c>
    </row>
    <row r="81" spans="1:123" s="7" customFormat="1" ht="42">
      <c r="A81" s="7" t="s">
        <v>173</v>
      </c>
      <c r="B81" s="453">
        <v>70</v>
      </c>
      <c r="C81" s="642" t="s">
        <v>309</v>
      </c>
      <c r="D81" s="453" t="s">
        <v>442</v>
      </c>
      <c r="E81" s="453" t="s">
        <v>443</v>
      </c>
      <c r="F81" s="194" t="s">
        <v>191</v>
      </c>
      <c r="G81" s="453">
        <v>150</v>
      </c>
      <c r="H81" s="443" t="s">
        <v>192</v>
      </c>
      <c r="I81" s="454" t="s">
        <v>444</v>
      </c>
      <c r="J81" s="455">
        <v>15714.285714285719</v>
      </c>
      <c r="K81" s="455">
        <f t="shared" si="43"/>
        <v>2985.7142857142867</v>
      </c>
      <c r="L81" s="455">
        <f t="shared" si="44"/>
        <v>18700.000000000007</v>
      </c>
      <c r="M81" s="455">
        <f t="shared" si="45"/>
        <v>2357142.8571428577</v>
      </c>
      <c r="N81" s="455">
        <f t="shared" si="46"/>
        <v>2805000.0000000009</v>
      </c>
      <c r="O81" s="456" t="s">
        <v>194</v>
      </c>
      <c r="P81" s="457">
        <v>22000</v>
      </c>
      <c r="Q81" s="457">
        <f t="shared" si="60"/>
        <v>4180</v>
      </c>
      <c r="R81" s="457">
        <f t="shared" si="61"/>
        <v>26180</v>
      </c>
      <c r="S81" s="457">
        <f t="shared" si="62"/>
        <v>3300000</v>
      </c>
      <c r="T81" s="457">
        <f t="shared" si="63"/>
        <v>3927000</v>
      </c>
      <c r="U81" s="458" t="s">
        <v>445</v>
      </c>
      <c r="V81" s="459">
        <v>15957.98319327731</v>
      </c>
      <c r="W81" s="459">
        <f t="shared" si="64"/>
        <v>3032.0168067226891</v>
      </c>
      <c r="X81" s="459">
        <f t="shared" si="65"/>
        <v>18990</v>
      </c>
      <c r="Y81" s="459">
        <f t="shared" si="66"/>
        <v>2393697.4789915965</v>
      </c>
      <c r="Z81" s="459">
        <f t="shared" si="67"/>
        <v>2848500</v>
      </c>
      <c r="AA81" s="460">
        <f t="shared" si="68"/>
        <v>21290.000000000004</v>
      </c>
      <c r="AB81" s="460">
        <f t="shared" ref="AB81:AB89" si="80">IF(C81="","",AA81*G81)</f>
        <v>3193500.0000000005</v>
      </c>
      <c r="AC81" s="461">
        <f t="shared" si="69"/>
        <v>635601.88011049968</v>
      </c>
      <c r="AD81" s="427">
        <f t="shared" si="70"/>
        <v>0.19902986695177691</v>
      </c>
      <c r="AE81" s="428"/>
      <c r="BH81" s="7">
        <v>84</v>
      </c>
      <c r="DB81" s="7" t="str">
        <f>VLOOKUP(D81,listaBolsa!$D$2:$BA$1248,1,0)</f>
        <v>Cajas</v>
      </c>
      <c r="DC81" s="7">
        <f>VLOOKUP(D81,listaBolsa!$D$2:$BA$1248,2,0)</f>
        <v>0</v>
      </c>
      <c r="DD81" s="7" t="str">
        <f>VLOOKUP(D81,listaBolsa!$D$2:$BA$1248,10,0)</f>
        <v>MICROCORRUGADO</v>
      </c>
      <c r="DE81" s="7">
        <f>VLOOKUP(D81,listaBolsa!$D$2:$BA$1248,14,0)</f>
        <v>15714.29</v>
      </c>
      <c r="DF81" s="7" t="str">
        <f>VLOOKUP(D81,listaBolsa!$D$2:$BA$1248,23,0)</f>
        <v>SIDED</v>
      </c>
      <c r="DG81" s="7">
        <f>VLOOKUP(D81,listaBolsa!$D$2:$BA$1248,29,0)</f>
        <v>26180</v>
      </c>
      <c r="DH81" s="7" t="str">
        <f>VLOOKUP(D81,listaBolsa!$D$2:$BA$1248,36,0)</f>
        <v>CART PAPER</v>
      </c>
      <c r="DI81" s="7">
        <f>VLOOKUP(D81,listaBolsa!$D$2:$BA$1248,40,0)</f>
        <v>15957.98</v>
      </c>
      <c r="DJ81" s="252">
        <f>VLOOKUP(D81,listaBolsa!$D$2:$BA$1248,48,0)</f>
        <v>0.19900000000000001</v>
      </c>
      <c r="DK81" s="7" t="b">
        <f t="shared" si="71"/>
        <v>1</v>
      </c>
      <c r="DL81" s="7" t="b">
        <f t="shared" si="72"/>
        <v>0</v>
      </c>
      <c r="DM81" s="7" t="b">
        <f t="shared" si="73"/>
        <v>1</v>
      </c>
      <c r="DN81" s="7" t="b">
        <f t="shared" si="74"/>
        <v>0</v>
      </c>
      <c r="DO81" s="7" t="b">
        <f t="shared" si="75"/>
        <v>1</v>
      </c>
      <c r="DP81" s="7" t="b">
        <f t="shared" si="76"/>
        <v>0</v>
      </c>
      <c r="DQ81" s="7" t="b">
        <f t="shared" si="77"/>
        <v>1</v>
      </c>
      <c r="DR81" s="7" t="b">
        <f t="shared" si="78"/>
        <v>0</v>
      </c>
      <c r="DS81" s="7" t="b">
        <f t="shared" si="79"/>
        <v>0</v>
      </c>
    </row>
    <row r="82" spans="1:123" s="7" customFormat="1" ht="72">
      <c r="A82" s="7" t="s">
        <v>173</v>
      </c>
      <c r="B82" s="453">
        <v>71</v>
      </c>
      <c r="C82" s="642" t="s">
        <v>309</v>
      </c>
      <c r="D82" s="453" t="s">
        <v>447</v>
      </c>
      <c r="E82" s="453" t="s">
        <v>448</v>
      </c>
      <c r="F82" s="194" t="s">
        <v>191</v>
      </c>
      <c r="G82" s="453">
        <v>54</v>
      </c>
      <c r="H82" s="443" t="s">
        <v>192</v>
      </c>
      <c r="I82" s="454" t="s">
        <v>193</v>
      </c>
      <c r="J82" s="455">
        <v>8200</v>
      </c>
      <c r="K82" s="455">
        <f t="shared" si="43"/>
        <v>1558</v>
      </c>
      <c r="L82" s="455">
        <f t="shared" si="44"/>
        <v>9758</v>
      </c>
      <c r="M82" s="455">
        <f t="shared" si="45"/>
        <v>442800</v>
      </c>
      <c r="N82" s="455">
        <f t="shared" si="46"/>
        <v>526932</v>
      </c>
      <c r="O82" s="456" t="s">
        <v>194</v>
      </c>
      <c r="P82" s="457">
        <v>8200</v>
      </c>
      <c r="Q82" s="457">
        <f t="shared" si="60"/>
        <v>1558</v>
      </c>
      <c r="R82" s="457">
        <f t="shared" si="61"/>
        <v>9758</v>
      </c>
      <c r="S82" s="457">
        <f t="shared" si="62"/>
        <v>442800</v>
      </c>
      <c r="T82" s="457">
        <f t="shared" si="63"/>
        <v>526932</v>
      </c>
      <c r="U82" s="458" t="s">
        <v>449</v>
      </c>
      <c r="V82" s="459">
        <v>6722.6890756302528</v>
      </c>
      <c r="W82" s="459">
        <f t="shared" si="64"/>
        <v>1277.3109243697481</v>
      </c>
      <c r="X82" s="459">
        <f t="shared" si="65"/>
        <v>8000.0000000000009</v>
      </c>
      <c r="Y82" s="459">
        <f t="shared" si="66"/>
        <v>363025.21008403366</v>
      </c>
      <c r="Z82" s="459">
        <f t="shared" si="67"/>
        <v>432000.00000000006</v>
      </c>
      <c r="AA82" s="460">
        <f t="shared" si="68"/>
        <v>9172</v>
      </c>
      <c r="AB82" s="460">
        <f t="shared" si="80"/>
        <v>495288</v>
      </c>
      <c r="AC82" s="461">
        <f t="shared" si="69"/>
        <v>54809.015754709515</v>
      </c>
      <c r="AD82" s="427">
        <f t="shared" si="70"/>
        <v>0.11066089982941141</v>
      </c>
      <c r="AE82" s="428"/>
      <c r="BH82" s="7">
        <v>85</v>
      </c>
      <c r="DB82" s="7" t="str">
        <f>VLOOKUP(D82,listaBolsa!$D$2:$BA$1248,1,0)</f>
        <v>Tela</v>
      </c>
      <c r="DC82" s="7">
        <f>VLOOKUP(D82,listaBolsa!$D$2:$BA$1248,2,0)</f>
        <v>0</v>
      </c>
      <c r="DD82" s="7" t="str">
        <f>VLOOKUP(D82,listaBolsa!$D$2:$BA$1248,10,0)</f>
        <v>AVANCE ORGANIZACIONAL CONSULTORES SAS</v>
      </c>
      <c r="DE82" s="7">
        <f>VLOOKUP(D82,listaBolsa!$D$2:$BA$1248,14,0)</f>
        <v>8200</v>
      </c>
      <c r="DF82" s="7" t="str">
        <f>VLOOKUP(D82,listaBolsa!$D$2:$BA$1248,23,0)</f>
        <v>SIDED</v>
      </c>
      <c r="DG82" s="7">
        <f>VLOOKUP(D82,listaBolsa!$D$2:$BA$1248,29,0)</f>
        <v>9758</v>
      </c>
      <c r="DH82" s="7" t="str">
        <f>VLOOKUP(D82,listaBolsa!$D$2:$BA$1248,36,0)</f>
        <v>EL MAYORISTA STORE</v>
      </c>
      <c r="DI82" s="7">
        <f>VLOOKUP(D82,listaBolsa!$D$2:$BA$1248,40,0)</f>
        <v>6722.69</v>
      </c>
      <c r="DJ82" s="252">
        <f>VLOOKUP(D82,listaBolsa!$D$2:$BA$1248,48,0)</f>
        <v>0.11070000000000001</v>
      </c>
      <c r="DK82" s="7" t="b">
        <f t="shared" si="71"/>
        <v>1</v>
      </c>
      <c r="DL82" s="7" t="b">
        <f t="shared" si="72"/>
        <v>0</v>
      </c>
      <c r="DM82" s="7" t="b">
        <f t="shared" si="73"/>
        <v>1</v>
      </c>
      <c r="DN82" s="7" t="b">
        <f t="shared" si="74"/>
        <v>1</v>
      </c>
      <c r="DO82" s="7" t="b">
        <f t="shared" si="75"/>
        <v>1</v>
      </c>
      <c r="DP82" s="7" t="b">
        <f t="shared" si="76"/>
        <v>0</v>
      </c>
      <c r="DQ82" s="7" t="b">
        <f t="shared" si="77"/>
        <v>1</v>
      </c>
      <c r="DR82" s="7" t="b">
        <f t="shared" si="78"/>
        <v>0</v>
      </c>
      <c r="DS82" s="7" t="b">
        <f t="shared" si="79"/>
        <v>0</v>
      </c>
    </row>
    <row r="83" spans="1:123" s="7" customFormat="1" ht="72">
      <c r="A83" s="7" t="s">
        <v>173</v>
      </c>
      <c r="B83" s="453">
        <v>72</v>
      </c>
      <c r="C83" s="642" t="s">
        <v>309</v>
      </c>
      <c r="D83" s="453" t="s">
        <v>451</v>
      </c>
      <c r="E83" s="453" t="s">
        <v>452</v>
      </c>
      <c r="F83" s="194" t="s">
        <v>191</v>
      </c>
      <c r="G83" s="453">
        <v>42</v>
      </c>
      <c r="H83" s="443" t="s">
        <v>192</v>
      </c>
      <c r="I83" s="454" t="s">
        <v>193</v>
      </c>
      <c r="J83" s="455">
        <v>8200</v>
      </c>
      <c r="K83" s="455">
        <f t="shared" si="43"/>
        <v>1558</v>
      </c>
      <c r="L83" s="455">
        <f t="shared" si="44"/>
        <v>9758</v>
      </c>
      <c r="M83" s="455">
        <f t="shared" si="45"/>
        <v>344400</v>
      </c>
      <c r="N83" s="455">
        <f t="shared" si="46"/>
        <v>409836</v>
      </c>
      <c r="O83" s="456" t="s">
        <v>194</v>
      </c>
      <c r="P83" s="457">
        <v>8200</v>
      </c>
      <c r="Q83" s="457">
        <f t="shared" si="60"/>
        <v>1558</v>
      </c>
      <c r="R83" s="457">
        <f t="shared" si="61"/>
        <v>9758</v>
      </c>
      <c r="S83" s="457">
        <f t="shared" si="62"/>
        <v>344400</v>
      </c>
      <c r="T83" s="457">
        <f t="shared" si="63"/>
        <v>409836</v>
      </c>
      <c r="U83" s="458" t="s">
        <v>453</v>
      </c>
      <c r="V83" s="459">
        <v>5882.3529411764712</v>
      </c>
      <c r="W83" s="459">
        <f t="shared" si="64"/>
        <v>1117.6470588235295</v>
      </c>
      <c r="X83" s="459">
        <f t="shared" si="65"/>
        <v>7000.0000000000009</v>
      </c>
      <c r="Y83" s="459">
        <f t="shared" si="66"/>
        <v>247058.82352941178</v>
      </c>
      <c r="Z83" s="459">
        <f t="shared" si="67"/>
        <v>294000.00000000006</v>
      </c>
      <c r="AA83" s="460">
        <f t="shared" si="68"/>
        <v>8838.6666666666661</v>
      </c>
      <c r="AB83" s="460">
        <f t="shared" si="80"/>
        <v>371224</v>
      </c>
      <c r="AC83" s="461">
        <f t="shared" si="69"/>
        <v>66877.945781849485</v>
      </c>
      <c r="AD83" s="427">
        <f t="shared" si="70"/>
        <v>0.18015523183266569</v>
      </c>
      <c r="AE83" s="428"/>
      <c r="BH83" s="7">
        <v>86</v>
      </c>
      <c r="DB83" s="7" t="str">
        <f>VLOOKUP(D83,listaBolsa!$D$2:$BA$1248,1,0)</f>
        <v>Tela liviana</v>
      </c>
      <c r="DC83" s="7">
        <f>VLOOKUP(D83,listaBolsa!$D$2:$BA$1248,2,0)</f>
        <v>0</v>
      </c>
      <c r="DD83" s="7" t="str">
        <f>VLOOKUP(D83,listaBolsa!$D$2:$BA$1248,10,0)</f>
        <v>AVANCE ORGANIZACIONAL CONSULTORES SAS</v>
      </c>
      <c r="DE83" s="7">
        <f>VLOOKUP(D83,listaBolsa!$D$2:$BA$1248,14,0)</f>
        <v>8200</v>
      </c>
      <c r="DF83" s="7" t="str">
        <f>VLOOKUP(D83,listaBolsa!$D$2:$BA$1248,23,0)</f>
        <v>SIDED</v>
      </c>
      <c r="DG83" s="7">
        <f>VLOOKUP(D83,listaBolsa!$D$2:$BA$1248,29,0)</f>
        <v>9758</v>
      </c>
      <c r="DH83" s="7" t="str">
        <f>VLOOKUP(D83,listaBolsa!$D$2:$BA$1248,36,0)</f>
        <v>CASATEXTIL</v>
      </c>
      <c r="DI83" s="7">
        <f>VLOOKUP(D83,listaBolsa!$D$2:$BA$1248,40,0)</f>
        <v>5882.35</v>
      </c>
      <c r="DJ83" s="252">
        <f>VLOOKUP(D83,listaBolsa!$D$2:$BA$1248,48,0)</f>
        <v>0.1802</v>
      </c>
      <c r="DK83" s="7" t="b">
        <f t="shared" si="71"/>
        <v>1</v>
      </c>
      <c r="DL83" s="7" t="b">
        <f t="shared" si="72"/>
        <v>0</v>
      </c>
      <c r="DM83" s="7" t="b">
        <f t="shared" si="73"/>
        <v>1</v>
      </c>
      <c r="DN83" s="7" t="b">
        <f t="shared" si="74"/>
        <v>1</v>
      </c>
      <c r="DO83" s="7" t="b">
        <f t="shared" si="75"/>
        <v>1</v>
      </c>
      <c r="DP83" s="7" t="b">
        <f t="shared" si="76"/>
        <v>0</v>
      </c>
      <c r="DQ83" s="7" t="b">
        <f t="shared" si="77"/>
        <v>1</v>
      </c>
      <c r="DR83" s="7" t="b">
        <f t="shared" si="78"/>
        <v>0</v>
      </c>
      <c r="DS83" s="7" t="b">
        <f t="shared" si="79"/>
        <v>0</v>
      </c>
    </row>
    <row r="84" spans="1:123" s="7" customFormat="1" ht="72">
      <c r="A84" s="7" t="s">
        <v>173</v>
      </c>
      <c r="B84" s="453">
        <v>73</v>
      </c>
      <c r="C84" s="642" t="s">
        <v>309</v>
      </c>
      <c r="D84" s="453" t="s">
        <v>455</v>
      </c>
      <c r="E84" s="453" t="s">
        <v>456</v>
      </c>
      <c r="F84" s="194" t="s">
        <v>191</v>
      </c>
      <c r="G84" s="453">
        <v>22</v>
      </c>
      <c r="H84" s="443" t="s">
        <v>192</v>
      </c>
      <c r="I84" s="454" t="s">
        <v>193</v>
      </c>
      <c r="J84" s="455">
        <v>22000</v>
      </c>
      <c r="K84" s="455">
        <f t="shared" si="43"/>
        <v>4180</v>
      </c>
      <c r="L84" s="455">
        <f t="shared" si="44"/>
        <v>26180</v>
      </c>
      <c r="M84" s="455">
        <f t="shared" si="45"/>
        <v>484000</v>
      </c>
      <c r="N84" s="455">
        <f t="shared" si="46"/>
        <v>575960</v>
      </c>
      <c r="O84" s="456" t="s">
        <v>194</v>
      </c>
      <c r="P84" s="457">
        <v>22000</v>
      </c>
      <c r="Q84" s="457">
        <f t="shared" si="60"/>
        <v>4180</v>
      </c>
      <c r="R84" s="457">
        <f t="shared" si="61"/>
        <v>26180</v>
      </c>
      <c r="S84" s="457">
        <f t="shared" si="62"/>
        <v>484000</v>
      </c>
      <c r="T84" s="457">
        <f t="shared" si="63"/>
        <v>575960</v>
      </c>
      <c r="U84" s="458" t="s">
        <v>457</v>
      </c>
      <c r="V84" s="459">
        <v>18487.39495798319</v>
      </c>
      <c r="W84" s="459">
        <f t="shared" si="64"/>
        <v>3512.6050420168062</v>
      </c>
      <c r="X84" s="459">
        <f t="shared" si="65"/>
        <v>21999.999999999996</v>
      </c>
      <c r="Y84" s="459">
        <f t="shared" si="66"/>
        <v>406722.68907563016</v>
      </c>
      <c r="Z84" s="459">
        <f t="shared" si="67"/>
        <v>483999.99999999994</v>
      </c>
      <c r="AA84" s="460">
        <f t="shared" si="68"/>
        <v>24786.666666666668</v>
      </c>
      <c r="AB84" s="460">
        <f t="shared" si="80"/>
        <v>545306.66666666674</v>
      </c>
      <c r="AC84" s="461">
        <f t="shared" si="69"/>
        <v>53093.130754678015</v>
      </c>
      <c r="AD84" s="427">
        <f t="shared" si="70"/>
        <v>9.7363802792333379E-2</v>
      </c>
      <c r="AE84" s="428"/>
      <c r="BH84" s="7">
        <v>87</v>
      </c>
      <c r="DB84" s="7" t="str">
        <f>VLOOKUP(D84,listaBolsa!$D$2:$BA$1248,1,0)</f>
        <v>Entretela</v>
      </c>
      <c r="DC84" s="7">
        <f>VLOOKUP(D84,listaBolsa!$D$2:$BA$1248,2,0)</f>
        <v>0</v>
      </c>
      <c r="DD84" s="7" t="str">
        <f>VLOOKUP(D84,listaBolsa!$D$2:$BA$1248,10,0)</f>
        <v>AVANCE ORGANIZACIONAL CONSULTORES SAS</v>
      </c>
      <c r="DE84" s="7">
        <f>VLOOKUP(D84,listaBolsa!$D$2:$BA$1248,14,0)</f>
        <v>22000</v>
      </c>
      <c r="DF84" s="7" t="str">
        <f>VLOOKUP(D84,listaBolsa!$D$2:$BA$1248,23,0)</f>
        <v>SIDED</v>
      </c>
      <c r="DG84" s="7">
        <f>VLOOKUP(D84,listaBolsa!$D$2:$BA$1248,29,0)</f>
        <v>26180</v>
      </c>
      <c r="DH84" s="7" t="str">
        <f>VLOOKUP(D84,listaBolsa!$D$2:$BA$1248,36,0)</f>
        <v>LA MINA</v>
      </c>
      <c r="DI84" s="7">
        <f>VLOOKUP(D84,listaBolsa!$D$2:$BA$1248,40,0)</f>
        <v>18487.39</v>
      </c>
      <c r="DJ84" s="252">
        <f>VLOOKUP(D84,listaBolsa!$D$2:$BA$1248,48,0)</f>
        <v>9.74E-2</v>
      </c>
      <c r="DK84" s="7" t="b">
        <f t="shared" si="71"/>
        <v>1</v>
      </c>
      <c r="DL84" s="7" t="b">
        <f t="shared" si="72"/>
        <v>0</v>
      </c>
      <c r="DM84" s="7" t="b">
        <f t="shared" si="73"/>
        <v>1</v>
      </c>
      <c r="DN84" s="7" t="b">
        <f t="shared" si="74"/>
        <v>1</v>
      </c>
      <c r="DO84" s="7" t="b">
        <f t="shared" si="75"/>
        <v>1</v>
      </c>
      <c r="DP84" s="7" t="b">
        <f t="shared" si="76"/>
        <v>0</v>
      </c>
      <c r="DQ84" s="7" t="b">
        <f t="shared" si="77"/>
        <v>1</v>
      </c>
      <c r="DR84" s="7" t="b">
        <f t="shared" si="78"/>
        <v>0</v>
      </c>
      <c r="DS84" s="7" t="b">
        <f t="shared" si="79"/>
        <v>0</v>
      </c>
    </row>
    <row r="85" spans="1:123" s="7" customFormat="1" ht="72">
      <c r="A85" s="7" t="s">
        <v>173</v>
      </c>
      <c r="B85" s="453">
        <v>74</v>
      </c>
      <c r="C85" s="642" t="s">
        <v>309</v>
      </c>
      <c r="D85" s="453" t="s">
        <v>459</v>
      </c>
      <c r="E85" s="453" t="s">
        <v>460</v>
      </c>
      <c r="F85" s="194" t="s">
        <v>191</v>
      </c>
      <c r="G85" s="453">
        <v>150</v>
      </c>
      <c r="H85" s="443" t="s">
        <v>192</v>
      </c>
      <c r="I85" s="454" t="s">
        <v>193</v>
      </c>
      <c r="J85" s="455">
        <v>2500</v>
      </c>
      <c r="K85" s="455">
        <f t="shared" si="43"/>
        <v>475</v>
      </c>
      <c r="L85" s="455">
        <f t="shared" si="44"/>
        <v>2975</v>
      </c>
      <c r="M85" s="455">
        <f t="shared" si="45"/>
        <v>375000</v>
      </c>
      <c r="N85" s="455">
        <f t="shared" si="46"/>
        <v>446250</v>
      </c>
      <c r="O85" s="456" t="s">
        <v>194</v>
      </c>
      <c r="P85" s="457">
        <v>2500</v>
      </c>
      <c r="Q85" s="457">
        <f t="shared" si="60"/>
        <v>475</v>
      </c>
      <c r="R85" s="457">
        <f t="shared" si="61"/>
        <v>2975</v>
      </c>
      <c r="S85" s="457">
        <f t="shared" si="62"/>
        <v>375000</v>
      </c>
      <c r="T85" s="457">
        <f t="shared" si="63"/>
        <v>446250</v>
      </c>
      <c r="U85" s="458" t="s">
        <v>461</v>
      </c>
      <c r="V85" s="459">
        <v>2100.840336134454</v>
      </c>
      <c r="W85" s="459">
        <f t="shared" si="64"/>
        <v>399.15966386554624</v>
      </c>
      <c r="X85" s="459">
        <f t="shared" si="65"/>
        <v>2500</v>
      </c>
      <c r="Y85" s="459">
        <f t="shared" si="66"/>
        <v>315126.05042016809</v>
      </c>
      <c r="Z85" s="459">
        <f t="shared" si="67"/>
        <v>375000</v>
      </c>
      <c r="AA85" s="460">
        <f t="shared" si="68"/>
        <v>2816.6666666666665</v>
      </c>
      <c r="AB85" s="460">
        <f t="shared" si="80"/>
        <v>422500</v>
      </c>
      <c r="AC85" s="461">
        <f t="shared" si="69"/>
        <v>41136.206679760835</v>
      </c>
      <c r="AD85" s="427">
        <f t="shared" si="70"/>
        <v>9.7363802792333337E-2</v>
      </c>
      <c r="AE85" s="428"/>
      <c r="BH85" s="7">
        <v>88</v>
      </c>
      <c r="DB85" s="7" t="str">
        <f>VLOOKUP(D85,listaBolsa!$D$2:$BA$1248,1,0)</f>
        <v>Cremalleras</v>
      </c>
      <c r="DC85" s="7">
        <f>VLOOKUP(D85,listaBolsa!$D$2:$BA$1248,2,0)</f>
        <v>0</v>
      </c>
      <c r="DD85" s="7" t="str">
        <f>VLOOKUP(D85,listaBolsa!$D$2:$BA$1248,10,0)</f>
        <v>AVANCE ORGANIZACIONAL CONSULTORES SAS</v>
      </c>
      <c r="DE85" s="7">
        <f>VLOOKUP(D85,listaBolsa!$D$2:$BA$1248,14,0)</f>
        <v>2500</v>
      </c>
      <c r="DF85" s="7" t="str">
        <f>VLOOKUP(D85,listaBolsa!$D$2:$BA$1248,23,0)</f>
        <v>SIDED</v>
      </c>
      <c r="DG85" s="7">
        <f>VLOOKUP(D85,listaBolsa!$D$2:$BA$1248,29,0)</f>
        <v>2975</v>
      </c>
      <c r="DH85" s="7" t="str">
        <f>VLOOKUP(D85,listaBolsa!$D$2:$BA$1248,36,0)</f>
        <v>MIL HERRAJES</v>
      </c>
      <c r="DI85" s="7">
        <f>VLOOKUP(D85,listaBolsa!$D$2:$BA$1248,40,0)</f>
        <v>2100.84</v>
      </c>
      <c r="DJ85" s="252">
        <f>VLOOKUP(D85,listaBolsa!$D$2:$BA$1248,48,0)</f>
        <v>9.74E-2</v>
      </c>
      <c r="DK85" s="7" t="b">
        <f t="shared" si="71"/>
        <v>1</v>
      </c>
      <c r="DL85" s="7" t="b">
        <f t="shared" si="72"/>
        <v>0</v>
      </c>
      <c r="DM85" s="7" t="b">
        <f t="shared" si="73"/>
        <v>1</v>
      </c>
      <c r="DN85" s="7" t="b">
        <f t="shared" si="74"/>
        <v>1</v>
      </c>
      <c r="DO85" s="7" t="b">
        <f t="shared" si="75"/>
        <v>1</v>
      </c>
      <c r="DP85" s="7" t="b">
        <f t="shared" si="76"/>
        <v>0</v>
      </c>
      <c r="DQ85" s="7" t="b">
        <f t="shared" si="77"/>
        <v>1</v>
      </c>
      <c r="DR85" s="7" t="b">
        <f t="shared" si="78"/>
        <v>0</v>
      </c>
      <c r="DS85" s="7" t="b">
        <f t="shared" si="79"/>
        <v>0</v>
      </c>
    </row>
    <row r="86" spans="1:123" s="7" customFormat="1" ht="42">
      <c r="A86" s="7" t="s">
        <v>173</v>
      </c>
      <c r="B86" s="453">
        <v>75</v>
      </c>
      <c r="C86" s="642" t="s">
        <v>309</v>
      </c>
      <c r="D86" s="453" t="s">
        <v>463</v>
      </c>
      <c r="E86" s="453" t="s">
        <v>464</v>
      </c>
      <c r="F86" s="194" t="s">
        <v>191</v>
      </c>
      <c r="G86" s="453">
        <v>28</v>
      </c>
      <c r="H86" s="443" t="s">
        <v>192</v>
      </c>
      <c r="I86" s="454" t="s">
        <v>465</v>
      </c>
      <c r="J86" s="455">
        <v>9243.6974789915967</v>
      </c>
      <c r="K86" s="455">
        <f t="shared" si="43"/>
        <v>1756.3025210084033</v>
      </c>
      <c r="L86" s="455">
        <f t="shared" si="44"/>
        <v>11000</v>
      </c>
      <c r="M86" s="455">
        <f t="shared" si="45"/>
        <v>258823.5294117647</v>
      </c>
      <c r="N86" s="455">
        <f t="shared" si="46"/>
        <v>308000</v>
      </c>
      <c r="O86" s="456" t="s">
        <v>466</v>
      </c>
      <c r="P86" s="457">
        <v>10084.033613445379</v>
      </c>
      <c r="Q86" s="457">
        <f t="shared" si="60"/>
        <v>1915.966386554622</v>
      </c>
      <c r="R86" s="457">
        <f t="shared" si="61"/>
        <v>12000.000000000002</v>
      </c>
      <c r="S86" s="457">
        <f t="shared" si="62"/>
        <v>282352.9411764706</v>
      </c>
      <c r="T86" s="457">
        <f t="shared" si="63"/>
        <v>336000.00000000006</v>
      </c>
      <c r="U86" s="458" t="s">
        <v>467</v>
      </c>
      <c r="V86" s="459">
        <v>9411.7647058823532</v>
      </c>
      <c r="W86" s="459">
        <f t="shared" si="64"/>
        <v>1788.2352941176471</v>
      </c>
      <c r="X86" s="459">
        <f t="shared" si="65"/>
        <v>11200</v>
      </c>
      <c r="Y86" s="459">
        <f t="shared" si="66"/>
        <v>263529.4117647059</v>
      </c>
      <c r="Z86" s="459">
        <f t="shared" si="67"/>
        <v>313600</v>
      </c>
      <c r="AA86" s="460">
        <f t="shared" si="68"/>
        <v>11400</v>
      </c>
      <c r="AB86" s="460">
        <f t="shared" si="80"/>
        <v>319200</v>
      </c>
      <c r="AC86" s="461">
        <f t="shared" si="69"/>
        <v>14816.207341961741</v>
      </c>
      <c r="AD86" s="427">
        <f t="shared" si="70"/>
        <v>4.6416689667799937E-2</v>
      </c>
      <c r="AE86" s="428"/>
      <c r="BH86" s="7">
        <v>89</v>
      </c>
      <c r="DB86" s="7" t="str">
        <f>VLOOKUP(D86,listaBolsa!$D$2:$BA$1248,1,0)</f>
        <v>Hilo</v>
      </c>
      <c r="DC86" s="7">
        <f>VLOOKUP(D86,listaBolsa!$D$2:$BA$1248,2,0)</f>
        <v>0</v>
      </c>
      <c r="DD86" s="7" t="str">
        <f>VLOOKUP(D86,listaBolsa!$D$2:$BA$1248,10,0)</f>
        <v>MI LANERA</v>
      </c>
      <c r="DE86" s="7">
        <f>VLOOKUP(D86,listaBolsa!$D$2:$BA$1248,14,0)</f>
        <v>9243.7000000000007</v>
      </c>
      <c r="DF86" s="7" t="str">
        <f>VLOOKUP(D86,listaBolsa!$D$2:$BA$1248,23,0)</f>
        <v>ENTRELANAS</v>
      </c>
      <c r="DG86" s="7">
        <f>VLOOKUP(D86,listaBolsa!$D$2:$BA$1248,29,0)</f>
        <v>12000</v>
      </c>
      <c r="DH86" s="7" t="str">
        <f>VLOOKUP(D86,listaBolsa!$D$2:$BA$1248,36,0)</f>
        <v>CROCHETEANDO</v>
      </c>
      <c r="DI86" s="7">
        <f>VLOOKUP(D86,listaBolsa!$D$2:$BA$1248,40,0)</f>
        <v>9411.76</v>
      </c>
      <c r="DJ86" s="252">
        <f>VLOOKUP(D86,listaBolsa!$D$2:$BA$1248,48,0)</f>
        <v>4.6399999999999997E-2</v>
      </c>
      <c r="DK86" s="7" t="b">
        <f t="shared" si="71"/>
        <v>1</v>
      </c>
      <c r="DL86" s="7" t="b">
        <f t="shared" si="72"/>
        <v>0</v>
      </c>
      <c r="DM86" s="7" t="b">
        <f t="shared" si="73"/>
        <v>0</v>
      </c>
      <c r="DN86" s="7" t="b">
        <f t="shared" si="74"/>
        <v>0</v>
      </c>
      <c r="DO86" s="7" t="b">
        <f t="shared" si="75"/>
        <v>1</v>
      </c>
      <c r="DP86" s="7" t="b">
        <f t="shared" si="76"/>
        <v>0</v>
      </c>
      <c r="DQ86" s="7" t="b">
        <f t="shared" si="77"/>
        <v>1</v>
      </c>
      <c r="DR86" s="7" t="b">
        <f t="shared" si="78"/>
        <v>0</v>
      </c>
      <c r="DS86" s="7" t="b">
        <f t="shared" si="79"/>
        <v>0</v>
      </c>
    </row>
    <row r="87" spans="1:123" s="7" customFormat="1" ht="42">
      <c r="A87" s="7" t="s">
        <v>173</v>
      </c>
      <c r="B87" s="453">
        <v>76</v>
      </c>
      <c r="C87" s="642" t="s">
        <v>309</v>
      </c>
      <c r="D87" s="453" t="s">
        <v>469</v>
      </c>
      <c r="E87" s="453" t="s">
        <v>470</v>
      </c>
      <c r="F87" s="194" t="s">
        <v>191</v>
      </c>
      <c r="G87" s="453">
        <v>2</v>
      </c>
      <c r="H87" s="443" t="s">
        <v>192</v>
      </c>
      <c r="I87" s="454" t="s">
        <v>1067</v>
      </c>
      <c r="J87" s="455">
        <v>50000</v>
      </c>
      <c r="K87" s="455">
        <f t="shared" si="43"/>
        <v>9500</v>
      </c>
      <c r="L87" s="455">
        <f t="shared" si="44"/>
        <v>59500</v>
      </c>
      <c r="M87" s="455">
        <f t="shared" si="45"/>
        <v>100000</v>
      </c>
      <c r="N87" s="455">
        <f t="shared" si="46"/>
        <v>119000</v>
      </c>
      <c r="O87" s="456" t="s">
        <v>1068</v>
      </c>
      <c r="P87" s="457">
        <v>45757.98</v>
      </c>
      <c r="Q87" s="457">
        <f t="shared" si="60"/>
        <v>8694.0162</v>
      </c>
      <c r="R87" s="457">
        <f t="shared" si="61"/>
        <v>54451.996200000001</v>
      </c>
      <c r="S87" s="457">
        <f t="shared" si="62"/>
        <v>91515.96</v>
      </c>
      <c r="T87" s="457">
        <f t="shared" si="63"/>
        <v>108903.9924</v>
      </c>
      <c r="U87" s="458" t="s">
        <v>1069</v>
      </c>
      <c r="V87" s="459">
        <v>40336.129999999997</v>
      </c>
      <c r="W87" s="459">
        <f t="shared" si="64"/>
        <v>7663.8646999999992</v>
      </c>
      <c r="X87" s="459">
        <f t="shared" si="65"/>
        <v>47999.994699999996</v>
      </c>
      <c r="Y87" s="459">
        <f t="shared" si="66"/>
        <v>80672.259999999995</v>
      </c>
      <c r="Z87" s="459">
        <f t="shared" si="67"/>
        <v>95999.989399999991</v>
      </c>
      <c r="AA87" s="460">
        <f t="shared" si="68"/>
        <v>53983.996966666658</v>
      </c>
      <c r="AB87" s="460">
        <f t="shared" si="80"/>
        <v>107967.99393333332</v>
      </c>
      <c r="AC87" s="461">
        <f t="shared" si="69"/>
        <v>11528.538144414926</v>
      </c>
      <c r="AD87" s="427">
        <f t="shared" si="70"/>
        <v>0.10677736729584343</v>
      </c>
      <c r="AE87" s="428"/>
      <c r="BH87" s="7">
        <v>90</v>
      </c>
      <c r="DB87" s="7" t="str">
        <f>VLOOKUP(D87,listaBolsa!$D$2:$BA$1248,1,0)</f>
        <v>Tiradores</v>
      </c>
      <c r="DC87" s="7">
        <f>VLOOKUP(D87,listaBolsa!$D$2:$BA$1248,2,0)</f>
        <v>0</v>
      </c>
      <c r="DD87" s="7">
        <f>VLOOKUP(D87,listaBolsa!$D$2:$BA$1248,10,0)</f>
        <v>0</v>
      </c>
      <c r="DE87" s="7" t="str">
        <f>VLOOKUP(D87,listaBolsa!$D$2:$BA$1248,14,0)</f>
        <v xml:space="preserve">$ -   </v>
      </c>
      <c r="DF87" s="7">
        <f>VLOOKUP(D87,listaBolsa!$D$2:$BA$1248,23,0)</f>
        <v>0</v>
      </c>
      <c r="DG87" s="7" t="str">
        <f>VLOOKUP(D87,listaBolsa!$D$2:$BA$1248,29,0)</f>
        <v xml:space="preserve"> $ -   </v>
      </c>
      <c r="DH87" s="7">
        <f>VLOOKUP(D87,listaBolsa!$D$2:$BA$1248,36,0)</f>
        <v>0</v>
      </c>
      <c r="DI87" s="7" t="str">
        <f>VLOOKUP(D87,listaBolsa!$D$2:$BA$1248,40,0)</f>
        <v xml:space="preserve"> $ -   </v>
      </c>
      <c r="DJ87" s="252" t="e">
        <f>VLOOKUP(D87,listaBolsa!$D$2:$BA$1248,48,0)</f>
        <v>#VALUE!</v>
      </c>
      <c r="DK87" s="7" t="b">
        <f t="shared" si="71"/>
        <v>1</v>
      </c>
      <c r="DL87" s="7" t="b">
        <f t="shared" si="72"/>
        <v>0</v>
      </c>
      <c r="DM87" s="7" t="b">
        <f t="shared" si="73"/>
        <v>0</v>
      </c>
      <c r="DN87" s="7" t="b">
        <f t="shared" si="74"/>
        <v>0</v>
      </c>
      <c r="DO87" s="7" t="b">
        <f t="shared" si="75"/>
        <v>0</v>
      </c>
      <c r="DP87" s="7" t="b">
        <f t="shared" si="76"/>
        <v>0</v>
      </c>
      <c r="DQ87" s="7" t="b">
        <f t="shared" si="77"/>
        <v>0</v>
      </c>
      <c r="DR87" s="7" t="b">
        <f t="shared" si="78"/>
        <v>0</v>
      </c>
      <c r="DS87" s="7" t="e">
        <f t="shared" si="79"/>
        <v>#VALUE!</v>
      </c>
    </row>
    <row r="88" spans="1:123" s="7" customFormat="1" ht="84">
      <c r="A88" s="7" t="s">
        <v>173</v>
      </c>
      <c r="B88" s="453">
        <v>77</v>
      </c>
      <c r="C88" s="642" t="s">
        <v>309</v>
      </c>
      <c r="D88" s="453" t="s">
        <v>473</v>
      </c>
      <c r="E88" s="453" t="s">
        <v>474</v>
      </c>
      <c r="F88" s="194" t="s">
        <v>191</v>
      </c>
      <c r="G88" s="453">
        <v>7</v>
      </c>
      <c r="H88" s="443" t="s">
        <v>192</v>
      </c>
      <c r="I88" s="454" t="s">
        <v>193</v>
      </c>
      <c r="J88" s="455">
        <v>6000</v>
      </c>
      <c r="K88" s="455">
        <f t="shared" si="43"/>
        <v>1140</v>
      </c>
      <c r="L88" s="455">
        <f t="shared" si="44"/>
        <v>7140</v>
      </c>
      <c r="M88" s="455">
        <f t="shared" si="45"/>
        <v>42000</v>
      </c>
      <c r="N88" s="455">
        <f t="shared" si="46"/>
        <v>49980</v>
      </c>
      <c r="O88" s="456" t="s">
        <v>194</v>
      </c>
      <c r="P88" s="457">
        <v>8000</v>
      </c>
      <c r="Q88" s="457">
        <f t="shared" si="60"/>
        <v>1520</v>
      </c>
      <c r="R88" s="457">
        <f t="shared" si="61"/>
        <v>9520</v>
      </c>
      <c r="S88" s="457">
        <f t="shared" si="62"/>
        <v>56000</v>
      </c>
      <c r="T88" s="457">
        <f t="shared" si="63"/>
        <v>66640</v>
      </c>
      <c r="U88" s="458" t="s">
        <v>263</v>
      </c>
      <c r="V88" s="459">
        <v>8403.361344537816</v>
      </c>
      <c r="W88" s="459">
        <f t="shared" si="64"/>
        <v>1596.6386554621849</v>
      </c>
      <c r="X88" s="459">
        <f t="shared" si="65"/>
        <v>10000</v>
      </c>
      <c r="Y88" s="459">
        <f t="shared" si="66"/>
        <v>58823.529411764714</v>
      </c>
      <c r="Z88" s="459">
        <f t="shared" si="67"/>
        <v>70000</v>
      </c>
      <c r="AA88" s="460">
        <f t="shared" si="68"/>
        <v>8886.6666666666661</v>
      </c>
      <c r="AB88" s="460">
        <f t="shared" si="80"/>
        <v>62206.666666666664</v>
      </c>
      <c r="AC88" s="461">
        <f t="shared" si="69"/>
        <v>10721.05094350983</v>
      </c>
      <c r="AD88" s="427">
        <f t="shared" si="70"/>
        <v>0.17234569087198312</v>
      </c>
      <c r="AE88" s="428"/>
      <c r="BH88" s="7">
        <v>91</v>
      </c>
      <c r="DB88" s="7" t="str">
        <f>VLOOKUP(D88,listaBolsa!$D$2:$BA$1248,1,0)</f>
        <v>Tintes naturales</v>
      </c>
      <c r="DC88" s="7">
        <f>VLOOKUP(D88,listaBolsa!$D$2:$BA$1248,2,0)</f>
        <v>0</v>
      </c>
      <c r="DD88" s="7" t="str">
        <f>VLOOKUP(D88,listaBolsa!$D$2:$BA$1248,10,0)</f>
        <v>AVANCE ORGANIZACIONAL CONSULTORES SAS</v>
      </c>
      <c r="DE88" s="7">
        <f>VLOOKUP(D88,listaBolsa!$D$2:$BA$1248,14,0)</f>
        <v>6000</v>
      </c>
      <c r="DF88" s="7" t="str">
        <f>VLOOKUP(D88,listaBolsa!$D$2:$BA$1248,23,0)</f>
        <v>SIDED</v>
      </c>
      <c r="DG88" s="7">
        <f>VLOOKUP(D88,listaBolsa!$D$2:$BA$1248,29,0)</f>
        <v>9520</v>
      </c>
      <c r="DH88" s="7" t="str">
        <f>VLOOKUP(D88,listaBolsa!$D$2:$BA$1248,36,0)</f>
        <v>HOMCENTER</v>
      </c>
      <c r="DI88" s="7">
        <f>VLOOKUP(D88,listaBolsa!$D$2:$BA$1248,40,0)</f>
        <v>8403.36</v>
      </c>
      <c r="DJ88" s="252">
        <f>VLOOKUP(D88,listaBolsa!$D$2:$BA$1248,48,0)</f>
        <v>0.17230000000000001</v>
      </c>
      <c r="DK88" s="7" t="b">
        <f t="shared" si="71"/>
        <v>1</v>
      </c>
      <c r="DL88" s="7" t="b">
        <f t="shared" si="72"/>
        <v>0</v>
      </c>
      <c r="DM88" s="7" t="b">
        <f t="shared" si="73"/>
        <v>1</v>
      </c>
      <c r="DN88" s="7" t="b">
        <f t="shared" si="74"/>
        <v>1</v>
      </c>
      <c r="DO88" s="7" t="b">
        <f t="shared" si="75"/>
        <v>1</v>
      </c>
      <c r="DP88" s="7" t="b">
        <f t="shared" si="76"/>
        <v>0</v>
      </c>
      <c r="DQ88" s="7" t="b">
        <f t="shared" si="77"/>
        <v>1</v>
      </c>
      <c r="DR88" s="7" t="b">
        <f t="shared" si="78"/>
        <v>0</v>
      </c>
      <c r="DS88" s="7" t="b">
        <f t="shared" si="79"/>
        <v>0</v>
      </c>
    </row>
    <row r="89" spans="1:123" s="7" customFormat="1" ht="42">
      <c r="A89" s="7" t="s">
        <v>173</v>
      </c>
      <c r="B89" s="453">
        <v>78</v>
      </c>
      <c r="C89" s="642" t="s">
        <v>309</v>
      </c>
      <c r="D89" s="453" t="s">
        <v>476</v>
      </c>
      <c r="E89" s="453" t="s">
        <v>477</v>
      </c>
      <c r="F89" s="194" t="s">
        <v>478</v>
      </c>
      <c r="G89" s="453">
        <v>45</v>
      </c>
      <c r="H89" s="443" t="s">
        <v>192</v>
      </c>
      <c r="I89" s="454" t="s">
        <v>193</v>
      </c>
      <c r="J89" s="455">
        <v>70000</v>
      </c>
      <c r="K89" s="455">
        <f t="shared" si="43"/>
        <v>13300</v>
      </c>
      <c r="L89" s="455">
        <f t="shared" si="44"/>
        <v>83300</v>
      </c>
      <c r="M89" s="455">
        <f t="shared" si="45"/>
        <v>3150000</v>
      </c>
      <c r="N89" s="455">
        <f t="shared" si="46"/>
        <v>3748500</v>
      </c>
      <c r="O89" s="456" t="s">
        <v>194</v>
      </c>
      <c r="P89" s="457">
        <v>70000</v>
      </c>
      <c r="Q89" s="457">
        <f t="shared" si="60"/>
        <v>13300</v>
      </c>
      <c r="R89" s="457">
        <f t="shared" si="61"/>
        <v>83300</v>
      </c>
      <c r="S89" s="457">
        <f t="shared" si="62"/>
        <v>3150000</v>
      </c>
      <c r="T89" s="457">
        <f t="shared" si="63"/>
        <v>3748500</v>
      </c>
      <c r="U89" s="458"/>
      <c r="V89" s="459"/>
      <c r="W89" s="459"/>
      <c r="X89" s="459"/>
      <c r="Y89" s="459"/>
      <c r="Z89" s="459"/>
      <c r="AA89" s="460">
        <f t="shared" si="68"/>
        <v>83300</v>
      </c>
      <c r="AB89" s="460">
        <f t="shared" si="80"/>
        <v>3748500</v>
      </c>
      <c r="AC89" s="461">
        <f t="shared" si="69"/>
        <v>0</v>
      </c>
      <c r="AD89" s="427">
        <f t="shared" si="70"/>
        <v>0</v>
      </c>
      <c r="AE89" s="428"/>
      <c r="BH89" s="7">
        <v>92</v>
      </c>
      <c r="DB89" s="7" t="e">
        <f>VLOOKUP(#REF!,listaBolsa!$D$2:$BA$1248,1,0)</f>
        <v>#REF!</v>
      </c>
      <c r="DC89" s="7" t="e">
        <f>VLOOKUP(#REF!,listaBolsa!$D$2:$BA$1248,2,0)</f>
        <v>#REF!</v>
      </c>
      <c r="DD89" s="7" t="e">
        <f>VLOOKUP(#REF!,listaBolsa!$D$2:$BA$1248,10,0)</f>
        <v>#REF!</v>
      </c>
      <c r="DE89" s="7" t="e">
        <f>VLOOKUP(#REF!,listaBolsa!$D$2:$BA$1248,14,0)</f>
        <v>#REF!</v>
      </c>
      <c r="DF89" s="7" t="e">
        <f>VLOOKUP(#REF!,listaBolsa!$D$2:$BA$1248,23,0)</f>
        <v>#REF!</v>
      </c>
      <c r="DG89" s="7" t="e">
        <f>VLOOKUP(#REF!,listaBolsa!$D$2:$BA$1248,29,0)</f>
        <v>#REF!</v>
      </c>
      <c r="DH89" s="7" t="e">
        <f>VLOOKUP(#REF!,listaBolsa!$D$2:$BA$1248,36,0)</f>
        <v>#REF!</v>
      </c>
      <c r="DI89" s="7" t="e">
        <f>VLOOKUP(#REF!,listaBolsa!$D$2:$BA$1248,40,0)</f>
        <v>#REF!</v>
      </c>
      <c r="DJ89" s="252" t="e">
        <f>VLOOKUP(#REF!,listaBolsa!$D$2:$BA$1248,48,0)</f>
        <v>#REF!</v>
      </c>
      <c r="DK89" s="7" t="e">
        <f>DB89=#REF!</f>
        <v>#REF!</v>
      </c>
      <c r="DL89" s="7" t="e">
        <f>DC89=#REF!</f>
        <v>#REF!</v>
      </c>
      <c r="DM89" s="7" t="e">
        <f t="shared" si="73"/>
        <v>#REF!</v>
      </c>
      <c r="DN89" s="7" t="e">
        <f t="shared" si="74"/>
        <v>#REF!</v>
      </c>
      <c r="DO89" s="7" t="e">
        <f t="shared" si="75"/>
        <v>#REF!</v>
      </c>
      <c r="DP89" s="7" t="e">
        <f t="shared" si="76"/>
        <v>#REF!</v>
      </c>
      <c r="DQ89" s="7" t="e">
        <f t="shared" si="77"/>
        <v>#REF!</v>
      </c>
      <c r="DR89" s="7" t="e">
        <f t="shared" si="78"/>
        <v>#REF!</v>
      </c>
      <c r="DS89" s="7" t="e">
        <f t="shared" si="79"/>
        <v>#REF!</v>
      </c>
    </row>
    <row r="90" spans="1:123" s="7" customFormat="1" ht="147">
      <c r="A90" s="7" t="s">
        <v>173</v>
      </c>
      <c r="B90" s="453">
        <v>79</v>
      </c>
      <c r="C90" s="642" t="s">
        <v>309</v>
      </c>
      <c r="D90" s="453" t="s">
        <v>483</v>
      </c>
      <c r="E90" s="453" t="s">
        <v>484</v>
      </c>
      <c r="F90" s="194" t="s">
        <v>485</v>
      </c>
      <c r="G90" s="453">
        <v>8</v>
      </c>
      <c r="H90" s="443" t="s">
        <v>192</v>
      </c>
      <c r="I90" s="454" t="s">
        <v>245</v>
      </c>
      <c r="J90" s="455">
        <v>1600000</v>
      </c>
      <c r="K90" s="455">
        <f t="shared" si="43"/>
        <v>304000</v>
      </c>
      <c r="L90" s="455">
        <f t="shared" si="44"/>
        <v>1904000</v>
      </c>
      <c r="M90" s="455" t="e">
        <f>IF(C90="","",(J90*#REF!))</f>
        <v>#REF!</v>
      </c>
      <c r="N90" s="455" t="e">
        <f>IF(C90="","",(L90*#REF!))</f>
        <v>#REF!</v>
      </c>
      <c r="O90" s="456" t="s">
        <v>194</v>
      </c>
      <c r="P90" s="457">
        <v>1700000</v>
      </c>
      <c r="Q90" s="457">
        <f t="shared" si="60"/>
        <v>323000</v>
      </c>
      <c r="R90" s="457">
        <f t="shared" si="61"/>
        <v>2023000</v>
      </c>
      <c r="S90" s="457" t="e">
        <f>IF(C90="","",(P90*#REF!))</f>
        <v>#REF!</v>
      </c>
      <c r="T90" s="457" t="e">
        <f>IF(C90="","",(R90*#REF!))</f>
        <v>#REF!</v>
      </c>
      <c r="U90" s="458"/>
      <c r="V90" s="459"/>
      <c r="W90" s="459">
        <f>V90*19%</f>
        <v>0</v>
      </c>
      <c r="X90" s="459">
        <f t="shared" ref="X90:X101" si="81">V90+W90</f>
        <v>0</v>
      </c>
      <c r="Y90" s="459" t="e">
        <f>IF(C90="","",(V90*#REF!))</f>
        <v>#REF!</v>
      </c>
      <c r="Z90" s="459" t="e">
        <f>IF(C90="","",(X90*#REF!))</f>
        <v>#REF!</v>
      </c>
      <c r="AA90" s="460" t="s">
        <v>486</v>
      </c>
      <c r="AB90" s="460" t="s">
        <v>487</v>
      </c>
      <c r="AC90" s="461" t="s">
        <v>488</v>
      </c>
      <c r="AD90" s="427">
        <v>4.2900000000000001E-2</v>
      </c>
      <c r="AE90" s="428"/>
      <c r="BH90" s="7">
        <v>93</v>
      </c>
      <c r="DB90" s="7" t="e">
        <f>VLOOKUP(#REF!,listaBolsa!$D$2:$BA$1248,1,0)</f>
        <v>#REF!</v>
      </c>
      <c r="DC90" s="7" t="e">
        <f>VLOOKUP(#REF!,listaBolsa!$D$2:$BA$1248,2,0)</f>
        <v>#REF!</v>
      </c>
      <c r="DD90" s="7" t="e">
        <f>VLOOKUP(#REF!,listaBolsa!$D$2:$BA$1248,10,0)</f>
        <v>#REF!</v>
      </c>
      <c r="DE90" s="7" t="e">
        <f>VLOOKUP(#REF!,listaBolsa!$D$2:$BA$1248,14,0)</f>
        <v>#REF!</v>
      </c>
      <c r="DF90" s="7" t="e">
        <f>VLOOKUP(#REF!,listaBolsa!$D$2:$BA$1248,23,0)</f>
        <v>#REF!</v>
      </c>
      <c r="DG90" s="7" t="e">
        <f>VLOOKUP(#REF!,listaBolsa!$D$2:$BA$1248,29,0)</f>
        <v>#REF!</v>
      </c>
      <c r="DH90" s="7" t="e">
        <f>VLOOKUP(#REF!,listaBolsa!$D$2:$BA$1248,36,0)</f>
        <v>#REF!</v>
      </c>
      <c r="DI90" s="7" t="e">
        <f>VLOOKUP(#REF!,listaBolsa!$D$2:$BA$1248,40,0)</f>
        <v>#REF!</v>
      </c>
      <c r="DJ90" s="252" t="e">
        <f>VLOOKUP(#REF!,listaBolsa!$D$2:$BA$1248,48,0)</f>
        <v>#REF!</v>
      </c>
      <c r="DK90" s="7" t="e">
        <f>DB90=#REF!</f>
        <v>#REF!</v>
      </c>
      <c r="DL90" s="7" t="e">
        <f>DC90=#REF!</f>
        <v>#REF!</v>
      </c>
      <c r="DM90" s="7" t="e">
        <f t="shared" si="73"/>
        <v>#REF!</v>
      </c>
      <c r="DN90" s="7" t="e">
        <f t="shared" si="74"/>
        <v>#REF!</v>
      </c>
      <c r="DO90" s="7" t="e">
        <f t="shared" si="75"/>
        <v>#REF!</v>
      </c>
      <c r="DP90" s="7" t="e">
        <f t="shared" si="76"/>
        <v>#REF!</v>
      </c>
      <c r="DQ90" s="7" t="e">
        <f t="shared" si="77"/>
        <v>#REF!</v>
      </c>
      <c r="DR90" s="7" t="e">
        <f t="shared" si="78"/>
        <v>#REF!</v>
      </c>
      <c r="DS90" s="7" t="e">
        <f t="shared" si="79"/>
        <v>#REF!</v>
      </c>
    </row>
    <row r="91" spans="1:123" s="7" customFormat="1" ht="63">
      <c r="A91" s="7" t="s">
        <v>173</v>
      </c>
      <c r="B91" s="453">
        <v>80</v>
      </c>
      <c r="C91" s="642" t="s">
        <v>309</v>
      </c>
      <c r="D91" s="453" t="s">
        <v>490</v>
      </c>
      <c r="E91" s="453" t="s">
        <v>491</v>
      </c>
      <c r="F91" s="194" t="s">
        <v>191</v>
      </c>
      <c r="G91" s="453">
        <v>1</v>
      </c>
      <c r="H91" s="443" t="s">
        <v>192</v>
      </c>
      <c r="I91" s="454" t="s">
        <v>492</v>
      </c>
      <c r="J91" s="455">
        <v>760000</v>
      </c>
      <c r="K91" s="455">
        <f t="shared" si="43"/>
        <v>144400</v>
      </c>
      <c r="L91" s="455">
        <f t="shared" si="44"/>
        <v>904400</v>
      </c>
      <c r="M91" s="455">
        <f>IF(C91="","",(J91*G91))</f>
        <v>760000</v>
      </c>
      <c r="N91" s="455">
        <f>IF(C91="","",(L91*G91))</f>
        <v>904400</v>
      </c>
      <c r="O91" s="456" t="s">
        <v>493</v>
      </c>
      <c r="P91" s="457">
        <v>760000</v>
      </c>
      <c r="Q91" s="457">
        <f t="shared" si="60"/>
        <v>144400</v>
      </c>
      <c r="R91" s="457">
        <f t="shared" si="61"/>
        <v>904400</v>
      </c>
      <c r="S91" s="457">
        <f t="shared" ref="S91:S110" si="82">IF(C91="","",(P91*G91))</f>
        <v>760000</v>
      </c>
      <c r="T91" s="457">
        <f t="shared" ref="T91:T110" si="83">IF(C91="","",(R91*G91))</f>
        <v>904400</v>
      </c>
      <c r="U91" s="458" t="s">
        <v>494</v>
      </c>
      <c r="V91" s="459">
        <v>800000</v>
      </c>
      <c r="W91" s="459">
        <f>V91*19%</f>
        <v>152000</v>
      </c>
      <c r="X91" s="459">
        <f t="shared" si="81"/>
        <v>952000</v>
      </c>
      <c r="Y91" s="459">
        <f t="shared" ref="Y91:Y101" si="84">IF(C91="","",(V91*G91))</f>
        <v>800000</v>
      </c>
      <c r="Z91" s="459">
        <f t="shared" ref="Z91:Z101" si="85">IF(C91="","",(X91*G91))</f>
        <v>952000</v>
      </c>
      <c r="AA91" s="460">
        <f>IF(B91="","",AVERAGE(L91,R91,X91))</f>
        <v>920266.66666666663</v>
      </c>
      <c r="AB91" s="460">
        <f t="shared" ref="AB91:AB110" si="86">IF(C91="","",AA91*G91)</f>
        <v>920266.66666666663</v>
      </c>
      <c r="AC91" s="461">
        <f>IF(C91="","",STDEV(N91,T91,Z91))</f>
        <v>27481.872813426187</v>
      </c>
      <c r="AD91" s="427">
        <f t="shared" ref="AD91:AD110" si="87">IF(C91="","",(AC91/AB91))</f>
        <v>2.9862944958084094E-2</v>
      </c>
      <c r="AE91" s="428"/>
      <c r="BH91" s="7">
        <v>94</v>
      </c>
      <c r="DB91" s="7" t="str">
        <f>VLOOKUP(D91,listaBolsa!$D$2:$BA$1248,1,0)</f>
        <v>Pendón</v>
      </c>
      <c r="DC91" s="7">
        <f>VLOOKUP(D91,listaBolsa!$D$2:$BA$1248,2,0)</f>
        <v>0</v>
      </c>
      <c r="DD91" s="7" t="str">
        <f>VLOOKUP(D91,listaBolsa!$D$2:$BA$1248,10,0)</f>
        <v>CREAN2 AGENCIA GRAFICA SAS</v>
      </c>
      <c r="DE91" s="7">
        <f>VLOOKUP(D91,listaBolsa!$D$2:$BA$1248,14,0)</f>
        <v>760000</v>
      </c>
      <c r="DF91" s="7" t="str">
        <f>VLOOKUP(D91,listaBolsa!$D$2:$BA$1248,23,0)</f>
        <v>ZOOM CREATIVO PUBLICIDAD</v>
      </c>
      <c r="DG91" s="7">
        <f>VLOOKUP(D91,listaBolsa!$D$2:$BA$1248,29,0)</f>
        <v>904400</v>
      </c>
      <c r="DH91" s="7" t="str">
        <f>VLOOKUP(D91,listaBolsa!$D$2:$BA$1248,36,0)</f>
        <v>DESIGN EXPRESS</v>
      </c>
      <c r="DI91" s="7">
        <f>VLOOKUP(D91,listaBolsa!$D$2:$BA$1248,40,0)</f>
        <v>800000</v>
      </c>
      <c r="DJ91" s="252">
        <f>VLOOKUP(D91,listaBolsa!$D$2:$BA$1248,48,0)</f>
        <v>2.9899999999999999E-2</v>
      </c>
      <c r="DK91" s="7" t="b">
        <f t="shared" ref="DK91:DK110" si="88">DB91=D91</f>
        <v>1</v>
      </c>
      <c r="DL91" s="7" t="b">
        <f t="shared" ref="DL91:DL110" si="89">DC91=E91</f>
        <v>0</v>
      </c>
      <c r="DM91" s="7" t="b">
        <f t="shared" si="73"/>
        <v>1</v>
      </c>
      <c r="DN91" s="7" t="b">
        <f t="shared" si="74"/>
        <v>1</v>
      </c>
      <c r="DO91" s="7" t="b">
        <f t="shared" si="75"/>
        <v>1</v>
      </c>
      <c r="DP91" s="7" t="b">
        <f t="shared" si="76"/>
        <v>0</v>
      </c>
      <c r="DQ91" s="7" t="b">
        <f t="shared" si="77"/>
        <v>1</v>
      </c>
      <c r="DR91" s="7" t="b">
        <f t="shared" si="78"/>
        <v>1</v>
      </c>
      <c r="DS91" s="7" t="b">
        <f t="shared" si="79"/>
        <v>0</v>
      </c>
    </row>
    <row r="92" spans="1:123" s="7" customFormat="1" ht="147">
      <c r="A92" s="7" t="s">
        <v>173</v>
      </c>
      <c r="B92" s="453">
        <v>81</v>
      </c>
      <c r="C92" s="642" t="s">
        <v>309</v>
      </c>
      <c r="D92" s="453" t="s">
        <v>496</v>
      </c>
      <c r="E92" s="453" t="s">
        <v>497</v>
      </c>
      <c r="F92" s="194" t="s">
        <v>191</v>
      </c>
      <c r="G92" s="453">
        <v>30</v>
      </c>
      <c r="H92" s="443" t="s">
        <v>192</v>
      </c>
      <c r="I92" s="454" t="s">
        <v>498</v>
      </c>
      <c r="J92" s="455">
        <v>24200</v>
      </c>
      <c r="K92" s="455">
        <f t="shared" si="43"/>
        <v>4598</v>
      </c>
      <c r="L92" s="455">
        <f t="shared" si="44"/>
        <v>28798</v>
      </c>
      <c r="M92" s="455">
        <f>IF(C92="","",(J92*G92))</f>
        <v>726000</v>
      </c>
      <c r="N92" s="455">
        <f>IF(C92="","",(L92*G92))</f>
        <v>863940</v>
      </c>
      <c r="O92" s="456" t="s">
        <v>499</v>
      </c>
      <c r="P92" s="457">
        <v>23529.411764705881</v>
      </c>
      <c r="Q92" s="457">
        <f t="shared" si="60"/>
        <v>4470.5882352941171</v>
      </c>
      <c r="R92" s="457">
        <f t="shared" si="61"/>
        <v>28000</v>
      </c>
      <c r="S92" s="457">
        <f t="shared" si="82"/>
        <v>705882.35294117639</v>
      </c>
      <c r="T92" s="457">
        <f t="shared" si="83"/>
        <v>840000</v>
      </c>
      <c r="U92" s="458" t="s">
        <v>500</v>
      </c>
      <c r="V92" s="459">
        <v>19747.89915966387</v>
      </c>
      <c r="W92" s="459">
        <f>V92*19%</f>
        <v>3752.1008403361352</v>
      </c>
      <c r="X92" s="459">
        <f t="shared" si="81"/>
        <v>23500.000000000004</v>
      </c>
      <c r="Y92" s="459">
        <f t="shared" si="84"/>
        <v>592436.97478991607</v>
      </c>
      <c r="Z92" s="459">
        <f t="shared" si="85"/>
        <v>705000.00000000012</v>
      </c>
      <c r="AA92" s="460">
        <f>IF(B92="","",AVERAGE(L92,R92,X92))</f>
        <v>26766</v>
      </c>
      <c r="AB92" s="460">
        <f t="shared" si="86"/>
        <v>802980</v>
      </c>
      <c r="AC92" s="461">
        <f>IF(C92="","",STDEV(N92,T92,Z92))</f>
        <v>85693.297287477442</v>
      </c>
      <c r="AD92" s="427">
        <f t="shared" si="87"/>
        <v>0.10671909298796663</v>
      </c>
      <c r="AE92" s="428"/>
      <c r="BH92" s="7">
        <v>95</v>
      </c>
      <c r="DB92" s="7" t="str">
        <f>VLOOKUP(D92,listaBolsa!$D$2:$BA$1248,1,0)</f>
        <v>Habladores verticales</v>
      </c>
      <c r="DC92" s="7">
        <f>VLOOKUP(D92,listaBolsa!$D$2:$BA$1248,2,0)</f>
        <v>0</v>
      </c>
      <c r="DD92" s="7" t="str">
        <f>VLOOKUP(D92,listaBolsa!$D$2:$BA$1248,10,0)</f>
        <v>TIENDA SRM</v>
      </c>
      <c r="DE92" s="7">
        <f>VLOOKUP(D92,listaBolsa!$D$2:$BA$1248,14,0)</f>
        <v>24200</v>
      </c>
      <c r="DF92" s="7" t="str">
        <f>VLOOKUP(D92,listaBolsa!$D$2:$BA$1248,23,0)</f>
        <v>DISACRYL</v>
      </c>
      <c r="DG92" s="7">
        <f>VLOOKUP(D92,listaBolsa!$D$2:$BA$1248,29,0)</f>
        <v>28000</v>
      </c>
      <c r="DH92" s="7" t="str">
        <f>VLOOKUP(D92,listaBolsa!$D$2:$BA$1248,36,0)</f>
        <v>INSUMOS ARTES GRAFICAS</v>
      </c>
      <c r="DI92" s="7">
        <f>VLOOKUP(D92,listaBolsa!$D$2:$BA$1248,40,0)</f>
        <v>19747.900000000001</v>
      </c>
      <c r="DJ92" s="252">
        <f>VLOOKUP(D92,listaBolsa!$D$2:$BA$1248,48,0)</f>
        <v>0.1067</v>
      </c>
      <c r="DK92" s="7" t="b">
        <f t="shared" si="88"/>
        <v>1</v>
      </c>
      <c r="DL92" s="7" t="b">
        <f t="shared" si="89"/>
        <v>0</v>
      </c>
      <c r="DM92" s="7" t="b">
        <f t="shared" si="73"/>
        <v>1</v>
      </c>
      <c r="DN92" s="7" t="b">
        <f t="shared" si="74"/>
        <v>1</v>
      </c>
      <c r="DO92" s="7" t="b">
        <f t="shared" si="75"/>
        <v>1</v>
      </c>
      <c r="DP92" s="7" t="b">
        <f t="shared" si="76"/>
        <v>0</v>
      </c>
      <c r="DQ92" s="7" t="b">
        <f t="shared" si="77"/>
        <v>1</v>
      </c>
      <c r="DR92" s="7" t="b">
        <f t="shared" si="78"/>
        <v>0</v>
      </c>
      <c r="DS92" s="7" t="b">
        <f t="shared" si="79"/>
        <v>0</v>
      </c>
    </row>
    <row r="93" spans="1:123" s="7" customFormat="1" ht="86.45">
      <c r="A93" s="7" t="s">
        <v>173</v>
      </c>
      <c r="B93" s="453">
        <v>82</v>
      </c>
      <c r="C93" s="642" t="s">
        <v>309</v>
      </c>
      <c r="D93" s="453" t="s">
        <v>502</v>
      </c>
      <c r="E93" s="453" t="s">
        <v>503</v>
      </c>
      <c r="F93" s="194" t="s">
        <v>191</v>
      </c>
      <c r="G93" s="453">
        <v>100</v>
      </c>
      <c r="H93" s="443" t="str">
        <f>IF(D93="","",VLOOKUP(D93,listaBolsa!$D$2:$H$276,5,0))</f>
        <v>Compra</v>
      </c>
      <c r="I93" s="454" t="str">
        <f>IF(D93="","",VLOOKUP(D93,listaBolsa!$D$2:$W$276,10,0))</f>
        <v>INVENTIVA</v>
      </c>
      <c r="J93" s="455">
        <f>IF(D93="","",VLOOKUP(D93,listaBolsa!$D$2:$W$276,14,0))</f>
        <v>18000</v>
      </c>
      <c r="K93" s="455">
        <f t="shared" si="43"/>
        <v>3420</v>
      </c>
      <c r="L93" s="455">
        <f t="shared" si="44"/>
        <v>21420</v>
      </c>
      <c r="M93" s="455">
        <f>IF(C93="","",(J93*G93))</f>
        <v>1800000</v>
      </c>
      <c r="N93" s="455">
        <f>IF(C93="","",(L93*G93))</f>
        <v>2142000</v>
      </c>
      <c r="O93" s="456" t="str">
        <f>IF(D93="","",VLOOKUP(D93,listaBolsa!$D$2:$AZ$276,23,0))</f>
        <v>SG DIGITAL S.A.S</v>
      </c>
      <c r="P93" s="457">
        <f>IF(D93="","",VLOOKUP(D93,listaBolsa!$D$2:$AZ$276,27,0))</f>
        <v>17226.89075630252</v>
      </c>
      <c r="Q93" s="457">
        <f t="shared" si="60"/>
        <v>3273.1092436974791</v>
      </c>
      <c r="R93" s="457">
        <f t="shared" si="61"/>
        <v>20500</v>
      </c>
      <c r="S93" s="457">
        <f t="shared" si="82"/>
        <v>1722689.075630252</v>
      </c>
      <c r="T93" s="457">
        <f t="shared" si="83"/>
        <v>2050000</v>
      </c>
      <c r="U93" s="458" t="str">
        <f>IF(D93="","",VLOOKUP(D93,listaBolsa!$D$2:$BB$276,36,0))</f>
        <v>Angie Pachon (personalizado INK)</v>
      </c>
      <c r="V93" s="459">
        <f>IF(D93="","",VLOOKUP(D93,listaBolsa!$D$2:$BB$276,40,0))</f>
        <v>25000</v>
      </c>
      <c r="W93" s="459">
        <v>0</v>
      </c>
      <c r="X93" s="459">
        <f t="shared" si="81"/>
        <v>25000</v>
      </c>
      <c r="Y93" s="459">
        <f t="shared" si="84"/>
        <v>2500000</v>
      </c>
      <c r="Z93" s="459">
        <f t="shared" si="85"/>
        <v>2500000</v>
      </c>
      <c r="AA93" s="460">
        <f>IF(B93="","",AVERAGE(L93,R93,X93))</f>
        <v>22306.666666666668</v>
      </c>
      <c r="AB93" s="460">
        <f t="shared" si="86"/>
        <v>2230666.666666667</v>
      </c>
      <c r="AC93" s="461">
        <f>IF(C93="","",STDEV(N93,T93,Z93))</f>
        <v>237742.15724884247</v>
      </c>
      <c r="AD93" s="427">
        <f t="shared" si="87"/>
        <v>0.10657897067342011</v>
      </c>
      <c r="AE93" s="428"/>
      <c r="BH93" s="7">
        <v>96</v>
      </c>
      <c r="DB93" s="7" t="str">
        <f>VLOOKUP(D93,listaBolsa!$D$2:$BA$1248,1,0)</f>
        <v>Gorra tela bordada con logo</v>
      </c>
      <c r="DC93" s="7" t="str">
        <f>VLOOKUP(D93,listaBolsa!$D$2:$BA$1248,2,0)</f>
        <v>Gorra de seis (6) paneles en dril con cierre de velcro, botón forrado, en dril liviano y víscera rígida, en plástico de polietileno. cierre en plástico o velcro. bordado 1 uno al frente. Logo impreso aprobado por Oficina de Prensa del FDLS.</v>
      </c>
      <c r="DD93" s="7" t="str">
        <f>VLOOKUP(D93,listaBolsa!$D$2:$BA$1248,10,0)</f>
        <v>INVENTIVA</v>
      </c>
      <c r="DE93" s="7">
        <f>VLOOKUP(D93,listaBolsa!$D$2:$BA$1248,14,0)</f>
        <v>18000</v>
      </c>
      <c r="DF93" s="7" t="str">
        <f>VLOOKUP(D93,listaBolsa!$D$2:$BA$1248,23,0)</f>
        <v>SG DIGITAL S.A.S</v>
      </c>
      <c r="DG93" s="7">
        <f>VLOOKUP(D93,listaBolsa!$D$2:$BA$1248,29,0)</f>
        <v>20500</v>
      </c>
      <c r="DH93" s="7" t="str">
        <f>VLOOKUP(D93,listaBolsa!$D$2:$BA$1248,36,0)</f>
        <v>Angie Pachon (personalizado INK)</v>
      </c>
      <c r="DI93" s="7">
        <f>VLOOKUP(D93,listaBolsa!$D$2:$BA$1248,40,0)</f>
        <v>25000</v>
      </c>
      <c r="DJ93" s="252">
        <f>VLOOKUP(D93,listaBolsa!$D$2:$BA$1248,48,0)</f>
        <v>0.10657897067342009</v>
      </c>
      <c r="DK93" s="7" t="b">
        <f t="shared" si="88"/>
        <v>1</v>
      </c>
      <c r="DL93" s="7" t="b">
        <f t="shared" si="89"/>
        <v>0</v>
      </c>
      <c r="DM93" s="7" t="b">
        <f t="shared" si="73"/>
        <v>1</v>
      </c>
      <c r="DN93" s="7" t="b">
        <f t="shared" si="74"/>
        <v>1</v>
      </c>
      <c r="DO93" s="7" t="b">
        <f t="shared" si="75"/>
        <v>1</v>
      </c>
      <c r="DP93" s="7" t="b">
        <f t="shared" si="76"/>
        <v>0</v>
      </c>
      <c r="DQ93" s="7" t="b">
        <f t="shared" si="77"/>
        <v>1</v>
      </c>
      <c r="DR93" s="7" t="b">
        <f t="shared" si="78"/>
        <v>1</v>
      </c>
      <c r="DS93" s="7" t="b">
        <f t="shared" si="79"/>
        <v>1</v>
      </c>
    </row>
    <row r="94" spans="1:123" s="7" customFormat="1" ht="144">
      <c r="A94" s="7" t="s">
        <v>173</v>
      </c>
      <c r="B94" s="453">
        <v>83</v>
      </c>
      <c r="C94" s="642" t="s">
        <v>309</v>
      </c>
      <c r="D94" s="453" t="s">
        <v>505</v>
      </c>
      <c r="E94" s="453" t="s">
        <v>470</v>
      </c>
      <c r="F94" s="194" t="s">
        <v>191</v>
      </c>
      <c r="G94" s="453">
        <v>100</v>
      </c>
      <c r="H94" s="443" t="str">
        <f>IF(D94="","",VLOOKUP(D94,listaBolsa!$D$2:$H$276,5,0))</f>
        <v>Compra</v>
      </c>
      <c r="I94" s="454"/>
      <c r="J94" s="455"/>
      <c r="K94" s="455"/>
      <c r="L94" s="455"/>
      <c r="M94" s="455"/>
      <c r="N94" s="455"/>
      <c r="O94" s="456" t="str">
        <f>IF(D94="","",VLOOKUP(D94,listaBolsa!$D$2:$AZ$276,23,0))</f>
        <v>Angie Pachon (personalizado INK)</v>
      </c>
      <c r="P94" s="457">
        <f>IF(D94="","",VLOOKUP(D94,listaBolsa!$D$2:$AZ$276,27,0))</f>
        <v>15000</v>
      </c>
      <c r="Q94" s="457"/>
      <c r="R94" s="457">
        <f t="shared" si="61"/>
        <v>15000</v>
      </c>
      <c r="S94" s="457">
        <f t="shared" si="82"/>
        <v>1500000</v>
      </c>
      <c r="T94" s="457">
        <f t="shared" si="83"/>
        <v>1500000</v>
      </c>
      <c r="U94" s="458" t="str">
        <f>IF(D94="","",VLOOKUP(D94,listaBolsa!$D$2:$BB$276,36,0))</f>
        <v>INVENTIVA</v>
      </c>
      <c r="V94" s="459">
        <f>IF(D94="","",VLOOKUP(D94,listaBolsa!$D$2:$BB$276,40,0))</f>
        <v>12000</v>
      </c>
      <c r="W94" s="459">
        <f t="shared" ref="W94:W101" si="90">V94*19%</f>
        <v>2280</v>
      </c>
      <c r="X94" s="459">
        <f t="shared" si="81"/>
        <v>14280</v>
      </c>
      <c r="Y94" s="459">
        <f t="shared" si="84"/>
        <v>1200000</v>
      </c>
      <c r="Z94" s="459">
        <f t="shared" si="85"/>
        <v>1428000</v>
      </c>
      <c r="AA94" s="460">
        <f>IF(B94="","",AVERAGE(R94,X94))</f>
        <v>14640</v>
      </c>
      <c r="AB94" s="460">
        <f t="shared" si="86"/>
        <v>1464000</v>
      </c>
      <c r="AC94" s="461">
        <f>IF(C94="","",STDEV(T94,Z94))</f>
        <v>50911.688245431418</v>
      </c>
      <c r="AD94" s="427">
        <f t="shared" si="87"/>
        <v>3.4775743337043322E-2</v>
      </c>
      <c r="AE94" s="428"/>
      <c r="BH94" s="7">
        <v>97</v>
      </c>
      <c r="DB94" s="7" t="str">
        <f>VLOOKUP(D94,listaBolsa!$D$2:$BA$1248,1,0)</f>
        <v>Tula Deportiva con logos</v>
      </c>
      <c r="DC94" s="7" t="str">
        <f>VLOOKUP(D94,listaBolsa!$D$2:$BA$1248,2,0)</f>
        <v>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v>
      </c>
      <c r="DD94" s="7">
        <f>VLOOKUP(D94,listaBolsa!$D$2:$BA$1248,10,0)</f>
        <v>0</v>
      </c>
      <c r="DE94" s="7">
        <f>VLOOKUP(D94,listaBolsa!$D$2:$BA$1248,14,0)</f>
        <v>0</v>
      </c>
      <c r="DF94" s="7" t="str">
        <f>VLOOKUP(D94,listaBolsa!$D$2:$BA$1248,23,0)</f>
        <v>Angie Pachon (personalizado INK)</v>
      </c>
      <c r="DG94" s="7">
        <f>VLOOKUP(D94,listaBolsa!$D$2:$BA$1248,29,0)</f>
        <v>15000</v>
      </c>
      <c r="DH94" s="7" t="str">
        <f>VLOOKUP(D94,listaBolsa!$D$2:$BA$1248,36,0)</f>
        <v>INVENTIVA</v>
      </c>
      <c r="DI94" s="7">
        <f>VLOOKUP(D94,listaBolsa!$D$2:$BA$1248,40,0)</f>
        <v>12000</v>
      </c>
      <c r="DJ94" s="252">
        <f>VLOOKUP(D94,listaBolsa!$D$2:$BA$1248,48,0)</f>
        <v>3.4775743337043322E-2</v>
      </c>
      <c r="DK94" s="7" t="b">
        <f t="shared" si="88"/>
        <v>1</v>
      </c>
      <c r="DL94" s="7" t="b">
        <f t="shared" si="89"/>
        <v>0</v>
      </c>
      <c r="DM94" s="7" t="b">
        <f t="shared" si="73"/>
        <v>1</v>
      </c>
      <c r="DN94" s="7" t="b">
        <f t="shared" si="74"/>
        <v>1</v>
      </c>
      <c r="DO94" s="7" t="b">
        <f t="shared" si="75"/>
        <v>1</v>
      </c>
      <c r="DP94" s="7" t="b">
        <f t="shared" si="76"/>
        <v>1</v>
      </c>
      <c r="DQ94" s="7" t="b">
        <f t="shared" si="77"/>
        <v>1</v>
      </c>
      <c r="DR94" s="7" t="b">
        <f t="shared" si="78"/>
        <v>1</v>
      </c>
      <c r="DS94" s="7" t="b">
        <f t="shared" si="79"/>
        <v>1</v>
      </c>
    </row>
    <row r="95" spans="1:123" s="7" customFormat="1" ht="84">
      <c r="A95" s="7" t="s">
        <v>173</v>
      </c>
      <c r="B95" s="453">
        <v>84</v>
      </c>
      <c r="C95" s="642" t="s">
        <v>309</v>
      </c>
      <c r="D95" s="453" t="s">
        <v>507</v>
      </c>
      <c r="E95" s="453" t="s">
        <v>508</v>
      </c>
      <c r="F95" s="194" t="s">
        <v>191</v>
      </c>
      <c r="G95" s="453">
        <v>100</v>
      </c>
      <c r="H95" s="443" t="s">
        <v>192</v>
      </c>
      <c r="I95" s="454" t="s">
        <v>193</v>
      </c>
      <c r="J95" s="455">
        <v>14500</v>
      </c>
      <c r="K95" s="455">
        <f t="shared" ref="K95:K102" si="91">J95*19%</f>
        <v>2755</v>
      </c>
      <c r="L95" s="455">
        <f t="shared" ref="L95:L110" si="92">J95+K95</f>
        <v>17255</v>
      </c>
      <c r="M95" s="455">
        <f t="shared" ref="M95:M110" si="93">IF(C95="","",(J95*G95))</f>
        <v>1450000</v>
      </c>
      <c r="N95" s="455">
        <f t="shared" ref="N95:N110" si="94">IF(C95="","",(L95*G95))</f>
        <v>1725500</v>
      </c>
      <c r="O95" s="456" t="s">
        <v>263</v>
      </c>
      <c r="P95" s="457">
        <v>12521.008403361349</v>
      </c>
      <c r="Q95" s="457">
        <f t="shared" ref="Q95:Q102" si="95">P95*19%</f>
        <v>2378.9915966386566</v>
      </c>
      <c r="R95" s="457">
        <f t="shared" si="61"/>
        <v>14900.000000000005</v>
      </c>
      <c r="S95" s="457">
        <f t="shared" si="82"/>
        <v>1252100.8403361349</v>
      </c>
      <c r="T95" s="457">
        <f t="shared" si="83"/>
        <v>1490000.0000000005</v>
      </c>
      <c r="U95" s="458" t="s">
        <v>194</v>
      </c>
      <c r="V95" s="459">
        <v>16500</v>
      </c>
      <c r="W95" s="459">
        <f t="shared" si="90"/>
        <v>3135</v>
      </c>
      <c r="X95" s="459">
        <f t="shared" si="81"/>
        <v>19635</v>
      </c>
      <c r="Y95" s="459">
        <f t="shared" si="84"/>
        <v>1650000</v>
      </c>
      <c r="Z95" s="459">
        <f t="shared" si="85"/>
        <v>1963500</v>
      </c>
      <c r="AA95" s="460">
        <f t="shared" ref="AA95:AA110" si="96">IF(B95="","",AVERAGE(L95,R95,X95))</f>
        <v>17263.333333333336</v>
      </c>
      <c r="AB95" s="460">
        <f t="shared" si="86"/>
        <v>1726333.3333333335</v>
      </c>
      <c r="AC95" s="461">
        <f t="shared" ref="AC95:AC110" si="97">IF(C95="","",STDEV(N95,T95,Z95))</f>
        <v>236751.09996224724</v>
      </c>
      <c r="AD95" s="427">
        <f t="shared" si="87"/>
        <v>0.13714101175646681</v>
      </c>
      <c r="AE95" s="428"/>
      <c r="BH95" s="7">
        <v>98</v>
      </c>
      <c r="DB95" s="7" t="str">
        <f>VLOOKUP(D95,listaBolsa!$D$2:$BA$1248,1,0)</f>
        <v>Suculenta</v>
      </c>
      <c r="DC95" s="7">
        <f>VLOOKUP(D95,listaBolsa!$D$2:$BA$1248,2,0)</f>
        <v>0</v>
      </c>
      <c r="DD95" s="7" t="str">
        <f>VLOOKUP(D95,listaBolsa!$D$2:$BA$1248,10,0)</f>
        <v>AVANCE ORGANIZACIONAL CONSULTORES SAS</v>
      </c>
      <c r="DE95" s="7">
        <f>VLOOKUP(D95,listaBolsa!$D$2:$BA$1248,14,0)</f>
        <v>14500</v>
      </c>
      <c r="DF95" s="7" t="str">
        <f>VLOOKUP(D95,listaBolsa!$D$2:$BA$1248,23,0)</f>
        <v>HOMCENTER</v>
      </c>
      <c r="DG95" s="7">
        <f>VLOOKUP(D95,listaBolsa!$D$2:$BA$1248,29,0)</f>
        <v>14900</v>
      </c>
      <c r="DH95" s="7" t="str">
        <f>VLOOKUP(D95,listaBolsa!$D$2:$BA$1248,36,0)</f>
        <v>SIDED</v>
      </c>
      <c r="DI95" s="7">
        <f>VLOOKUP(D95,listaBolsa!$D$2:$BA$1248,40,0)</f>
        <v>16500</v>
      </c>
      <c r="DJ95" s="252">
        <f>VLOOKUP(D95,listaBolsa!$D$2:$BA$1248,48,0)</f>
        <v>0.1371</v>
      </c>
      <c r="DK95" s="7" t="b">
        <f t="shared" si="88"/>
        <v>1</v>
      </c>
      <c r="DL95" s="7" t="b">
        <f t="shared" si="89"/>
        <v>0</v>
      </c>
      <c r="DM95" s="7" t="b">
        <f t="shared" si="73"/>
        <v>1</v>
      </c>
      <c r="DN95" s="7" t="b">
        <f t="shared" si="74"/>
        <v>1</v>
      </c>
      <c r="DO95" s="7" t="b">
        <f t="shared" si="75"/>
        <v>1</v>
      </c>
      <c r="DP95" s="7" t="b">
        <f t="shared" si="76"/>
        <v>0</v>
      </c>
      <c r="DQ95" s="7" t="b">
        <f t="shared" si="77"/>
        <v>1</v>
      </c>
      <c r="DR95" s="7" t="b">
        <f t="shared" si="78"/>
        <v>1</v>
      </c>
      <c r="DS95" s="7" t="b">
        <f t="shared" si="79"/>
        <v>0</v>
      </c>
    </row>
    <row r="96" spans="1:123" s="7" customFormat="1" ht="42">
      <c r="A96" s="7" t="s">
        <v>173</v>
      </c>
      <c r="B96" s="453">
        <v>85</v>
      </c>
      <c r="C96" s="642" t="s">
        <v>309</v>
      </c>
      <c r="D96" s="453" t="s">
        <v>510</v>
      </c>
      <c r="E96" s="453" t="s">
        <v>511</v>
      </c>
      <c r="F96" s="194" t="s">
        <v>191</v>
      </c>
      <c r="G96" s="453">
        <v>8</v>
      </c>
      <c r="H96" s="443" t="str">
        <f>IF(D96="","",VLOOKUP(D96,listaBolsa!$D$2:$H$276,5,0))</f>
        <v>Compra</v>
      </c>
      <c r="I96" s="454" t="str">
        <f>IF(D96="","",VLOOKUP(D96,listaBolsa!$D$2:$W$276,10,0))</f>
        <v>Exito</v>
      </c>
      <c r="J96" s="455">
        <f>IF(D96="","",VLOOKUP(D96,listaBolsa!$D$2:$W$276,14,0))</f>
        <v>13277.310924369749</v>
      </c>
      <c r="K96" s="455">
        <f t="shared" si="91"/>
        <v>2522.6890756302523</v>
      </c>
      <c r="L96" s="455">
        <f t="shared" si="92"/>
        <v>15800.000000000002</v>
      </c>
      <c r="M96" s="455">
        <f t="shared" si="93"/>
        <v>106218.48739495799</v>
      </c>
      <c r="N96" s="455">
        <f t="shared" si="94"/>
        <v>126400.00000000001</v>
      </c>
      <c r="O96" s="456" t="str">
        <f>IF(D96="","",VLOOKUP(D96,listaBolsa!$D$2:$AZ$276,23,0))</f>
        <v>Olimpica</v>
      </c>
      <c r="P96" s="457">
        <f>IF(D96="","",VLOOKUP(D96,listaBolsa!$D$2:$AZ$276,27,0))</f>
        <v>16369.747899159665</v>
      </c>
      <c r="Q96" s="457">
        <f t="shared" si="95"/>
        <v>3110.2521008403364</v>
      </c>
      <c r="R96" s="457">
        <f t="shared" si="61"/>
        <v>19480</v>
      </c>
      <c r="S96" s="457">
        <f t="shared" si="82"/>
        <v>130957.98319327732</v>
      </c>
      <c r="T96" s="457">
        <f t="shared" si="83"/>
        <v>155840</v>
      </c>
      <c r="U96" s="458" t="str">
        <f>IF(D96="","",VLOOKUP(D96,listaBolsa!$D$2:$BB$276,36,0))</f>
        <v>Tiendas Jumbo</v>
      </c>
      <c r="V96" s="459">
        <f>IF(D96="","",VLOOKUP(D96,listaBolsa!$D$2:$BB$276,40,0))</f>
        <v>14621.848739495799</v>
      </c>
      <c r="W96" s="459">
        <f t="shared" si="90"/>
        <v>2778.1512605042017</v>
      </c>
      <c r="X96" s="459">
        <f t="shared" si="81"/>
        <v>17400</v>
      </c>
      <c r="Y96" s="459">
        <f t="shared" si="84"/>
        <v>116974.78991596639</v>
      </c>
      <c r="Z96" s="459">
        <f t="shared" si="85"/>
        <v>139200</v>
      </c>
      <c r="AA96" s="460">
        <f t="shared" si="96"/>
        <v>17560</v>
      </c>
      <c r="AB96" s="460">
        <f t="shared" si="86"/>
        <v>140480</v>
      </c>
      <c r="AC96" s="461">
        <f t="shared" si="97"/>
        <v>14761.680121178611</v>
      </c>
      <c r="AD96" s="427">
        <f t="shared" si="87"/>
        <v>0.10508029699016665</v>
      </c>
      <c r="AE96" s="428"/>
      <c r="BH96" s="7">
        <v>99</v>
      </c>
      <c r="DB96" s="7" t="str">
        <f>VLOOKUP(D96,listaBolsa!$D$2:$BA$1248,1,0)</f>
        <v>Agua en botella x 24 unidades 300 ml</v>
      </c>
      <c r="DC96" s="7" t="str">
        <f>VLOOKUP(D96,listaBolsa!$D$2:$BA$1248,2,0)</f>
        <v>Bandeja X 24 unidades de agua en botella por 300 ML.</v>
      </c>
      <c r="DD96" s="7" t="str">
        <f>VLOOKUP(D96,listaBolsa!$D$2:$BA$1248,10,0)</f>
        <v>Exito</v>
      </c>
      <c r="DE96" s="7">
        <f>VLOOKUP(D96,listaBolsa!$D$2:$BA$1248,14,0)</f>
        <v>13277.310924369749</v>
      </c>
      <c r="DF96" s="7" t="str">
        <f>VLOOKUP(D96,listaBolsa!$D$2:$BA$1248,23,0)</f>
        <v>Olimpica</v>
      </c>
      <c r="DG96" s="7">
        <f>VLOOKUP(D96,listaBolsa!$D$2:$BA$1248,29,0)</f>
        <v>19480</v>
      </c>
      <c r="DH96" s="7" t="str">
        <f>VLOOKUP(D96,listaBolsa!$D$2:$BA$1248,36,0)</f>
        <v>Tiendas Jumbo</v>
      </c>
      <c r="DI96" s="7">
        <f>VLOOKUP(D96,listaBolsa!$D$2:$BA$1248,40,0)</f>
        <v>14621.848739495799</v>
      </c>
      <c r="DJ96" s="252">
        <f>VLOOKUP(D96,listaBolsa!$D$2:$BA$1248,48,0)</f>
        <v>0.10508029699016665</v>
      </c>
      <c r="DK96" s="7" t="b">
        <f t="shared" si="88"/>
        <v>1</v>
      </c>
      <c r="DL96" s="7" t="b">
        <f t="shared" si="89"/>
        <v>1</v>
      </c>
      <c r="DM96" s="7" t="b">
        <f t="shared" si="73"/>
        <v>1</v>
      </c>
      <c r="DN96" s="7" t="b">
        <f t="shared" si="74"/>
        <v>1</v>
      </c>
      <c r="DO96" s="7" t="b">
        <f t="shared" si="75"/>
        <v>1</v>
      </c>
      <c r="DP96" s="7" t="b">
        <f t="shared" si="76"/>
        <v>0</v>
      </c>
      <c r="DQ96" s="7" t="b">
        <f t="shared" si="77"/>
        <v>1</v>
      </c>
      <c r="DR96" s="7" t="b">
        <f t="shared" si="78"/>
        <v>1</v>
      </c>
      <c r="DS96" s="7" t="b">
        <f t="shared" si="79"/>
        <v>1</v>
      </c>
    </row>
    <row r="97" spans="1:123" s="7" customFormat="1" ht="42">
      <c r="A97" s="7" t="s">
        <v>173</v>
      </c>
      <c r="B97" s="453">
        <v>86</v>
      </c>
      <c r="C97" s="642" t="s">
        <v>309</v>
      </c>
      <c r="D97" s="453" t="s">
        <v>513</v>
      </c>
      <c r="E97" s="453" t="s">
        <v>514</v>
      </c>
      <c r="F97" s="194" t="s">
        <v>191</v>
      </c>
      <c r="G97" s="453">
        <v>1</v>
      </c>
      <c r="H97" s="443" t="s">
        <v>192</v>
      </c>
      <c r="I97" s="454" t="s">
        <v>515</v>
      </c>
      <c r="J97" s="455">
        <v>1050000</v>
      </c>
      <c r="K97" s="455">
        <f t="shared" si="91"/>
        <v>199500</v>
      </c>
      <c r="L97" s="455">
        <f t="shared" si="92"/>
        <v>1249500</v>
      </c>
      <c r="M97" s="455">
        <f t="shared" si="93"/>
        <v>1050000</v>
      </c>
      <c r="N97" s="455">
        <f t="shared" si="94"/>
        <v>1249500</v>
      </c>
      <c r="O97" s="456" t="s">
        <v>516</v>
      </c>
      <c r="P97" s="457">
        <v>1500000</v>
      </c>
      <c r="Q97" s="457">
        <f t="shared" si="95"/>
        <v>285000</v>
      </c>
      <c r="R97" s="457">
        <f t="shared" si="61"/>
        <v>1785000</v>
      </c>
      <c r="S97" s="457">
        <f t="shared" si="82"/>
        <v>1500000</v>
      </c>
      <c r="T97" s="457">
        <f t="shared" si="83"/>
        <v>1785000</v>
      </c>
      <c r="U97" s="458" t="s">
        <v>517</v>
      </c>
      <c r="V97" s="459">
        <v>1260504</v>
      </c>
      <c r="W97" s="459">
        <f t="shared" si="90"/>
        <v>239495.76</v>
      </c>
      <c r="X97" s="459">
        <f t="shared" si="81"/>
        <v>1499999.76</v>
      </c>
      <c r="Y97" s="459">
        <f t="shared" si="84"/>
        <v>1260504</v>
      </c>
      <c r="Z97" s="459">
        <f t="shared" si="85"/>
        <v>1499999.76</v>
      </c>
      <c r="AA97" s="460">
        <f t="shared" si="96"/>
        <v>1511499.92</v>
      </c>
      <c r="AB97" s="460">
        <f t="shared" si="86"/>
        <v>1511499.92</v>
      </c>
      <c r="AC97" s="461">
        <f t="shared" si="97"/>
        <v>267935.1652172957</v>
      </c>
      <c r="AD97" s="427">
        <f t="shared" si="87"/>
        <v>0.17726442566883874</v>
      </c>
      <c r="AE97" s="428"/>
      <c r="BH97" s="7">
        <v>100</v>
      </c>
      <c r="DB97" s="7" t="e">
        <f>VLOOKUP(D97,listaBolsa!$D$2:$BA$1248,1,0)</f>
        <v>#N/A</v>
      </c>
      <c r="DC97" s="7" t="e">
        <f>VLOOKUP(D97,listaBolsa!$D$2:$BA$1248,2,0)</f>
        <v>#N/A</v>
      </c>
      <c r="DD97" s="7" t="e">
        <f>VLOOKUP(D97,listaBolsa!$D$2:$BA$1248,10,0)</f>
        <v>#N/A</v>
      </c>
      <c r="DE97" s="7" t="e">
        <f>VLOOKUP(D97,listaBolsa!$D$2:$BA$1248,14,0)</f>
        <v>#N/A</v>
      </c>
      <c r="DF97" s="7" t="e">
        <f>VLOOKUP(D97,listaBolsa!$D$2:$BA$1248,23,0)</f>
        <v>#N/A</v>
      </c>
      <c r="DG97" s="7" t="e">
        <f>VLOOKUP(D97,listaBolsa!$D$2:$BA$1248,29,0)</f>
        <v>#N/A</v>
      </c>
      <c r="DH97" s="7" t="e">
        <f>VLOOKUP(D97,listaBolsa!$D$2:$BA$1248,36,0)</f>
        <v>#N/A</v>
      </c>
      <c r="DI97" s="7" t="e">
        <f>VLOOKUP(D97,listaBolsa!$D$2:$BA$1248,40,0)</f>
        <v>#N/A</v>
      </c>
      <c r="DJ97" s="252" t="e">
        <f>VLOOKUP(D97,listaBolsa!$D$2:$BA$1248,48,0)</f>
        <v>#N/A</v>
      </c>
      <c r="DK97" s="7" t="e">
        <f t="shared" si="88"/>
        <v>#N/A</v>
      </c>
      <c r="DL97" s="7" t="e">
        <f t="shared" si="89"/>
        <v>#N/A</v>
      </c>
      <c r="DM97" s="7" t="e">
        <f t="shared" si="73"/>
        <v>#N/A</v>
      </c>
      <c r="DN97" s="7" t="e">
        <f t="shared" si="74"/>
        <v>#N/A</v>
      </c>
      <c r="DO97" s="7" t="e">
        <f t="shared" si="75"/>
        <v>#N/A</v>
      </c>
      <c r="DP97" s="7" t="e">
        <f t="shared" si="76"/>
        <v>#N/A</v>
      </c>
      <c r="DQ97" s="7" t="e">
        <f t="shared" si="77"/>
        <v>#N/A</v>
      </c>
      <c r="DR97" s="7" t="e">
        <f t="shared" si="78"/>
        <v>#N/A</v>
      </c>
      <c r="DS97" s="7" t="e">
        <f t="shared" si="79"/>
        <v>#N/A</v>
      </c>
    </row>
    <row r="98" spans="1:123" s="7" customFormat="1" ht="57.6">
      <c r="A98" s="7" t="s">
        <v>173</v>
      </c>
      <c r="B98" s="453">
        <v>87</v>
      </c>
      <c r="C98" s="642" t="s">
        <v>309</v>
      </c>
      <c r="D98" s="453" t="s">
        <v>519</v>
      </c>
      <c r="E98" s="453" t="s">
        <v>520</v>
      </c>
      <c r="F98" s="194" t="s">
        <v>191</v>
      </c>
      <c r="G98" s="453">
        <v>1</v>
      </c>
      <c r="H98" s="443" t="str">
        <f>IF(D98="","",VLOOKUP(D98,listaBolsa!$D$2:$H$276,5,0))</f>
        <v>Alquiler</v>
      </c>
      <c r="I98" s="454" t="str">
        <f>IF(D98="","",VLOOKUP(D98,listaBolsa!$D$2:$W$276,10,0))</f>
        <v>Ambulancias Particulares Ayudar</v>
      </c>
      <c r="J98" s="455">
        <f>IF(D98="","",VLOOKUP(D98,listaBolsa!$D$2:$W$276,14,0))</f>
        <v>1360000</v>
      </c>
      <c r="K98" s="455">
        <f t="shared" si="91"/>
        <v>258400</v>
      </c>
      <c r="L98" s="455">
        <f t="shared" si="92"/>
        <v>1618400</v>
      </c>
      <c r="M98" s="455">
        <f t="shared" si="93"/>
        <v>1360000</v>
      </c>
      <c r="N98" s="455">
        <f t="shared" si="94"/>
        <v>1618400</v>
      </c>
      <c r="O98" s="456" t="str">
        <f>IF(D98="","",VLOOKUP(D98,listaBolsa!$D$2:$AZ$276,23,0))</f>
        <v>D&amp;R PRODUCCIONES SAS</v>
      </c>
      <c r="P98" s="457">
        <f>IF(D98="","",VLOOKUP(D98,listaBolsa!$D$2:$AZ$276,27,0))</f>
        <v>1280000</v>
      </c>
      <c r="Q98" s="457">
        <f t="shared" si="95"/>
        <v>243200</v>
      </c>
      <c r="R98" s="457">
        <f t="shared" si="61"/>
        <v>1523200</v>
      </c>
      <c r="S98" s="457">
        <f t="shared" si="82"/>
        <v>1280000</v>
      </c>
      <c r="T98" s="457">
        <f t="shared" si="83"/>
        <v>1523200</v>
      </c>
      <c r="U98" s="458" t="str">
        <f>IF(D98="","",VLOOKUP(D98,listaBolsa!$D$2:$BB$276,36,0))</f>
        <v>LOGISTBOX L&amp;L SAS</v>
      </c>
      <c r="V98" s="459">
        <f>IF(D98="","",VLOOKUP(D98,listaBolsa!$D$2:$BB$276,40,0))</f>
        <v>1394000</v>
      </c>
      <c r="W98" s="459">
        <f t="shared" si="90"/>
        <v>264860</v>
      </c>
      <c r="X98" s="459">
        <f t="shared" si="81"/>
        <v>1658860</v>
      </c>
      <c r="Y98" s="459">
        <f t="shared" si="84"/>
        <v>1394000</v>
      </c>
      <c r="Z98" s="459">
        <f t="shared" si="85"/>
        <v>1658860</v>
      </c>
      <c r="AA98" s="460">
        <f t="shared" si="96"/>
        <v>1600153.3333333333</v>
      </c>
      <c r="AB98" s="460">
        <f t="shared" si="86"/>
        <v>1600153.3333333333</v>
      </c>
      <c r="AC98" s="461">
        <f t="shared" si="97"/>
        <v>69646.353338371802</v>
      </c>
      <c r="AD98" s="427">
        <f t="shared" si="87"/>
        <v>4.352479970984352E-2</v>
      </c>
      <c r="AE98" s="428"/>
      <c r="BH98" s="7">
        <v>101</v>
      </c>
      <c r="DB98" s="7" t="str">
        <f>VLOOKUP(D98,listaBolsa!$D$2:$BA$1248,1,0)</f>
        <v>Alquiler ambulancia</v>
      </c>
      <c r="DC98" s="7" t="str">
        <f>VLOOKUP(D98,listaBolsa!$D$2:$BA$1248,2,0)</f>
        <v>Alquiler de Ambulancia medicalizada durante una jornada de 6 a 8 horas</v>
      </c>
      <c r="DD98" s="7" t="str">
        <f>VLOOKUP(D98,listaBolsa!$D$2:$BA$1248,10,0)</f>
        <v>Ambulancias Particulares Ayudar</v>
      </c>
      <c r="DE98" s="7">
        <f>VLOOKUP(D98,listaBolsa!$D$2:$BA$1248,14,0)</f>
        <v>1360000</v>
      </c>
      <c r="DF98" s="7" t="str">
        <f>VLOOKUP(D98,listaBolsa!$D$2:$BA$1248,23,0)</f>
        <v>D&amp;R PRODUCCIONES SAS</v>
      </c>
      <c r="DG98" s="7">
        <f>VLOOKUP(D98,listaBolsa!$D$2:$BA$1248,29,0)</f>
        <v>1280000</v>
      </c>
      <c r="DH98" s="7" t="str">
        <f>VLOOKUP(D98,listaBolsa!$D$2:$BA$1248,36,0)</f>
        <v>LOGISTBOX L&amp;L SAS</v>
      </c>
      <c r="DI98" s="7">
        <f>VLOOKUP(D98,listaBolsa!$D$2:$BA$1248,40,0)</f>
        <v>1394000</v>
      </c>
      <c r="DJ98" s="252">
        <f>VLOOKUP(D98,listaBolsa!$D$2:$BA$1248,48,0)</f>
        <v>4.3524799709843513E-2</v>
      </c>
      <c r="DK98" s="7" t="b">
        <f t="shared" si="88"/>
        <v>1</v>
      </c>
      <c r="DL98" s="7" t="b">
        <f t="shared" si="89"/>
        <v>1</v>
      </c>
      <c r="DM98" s="7" t="b">
        <f t="shared" si="73"/>
        <v>1</v>
      </c>
      <c r="DN98" s="7" t="b">
        <f t="shared" si="74"/>
        <v>1</v>
      </c>
      <c r="DO98" s="7" t="b">
        <f t="shared" si="75"/>
        <v>1</v>
      </c>
      <c r="DP98" s="7" t="b">
        <f t="shared" si="76"/>
        <v>1</v>
      </c>
      <c r="DQ98" s="7" t="b">
        <f t="shared" si="77"/>
        <v>1</v>
      </c>
      <c r="DR98" s="7" t="b">
        <f t="shared" si="78"/>
        <v>1</v>
      </c>
      <c r="DS98" s="7" t="b">
        <f t="shared" si="79"/>
        <v>1</v>
      </c>
    </row>
    <row r="99" spans="1:123" s="7" customFormat="1" ht="72">
      <c r="A99" s="7" t="s">
        <v>173</v>
      </c>
      <c r="B99" s="453">
        <v>88</v>
      </c>
      <c r="C99" s="642" t="s">
        <v>309</v>
      </c>
      <c r="D99" s="453" t="s">
        <v>522</v>
      </c>
      <c r="E99" s="453" t="s">
        <v>523</v>
      </c>
      <c r="F99" s="194" t="s">
        <v>191</v>
      </c>
      <c r="G99" s="453">
        <v>1</v>
      </c>
      <c r="H99" s="443" t="s">
        <v>192</v>
      </c>
      <c r="I99" s="454" t="s">
        <v>193</v>
      </c>
      <c r="J99" s="455">
        <v>1350000</v>
      </c>
      <c r="K99" s="455">
        <f t="shared" si="91"/>
        <v>256500</v>
      </c>
      <c r="L99" s="455">
        <f t="shared" si="92"/>
        <v>1606500</v>
      </c>
      <c r="M99" s="455">
        <f t="shared" si="93"/>
        <v>1350000</v>
      </c>
      <c r="N99" s="455">
        <f t="shared" si="94"/>
        <v>1606500</v>
      </c>
      <c r="O99" s="456" t="s">
        <v>245</v>
      </c>
      <c r="P99" s="457">
        <v>1600000</v>
      </c>
      <c r="Q99" s="457">
        <f t="shared" si="95"/>
        <v>304000</v>
      </c>
      <c r="R99" s="457">
        <f t="shared" si="61"/>
        <v>1904000</v>
      </c>
      <c r="S99" s="457">
        <f t="shared" si="82"/>
        <v>1600000</v>
      </c>
      <c r="T99" s="457">
        <f t="shared" si="83"/>
        <v>1904000</v>
      </c>
      <c r="U99" s="458" t="s">
        <v>194</v>
      </c>
      <c r="V99" s="459">
        <v>1400000</v>
      </c>
      <c r="W99" s="459">
        <f t="shared" si="90"/>
        <v>266000</v>
      </c>
      <c r="X99" s="459">
        <f t="shared" si="81"/>
        <v>1666000</v>
      </c>
      <c r="Y99" s="459">
        <f t="shared" si="84"/>
        <v>1400000</v>
      </c>
      <c r="Z99" s="459">
        <f t="shared" si="85"/>
        <v>1666000</v>
      </c>
      <c r="AA99" s="460">
        <f t="shared" si="96"/>
        <v>1725500</v>
      </c>
      <c r="AB99" s="460">
        <f t="shared" si="86"/>
        <v>1725500</v>
      </c>
      <c r="AC99" s="461">
        <f t="shared" si="97"/>
        <v>157422.20300834315</v>
      </c>
      <c r="AD99" s="427">
        <f t="shared" si="87"/>
        <v>9.1232803829813469E-2</v>
      </c>
      <c r="AE99" s="428"/>
      <c r="BH99" s="7">
        <v>102</v>
      </c>
      <c r="DB99" s="7" t="str">
        <f>VLOOKUP(D99,listaBolsa!$D$2:$BA$1248,1,0)</f>
        <v>Alquiler de módulo de estabilización y clasificación de heridos MEC</v>
      </c>
      <c r="DC99" s="7">
        <f>VLOOKUP(D99,listaBolsa!$D$2:$BA$1248,2,0)</f>
        <v>0</v>
      </c>
      <c r="DD99" s="7" t="str">
        <f>VLOOKUP(D99,listaBolsa!$D$2:$BA$1248,10,0)</f>
        <v>AVANCE ORGANIZACIONAL CONSULTORES SAS</v>
      </c>
      <c r="DE99" s="7">
        <f>VLOOKUP(D99,listaBolsa!$D$2:$BA$1248,14,0)</f>
        <v>1350000</v>
      </c>
      <c r="DF99" s="7" t="str">
        <f>VLOOKUP(D99,listaBolsa!$D$2:$BA$1248,23,0)</f>
        <v>CONADES</v>
      </c>
      <c r="DG99" s="7">
        <f>VLOOKUP(D99,listaBolsa!$D$2:$BA$1248,29,0)</f>
        <v>1904000</v>
      </c>
      <c r="DH99" s="7" t="str">
        <f>VLOOKUP(D99,listaBolsa!$D$2:$BA$1248,36,0)</f>
        <v>SIDED</v>
      </c>
      <c r="DI99" s="7">
        <f>VLOOKUP(D99,listaBolsa!$D$2:$BA$1248,40,0)</f>
        <v>1400000</v>
      </c>
      <c r="DJ99" s="252">
        <f>VLOOKUP(D99,listaBolsa!$D$2:$BA$1248,48,0)</f>
        <v>9.1200000000000003E-2</v>
      </c>
      <c r="DK99" s="7" t="b">
        <f t="shared" si="88"/>
        <v>1</v>
      </c>
      <c r="DL99" s="7" t="b">
        <f t="shared" si="89"/>
        <v>0</v>
      </c>
      <c r="DM99" s="7" t="b">
        <f t="shared" si="73"/>
        <v>1</v>
      </c>
      <c r="DN99" s="7" t="b">
        <f t="shared" si="74"/>
        <v>1</v>
      </c>
      <c r="DO99" s="7" t="b">
        <f t="shared" si="75"/>
        <v>1</v>
      </c>
      <c r="DP99" s="7" t="b">
        <f t="shared" si="76"/>
        <v>0</v>
      </c>
      <c r="DQ99" s="7" t="b">
        <f t="shared" si="77"/>
        <v>1</v>
      </c>
      <c r="DR99" s="7" t="b">
        <f t="shared" si="78"/>
        <v>1</v>
      </c>
      <c r="DS99" s="7" t="b">
        <f t="shared" si="79"/>
        <v>0</v>
      </c>
    </row>
    <row r="100" spans="1:123" s="7" customFormat="1" ht="42">
      <c r="A100" s="7" t="s">
        <v>173</v>
      </c>
      <c r="B100" s="453">
        <v>89</v>
      </c>
      <c r="C100" s="642" t="s">
        <v>309</v>
      </c>
      <c r="D100" s="453" t="s">
        <v>529</v>
      </c>
      <c r="E100" s="453" t="s">
        <v>530</v>
      </c>
      <c r="F100" s="194" t="s">
        <v>191</v>
      </c>
      <c r="G100" s="453">
        <v>100</v>
      </c>
      <c r="H100" s="443" t="s">
        <v>192</v>
      </c>
      <c r="I100" s="454" t="s">
        <v>531</v>
      </c>
      <c r="J100" s="455">
        <v>7226.8907563025214</v>
      </c>
      <c r="K100" s="455">
        <f t="shared" si="91"/>
        <v>1373.1092436974791</v>
      </c>
      <c r="L100" s="455">
        <f t="shared" si="92"/>
        <v>8600</v>
      </c>
      <c r="M100" s="455">
        <f t="shared" si="93"/>
        <v>722689.07563025213</v>
      </c>
      <c r="N100" s="455">
        <f t="shared" si="94"/>
        <v>860000</v>
      </c>
      <c r="O100" s="456" t="s">
        <v>532</v>
      </c>
      <c r="P100" s="457">
        <v>5462.1848739495799</v>
      </c>
      <c r="Q100" s="457">
        <f t="shared" si="95"/>
        <v>1037.8151260504203</v>
      </c>
      <c r="R100" s="457">
        <f t="shared" si="61"/>
        <v>6500</v>
      </c>
      <c r="S100" s="457">
        <f t="shared" si="82"/>
        <v>546218.48739495804</v>
      </c>
      <c r="T100" s="457">
        <f t="shared" si="83"/>
        <v>650000</v>
      </c>
      <c r="U100" s="458" t="s">
        <v>533</v>
      </c>
      <c r="V100" s="459">
        <v>6050.4201680672268</v>
      </c>
      <c r="W100" s="459">
        <f t="shared" si="90"/>
        <v>1149.579831932773</v>
      </c>
      <c r="X100" s="459">
        <f t="shared" si="81"/>
        <v>7200</v>
      </c>
      <c r="Y100" s="459">
        <f t="shared" si="84"/>
        <v>605042.01680672262</v>
      </c>
      <c r="Z100" s="459">
        <f t="shared" si="85"/>
        <v>720000</v>
      </c>
      <c r="AA100" s="460">
        <f t="shared" si="96"/>
        <v>7433.333333333333</v>
      </c>
      <c r="AB100" s="460">
        <f t="shared" si="86"/>
        <v>743333.33333333326</v>
      </c>
      <c r="AC100" s="461">
        <f t="shared" si="97"/>
        <v>106926.76621563645</v>
      </c>
      <c r="AD100" s="427">
        <f t="shared" si="87"/>
        <v>0.14384766755466788</v>
      </c>
      <c r="AE100" s="428"/>
      <c r="BH100" s="7">
        <v>104</v>
      </c>
      <c r="DB100" s="7" t="str">
        <f>VLOOKUP(D100,listaBolsa!$D$2:$BA$1248,1,0)</f>
        <v>Medalla</v>
      </c>
      <c r="DC100" s="7">
        <f>VLOOKUP(D100,listaBolsa!$D$2:$BA$1248,2,0)</f>
        <v>0</v>
      </c>
      <c r="DD100" s="7" t="str">
        <f>VLOOKUP(D100,listaBolsa!$D$2:$BA$1248,10,0)</f>
        <v>BOTONES.COM</v>
      </c>
      <c r="DE100" s="7">
        <f>VLOOKUP(D100,listaBolsa!$D$2:$BA$1248,14,0)</f>
        <v>7226.89</v>
      </c>
      <c r="DF100" s="7" t="str">
        <f>VLOOKUP(D100,listaBolsa!$D$2:$BA$1248,23,0)</f>
        <v>MEDALLAS.COM</v>
      </c>
      <c r="DG100" s="7">
        <f>VLOOKUP(D100,listaBolsa!$D$2:$BA$1248,29,0)</f>
        <v>6500</v>
      </c>
      <c r="DH100" s="7" t="str">
        <f>VLOOKUP(D100,listaBolsa!$D$2:$BA$1248,36,0)</f>
        <v>GRAFIC KOJAC</v>
      </c>
      <c r="DI100" s="7">
        <f>VLOOKUP(D100,listaBolsa!$D$2:$BA$1248,40,0)</f>
        <v>6050.42</v>
      </c>
      <c r="DJ100" s="252">
        <f>VLOOKUP(D100,listaBolsa!$D$2:$BA$1248,48,0)</f>
        <v>0.14380000000000001</v>
      </c>
      <c r="DK100" s="7" t="b">
        <f t="shared" si="88"/>
        <v>1</v>
      </c>
      <c r="DL100" s="7" t="b">
        <f t="shared" si="89"/>
        <v>0</v>
      </c>
      <c r="DM100" s="7" t="b">
        <f t="shared" si="73"/>
        <v>1</v>
      </c>
      <c r="DN100" s="7" t="b">
        <f t="shared" si="74"/>
        <v>0</v>
      </c>
      <c r="DO100" s="7" t="b">
        <f t="shared" si="75"/>
        <v>1</v>
      </c>
      <c r="DP100" s="7" t="b">
        <f t="shared" si="76"/>
        <v>0</v>
      </c>
      <c r="DQ100" s="7" t="b">
        <f t="shared" si="77"/>
        <v>1</v>
      </c>
      <c r="DR100" s="7" t="b">
        <f t="shared" si="78"/>
        <v>0</v>
      </c>
      <c r="DS100" s="7" t="b">
        <f t="shared" si="79"/>
        <v>0</v>
      </c>
    </row>
    <row r="101" spans="1:123" s="7" customFormat="1" ht="43.15">
      <c r="A101" s="7" t="s">
        <v>173</v>
      </c>
      <c r="B101" s="453">
        <v>90</v>
      </c>
      <c r="C101" s="642" t="s">
        <v>309</v>
      </c>
      <c r="D101" s="453" t="s">
        <v>535</v>
      </c>
      <c r="E101" s="453" t="s">
        <v>536</v>
      </c>
      <c r="F101" s="194" t="s">
        <v>537</v>
      </c>
      <c r="G101" s="453">
        <v>1</v>
      </c>
      <c r="H101" s="443" t="s">
        <v>192</v>
      </c>
      <c r="I101" s="454" t="s">
        <v>1073</v>
      </c>
      <c r="J101" s="455">
        <v>462184.87</v>
      </c>
      <c r="K101" s="455">
        <f t="shared" si="91"/>
        <v>87815.1253</v>
      </c>
      <c r="L101" s="455">
        <f t="shared" si="92"/>
        <v>549999.99529999995</v>
      </c>
      <c r="M101" s="455">
        <f t="shared" si="93"/>
        <v>462184.87</v>
      </c>
      <c r="N101" s="455">
        <f t="shared" si="94"/>
        <v>549999.99529999995</v>
      </c>
      <c r="O101" s="456" t="s">
        <v>1074</v>
      </c>
      <c r="P101" s="457">
        <v>462184.87</v>
      </c>
      <c r="Q101" s="457">
        <f t="shared" si="95"/>
        <v>87815.1253</v>
      </c>
      <c r="R101" s="457">
        <f t="shared" si="61"/>
        <v>549999.99529999995</v>
      </c>
      <c r="S101" s="457">
        <f t="shared" si="82"/>
        <v>462184.87</v>
      </c>
      <c r="T101" s="457">
        <f t="shared" si="83"/>
        <v>549999.99529999995</v>
      </c>
      <c r="U101" s="458" t="s">
        <v>1075</v>
      </c>
      <c r="V101" s="459">
        <v>436974.79</v>
      </c>
      <c r="W101" s="459">
        <f t="shared" si="90"/>
        <v>83025.210099999997</v>
      </c>
      <c r="X101" s="459">
        <f t="shared" si="81"/>
        <v>520000.00009999995</v>
      </c>
      <c r="Y101" s="459">
        <f t="shared" si="84"/>
        <v>436974.79</v>
      </c>
      <c r="Z101" s="459">
        <f t="shared" si="85"/>
        <v>520000.00009999995</v>
      </c>
      <c r="AA101" s="460">
        <f t="shared" si="96"/>
        <v>539999.99690000003</v>
      </c>
      <c r="AB101" s="460">
        <f t="shared" si="86"/>
        <v>539999.99690000003</v>
      </c>
      <c r="AC101" s="461">
        <f t="shared" si="97"/>
        <v>17320.505304407481</v>
      </c>
      <c r="AD101" s="427">
        <f t="shared" si="87"/>
        <v>3.2075010007111132E-2</v>
      </c>
      <c r="AE101" s="428"/>
      <c r="BH101" s="7">
        <v>105</v>
      </c>
      <c r="DB101" s="7" t="str">
        <f>VLOOKUP(D101,listaBolsa!$D$2:$BA$1248,1,0)</f>
        <v>Premiación primer puesto</v>
      </c>
      <c r="DC101" s="7">
        <f>VLOOKUP(D101,listaBolsa!$D$2:$BA$1248,2,0)</f>
        <v>0</v>
      </c>
      <c r="DD101" s="7" t="str">
        <f>VLOOKUP(D101,listaBolsa!$D$2:$BA$1248,10,0)</f>
        <v>AVANCE ORGANIZACIONAL</v>
      </c>
      <c r="DE101" s="7">
        <f>VLOOKUP(D101,listaBolsa!$D$2:$BA$1248,14,0)</f>
        <v>159663.87</v>
      </c>
      <c r="DF101" s="7" t="str">
        <f>VLOOKUP(D101,listaBolsa!$D$2:$BA$1248,23,0)</f>
        <v>BOOKING</v>
      </c>
      <c r="DG101" s="7">
        <f>VLOOKUP(D101,listaBolsa!$D$2:$BA$1248,29,0)</f>
        <v>230000</v>
      </c>
      <c r="DH101" s="7" t="str">
        <f>VLOOKUP(D101,listaBolsa!$D$2:$BA$1248,36,0)</f>
        <v>MIRADOR BOSQUE</v>
      </c>
      <c r="DI101" s="7">
        <f>VLOOKUP(D101,listaBolsa!$D$2:$BA$1248,40,0)</f>
        <v>191563.03</v>
      </c>
      <c r="DJ101" s="252">
        <f>VLOOKUP(D101,listaBolsa!$D$2:$BA$1248,48,0)</f>
        <v>0.1043</v>
      </c>
      <c r="DK101" s="7" t="b">
        <f t="shared" si="88"/>
        <v>1</v>
      </c>
      <c r="DL101" s="7" t="b">
        <f t="shared" si="89"/>
        <v>0</v>
      </c>
      <c r="DM101" s="7" t="b">
        <f t="shared" si="73"/>
        <v>0</v>
      </c>
      <c r="DN101" s="7" t="b">
        <f t="shared" si="74"/>
        <v>0</v>
      </c>
      <c r="DO101" s="7" t="b">
        <f t="shared" si="75"/>
        <v>0</v>
      </c>
      <c r="DP101" s="7" t="b">
        <f t="shared" si="76"/>
        <v>0</v>
      </c>
      <c r="DQ101" s="7" t="b">
        <f t="shared" si="77"/>
        <v>0</v>
      </c>
      <c r="DR101" s="7" t="b">
        <f t="shared" si="78"/>
        <v>0</v>
      </c>
      <c r="DS101" s="7" t="b">
        <f t="shared" si="79"/>
        <v>0</v>
      </c>
    </row>
    <row r="102" spans="1:123" s="7" customFormat="1" ht="63">
      <c r="A102" s="7" t="s">
        <v>173</v>
      </c>
      <c r="B102" s="453">
        <v>91</v>
      </c>
      <c r="C102" s="642" t="s">
        <v>309</v>
      </c>
      <c r="D102" s="453" t="s">
        <v>542</v>
      </c>
      <c r="E102" s="453" t="s">
        <v>543</v>
      </c>
      <c r="F102" s="194" t="s">
        <v>544</v>
      </c>
      <c r="G102" s="453">
        <v>1</v>
      </c>
      <c r="H102" s="443" t="s">
        <v>192</v>
      </c>
      <c r="I102" s="454" t="s">
        <v>1077</v>
      </c>
      <c r="J102" s="455">
        <v>264983.19</v>
      </c>
      <c r="K102" s="455">
        <f t="shared" si="91"/>
        <v>50346.806100000002</v>
      </c>
      <c r="L102" s="455">
        <f t="shared" si="92"/>
        <v>315329.99609999999</v>
      </c>
      <c r="M102" s="455">
        <f t="shared" si="93"/>
        <v>264983.19</v>
      </c>
      <c r="N102" s="455">
        <f t="shared" si="94"/>
        <v>315329.99609999999</v>
      </c>
      <c r="O102" s="456" t="s">
        <v>1078</v>
      </c>
      <c r="P102" s="457">
        <v>248739.5</v>
      </c>
      <c r="Q102" s="457">
        <f t="shared" si="95"/>
        <v>47260.504999999997</v>
      </c>
      <c r="R102" s="457">
        <f t="shared" si="61"/>
        <v>296000.005</v>
      </c>
      <c r="S102" s="457">
        <f t="shared" si="82"/>
        <v>248739.5</v>
      </c>
      <c r="T102" s="457">
        <f t="shared" si="83"/>
        <v>296000.005</v>
      </c>
      <c r="U102" s="458"/>
      <c r="V102" s="459"/>
      <c r="W102" s="459"/>
      <c r="X102" s="459"/>
      <c r="Y102" s="459"/>
      <c r="Z102" s="459"/>
      <c r="AA102" s="460">
        <f t="shared" si="96"/>
        <v>305665.00055</v>
      </c>
      <c r="AB102" s="460">
        <f t="shared" si="86"/>
        <v>305665.00055</v>
      </c>
      <c r="AC102" s="461">
        <f t="shared" si="97"/>
        <v>13668.367787085601</v>
      </c>
      <c r="AD102" s="427">
        <f t="shared" si="87"/>
        <v>4.4716823196935693E-2</v>
      </c>
      <c r="AE102" s="428"/>
      <c r="BH102" s="7">
        <v>106</v>
      </c>
      <c r="DB102" s="7" t="str">
        <f>VLOOKUP(D102,listaBolsa!$D$2:$BA$1248,1,0)</f>
        <v>Premiación segundo puesto</v>
      </c>
      <c r="DC102" s="7">
        <f>VLOOKUP(D102,listaBolsa!$D$2:$BA$1248,2,0)</f>
        <v>0</v>
      </c>
      <c r="DD102" s="7">
        <f>VLOOKUP(D102,listaBolsa!$D$2:$BA$1248,10,0)</f>
        <v>0</v>
      </c>
      <c r="DE102" s="7">
        <f>VLOOKUP(D102,listaBolsa!$D$2:$BA$1248,14,0)</f>
        <v>50000</v>
      </c>
      <c r="DF102" s="7">
        <f>VLOOKUP(D102,listaBolsa!$D$2:$BA$1248,23,0)</f>
        <v>0</v>
      </c>
      <c r="DG102" s="7">
        <f>VLOOKUP(D102,listaBolsa!$D$2:$BA$1248,29,0)</f>
        <v>72000</v>
      </c>
      <c r="DH102" s="7">
        <f>VLOOKUP(D102,listaBolsa!$D$2:$BA$1248,36,0)</f>
        <v>0</v>
      </c>
      <c r="DI102" s="7">
        <f>VLOOKUP(D102,listaBolsa!$D$2:$BA$1248,40,0)</f>
        <v>60504.2</v>
      </c>
      <c r="DJ102" s="252">
        <f>VLOOKUP(D102,listaBolsa!$D$2:$BA$1248,48,0)</f>
        <v>0.10639999999999999</v>
      </c>
      <c r="DK102" s="7" t="b">
        <f t="shared" si="88"/>
        <v>1</v>
      </c>
      <c r="DL102" s="7" t="b">
        <f t="shared" si="89"/>
        <v>0</v>
      </c>
      <c r="DM102" s="7" t="b">
        <f t="shared" si="73"/>
        <v>0</v>
      </c>
      <c r="DN102" s="7" t="b">
        <f t="shared" si="74"/>
        <v>0</v>
      </c>
      <c r="DO102" s="7" t="b">
        <f t="shared" si="75"/>
        <v>0</v>
      </c>
      <c r="DP102" s="7" t="b">
        <f t="shared" si="76"/>
        <v>0</v>
      </c>
      <c r="DQ102" s="7" t="b">
        <f t="shared" si="77"/>
        <v>1</v>
      </c>
      <c r="DR102" s="7" t="b">
        <f t="shared" si="78"/>
        <v>0</v>
      </c>
      <c r="DS102" s="7" t="b">
        <f t="shared" si="79"/>
        <v>0</v>
      </c>
    </row>
    <row r="103" spans="1:123" s="7" customFormat="1" ht="72">
      <c r="A103" s="7" t="s">
        <v>173</v>
      </c>
      <c r="B103" s="453">
        <v>92</v>
      </c>
      <c r="C103" s="642" t="s">
        <v>309</v>
      </c>
      <c r="D103" s="453" t="s">
        <v>546</v>
      </c>
      <c r="E103" s="453" t="s">
        <v>547</v>
      </c>
      <c r="F103" s="194" t="s">
        <v>191</v>
      </c>
      <c r="G103" s="453">
        <v>1</v>
      </c>
      <c r="H103" s="443" t="s">
        <v>192</v>
      </c>
      <c r="I103" s="454" t="s">
        <v>193</v>
      </c>
      <c r="J103" s="455">
        <v>50000</v>
      </c>
      <c r="K103" s="455"/>
      <c r="L103" s="455">
        <f t="shared" si="92"/>
        <v>50000</v>
      </c>
      <c r="M103" s="455">
        <f t="shared" si="93"/>
        <v>50000</v>
      </c>
      <c r="N103" s="455">
        <f t="shared" si="94"/>
        <v>50000</v>
      </c>
      <c r="O103" s="456" t="s">
        <v>245</v>
      </c>
      <c r="P103" s="457">
        <v>50000</v>
      </c>
      <c r="Q103" s="457"/>
      <c r="R103" s="457">
        <f t="shared" si="61"/>
        <v>50000</v>
      </c>
      <c r="S103" s="457">
        <f t="shared" si="82"/>
        <v>50000</v>
      </c>
      <c r="T103" s="457">
        <f t="shared" si="83"/>
        <v>50000</v>
      </c>
      <c r="U103" s="458" t="s">
        <v>194</v>
      </c>
      <c r="V103" s="459">
        <v>52000</v>
      </c>
      <c r="W103" s="459">
        <f t="shared" ref="W103:W110" si="98">V103*19%</f>
        <v>9880</v>
      </c>
      <c r="X103" s="459">
        <f t="shared" ref="X103:X110" si="99">V103+W103</f>
        <v>61880</v>
      </c>
      <c r="Y103" s="459">
        <f t="shared" ref="Y103:Y110" si="100">IF(C103="","",(V103*G103))</f>
        <v>52000</v>
      </c>
      <c r="Z103" s="459">
        <f t="shared" ref="Z103:Z110" si="101">IF(C103="","",(X103*G103))</f>
        <v>61880</v>
      </c>
      <c r="AA103" s="460">
        <f t="shared" si="96"/>
        <v>53960</v>
      </c>
      <c r="AB103" s="460">
        <f t="shared" si="86"/>
        <v>53960</v>
      </c>
      <c r="AC103" s="461">
        <f t="shared" si="97"/>
        <v>6858.9211979727543</v>
      </c>
      <c r="AD103" s="427">
        <f t="shared" si="87"/>
        <v>0.12711121567777528</v>
      </c>
      <c r="AE103" s="428"/>
      <c r="BH103" s="7">
        <v>107</v>
      </c>
      <c r="DB103" s="7" t="str">
        <f>VLOOKUP(D103,listaBolsa!$D$2:$BA$1248,1,0)</f>
        <v>Premiación tercer puesto</v>
      </c>
      <c r="DC103" s="7">
        <f>VLOOKUP(D103,listaBolsa!$D$2:$BA$1248,2,0)</f>
        <v>0</v>
      </c>
      <c r="DD103" s="7" t="str">
        <f>VLOOKUP(D103,listaBolsa!$D$2:$BA$1248,10,0)</f>
        <v>AVANCE ORGANIZACIONAL CONSULTORES SAS</v>
      </c>
      <c r="DE103" s="7">
        <f>VLOOKUP(D103,listaBolsa!$D$2:$BA$1248,14,0)</f>
        <v>50000</v>
      </c>
      <c r="DF103" s="7" t="str">
        <f>VLOOKUP(D103,listaBolsa!$D$2:$BA$1248,23,0)</f>
        <v>CONADES</v>
      </c>
      <c r="DG103" s="7">
        <f>VLOOKUP(D103,listaBolsa!$D$2:$BA$1248,29,0)</f>
        <v>50000</v>
      </c>
      <c r="DH103" s="7" t="str">
        <f>VLOOKUP(D103,listaBolsa!$D$2:$BA$1248,36,0)</f>
        <v>SIDED</v>
      </c>
      <c r="DI103" s="7">
        <f>VLOOKUP(D103,listaBolsa!$D$2:$BA$1248,40,0)</f>
        <v>52000</v>
      </c>
      <c r="DJ103" s="252">
        <f>VLOOKUP(D103,listaBolsa!$D$2:$BA$1248,48,0)</f>
        <v>0.12709999999999999</v>
      </c>
      <c r="DK103" s="7" t="b">
        <f t="shared" si="88"/>
        <v>1</v>
      </c>
      <c r="DL103" s="7" t="b">
        <f t="shared" si="89"/>
        <v>0</v>
      </c>
      <c r="DM103" s="7" t="b">
        <f t="shared" si="73"/>
        <v>1</v>
      </c>
      <c r="DN103" s="7" t="b">
        <f t="shared" si="74"/>
        <v>1</v>
      </c>
      <c r="DO103" s="7" t="b">
        <f t="shared" si="75"/>
        <v>1</v>
      </c>
      <c r="DP103" s="7" t="b">
        <f t="shared" si="76"/>
        <v>1</v>
      </c>
      <c r="DQ103" s="7" t="b">
        <f t="shared" si="77"/>
        <v>1</v>
      </c>
      <c r="DR103" s="7" t="b">
        <f t="shared" si="78"/>
        <v>1</v>
      </c>
      <c r="DS103" s="7" t="b">
        <f t="shared" si="79"/>
        <v>0</v>
      </c>
    </row>
    <row r="104" spans="1:123" s="7" customFormat="1" ht="57.6">
      <c r="A104" s="7" t="s">
        <v>173</v>
      </c>
      <c r="B104" s="453">
        <v>93</v>
      </c>
      <c r="C104" s="642" t="s">
        <v>309</v>
      </c>
      <c r="D104" s="453" t="s">
        <v>214</v>
      </c>
      <c r="E104" s="453" t="str">
        <f>IF(D104="","",VLOOKUP(D104,listaBolsa!$D$2:$H$276,2,0))</f>
        <v>100% en algodón de 185 gr. cuello redondo y/o en v, de diferentes tallas, marcadas en screen 4 tintas. fabricación y materiales nacionales</v>
      </c>
      <c r="F104" s="194" t="str">
        <f>IF(D104="","",VLOOKUP(D104,listaBolsa!$D$2:$H$276,3,0))</f>
        <v>Unidad</v>
      </c>
      <c r="G104" s="453">
        <v>100</v>
      </c>
      <c r="H104" s="443" t="str">
        <f>IF(D104="","",VLOOKUP(D104,listaBolsa!$D$2:$H$276,5,0))</f>
        <v>Compra</v>
      </c>
      <c r="I104" s="454" t="str">
        <f>IF(D104="","",VLOOKUP(D104,listaBolsa!$D$2:$W$276,10,0))</f>
        <v>MARIA CONFLICTO</v>
      </c>
      <c r="J104" s="455">
        <f>IF(D104="","",VLOOKUP(D104,listaBolsa!$D$2:$W$276,14,0))</f>
        <v>22000</v>
      </c>
      <c r="K104" s="455"/>
      <c r="L104" s="455">
        <f t="shared" si="92"/>
        <v>22000</v>
      </c>
      <c r="M104" s="455">
        <f t="shared" si="93"/>
        <v>2200000</v>
      </c>
      <c r="N104" s="455">
        <f t="shared" si="94"/>
        <v>2200000</v>
      </c>
      <c r="O104" s="456" t="str">
        <f>IF(D104="","",VLOOKUP(D104,listaBolsa!$D$2:$AZ$276,23,0))</f>
        <v>Angie Pachon (personalizado INK)</v>
      </c>
      <c r="P104" s="457">
        <f>IF(D104="","",VLOOKUP(D104,listaBolsa!$D$2:$AZ$276,27,0))</f>
        <v>28000</v>
      </c>
      <c r="Q104" s="457"/>
      <c r="R104" s="457">
        <f t="shared" si="61"/>
        <v>28000</v>
      </c>
      <c r="S104" s="457">
        <f t="shared" si="82"/>
        <v>2800000</v>
      </c>
      <c r="T104" s="457">
        <f t="shared" si="83"/>
        <v>2800000</v>
      </c>
      <c r="U104" s="458" t="str">
        <f>IF(D104="","",VLOOKUP(D104,listaBolsa!$D$2:$BB$276,36,0))</f>
        <v>INVENTIVA</v>
      </c>
      <c r="V104" s="459">
        <f>IF(D104="","",VLOOKUP(D104,listaBolsa!$D$2:$BB$276,40,0))</f>
        <v>25000</v>
      </c>
      <c r="W104" s="459">
        <f t="shared" si="98"/>
        <v>4750</v>
      </c>
      <c r="X104" s="459">
        <f t="shared" si="99"/>
        <v>29750</v>
      </c>
      <c r="Y104" s="459">
        <f t="shared" si="100"/>
        <v>2500000</v>
      </c>
      <c r="Z104" s="459">
        <f t="shared" si="101"/>
        <v>2975000</v>
      </c>
      <c r="AA104" s="460">
        <f t="shared" si="96"/>
        <v>26583.333333333332</v>
      </c>
      <c r="AB104" s="460">
        <f t="shared" si="86"/>
        <v>2658333.333333333</v>
      </c>
      <c r="AC104" s="461">
        <f t="shared" si="97"/>
        <v>406458.27994190744</v>
      </c>
      <c r="AD104" s="427">
        <f t="shared" si="87"/>
        <v>0.15289966643582728</v>
      </c>
      <c r="AE104" s="428"/>
      <c r="BH104" s="7">
        <v>108</v>
      </c>
      <c r="DB104" s="7" t="str">
        <f>VLOOKUP(D104,listaBolsa!$D$2:$BA$1248,1,0)</f>
        <v>Camiseta t-shirt o Camiseta blanca</v>
      </c>
      <c r="DC104" s="7" t="str">
        <f>VLOOKUP(D104,listaBolsa!$D$2:$BA$1248,2,0)</f>
        <v>100% en algodón de 185 gr. cuello redondo y/o en v, de diferentes tallas, marcadas en screen 4 tintas. fabricación y materiales nacionales</v>
      </c>
      <c r="DD104" s="7" t="str">
        <f>VLOOKUP(D104,listaBolsa!$D$2:$BA$1248,10,0)</f>
        <v>MARIA CONFLICTO</v>
      </c>
      <c r="DE104" s="7">
        <f>VLOOKUP(D104,listaBolsa!$D$2:$BA$1248,14,0)</f>
        <v>22000</v>
      </c>
      <c r="DF104" s="7" t="str">
        <f>VLOOKUP(D104,listaBolsa!$D$2:$BA$1248,23,0)</f>
        <v>Angie Pachon (personalizado INK)</v>
      </c>
      <c r="DG104" s="7">
        <f>VLOOKUP(D104,listaBolsa!$D$2:$BA$1248,29,0)</f>
        <v>28000</v>
      </c>
      <c r="DH104" s="7" t="str">
        <f>VLOOKUP(D104,listaBolsa!$D$2:$BA$1248,36,0)</f>
        <v>INVENTIVA</v>
      </c>
      <c r="DI104" s="7">
        <f>VLOOKUP(D104,listaBolsa!$D$2:$BA$1248,40,0)</f>
        <v>25000</v>
      </c>
      <c r="DJ104" s="252">
        <f>VLOOKUP(D104,listaBolsa!$D$2:$BA$1248,48,0)</f>
        <v>0.15289966643582714</v>
      </c>
      <c r="DK104" s="7" t="b">
        <f t="shared" si="88"/>
        <v>1</v>
      </c>
      <c r="DL104" s="7" t="b">
        <f t="shared" si="89"/>
        <v>1</v>
      </c>
      <c r="DM104" s="7" t="b">
        <f t="shared" si="73"/>
        <v>1</v>
      </c>
      <c r="DN104" s="7" t="b">
        <f t="shared" si="74"/>
        <v>1</v>
      </c>
      <c r="DO104" s="7" t="b">
        <f t="shared" si="75"/>
        <v>1</v>
      </c>
      <c r="DP104" s="7" t="b">
        <f t="shared" si="76"/>
        <v>1</v>
      </c>
      <c r="DQ104" s="7" t="b">
        <f t="shared" si="77"/>
        <v>1</v>
      </c>
      <c r="DR104" s="7" t="b">
        <f t="shared" si="78"/>
        <v>1</v>
      </c>
      <c r="DS104" s="7" t="b">
        <f t="shared" si="79"/>
        <v>1</v>
      </c>
    </row>
    <row r="105" spans="1:123" s="7" customFormat="1" ht="345.6">
      <c r="A105" s="7" t="s">
        <v>173</v>
      </c>
      <c r="B105" s="453">
        <v>94</v>
      </c>
      <c r="C105" s="642" t="s">
        <v>309</v>
      </c>
      <c r="D105" s="453" t="s">
        <v>187</v>
      </c>
      <c r="E105" s="453" t="str">
        <f>IF(D105="","",VLOOKUP(D105,listaBolsa!$D$2:$H$276,2,0))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F105" s="194" t="str">
        <f>IF(D105="","",VLOOKUP(D105,listaBolsa!$D$2:$H$276,3,0))</f>
        <v>Unidad</v>
      </c>
      <c r="G105" s="453">
        <v>700</v>
      </c>
      <c r="H105" s="443" t="str">
        <f>IF(D105="","",VLOOKUP(D105,listaBolsa!$D$2:$H$276,5,0))</f>
        <v>Compra</v>
      </c>
      <c r="I105" s="454" t="str">
        <f>IF(D105="","",VLOOKUP(D105,listaBolsa!$D$2:$W$276,10,0))</f>
        <v>INVERSIONES BECORATI E Y O SAS</v>
      </c>
      <c r="J105" s="455">
        <f>IF(D105="","",VLOOKUP(D105,listaBolsa!$D$2:$W$276,14,0))</f>
        <v>11700</v>
      </c>
      <c r="K105" s="455">
        <f t="shared" ref="K105:K110" si="102">J105*19%</f>
        <v>2223</v>
      </c>
      <c r="L105" s="455">
        <f t="shared" si="92"/>
        <v>13923</v>
      </c>
      <c r="M105" s="455">
        <f t="shared" si="93"/>
        <v>8190000</v>
      </c>
      <c r="N105" s="455">
        <f t="shared" si="94"/>
        <v>9746100</v>
      </c>
      <c r="O105" s="456" t="str">
        <f>IF(D105="","",VLOOKUP(D105,listaBolsa!$D$2:$AZ$276,23,0))</f>
        <v>ENTERPRISE INVESTMENT DEVELOPMENT S.A.S.</v>
      </c>
      <c r="P105" s="457">
        <f>IF(D105="","",VLOOKUP(D105,listaBolsa!$D$2:$AZ$276,27,0))</f>
        <v>8570</v>
      </c>
      <c r="Q105" s="457">
        <f t="shared" ref="Q105:Q110" si="103">P105*19%</f>
        <v>1628.3</v>
      </c>
      <c r="R105" s="457">
        <f t="shared" si="61"/>
        <v>10198.299999999999</v>
      </c>
      <c r="S105" s="457">
        <f t="shared" si="82"/>
        <v>5999000</v>
      </c>
      <c r="T105" s="457">
        <f t="shared" si="83"/>
        <v>7138809.9999999991</v>
      </c>
      <c r="U105" s="458" t="str">
        <f>IF(D105="","",VLOOKUP(D105,listaBolsa!$D$2:$BB$276,36,0))</f>
        <v>Estimación de precios con base en el proceso FDLSUBA-LP-013-2025 (140689) – Contrato 1000 – 2025, indexando el incremento de precios en el mercado con base en el Índice de Precios al Consumidor (IPC) para el mes de marzo de 2026, el cual fue de 5,56%.</v>
      </c>
      <c r="V105" s="459">
        <f>IF(D105="","",VLOOKUP(D105,listaBolsa!$D$2:$BB$276,40,0))</f>
        <v>12843.518518518518</v>
      </c>
      <c r="W105" s="459">
        <f t="shared" si="98"/>
        <v>2440.2685185185187</v>
      </c>
      <c r="X105" s="459">
        <f t="shared" si="99"/>
        <v>15283.787037037036</v>
      </c>
      <c r="Y105" s="459">
        <f t="shared" si="100"/>
        <v>8990462.9629629627</v>
      </c>
      <c r="Z105" s="459">
        <f t="shared" si="101"/>
        <v>10698650.925925925</v>
      </c>
      <c r="AA105" s="460">
        <f t="shared" si="96"/>
        <v>13135.02901234568</v>
      </c>
      <c r="AB105" s="460">
        <f t="shared" si="86"/>
        <v>9194520.3086419757</v>
      </c>
      <c r="AC105" s="461">
        <f t="shared" si="97"/>
        <v>1842904.4932967226</v>
      </c>
      <c r="AD105" s="427">
        <f t="shared" si="87"/>
        <v>0.20043508866520937</v>
      </c>
      <c r="AE105" s="428"/>
      <c r="BH105" s="7">
        <v>109</v>
      </c>
      <c r="DB105" s="7" t="str">
        <f>VLOOKUP(D105,listaBolsa!$D$2:$BA$1248,1,0)</f>
        <v>Refrigerio Tipo 1</v>
      </c>
      <c r="DC105" s="7" t="str">
        <f>VLOOKUP(D105,listaBolsa!$D$2:$BA$1248,2,0)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DD105" s="7" t="str">
        <f>VLOOKUP(D105,listaBolsa!$D$2:$BA$1248,10,0)</f>
        <v>INVERSIONES BECORATI E Y O SAS</v>
      </c>
      <c r="DE105" s="7">
        <f>VLOOKUP(D105,listaBolsa!$D$2:$BA$1248,14,0)</f>
        <v>11700</v>
      </c>
      <c r="DF105" s="7" t="str">
        <f>VLOOKUP(D105,listaBolsa!$D$2:$BA$1248,23,0)</f>
        <v>ENTERPRISE INVESTMENT DEVELOPMENT S.A.S.</v>
      </c>
      <c r="DG105" s="7">
        <f>VLOOKUP(D105,listaBolsa!$D$2:$BA$1248,29,0)</f>
        <v>9255.6</v>
      </c>
      <c r="DH105" s="7" t="str">
        <f>VLOOKUP(D105,listaBolsa!$D$2:$BA$1248,36,0)</f>
        <v>Estimación de precios con base en el proceso FDLSUBA-LP-013-2025 (140689) – Contrato 1000 – 2025, indexando el incremento de precios en el mercado con base en el Índice de Precios al Consumidor (IPC) para el mes de marzo de 2026, el cual fue de 5,56%.</v>
      </c>
      <c r="DI105" s="7">
        <f>VLOOKUP(D105,listaBolsa!$D$2:$BA$1248,40,0)</f>
        <v>12843.518518518518</v>
      </c>
      <c r="DJ105" s="252">
        <f>VLOOKUP(D105,listaBolsa!$D$2:$BA$1248,48,0)</f>
        <v>0.20043508866520951</v>
      </c>
      <c r="DK105" s="7" t="b">
        <f t="shared" si="88"/>
        <v>1</v>
      </c>
      <c r="DL105" s="7" t="b">
        <f t="shared" si="89"/>
        <v>1</v>
      </c>
      <c r="DM105" s="7" t="b">
        <f t="shared" si="73"/>
        <v>1</v>
      </c>
      <c r="DN105" s="7" t="b">
        <f t="shared" si="74"/>
        <v>1</v>
      </c>
      <c r="DO105" s="7" t="b">
        <f t="shared" si="75"/>
        <v>1</v>
      </c>
      <c r="DP105" s="7" t="b">
        <f t="shared" si="76"/>
        <v>0</v>
      </c>
      <c r="DQ105" s="7" t="b">
        <f t="shared" si="77"/>
        <v>1</v>
      </c>
      <c r="DR105" s="7" t="b">
        <f t="shared" si="78"/>
        <v>1</v>
      </c>
      <c r="DS105" s="7" t="b">
        <f t="shared" si="79"/>
        <v>0</v>
      </c>
    </row>
    <row r="106" spans="1:123" s="7" customFormat="1" ht="72">
      <c r="A106" s="7" t="s">
        <v>173</v>
      </c>
      <c r="B106" s="453">
        <v>95</v>
      </c>
      <c r="C106" s="642" t="s">
        <v>309</v>
      </c>
      <c r="D106" s="453" t="s">
        <v>189</v>
      </c>
      <c r="E106" s="453" t="s">
        <v>190</v>
      </c>
      <c r="F106" s="194" t="s">
        <v>191</v>
      </c>
      <c r="G106" s="453">
        <v>1</v>
      </c>
      <c r="H106" s="443" t="s">
        <v>192</v>
      </c>
      <c r="I106" s="454" t="s">
        <v>193</v>
      </c>
      <c r="J106" s="455">
        <v>15000</v>
      </c>
      <c r="K106" s="455">
        <f t="shared" si="102"/>
        <v>2850</v>
      </c>
      <c r="L106" s="455">
        <f t="shared" si="92"/>
        <v>17850</v>
      </c>
      <c r="M106" s="455">
        <f t="shared" si="93"/>
        <v>15000</v>
      </c>
      <c r="N106" s="455">
        <f t="shared" si="94"/>
        <v>17850</v>
      </c>
      <c r="O106" s="456" t="s">
        <v>194</v>
      </c>
      <c r="P106" s="457">
        <v>16200</v>
      </c>
      <c r="Q106" s="457">
        <f t="shared" si="103"/>
        <v>3078</v>
      </c>
      <c r="R106" s="457">
        <f t="shared" si="61"/>
        <v>19278</v>
      </c>
      <c r="S106" s="457">
        <f t="shared" si="82"/>
        <v>16200</v>
      </c>
      <c r="T106" s="457">
        <f t="shared" si="83"/>
        <v>19278</v>
      </c>
      <c r="U106" s="458" t="s">
        <v>195</v>
      </c>
      <c r="V106" s="459">
        <v>13319.32773109244</v>
      </c>
      <c r="W106" s="459">
        <f t="shared" si="98"/>
        <v>2530.6722689075636</v>
      </c>
      <c r="X106" s="459">
        <f t="shared" si="99"/>
        <v>15850.000000000004</v>
      </c>
      <c r="Y106" s="459">
        <f t="shared" si="100"/>
        <v>13319.32773109244</v>
      </c>
      <c r="Z106" s="459">
        <f t="shared" si="101"/>
        <v>15850.000000000004</v>
      </c>
      <c r="AA106" s="460">
        <f t="shared" si="96"/>
        <v>17659.333333333332</v>
      </c>
      <c r="AB106" s="460">
        <f t="shared" si="86"/>
        <v>17659.333333333332</v>
      </c>
      <c r="AC106" s="461">
        <f t="shared" si="97"/>
        <v>1721.9353452825478</v>
      </c>
      <c r="AD106" s="427">
        <f t="shared" si="87"/>
        <v>9.7508513644298453E-2</v>
      </c>
      <c r="AE106" s="428"/>
      <c r="BH106" s="7">
        <v>110</v>
      </c>
      <c r="DB106" s="7" t="str">
        <f>VLOOKUP(D106,listaBolsa!$D$2:$BA$1248,1,0)</f>
        <v>Bolsas negras</v>
      </c>
      <c r="DC106" s="7">
        <f>VLOOKUP(D106,listaBolsa!$D$2:$BA$1248,2,0)</f>
        <v>0</v>
      </c>
      <c r="DD106" s="7" t="str">
        <f>VLOOKUP(D106,listaBolsa!$D$2:$BA$1248,10,0)</f>
        <v>AVANCE ORGANIZACIONAL CONSULTORES SAS</v>
      </c>
      <c r="DE106" s="7">
        <f>VLOOKUP(D106,listaBolsa!$D$2:$BA$1248,14,0)</f>
        <v>15000</v>
      </c>
      <c r="DF106" s="7" t="str">
        <f>VLOOKUP(D106,listaBolsa!$D$2:$BA$1248,23,0)</f>
        <v>SIDED</v>
      </c>
      <c r="DG106" s="7">
        <f>VLOOKUP(D106,listaBolsa!$D$2:$BA$1248,29,0)</f>
        <v>19278</v>
      </c>
      <c r="DH106" s="7" t="str">
        <f>VLOOKUP(D106,listaBolsa!$D$2:$BA$1248,36,0)</f>
        <v>SUPER DESECHABLES DEL NORTE</v>
      </c>
      <c r="DI106" s="7">
        <f>VLOOKUP(D106,listaBolsa!$D$2:$BA$1248,40,0)</f>
        <v>13319.33</v>
      </c>
      <c r="DJ106" s="252">
        <f>VLOOKUP(D106,listaBolsa!$D$2:$BA$1248,48,0)</f>
        <v>9.7500000000000003E-2</v>
      </c>
      <c r="DK106" s="7" t="b">
        <f t="shared" si="88"/>
        <v>1</v>
      </c>
      <c r="DL106" s="7" t="b">
        <f t="shared" si="89"/>
        <v>0</v>
      </c>
      <c r="DM106" s="7" t="b">
        <f t="shared" si="73"/>
        <v>1</v>
      </c>
      <c r="DN106" s="7" t="b">
        <f t="shared" si="74"/>
        <v>1</v>
      </c>
      <c r="DO106" s="7" t="b">
        <f t="shared" si="75"/>
        <v>1</v>
      </c>
      <c r="DP106" s="7" t="b">
        <f t="shared" si="76"/>
        <v>0</v>
      </c>
      <c r="DQ106" s="7" t="b">
        <f t="shared" si="77"/>
        <v>1</v>
      </c>
      <c r="DR106" s="7" t="b">
        <f t="shared" si="78"/>
        <v>0</v>
      </c>
      <c r="DS106" s="7" t="b">
        <f t="shared" si="79"/>
        <v>0</v>
      </c>
    </row>
    <row r="107" spans="1:123" s="7" customFormat="1" ht="42">
      <c r="A107" s="7" t="s">
        <v>173</v>
      </c>
      <c r="B107" s="453">
        <v>96</v>
      </c>
      <c r="C107" s="642" t="s">
        <v>309</v>
      </c>
      <c r="D107" s="453" t="s">
        <v>197</v>
      </c>
      <c r="E107" s="453" t="s">
        <v>198</v>
      </c>
      <c r="F107" s="194" t="s">
        <v>191</v>
      </c>
      <c r="G107" s="453">
        <v>1</v>
      </c>
      <c r="H107" s="443" t="s">
        <v>192</v>
      </c>
      <c r="I107" s="454" t="s">
        <v>193</v>
      </c>
      <c r="J107" s="455">
        <v>15000</v>
      </c>
      <c r="K107" s="455">
        <f t="shared" si="102"/>
        <v>2850</v>
      </c>
      <c r="L107" s="455">
        <f t="shared" si="92"/>
        <v>17850</v>
      </c>
      <c r="M107" s="455">
        <f t="shared" si="93"/>
        <v>15000</v>
      </c>
      <c r="N107" s="455">
        <f t="shared" si="94"/>
        <v>17850</v>
      </c>
      <c r="O107" s="456" t="s">
        <v>194</v>
      </c>
      <c r="P107" s="457">
        <v>16200</v>
      </c>
      <c r="Q107" s="457">
        <f t="shared" si="103"/>
        <v>3078</v>
      </c>
      <c r="R107" s="457">
        <f t="shared" si="61"/>
        <v>19278</v>
      </c>
      <c r="S107" s="457">
        <f t="shared" si="82"/>
        <v>16200</v>
      </c>
      <c r="T107" s="457">
        <f t="shared" si="83"/>
        <v>19278</v>
      </c>
      <c r="U107" s="458" t="s">
        <v>195</v>
      </c>
      <c r="V107" s="459">
        <v>15110.9243697479</v>
      </c>
      <c r="W107" s="459">
        <f t="shared" si="98"/>
        <v>2871.0756302521008</v>
      </c>
      <c r="X107" s="459">
        <f t="shared" si="99"/>
        <v>17982</v>
      </c>
      <c r="Y107" s="459">
        <f t="shared" si="100"/>
        <v>15110.9243697479</v>
      </c>
      <c r="Z107" s="459">
        <f t="shared" si="101"/>
        <v>17982</v>
      </c>
      <c r="AA107" s="460">
        <f t="shared" si="96"/>
        <v>18370</v>
      </c>
      <c r="AB107" s="460">
        <f t="shared" si="86"/>
        <v>18370</v>
      </c>
      <c r="AC107" s="461">
        <f t="shared" si="97"/>
        <v>789.11596106022341</v>
      </c>
      <c r="AD107" s="427">
        <f t="shared" si="87"/>
        <v>4.2956775234633829E-2</v>
      </c>
      <c r="AE107" s="428"/>
      <c r="BH107" s="7">
        <v>111</v>
      </c>
      <c r="DB107" s="7" t="e">
        <f>VLOOKUP(D107,listaBolsa!$D$2:$BA$1248,1,0)</f>
        <v>#N/A</v>
      </c>
      <c r="DC107" s="7" t="e">
        <f>VLOOKUP(D107,listaBolsa!$D$2:$BA$1248,2,0)</f>
        <v>#N/A</v>
      </c>
      <c r="DD107" s="7" t="e">
        <f>VLOOKUP(D107,listaBolsa!$D$2:$BA$1248,10,0)</f>
        <v>#N/A</v>
      </c>
      <c r="DE107" s="7" t="e">
        <f>VLOOKUP(D107,listaBolsa!$D$2:$BA$1248,14,0)</f>
        <v>#N/A</v>
      </c>
      <c r="DF107" s="7" t="e">
        <f>VLOOKUP(D107,listaBolsa!$D$2:$BA$1248,23,0)</f>
        <v>#N/A</v>
      </c>
      <c r="DG107" s="7" t="e">
        <f>VLOOKUP(D107,listaBolsa!$D$2:$BA$1248,29,0)</f>
        <v>#N/A</v>
      </c>
      <c r="DH107" s="7" t="e">
        <f>VLOOKUP(D107,listaBolsa!$D$2:$BA$1248,36,0)</f>
        <v>#N/A</v>
      </c>
      <c r="DI107" s="7" t="e">
        <f>VLOOKUP(D107,listaBolsa!$D$2:$BA$1248,40,0)</f>
        <v>#N/A</v>
      </c>
      <c r="DJ107" s="252" t="e">
        <f>VLOOKUP(D107,listaBolsa!$D$2:$BA$1248,48,0)</f>
        <v>#N/A</v>
      </c>
      <c r="DK107" s="7" t="e">
        <f t="shared" si="88"/>
        <v>#N/A</v>
      </c>
      <c r="DL107" s="7" t="e">
        <f t="shared" si="89"/>
        <v>#N/A</v>
      </c>
      <c r="DM107" s="7" t="e">
        <f t="shared" si="73"/>
        <v>#N/A</v>
      </c>
      <c r="DN107" s="7" t="e">
        <f t="shared" si="74"/>
        <v>#N/A</v>
      </c>
      <c r="DO107" s="7" t="e">
        <f t="shared" si="75"/>
        <v>#N/A</v>
      </c>
      <c r="DP107" s="7" t="e">
        <f t="shared" si="76"/>
        <v>#N/A</v>
      </c>
      <c r="DQ107" s="7" t="e">
        <f t="shared" si="77"/>
        <v>#N/A</v>
      </c>
      <c r="DR107" s="7" t="e">
        <f t="shared" si="78"/>
        <v>#N/A</v>
      </c>
      <c r="DS107" s="7" t="e">
        <f t="shared" si="79"/>
        <v>#N/A</v>
      </c>
    </row>
    <row r="108" spans="1:123" s="7" customFormat="1" ht="42">
      <c r="A108" s="7" t="s">
        <v>173</v>
      </c>
      <c r="B108" s="453">
        <v>97</v>
      </c>
      <c r="C108" s="642" t="s">
        <v>309</v>
      </c>
      <c r="D108" s="453" t="s">
        <v>200</v>
      </c>
      <c r="E108" s="453" t="s">
        <v>201</v>
      </c>
      <c r="F108" s="194" t="s">
        <v>191</v>
      </c>
      <c r="G108" s="453">
        <v>1</v>
      </c>
      <c r="H108" s="443" t="s">
        <v>192</v>
      </c>
      <c r="I108" s="454" t="s">
        <v>193</v>
      </c>
      <c r="J108" s="455">
        <v>15000</v>
      </c>
      <c r="K108" s="455">
        <f t="shared" si="102"/>
        <v>2850</v>
      </c>
      <c r="L108" s="455">
        <f t="shared" si="92"/>
        <v>17850</v>
      </c>
      <c r="M108" s="455">
        <f t="shared" si="93"/>
        <v>15000</v>
      </c>
      <c r="N108" s="455">
        <f t="shared" si="94"/>
        <v>17850</v>
      </c>
      <c r="O108" s="456" t="s">
        <v>194</v>
      </c>
      <c r="P108" s="457">
        <v>16200</v>
      </c>
      <c r="Q108" s="457">
        <f t="shared" si="103"/>
        <v>3078</v>
      </c>
      <c r="R108" s="457">
        <f t="shared" ref="R108:R110" si="104">P108+Q108</f>
        <v>19278</v>
      </c>
      <c r="S108" s="457">
        <f t="shared" si="82"/>
        <v>16200</v>
      </c>
      <c r="T108" s="457">
        <f t="shared" si="83"/>
        <v>19278</v>
      </c>
      <c r="U108" s="458" t="s">
        <v>195</v>
      </c>
      <c r="V108" s="459">
        <v>15110.9243697479</v>
      </c>
      <c r="W108" s="459">
        <f t="shared" si="98"/>
        <v>2871.0756302521008</v>
      </c>
      <c r="X108" s="459">
        <f t="shared" si="99"/>
        <v>17982</v>
      </c>
      <c r="Y108" s="459">
        <f t="shared" si="100"/>
        <v>15110.9243697479</v>
      </c>
      <c r="Z108" s="459">
        <f t="shared" si="101"/>
        <v>17982</v>
      </c>
      <c r="AA108" s="460">
        <f t="shared" si="96"/>
        <v>18370</v>
      </c>
      <c r="AB108" s="460">
        <f t="shared" si="86"/>
        <v>18370</v>
      </c>
      <c r="AC108" s="461">
        <f t="shared" si="97"/>
        <v>789.11596106022341</v>
      </c>
      <c r="AD108" s="427">
        <f t="shared" si="87"/>
        <v>4.2956775234633829E-2</v>
      </c>
      <c r="AE108" s="428"/>
      <c r="BH108" s="7">
        <v>112</v>
      </c>
      <c r="DB108" s="7" t="e">
        <f>VLOOKUP(D108,listaBolsa!$D$2:$BA$1248,1,0)</f>
        <v>#N/A</v>
      </c>
      <c r="DC108" s="7" t="e">
        <f>VLOOKUP(D108,listaBolsa!$D$2:$BA$1248,2,0)</f>
        <v>#N/A</v>
      </c>
      <c r="DD108" s="7" t="e">
        <f>VLOOKUP(D108,listaBolsa!$D$2:$BA$1248,10,0)</f>
        <v>#N/A</v>
      </c>
      <c r="DE108" s="7" t="e">
        <f>VLOOKUP(D108,listaBolsa!$D$2:$BA$1248,14,0)</f>
        <v>#N/A</v>
      </c>
      <c r="DF108" s="7" t="e">
        <f>VLOOKUP(D108,listaBolsa!$D$2:$BA$1248,23,0)</f>
        <v>#N/A</v>
      </c>
      <c r="DG108" s="7" t="e">
        <f>VLOOKUP(D108,listaBolsa!$D$2:$BA$1248,29,0)</f>
        <v>#N/A</v>
      </c>
      <c r="DH108" s="7" t="e">
        <f>VLOOKUP(D108,listaBolsa!$D$2:$BA$1248,36,0)</f>
        <v>#N/A</v>
      </c>
      <c r="DI108" s="7" t="e">
        <f>VLOOKUP(D108,listaBolsa!$D$2:$BA$1248,40,0)</f>
        <v>#N/A</v>
      </c>
      <c r="DJ108" s="252" t="e">
        <f>VLOOKUP(D108,listaBolsa!$D$2:$BA$1248,48,0)</f>
        <v>#N/A</v>
      </c>
      <c r="DK108" s="7" t="e">
        <f t="shared" si="88"/>
        <v>#N/A</v>
      </c>
      <c r="DL108" s="7" t="e">
        <f t="shared" si="89"/>
        <v>#N/A</v>
      </c>
      <c r="DM108" s="7" t="e">
        <f t="shared" si="73"/>
        <v>#N/A</v>
      </c>
      <c r="DN108" s="7" t="e">
        <f t="shared" si="74"/>
        <v>#N/A</v>
      </c>
      <c r="DO108" s="7" t="e">
        <f t="shared" si="75"/>
        <v>#N/A</v>
      </c>
      <c r="DP108" s="7" t="e">
        <f t="shared" si="76"/>
        <v>#N/A</v>
      </c>
      <c r="DQ108" s="7" t="e">
        <f t="shared" si="77"/>
        <v>#N/A</v>
      </c>
      <c r="DR108" s="7" t="e">
        <f t="shared" si="78"/>
        <v>#N/A</v>
      </c>
      <c r="DS108" s="7" t="e">
        <f t="shared" si="79"/>
        <v>#N/A</v>
      </c>
    </row>
    <row r="109" spans="1:123" s="7" customFormat="1" ht="72">
      <c r="A109" s="7" t="s">
        <v>173</v>
      </c>
      <c r="B109" s="453">
        <v>98</v>
      </c>
      <c r="C109" s="642" t="s">
        <v>309</v>
      </c>
      <c r="D109" s="453" t="s">
        <v>207</v>
      </c>
      <c r="E109" s="453" t="s">
        <v>208</v>
      </c>
      <c r="F109" s="194" t="s">
        <v>191</v>
      </c>
      <c r="G109" s="453">
        <v>12</v>
      </c>
      <c r="H109" s="443" t="s">
        <v>209</v>
      </c>
      <c r="I109" s="454" t="s">
        <v>194</v>
      </c>
      <c r="J109" s="455">
        <v>660000</v>
      </c>
      <c r="K109" s="455">
        <f t="shared" si="102"/>
        <v>125400</v>
      </c>
      <c r="L109" s="455">
        <f t="shared" si="92"/>
        <v>785400</v>
      </c>
      <c r="M109" s="455">
        <f t="shared" si="93"/>
        <v>7920000</v>
      </c>
      <c r="N109" s="455">
        <f t="shared" si="94"/>
        <v>9424800</v>
      </c>
      <c r="O109" s="456" t="s">
        <v>193</v>
      </c>
      <c r="P109" s="457">
        <v>620000</v>
      </c>
      <c r="Q109" s="457">
        <f t="shared" si="103"/>
        <v>117800</v>
      </c>
      <c r="R109" s="457">
        <f t="shared" si="104"/>
        <v>737800</v>
      </c>
      <c r="S109" s="457">
        <f t="shared" si="82"/>
        <v>7440000</v>
      </c>
      <c r="T109" s="457">
        <f t="shared" si="83"/>
        <v>8853600</v>
      </c>
      <c r="U109" s="458" t="s">
        <v>210</v>
      </c>
      <c r="V109" s="459">
        <v>850000</v>
      </c>
      <c r="W109" s="459">
        <f t="shared" si="98"/>
        <v>161500</v>
      </c>
      <c r="X109" s="459">
        <f t="shared" si="99"/>
        <v>1011500</v>
      </c>
      <c r="Y109" s="459">
        <f t="shared" si="100"/>
        <v>10200000</v>
      </c>
      <c r="Z109" s="459">
        <f t="shared" si="101"/>
        <v>12138000</v>
      </c>
      <c r="AA109" s="460">
        <f t="shared" si="96"/>
        <v>844900</v>
      </c>
      <c r="AB109" s="460">
        <f t="shared" si="86"/>
        <v>10138800</v>
      </c>
      <c r="AC109" s="461">
        <f t="shared" si="97"/>
        <v>1754755.7778790756</v>
      </c>
      <c r="AD109" s="427">
        <f t="shared" si="87"/>
        <v>0.17307332010485221</v>
      </c>
      <c r="AE109" s="428"/>
      <c r="BH109" s="7">
        <v>113</v>
      </c>
      <c r="DB109" s="7" t="str">
        <f>VLOOKUP(D109,listaBolsa!$D$2:$BA$1248,1,0)</f>
        <v>Tallerista</v>
      </c>
      <c r="DC109" s="7">
        <f>VLOOKUP(D109,listaBolsa!$D$2:$BA$1248,2,0)</f>
        <v>0</v>
      </c>
      <c r="DD109" s="7" t="str">
        <f>VLOOKUP(D109,listaBolsa!$D$2:$BA$1248,10,0)</f>
        <v>SIDED</v>
      </c>
      <c r="DE109" s="7">
        <f>VLOOKUP(D109,listaBolsa!$D$2:$BA$1248,14,0)</f>
        <v>660000</v>
      </c>
      <c r="DF109" s="7" t="str">
        <f>VLOOKUP(D109,listaBolsa!$D$2:$BA$1248,23,0)</f>
        <v>AVANCE ORGANIZACIONAL CONSULTORES SAS</v>
      </c>
      <c r="DG109" s="7">
        <f>VLOOKUP(D109,listaBolsa!$D$2:$BA$1248,29,0)</f>
        <v>737800</v>
      </c>
      <c r="DH109" s="7" t="str">
        <f>VLOOKUP(D109,listaBolsa!$D$2:$BA$1248,36,0)</f>
        <v>CONANDES</v>
      </c>
      <c r="DI109" s="7">
        <f>VLOOKUP(D109,listaBolsa!$D$2:$BA$1248,40,0)</f>
        <v>850000</v>
      </c>
      <c r="DJ109" s="252">
        <f>VLOOKUP(D109,listaBolsa!$D$2:$BA$1248,48,0)</f>
        <v>0.1731</v>
      </c>
      <c r="DK109" s="7" t="b">
        <f t="shared" si="88"/>
        <v>1</v>
      </c>
      <c r="DL109" s="7" t="b">
        <f t="shared" si="89"/>
        <v>0</v>
      </c>
      <c r="DM109" s="7" t="b">
        <f t="shared" si="73"/>
        <v>1</v>
      </c>
      <c r="DN109" s="7" t="b">
        <f t="shared" si="74"/>
        <v>1</v>
      </c>
      <c r="DO109" s="7" t="b">
        <f t="shared" si="75"/>
        <v>1</v>
      </c>
      <c r="DP109" s="7" t="b">
        <f t="shared" si="76"/>
        <v>0</v>
      </c>
      <c r="DQ109" s="7" t="b">
        <f t="shared" si="77"/>
        <v>1</v>
      </c>
      <c r="DR109" s="7" t="b">
        <f t="shared" si="78"/>
        <v>1</v>
      </c>
      <c r="DS109" s="7" t="b">
        <f t="shared" si="79"/>
        <v>0</v>
      </c>
    </row>
    <row r="110" spans="1:123" s="7" customFormat="1" ht="42">
      <c r="A110" s="7" t="s">
        <v>173</v>
      </c>
      <c r="B110" s="336">
        <v>99</v>
      </c>
      <c r="C110" s="643" t="s">
        <v>309</v>
      </c>
      <c r="D110" s="336" t="s">
        <v>529</v>
      </c>
      <c r="E110" s="336" t="s">
        <v>530</v>
      </c>
      <c r="F110" s="370" t="s">
        <v>191</v>
      </c>
      <c r="G110" s="336">
        <v>100</v>
      </c>
      <c r="H110" s="207" t="s">
        <v>192</v>
      </c>
      <c r="I110" s="462" t="s">
        <v>531</v>
      </c>
      <c r="J110" s="463">
        <v>7226.8907563025214</v>
      </c>
      <c r="K110" s="463">
        <f t="shared" si="102"/>
        <v>1373.1092436974791</v>
      </c>
      <c r="L110" s="463">
        <f t="shared" si="92"/>
        <v>8600</v>
      </c>
      <c r="M110" s="463">
        <f t="shared" si="93"/>
        <v>722689.07563025213</v>
      </c>
      <c r="N110" s="463">
        <f t="shared" si="94"/>
        <v>860000</v>
      </c>
      <c r="O110" s="464" t="s">
        <v>532</v>
      </c>
      <c r="P110" s="197">
        <v>5462.1848739495799</v>
      </c>
      <c r="Q110" s="197">
        <f t="shared" si="103"/>
        <v>1037.8151260504203</v>
      </c>
      <c r="R110" s="197">
        <f t="shared" si="104"/>
        <v>6500</v>
      </c>
      <c r="S110" s="197">
        <f t="shared" si="82"/>
        <v>546218.48739495804</v>
      </c>
      <c r="T110" s="197">
        <f t="shared" si="83"/>
        <v>650000</v>
      </c>
      <c r="U110" s="465" t="s">
        <v>533</v>
      </c>
      <c r="V110" s="466">
        <v>6050.4201680672268</v>
      </c>
      <c r="W110" s="466">
        <f t="shared" si="98"/>
        <v>1149.579831932773</v>
      </c>
      <c r="X110" s="466">
        <f t="shared" si="99"/>
        <v>7200</v>
      </c>
      <c r="Y110" s="466">
        <f t="shared" si="100"/>
        <v>605042.01680672262</v>
      </c>
      <c r="Z110" s="466">
        <f t="shared" si="101"/>
        <v>720000</v>
      </c>
      <c r="AA110" s="467">
        <f t="shared" si="96"/>
        <v>7433.333333333333</v>
      </c>
      <c r="AB110" s="467">
        <f t="shared" si="86"/>
        <v>743333.33333333326</v>
      </c>
      <c r="AC110" s="468">
        <f t="shared" si="97"/>
        <v>106926.76621563645</v>
      </c>
      <c r="AD110" s="427">
        <f t="shared" si="87"/>
        <v>0.14384766755466788</v>
      </c>
      <c r="AE110" s="428"/>
      <c r="BH110" s="7">
        <v>115</v>
      </c>
      <c r="DB110" s="7" t="str">
        <f>VLOOKUP(D110,listaBolsa!$D$2:$BA$1248,1,0)</f>
        <v>Medalla</v>
      </c>
      <c r="DC110" s="7">
        <f>VLOOKUP(D110,listaBolsa!$D$2:$BA$1248,2,0)</f>
        <v>0</v>
      </c>
      <c r="DD110" s="7" t="str">
        <f>VLOOKUP(D110,listaBolsa!$D$2:$BA$1248,10,0)</f>
        <v>BOTONES.COM</v>
      </c>
      <c r="DE110" s="7">
        <f>VLOOKUP(D110,listaBolsa!$D$2:$BA$1248,14,0)</f>
        <v>7226.89</v>
      </c>
      <c r="DF110" s="7" t="str">
        <f>VLOOKUP(D110,listaBolsa!$D$2:$BA$1248,23,0)</f>
        <v>MEDALLAS.COM</v>
      </c>
      <c r="DG110" s="7">
        <f>VLOOKUP(D110,listaBolsa!$D$2:$BA$1248,29,0)</f>
        <v>6500</v>
      </c>
      <c r="DH110" s="7" t="str">
        <f>VLOOKUP(D110,listaBolsa!$D$2:$BA$1248,36,0)</f>
        <v>GRAFIC KOJAC</v>
      </c>
      <c r="DI110" s="7">
        <f>VLOOKUP(D110,listaBolsa!$D$2:$BA$1248,40,0)</f>
        <v>6050.42</v>
      </c>
      <c r="DJ110" s="252">
        <f>VLOOKUP(D110,listaBolsa!$D$2:$BA$1248,48,0)</f>
        <v>0.14380000000000001</v>
      </c>
      <c r="DK110" s="7" t="b">
        <f t="shared" si="88"/>
        <v>1</v>
      </c>
      <c r="DL110" s="7" t="b">
        <f t="shared" si="89"/>
        <v>0</v>
      </c>
      <c r="DM110" s="7" t="b">
        <f t="shared" si="73"/>
        <v>1</v>
      </c>
      <c r="DN110" s="7" t="b">
        <f t="shared" si="74"/>
        <v>0</v>
      </c>
      <c r="DO110" s="7" t="b">
        <f t="shared" si="75"/>
        <v>1</v>
      </c>
      <c r="DP110" s="7" t="b">
        <f t="shared" si="76"/>
        <v>0</v>
      </c>
      <c r="DQ110" s="7" t="b">
        <f t="shared" si="77"/>
        <v>1</v>
      </c>
      <c r="DR110" s="7" t="b">
        <f t="shared" si="78"/>
        <v>0</v>
      </c>
      <c r="DS110" s="7" t="b">
        <f t="shared" si="79"/>
        <v>0</v>
      </c>
    </row>
    <row r="111" spans="1:123" s="441" customFormat="1">
      <c r="B111" s="469"/>
      <c r="C111" s="470"/>
      <c r="D111" s="471"/>
      <c r="E111" s="471"/>
      <c r="F111" s="472"/>
      <c r="G111" s="471"/>
      <c r="H111" s="469"/>
      <c r="I111" s="473"/>
      <c r="J111" s="438"/>
      <c r="K111" s="437"/>
      <c r="L111" s="437"/>
      <c r="M111" s="437"/>
      <c r="N111" s="437"/>
      <c r="O111" s="473"/>
      <c r="P111" s="438"/>
      <c r="Q111" s="438"/>
      <c r="R111" s="438"/>
      <c r="S111" s="438"/>
      <c r="T111" s="438"/>
      <c r="U111" s="473"/>
      <c r="V111" s="438"/>
      <c r="W111" s="438"/>
      <c r="X111" s="438"/>
      <c r="Y111" s="438"/>
      <c r="Z111" s="474" t="s">
        <v>1081</v>
      </c>
      <c r="AA111" s="475">
        <f>SUM(AA12:AA110)</f>
        <v>21758568.897587027</v>
      </c>
      <c r="AB111" s="475">
        <f>SUM(AB12:AB110)</f>
        <v>195210731.19837081</v>
      </c>
      <c r="AC111" s="439"/>
      <c r="AD111" s="440"/>
      <c r="DJ111" s="442"/>
    </row>
    <row r="112" spans="1:123" s="441" customFormat="1">
      <c r="B112" s="469"/>
      <c r="C112" s="470"/>
      <c r="D112" s="471"/>
      <c r="E112" s="471"/>
      <c r="F112" s="472"/>
      <c r="G112" s="471"/>
      <c r="H112" s="469"/>
      <c r="I112" s="473"/>
      <c r="J112" s="438"/>
      <c r="K112" s="437"/>
      <c r="L112" s="437"/>
      <c r="M112" s="437"/>
      <c r="N112" s="437"/>
      <c r="O112" s="473"/>
      <c r="P112" s="438"/>
      <c r="Q112" s="438"/>
      <c r="R112" s="438"/>
      <c r="S112" s="438"/>
      <c r="T112" s="438"/>
      <c r="U112" s="473"/>
      <c r="V112" s="438"/>
      <c r="W112" s="438"/>
      <c r="X112" s="438"/>
      <c r="Y112" s="438"/>
      <c r="Z112" s="438"/>
      <c r="AA112" s="438"/>
      <c r="AB112" s="438"/>
      <c r="AC112" s="439"/>
      <c r="AD112" s="440"/>
      <c r="DJ112" s="442"/>
    </row>
    <row r="113" spans="1:126" s="247" customFormat="1" ht="129">
      <c r="A113" s="476"/>
      <c r="B113" s="403" t="s">
        <v>23</v>
      </c>
      <c r="C113" s="404" t="s">
        <v>24</v>
      </c>
      <c r="D113" s="404" t="s">
        <v>25</v>
      </c>
      <c r="E113" s="404" t="s">
        <v>26</v>
      </c>
      <c r="F113" s="404" t="s">
        <v>27</v>
      </c>
      <c r="G113" s="404" t="s">
        <v>28</v>
      </c>
      <c r="H113" s="406" t="s">
        <v>174</v>
      </c>
      <c r="I113" s="407" t="s">
        <v>29</v>
      </c>
      <c r="J113" s="407" t="s">
        <v>30</v>
      </c>
      <c r="K113" s="429" t="s">
        <v>175</v>
      </c>
      <c r="L113" s="429" t="s">
        <v>32</v>
      </c>
      <c r="M113" s="429" t="s">
        <v>33</v>
      </c>
      <c r="N113" s="429" t="s">
        <v>34</v>
      </c>
      <c r="O113" s="404" t="s">
        <v>35</v>
      </c>
      <c r="P113" s="404" t="s">
        <v>30</v>
      </c>
      <c r="Q113" s="430" t="s">
        <v>176</v>
      </c>
      <c r="R113" s="430" t="s">
        <v>32</v>
      </c>
      <c r="S113" s="430" t="s">
        <v>33</v>
      </c>
      <c r="T113" s="430" t="s">
        <v>34</v>
      </c>
      <c r="U113" s="408" t="s">
        <v>36</v>
      </c>
      <c r="V113" s="408" t="s">
        <v>30</v>
      </c>
      <c r="W113" s="431" t="s">
        <v>31</v>
      </c>
      <c r="X113" s="431" t="s">
        <v>32</v>
      </c>
      <c r="Y113" s="431" t="s">
        <v>33</v>
      </c>
      <c r="Z113" s="431" t="s">
        <v>34</v>
      </c>
      <c r="AA113" s="429" t="s">
        <v>38</v>
      </c>
      <c r="AB113" s="429" t="s">
        <v>39</v>
      </c>
      <c r="AC113" s="429" t="s">
        <v>40</v>
      </c>
      <c r="AD113" s="429" t="s">
        <v>41</v>
      </c>
      <c r="AE113" s="409" t="s">
        <v>46</v>
      </c>
      <c r="AF113" s="410"/>
      <c r="AG113" s="7"/>
      <c r="AH113" s="410"/>
      <c r="AI113" s="410"/>
      <c r="AJ113" s="410"/>
      <c r="AK113" s="410"/>
      <c r="AL113" s="410"/>
      <c r="AM113" s="410"/>
      <c r="AN113" s="410"/>
      <c r="AO113" s="410"/>
      <c r="AP113" s="410"/>
      <c r="AQ113" s="410"/>
      <c r="AR113" s="410"/>
      <c r="AS113" s="410"/>
      <c r="AT113" s="410"/>
      <c r="AU113" s="410"/>
      <c r="AV113" s="410"/>
      <c r="AW113" s="410"/>
      <c r="AX113" s="410"/>
      <c r="AY113" s="410"/>
      <c r="AZ113" s="410"/>
      <c r="BA113" s="410"/>
      <c r="BB113" s="410"/>
      <c r="BC113" s="410"/>
      <c r="BD113" s="410"/>
      <c r="BE113" s="410"/>
      <c r="BF113" s="410"/>
      <c r="BG113" s="410"/>
      <c r="BH113" s="410"/>
      <c r="BI113" s="410"/>
      <c r="BJ113" s="410"/>
      <c r="BK113" s="410"/>
      <c r="BL113" s="410"/>
      <c r="BM113" s="410"/>
      <c r="BN113" s="410"/>
      <c r="BO113" s="410"/>
      <c r="BP113" s="410"/>
      <c r="BQ113" s="410"/>
      <c r="BR113" s="410"/>
      <c r="BS113" s="410"/>
      <c r="BT113" s="410"/>
      <c r="BU113" s="410"/>
      <c r="BV113" s="410"/>
      <c r="BW113" s="410"/>
      <c r="BX113" s="410"/>
      <c r="BY113" s="410"/>
      <c r="BZ113" s="410"/>
      <c r="CA113" s="410"/>
      <c r="CB113" s="410"/>
      <c r="CC113" s="410"/>
      <c r="CD113" s="410"/>
      <c r="CE113" s="410"/>
      <c r="CF113" s="410"/>
      <c r="CG113" s="410"/>
      <c r="CH113" s="410"/>
      <c r="CI113" s="410"/>
      <c r="CJ113" s="410"/>
      <c r="CK113" s="410"/>
      <c r="CL113" s="410"/>
      <c r="CM113" s="410"/>
      <c r="CN113" s="410"/>
      <c r="CO113" s="410"/>
      <c r="CP113" s="410"/>
      <c r="CQ113" s="410"/>
      <c r="CR113" s="410"/>
      <c r="CS113" s="410"/>
      <c r="CT113" s="410"/>
      <c r="CU113" s="410"/>
      <c r="CV113" s="410"/>
      <c r="CW113" s="410"/>
      <c r="CX113" s="410"/>
      <c r="CY113" s="410"/>
      <c r="CZ113" s="410"/>
      <c r="DA113" s="410"/>
      <c r="DB113" s="410" t="s">
        <v>177</v>
      </c>
      <c r="DC113" s="410" t="s">
        <v>178</v>
      </c>
      <c r="DD113" s="410" t="s">
        <v>179</v>
      </c>
      <c r="DE113" s="410" t="s">
        <v>180</v>
      </c>
      <c r="DF113" s="410" t="s">
        <v>181</v>
      </c>
      <c r="DG113" s="410" t="s">
        <v>182</v>
      </c>
      <c r="DH113" s="410" t="s">
        <v>183</v>
      </c>
      <c r="DI113" s="410" t="s">
        <v>184</v>
      </c>
      <c r="DJ113" s="254" t="s">
        <v>185</v>
      </c>
      <c r="DK113" s="410" t="s">
        <v>177</v>
      </c>
      <c r="DL113" s="410" t="s">
        <v>178</v>
      </c>
      <c r="DM113" s="410" t="s">
        <v>179</v>
      </c>
      <c r="DN113" s="410" t="s">
        <v>180</v>
      </c>
      <c r="DO113" s="410" t="s">
        <v>181</v>
      </c>
      <c r="DP113" s="410" t="s">
        <v>182</v>
      </c>
      <c r="DQ113" s="410" t="s">
        <v>183</v>
      </c>
      <c r="DR113" s="410" t="s">
        <v>184</v>
      </c>
      <c r="DS113" s="410" t="s">
        <v>185</v>
      </c>
      <c r="DT113" s="410"/>
      <c r="DU113" s="410"/>
      <c r="DV113" s="410"/>
    </row>
    <row r="114" spans="1:126" s="7" customFormat="1" ht="345.6">
      <c r="A114" s="7" t="s">
        <v>570</v>
      </c>
      <c r="B114" s="453">
        <v>100</v>
      </c>
      <c r="C114" s="642" t="s">
        <v>565</v>
      </c>
      <c r="D114" s="453" t="s">
        <v>566</v>
      </c>
      <c r="E114" s="453" t="s">
        <v>567</v>
      </c>
      <c r="F114" s="194" t="s">
        <v>568</v>
      </c>
      <c r="G114" s="453">
        <v>10</v>
      </c>
      <c r="H114" s="443" t="s">
        <v>209</v>
      </c>
      <c r="I114" s="454"/>
      <c r="J114" s="455"/>
      <c r="K114" s="455"/>
      <c r="L114" s="455"/>
      <c r="M114" s="455"/>
      <c r="N114" s="455"/>
      <c r="O114" s="456" t="s">
        <v>569</v>
      </c>
      <c r="P114" s="457">
        <v>432995.79831932776</v>
      </c>
      <c r="Q114" s="457">
        <f>P114*19%</f>
        <v>82269.201680672282</v>
      </c>
      <c r="R114" s="457">
        <f t="shared" ref="R114:R145" si="105">P114+Q114</f>
        <v>515265.00000000006</v>
      </c>
      <c r="S114" s="457">
        <f t="shared" ref="S114:S145" si="106">IF(C114="","",(P114*G114))</f>
        <v>4329957.9831932774</v>
      </c>
      <c r="T114" s="457">
        <f t="shared" ref="T114:T145" si="107">IF(C114="","",(R114*G114))</f>
        <v>5152650.0000000009</v>
      </c>
      <c r="U114" s="458" t="str">
        <f>IF(D114="","",VLOOKUP(D114,listaBolsa!$D$2:$BB$276,36,0))</f>
        <v>FUNCAS</v>
      </c>
      <c r="V114" s="459">
        <f>IF(D114="","",VLOOKUP(D114,listaBolsa!$D$2:$BB$276,40,0))</f>
        <v>426597</v>
      </c>
      <c r="W114" s="459">
        <f>V114*19%</f>
        <v>81053.430000000008</v>
      </c>
      <c r="X114" s="459">
        <f t="shared" ref="X114:X145" si="108">V114+W114</f>
        <v>507650.43</v>
      </c>
      <c r="Y114" s="459">
        <f t="shared" ref="Y114:Y145" si="109">IF(C114="","",(V114*G114))</f>
        <v>4265970</v>
      </c>
      <c r="Z114" s="459">
        <f t="shared" ref="Z114:Z145" si="110">IF(C114="","",(X114*G114))</f>
        <v>5076504.3</v>
      </c>
      <c r="AA114" s="460">
        <f>IF(B114="","",AVERAGE(R114,X114))</f>
        <v>511457.71500000003</v>
      </c>
      <c r="AB114" s="460">
        <f t="shared" ref="AB114:AB145" si="111">IF(C114="","",AA114*G114)</f>
        <v>5114577.1500000004</v>
      </c>
      <c r="AC114" s="461">
        <f>IF(C114="","",STDEV(T114,Z114))</f>
        <v>53843.140828197284</v>
      </c>
      <c r="AD114" s="427">
        <f t="shared" ref="AD114:AD145" si="112">IF(C114="","",(AC114/AB114))</f>
        <v>1.0527388530681813E-2</v>
      </c>
      <c r="AE114" s="428"/>
      <c r="BH114" s="7">
        <v>119</v>
      </c>
      <c r="DB114" s="7" t="str">
        <f>VLOOKUP(D114,listaBolsa!$D$2:$BA$1248,1,0)</f>
        <v>Estación de café tipo 1</v>
      </c>
      <c r="DC114" s="7" t="str">
        <f>VLOOKUP(D114,listaBolsa!$D$2:$BA$1248,2,0)</f>
        <v>Servicio de cafetería para 50 personas (tinto, aromática y agua): Operario + presentación mesa + vasos de cartón bebida caliente 4 oz. + mezclador + azúcar + crema para café. Duración del evento aprox. 6 horas. Transporte incluido</v>
      </c>
      <c r="DD114" s="7" t="str">
        <f>VLOOKUP(D114,listaBolsa!$D$2:$BA$1248,10,0)</f>
        <v>OPERADOR LOGÍSTICO</v>
      </c>
      <c r="DE114" s="7" t="str">
        <f>VLOOKUP(D114,listaBolsa!$D$2:$BA$1248,14,0)</f>
        <v> </v>
      </c>
      <c r="DF114" s="7" t="str">
        <f>VLOOKUP(D114,listaBolsa!$D$2:$BA$1248,23,0)</f>
        <v>Estimación de precios con base en el proceso FDLSUBA-LP-013-2025 (140689) – Contrato 1000 – 2025, indexando el incremento de precios en el mercado con base en el Índice de Precios al Consumidor (IPC) para el mes de marzo de 2026, el cual fue de 5,56%.</v>
      </c>
      <c r="DG114" s="7">
        <f>VLOOKUP(D114,listaBolsa!$D$2:$BA$1248,29,0)</f>
        <v>488125</v>
      </c>
      <c r="DH114" s="7" t="str">
        <f>VLOOKUP(D114,listaBolsa!$D$2:$BA$1248,36,0)</f>
        <v>FUNCAS</v>
      </c>
      <c r="DI114" s="7">
        <f>VLOOKUP(D114,listaBolsa!$D$2:$BA$1248,40,0)</f>
        <v>426597</v>
      </c>
      <c r="DJ114" s="252">
        <f>VLOOKUP(D114,listaBolsa!$D$2:$BA$1248,48,0)</f>
        <v>1.0500000000000001E-2</v>
      </c>
      <c r="DK114" s="7" t="b">
        <f t="shared" ref="DK114:DK145" si="113">DB114=D114</f>
        <v>1</v>
      </c>
      <c r="DL114" s="7" t="b">
        <f t="shared" ref="DL114:DL145" si="114">DC114=E114</f>
        <v>1</v>
      </c>
      <c r="DM114" s="7" t="b">
        <f t="shared" ref="DM114:DM145" si="115">DD114=I114</f>
        <v>0</v>
      </c>
      <c r="DN114" s="7" t="b">
        <f t="shared" ref="DN114:DN145" si="116">DE114=J114</f>
        <v>0</v>
      </c>
      <c r="DO114" s="7" t="b">
        <f t="shared" ref="DO114:DO145" si="117">DF114=O114</f>
        <v>0</v>
      </c>
      <c r="DP114" s="7" t="b">
        <f t="shared" ref="DP114:DP145" si="118">DG114=P114</f>
        <v>0</v>
      </c>
      <c r="DQ114" s="7" t="b">
        <f t="shared" ref="DQ114:DQ145" si="119">DH114=U114</f>
        <v>1</v>
      </c>
      <c r="DR114" s="7" t="b">
        <f t="shared" ref="DR114:DR145" si="120">DI114=V114</f>
        <v>1</v>
      </c>
      <c r="DS114" s="7" t="b">
        <f t="shared" ref="DS114:DS145" si="121">DJ114=AD114</f>
        <v>0</v>
      </c>
    </row>
    <row r="115" spans="1:126" s="7" customFormat="1" ht="147">
      <c r="A115" s="7" t="s">
        <v>570</v>
      </c>
      <c r="B115" s="453">
        <v>101</v>
      </c>
      <c r="C115" s="642" t="s">
        <v>572</v>
      </c>
      <c r="D115" s="453" t="s">
        <v>573</v>
      </c>
      <c r="E115" s="453" t="s">
        <v>574</v>
      </c>
      <c r="F115" s="194" t="s">
        <v>568</v>
      </c>
      <c r="G115" s="453">
        <v>1</v>
      </c>
      <c r="H115" s="443" t="s">
        <v>209</v>
      </c>
      <c r="I115" s="454" t="s">
        <v>380</v>
      </c>
      <c r="J115" s="455">
        <v>750000</v>
      </c>
      <c r="K115" s="455"/>
      <c r="L115" s="455">
        <f t="shared" ref="L115:L145" si="122">J115+K115</f>
        <v>750000</v>
      </c>
      <c r="M115" s="455">
        <f t="shared" ref="M115:M145" si="123">IF(C115="","",(J115*G115))</f>
        <v>750000</v>
      </c>
      <c r="N115" s="455">
        <f t="shared" ref="N115:N145" si="124">IF(C115="","",(L115*G115))</f>
        <v>750000</v>
      </c>
      <c r="O115" s="456" t="s">
        <v>381</v>
      </c>
      <c r="P115" s="457">
        <v>820000</v>
      </c>
      <c r="Q115" s="457"/>
      <c r="R115" s="457">
        <f t="shared" si="105"/>
        <v>820000</v>
      </c>
      <c r="S115" s="457">
        <f t="shared" si="106"/>
        <v>820000</v>
      </c>
      <c r="T115" s="457">
        <f t="shared" si="107"/>
        <v>820000</v>
      </c>
      <c r="U115" s="458" t="s">
        <v>382</v>
      </c>
      <c r="V115" s="459">
        <v>800000</v>
      </c>
      <c r="W115" s="459"/>
      <c r="X115" s="459">
        <f t="shared" si="108"/>
        <v>800000</v>
      </c>
      <c r="Y115" s="459">
        <f t="shared" si="109"/>
        <v>800000</v>
      </c>
      <c r="Z115" s="459">
        <f t="shared" si="110"/>
        <v>800000</v>
      </c>
      <c r="AA115" s="460">
        <f t="shared" ref="AA115:AA146" si="125">IF(B115="","",AVERAGE(L115,R115,X115))</f>
        <v>790000</v>
      </c>
      <c r="AB115" s="460">
        <f t="shared" si="111"/>
        <v>790000</v>
      </c>
      <c r="AC115" s="461">
        <f t="shared" ref="AC115:AC146" si="126">IF(C115="","",STDEV(N115,T115,Z115))</f>
        <v>36055.512754639894</v>
      </c>
      <c r="AD115" s="427">
        <f t="shared" si="112"/>
        <v>4.5639889562835309E-2</v>
      </c>
      <c r="AE115" s="428"/>
      <c r="BH115" s="7">
        <v>120</v>
      </c>
      <c r="DB115" s="7" t="str">
        <f>VLOOKUP(D115,listaBolsa!$D$2:$BA$1248,1,0)</f>
        <v>Servicios de cultivos agrícolas tipo 1</v>
      </c>
      <c r="DC115" s="7">
        <f>VLOOKUP(D115,listaBolsa!$D$2:$BA$1248,2,0)</f>
        <v>0</v>
      </c>
      <c r="DD115" s="7" t="str">
        <f>VLOOKUP(D115,listaBolsa!$D$2:$BA$1248,10,0)</f>
        <v xml:space="preserve">JUNTOS DE LA MANO </v>
      </c>
      <c r="DE115" s="7">
        <f>VLOOKUP(D115,listaBolsa!$D$2:$BA$1248,14,0)</f>
        <v>750000</v>
      </c>
      <c r="DF115" s="7" t="str">
        <f>VLOOKUP(D115,listaBolsa!$D$2:$BA$1248,23,0)</f>
        <v>MYCBDE</v>
      </c>
      <c r="DG115" s="7">
        <f>VLOOKUP(D115,listaBolsa!$D$2:$BA$1248,29,0)</f>
        <v>820000</v>
      </c>
      <c r="DH115" s="7" t="str">
        <f>VLOOKUP(D115,listaBolsa!$D$2:$BA$1248,36,0)</f>
        <v>DAGROW</v>
      </c>
      <c r="DI115" s="7">
        <f>VLOOKUP(D115,listaBolsa!$D$2:$BA$1248,40,0)</f>
        <v>800000</v>
      </c>
      <c r="DJ115" s="252">
        <f>VLOOKUP(D115,listaBolsa!$D$2:$BA$1248,48,0)</f>
        <v>4.5600000000000002E-2</v>
      </c>
      <c r="DK115" s="7" t="b">
        <f t="shared" si="113"/>
        <v>1</v>
      </c>
      <c r="DL115" s="7" t="b">
        <f t="shared" si="114"/>
        <v>0</v>
      </c>
      <c r="DM115" s="7" t="b">
        <f t="shared" si="115"/>
        <v>1</v>
      </c>
      <c r="DN115" s="7" t="b">
        <f t="shared" si="116"/>
        <v>1</v>
      </c>
      <c r="DO115" s="7" t="b">
        <f t="shared" si="117"/>
        <v>1</v>
      </c>
      <c r="DP115" s="7" t="b">
        <f t="shared" si="118"/>
        <v>1</v>
      </c>
      <c r="DQ115" s="7" t="b">
        <f t="shared" si="119"/>
        <v>1</v>
      </c>
      <c r="DR115" s="7" t="b">
        <f t="shared" si="120"/>
        <v>1</v>
      </c>
      <c r="DS115" s="7" t="b">
        <f t="shared" si="121"/>
        <v>0</v>
      </c>
    </row>
    <row r="116" spans="1:126" s="7" customFormat="1" ht="126">
      <c r="A116" s="7" t="s">
        <v>570</v>
      </c>
      <c r="B116" s="453">
        <v>102</v>
      </c>
      <c r="C116" s="642" t="s">
        <v>572</v>
      </c>
      <c r="D116" s="453" t="s">
        <v>576</v>
      </c>
      <c r="E116" s="453" t="s">
        <v>577</v>
      </c>
      <c r="F116" s="194" t="s">
        <v>568</v>
      </c>
      <c r="G116" s="453">
        <v>1</v>
      </c>
      <c r="H116" s="443" t="s">
        <v>209</v>
      </c>
      <c r="I116" s="454" t="s">
        <v>380</v>
      </c>
      <c r="J116" s="455">
        <v>280000</v>
      </c>
      <c r="K116" s="455"/>
      <c r="L116" s="455">
        <f t="shared" si="122"/>
        <v>280000</v>
      </c>
      <c r="M116" s="455">
        <f t="shared" si="123"/>
        <v>280000</v>
      </c>
      <c r="N116" s="455">
        <f t="shared" si="124"/>
        <v>280000</v>
      </c>
      <c r="O116" s="456" t="s">
        <v>381</v>
      </c>
      <c r="P116" s="457">
        <v>290000</v>
      </c>
      <c r="Q116" s="457"/>
      <c r="R116" s="457">
        <f t="shared" si="105"/>
        <v>290000</v>
      </c>
      <c r="S116" s="457">
        <f t="shared" si="106"/>
        <v>290000</v>
      </c>
      <c r="T116" s="457">
        <f t="shared" si="107"/>
        <v>290000</v>
      </c>
      <c r="U116" s="458" t="s">
        <v>382</v>
      </c>
      <c r="V116" s="459">
        <v>250000</v>
      </c>
      <c r="W116" s="459"/>
      <c r="X116" s="459">
        <f t="shared" si="108"/>
        <v>250000</v>
      </c>
      <c r="Y116" s="459">
        <f t="shared" si="109"/>
        <v>250000</v>
      </c>
      <c r="Z116" s="459">
        <f t="shared" si="110"/>
        <v>250000</v>
      </c>
      <c r="AA116" s="460">
        <f t="shared" si="125"/>
        <v>273333.33333333331</v>
      </c>
      <c r="AB116" s="460">
        <f t="shared" si="111"/>
        <v>273333.33333333331</v>
      </c>
      <c r="AC116" s="461">
        <f t="shared" si="126"/>
        <v>20816.659994661328</v>
      </c>
      <c r="AD116" s="427">
        <f t="shared" si="112"/>
        <v>7.6158512175590234E-2</v>
      </c>
      <c r="AE116" s="428"/>
      <c r="BH116" s="7">
        <v>121</v>
      </c>
      <c r="DB116" s="7" t="str">
        <f>VLOOKUP(D116,listaBolsa!$D$2:$BA$1248,1,0)</f>
        <v>Servicios de cultivos agrícolas tipo 2</v>
      </c>
      <c r="DC116" s="7">
        <f>VLOOKUP(D116,listaBolsa!$D$2:$BA$1248,2,0)</f>
        <v>0</v>
      </c>
      <c r="DD116" s="7" t="str">
        <f>VLOOKUP(D116,listaBolsa!$D$2:$BA$1248,10,0)</f>
        <v xml:space="preserve">JUNTOS DE LA MANO </v>
      </c>
      <c r="DE116" s="7">
        <f>VLOOKUP(D116,listaBolsa!$D$2:$BA$1248,14,0)</f>
        <v>280000</v>
      </c>
      <c r="DF116" s="7" t="str">
        <f>VLOOKUP(D116,listaBolsa!$D$2:$BA$1248,23,0)</f>
        <v>MYCBDE</v>
      </c>
      <c r="DG116" s="7">
        <f>VLOOKUP(D116,listaBolsa!$D$2:$BA$1248,29,0)</f>
        <v>290000</v>
      </c>
      <c r="DH116" s="7" t="str">
        <f>VLOOKUP(D116,listaBolsa!$D$2:$BA$1248,36,0)</f>
        <v>DAGROW</v>
      </c>
      <c r="DI116" s="7">
        <f>VLOOKUP(D116,listaBolsa!$D$2:$BA$1248,40,0)</f>
        <v>250000</v>
      </c>
      <c r="DJ116" s="252">
        <f>VLOOKUP(D116,listaBolsa!$D$2:$BA$1248,48,0)</f>
        <v>7.6200000000000004E-2</v>
      </c>
      <c r="DK116" s="7" t="b">
        <f t="shared" si="113"/>
        <v>1</v>
      </c>
      <c r="DL116" s="7" t="b">
        <f t="shared" si="114"/>
        <v>0</v>
      </c>
      <c r="DM116" s="7" t="b">
        <f t="shared" si="115"/>
        <v>1</v>
      </c>
      <c r="DN116" s="7" t="b">
        <f t="shared" si="116"/>
        <v>1</v>
      </c>
      <c r="DO116" s="7" t="b">
        <f t="shared" si="117"/>
        <v>1</v>
      </c>
      <c r="DP116" s="7" t="b">
        <f t="shared" si="118"/>
        <v>1</v>
      </c>
      <c r="DQ116" s="7" t="b">
        <f t="shared" si="119"/>
        <v>1</v>
      </c>
      <c r="DR116" s="7" t="b">
        <f t="shared" si="120"/>
        <v>1</v>
      </c>
      <c r="DS116" s="7" t="b">
        <f t="shared" si="121"/>
        <v>0</v>
      </c>
    </row>
    <row r="117" spans="1:126" s="7" customFormat="1" ht="42">
      <c r="A117" s="7" t="s">
        <v>570</v>
      </c>
      <c r="B117" s="453">
        <v>103</v>
      </c>
      <c r="C117" s="642" t="s">
        <v>579</v>
      </c>
      <c r="D117" s="453" t="s">
        <v>580</v>
      </c>
      <c r="E117" s="453" t="s">
        <v>581</v>
      </c>
      <c r="F117" s="194" t="s">
        <v>568</v>
      </c>
      <c r="G117" s="453">
        <v>1</v>
      </c>
      <c r="H117" s="443" t="s">
        <v>192</v>
      </c>
      <c r="I117" s="454" t="s">
        <v>380</v>
      </c>
      <c r="J117" s="455">
        <v>3900</v>
      </c>
      <c r="K117" s="455"/>
      <c r="L117" s="455">
        <f t="shared" si="122"/>
        <v>3900</v>
      </c>
      <c r="M117" s="455">
        <f t="shared" si="123"/>
        <v>3900</v>
      </c>
      <c r="N117" s="455">
        <f t="shared" si="124"/>
        <v>3900</v>
      </c>
      <c r="O117" s="456" t="s">
        <v>381</v>
      </c>
      <c r="P117" s="457">
        <v>4200</v>
      </c>
      <c r="Q117" s="457"/>
      <c r="R117" s="457">
        <f t="shared" si="105"/>
        <v>4200</v>
      </c>
      <c r="S117" s="457">
        <f t="shared" si="106"/>
        <v>4200</v>
      </c>
      <c r="T117" s="457">
        <f t="shared" si="107"/>
        <v>4200</v>
      </c>
      <c r="U117" s="458" t="s">
        <v>382</v>
      </c>
      <c r="V117" s="459">
        <v>4000</v>
      </c>
      <c r="W117" s="459"/>
      <c r="X117" s="459">
        <f t="shared" si="108"/>
        <v>4000</v>
      </c>
      <c r="Y117" s="459">
        <f t="shared" si="109"/>
        <v>4000</v>
      </c>
      <c r="Z117" s="459">
        <f t="shared" si="110"/>
        <v>4000</v>
      </c>
      <c r="AA117" s="460">
        <f t="shared" si="125"/>
        <v>4033.3333333333335</v>
      </c>
      <c r="AB117" s="460">
        <f t="shared" si="111"/>
        <v>4033.3333333333335</v>
      </c>
      <c r="AC117" s="461">
        <f t="shared" si="126"/>
        <v>152.75252316519467</v>
      </c>
      <c r="AD117" s="427">
        <f t="shared" si="112"/>
        <v>3.7872526404593716E-2</v>
      </c>
      <c r="AE117" s="428"/>
      <c r="BH117" s="7">
        <v>122</v>
      </c>
      <c r="DB117" s="7" t="str">
        <f>VLOOKUP(D117,listaBolsa!$D$2:$BA$1248,1,0)</f>
        <v>Semilla de Quinoa</v>
      </c>
      <c r="DC117" s="7">
        <f>VLOOKUP(D117,listaBolsa!$D$2:$BA$1248,2,0)</f>
        <v>0</v>
      </c>
      <c r="DD117" s="7" t="str">
        <f>VLOOKUP(D117,listaBolsa!$D$2:$BA$1248,10,0)</f>
        <v xml:space="preserve">JUNTOS DE LA MANO </v>
      </c>
      <c r="DE117" s="7">
        <f>VLOOKUP(D117,listaBolsa!$D$2:$BA$1248,14,0)</f>
        <v>3900</v>
      </c>
      <c r="DF117" s="7" t="str">
        <f>VLOOKUP(D117,listaBolsa!$D$2:$BA$1248,23,0)</f>
        <v>MYCBDE</v>
      </c>
      <c r="DG117" s="7">
        <f>VLOOKUP(D117,listaBolsa!$D$2:$BA$1248,29,0)</f>
        <v>4200</v>
      </c>
      <c r="DH117" s="7" t="str">
        <f>VLOOKUP(D117,listaBolsa!$D$2:$BA$1248,36,0)</f>
        <v>DAGROW</v>
      </c>
      <c r="DI117" s="7">
        <f>VLOOKUP(D117,listaBolsa!$D$2:$BA$1248,40,0)</f>
        <v>4000</v>
      </c>
      <c r="DJ117" s="252">
        <f>VLOOKUP(D117,listaBolsa!$D$2:$BA$1248,48,0)</f>
        <v>3.7900000000000003E-2</v>
      </c>
      <c r="DK117" s="7" t="b">
        <f t="shared" si="113"/>
        <v>1</v>
      </c>
      <c r="DL117" s="7" t="b">
        <f t="shared" si="114"/>
        <v>0</v>
      </c>
      <c r="DM117" s="7" t="b">
        <f t="shared" si="115"/>
        <v>1</v>
      </c>
      <c r="DN117" s="7" t="b">
        <f t="shared" si="116"/>
        <v>1</v>
      </c>
      <c r="DO117" s="7" t="b">
        <f t="shared" si="117"/>
        <v>1</v>
      </c>
      <c r="DP117" s="7" t="b">
        <f t="shared" si="118"/>
        <v>1</v>
      </c>
      <c r="DQ117" s="7" t="b">
        <f t="shared" si="119"/>
        <v>1</v>
      </c>
      <c r="DR117" s="7" t="b">
        <f t="shared" si="120"/>
        <v>1</v>
      </c>
      <c r="DS117" s="7" t="b">
        <f t="shared" si="121"/>
        <v>0</v>
      </c>
    </row>
    <row r="118" spans="1:126" s="7" customFormat="1" ht="42">
      <c r="A118" s="7" t="s">
        <v>570</v>
      </c>
      <c r="B118" s="453">
        <v>104</v>
      </c>
      <c r="C118" s="642" t="s">
        <v>579</v>
      </c>
      <c r="D118" s="453" t="s">
        <v>583</v>
      </c>
      <c r="E118" s="453" t="s">
        <v>584</v>
      </c>
      <c r="F118" s="194" t="s">
        <v>568</v>
      </c>
      <c r="G118" s="453">
        <v>1</v>
      </c>
      <c r="H118" s="443" t="s">
        <v>192</v>
      </c>
      <c r="I118" s="454" t="s">
        <v>380</v>
      </c>
      <c r="J118" s="455">
        <v>4100</v>
      </c>
      <c r="K118" s="455"/>
      <c r="L118" s="455">
        <f t="shared" si="122"/>
        <v>4100</v>
      </c>
      <c r="M118" s="455">
        <f t="shared" si="123"/>
        <v>4100</v>
      </c>
      <c r="N118" s="455">
        <f t="shared" si="124"/>
        <v>4100</v>
      </c>
      <c r="O118" s="456" t="s">
        <v>381</v>
      </c>
      <c r="P118" s="457">
        <v>4000</v>
      </c>
      <c r="Q118" s="457"/>
      <c r="R118" s="457">
        <f t="shared" si="105"/>
        <v>4000</v>
      </c>
      <c r="S118" s="457">
        <f t="shared" si="106"/>
        <v>4000</v>
      </c>
      <c r="T118" s="457">
        <f t="shared" si="107"/>
        <v>4000</v>
      </c>
      <c r="U118" s="458" t="s">
        <v>382</v>
      </c>
      <c r="V118" s="459">
        <v>3500</v>
      </c>
      <c r="W118" s="459"/>
      <c r="X118" s="459">
        <f t="shared" si="108"/>
        <v>3500</v>
      </c>
      <c r="Y118" s="459">
        <f t="shared" si="109"/>
        <v>3500</v>
      </c>
      <c r="Z118" s="459">
        <f t="shared" si="110"/>
        <v>3500</v>
      </c>
      <c r="AA118" s="460">
        <f t="shared" si="125"/>
        <v>3866.6666666666665</v>
      </c>
      <c r="AB118" s="460">
        <f t="shared" si="111"/>
        <v>3866.6666666666665</v>
      </c>
      <c r="AC118" s="461">
        <f t="shared" si="126"/>
        <v>321.45502536643181</v>
      </c>
      <c r="AD118" s="427">
        <f t="shared" si="112"/>
        <v>8.3134920353387542E-2</v>
      </c>
      <c r="AE118" s="428"/>
      <c r="BH118" s="7">
        <v>123</v>
      </c>
      <c r="DB118" s="7" t="str">
        <f>VLOOKUP(D118,listaBolsa!$D$2:$BA$1248,1,0)</f>
        <v>Semilla de Apio</v>
      </c>
      <c r="DC118" s="7">
        <f>VLOOKUP(D118,listaBolsa!$D$2:$BA$1248,2,0)</f>
        <v>0</v>
      </c>
      <c r="DD118" s="7" t="str">
        <f>VLOOKUP(D118,listaBolsa!$D$2:$BA$1248,10,0)</f>
        <v xml:space="preserve">JUNTOS DE LA MANO </v>
      </c>
      <c r="DE118" s="7">
        <f>VLOOKUP(D118,listaBolsa!$D$2:$BA$1248,14,0)</f>
        <v>4100</v>
      </c>
      <c r="DF118" s="7" t="str">
        <f>VLOOKUP(D118,listaBolsa!$D$2:$BA$1248,23,0)</f>
        <v>MYCBDE</v>
      </c>
      <c r="DG118" s="7">
        <f>VLOOKUP(D118,listaBolsa!$D$2:$BA$1248,29,0)</f>
        <v>4000</v>
      </c>
      <c r="DH118" s="7" t="str">
        <f>VLOOKUP(D118,listaBolsa!$D$2:$BA$1248,36,0)</f>
        <v>DAGROW</v>
      </c>
      <c r="DI118" s="7">
        <f>VLOOKUP(D118,listaBolsa!$D$2:$BA$1248,40,0)</f>
        <v>3500</v>
      </c>
      <c r="DJ118" s="252">
        <f>VLOOKUP(D118,listaBolsa!$D$2:$BA$1248,48,0)</f>
        <v>8.3099999999999993E-2</v>
      </c>
      <c r="DK118" s="7" t="b">
        <f t="shared" si="113"/>
        <v>1</v>
      </c>
      <c r="DL118" s="7" t="b">
        <f t="shared" si="114"/>
        <v>0</v>
      </c>
      <c r="DM118" s="7" t="b">
        <f t="shared" si="115"/>
        <v>1</v>
      </c>
      <c r="DN118" s="7" t="b">
        <f t="shared" si="116"/>
        <v>1</v>
      </c>
      <c r="DO118" s="7" t="b">
        <f t="shared" si="117"/>
        <v>1</v>
      </c>
      <c r="DP118" s="7" t="b">
        <f t="shared" si="118"/>
        <v>1</v>
      </c>
      <c r="DQ118" s="7" t="b">
        <f t="shared" si="119"/>
        <v>1</v>
      </c>
      <c r="DR118" s="7" t="b">
        <f t="shared" si="120"/>
        <v>1</v>
      </c>
      <c r="DS118" s="7" t="b">
        <f t="shared" si="121"/>
        <v>0</v>
      </c>
    </row>
    <row r="119" spans="1:126" s="7" customFormat="1" ht="42">
      <c r="A119" s="7" t="s">
        <v>570</v>
      </c>
      <c r="B119" s="453">
        <v>105</v>
      </c>
      <c r="C119" s="642" t="s">
        <v>579</v>
      </c>
      <c r="D119" s="453" t="s">
        <v>586</v>
      </c>
      <c r="E119" s="453" t="s">
        <v>587</v>
      </c>
      <c r="F119" s="194" t="s">
        <v>568</v>
      </c>
      <c r="G119" s="453">
        <v>1</v>
      </c>
      <c r="H119" s="443" t="s">
        <v>192</v>
      </c>
      <c r="I119" s="454" t="s">
        <v>380</v>
      </c>
      <c r="J119" s="455">
        <v>3900</v>
      </c>
      <c r="K119" s="455"/>
      <c r="L119" s="455">
        <f t="shared" si="122"/>
        <v>3900</v>
      </c>
      <c r="M119" s="455">
        <f t="shared" si="123"/>
        <v>3900</v>
      </c>
      <c r="N119" s="455">
        <f t="shared" si="124"/>
        <v>3900</v>
      </c>
      <c r="O119" s="456" t="s">
        <v>381</v>
      </c>
      <c r="P119" s="457">
        <v>3800</v>
      </c>
      <c r="Q119" s="457"/>
      <c r="R119" s="457">
        <f t="shared" si="105"/>
        <v>3800</v>
      </c>
      <c r="S119" s="457">
        <f t="shared" si="106"/>
        <v>3800</v>
      </c>
      <c r="T119" s="457">
        <f t="shared" si="107"/>
        <v>3800</v>
      </c>
      <c r="U119" s="458" t="s">
        <v>382</v>
      </c>
      <c r="V119" s="459">
        <v>3500</v>
      </c>
      <c r="W119" s="459"/>
      <c r="X119" s="459">
        <f t="shared" si="108"/>
        <v>3500</v>
      </c>
      <c r="Y119" s="459">
        <f t="shared" si="109"/>
        <v>3500</v>
      </c>
      <c r="Z119" s="459">
        <f t="shared" si="110"/>
        <v>3500</v>
      </c>
      <c r="AA119" s="460">
        <f t="shared" si="125"/>
        <v>3733.3333333333335</v>
      </c>
      <c r="AB119" s="460">
        <f t="shared" si="111"/>
        <v>3733.3333333333335</v>
      </c>
      <c r="AC119" s="461">
        <f t="shared" si="126"/>
        <v>208.16659994661327</v>
      </c>
      <c r="AD119" s="427">
        <f t="shared" si="112"/>
        <v>5.5758910699985696E-2</v>
      </c>
      <c r="AE119" s="428"/>
      <c r="BH119" s="7">
        <v>124</v>
      </c>
      <c r="DB119" s="7" t="str">
        <f>VLOOKUP(D119,listaBolsa!$D$2:$BA$1248,1,0)</f>
        <v>Semilla de Tomate Cherry</v>
      </c>
      <c r="DC119" s="7">
        <f>VLOOKUP(D119,listaBolsa!$D$2:$BA$1248,2,0)</f>
        <v>0</v>
      </c>
      <c r="DD119" s="7" t="str">
        <f>VLOOKUP(D119,listaBolsa!$D$2:$BA$1248,10,0)</f>
        <v xml:space="preserve">JUNTOS DE LA MANO </v>
      </c>
      <c r="DE119" s="7">
        <f>VLOOKUP(D119,listaBolsa!$D$2:$BA$1248,14,0)</f>
        <v>3900</v>
      </c>
      <c r="DF119" s="7" t="str">
        <f>VLOOKUP(D119,listaBolsa!$D$2:$BA$1248,23,0)</f>
        <v>MYCBDE</v>
      </c>
      <c r="DG119" s="7">
        <f>VLOOKUP(D119,listaBolsa!$D$2:$BA$1248,29,0)</f>
        <v>3800</v>
      </c>
      <c r="DH119" s="7" t="str">
        <f>VLOOKUP(D119,listaBolsa!$D$2:$BA$1248,36,0)</f>
        <v>DAGROW</v>
      </c>
      <c r="DI119" s="7">
        <f>VLOOKUP(D119,listaBolsa!$D$2:$BA$1248,40,0)</f>
        <v>3500</v>
      </c>
      <c r="DJ119" s="252">
        <f>VLOOKUP(D119,listaBolsa!$D$2:$BA$1248,48,0)</f>
        <v>5.5800000000000002E-2</v>
      </c>
      <c r="DK119" s="7" t="b">
        <f t="shared" si="113"/>
        <v>1</v>
      </c>
      <c r="DL119" s="7" t="b">
        <f t="shared" si="114"/>
        <v>0</v>
      </c>
      <c r="DM119" s="7" t="b">
        <f t="shared" si="115"/>
        <v>1</v>
      </c>
      <c r="DN119" s="7" t="b">
        <f t="shared" si="116"/>
        <v>1</v>
      </c>
      <c r="DO119" s="7" t="b">
        <f t="shared" si="117"/>
        <v>1</v>
      </c>
      <c r="DP119" s="7" t="b">
        <f t="shared" si="118"/>
        <v>1</v>
      </c>
      <c r="DQ119" s="7" t="b">
        <f t="shared" si="119"/>
        <v>1</v>
      </c>
      <c r="DR119" s="7" t="b">
        <f t="shared" si="120"/>
        <v>1</v>
      </c>
      <c r="DS119" s="7" t="b">
        <f t="shared" si="121"/>
        <v>0</v>
      </c>
    </row>
    <row r="120" spans="1:126" s="7" customFormat="1" ht="42">
      <c r="A120" s="7" t="s">
        <v>570</v>
      </c>
      <c r="B120" s="453">
        <v>106</v>
      </c>
      <c r="C120" s="642" t="s">
        <v>579</v>
      </c>
      <c r="D120" s="453" t="s">
        <v>589</v>
      </c>
      <c r="E120" s="453" t="s">
        <v>581</v>
      </c>
      <c r="F120" s="194" t="s">
        <v>568</v>
      </c>
      <c r="G120" s="453">
        <v>1</v>
      </c>
      <c r="H120" s="443" t="s">
        <v>192</v>
      </c>
      <c r="I120" s="454" t="s">
        <v>380</v>
      </c>
      <c r="J120" s="455">
        <v>16000</v>
      </c>
      <c r="K120" s="455"/>
      <c r="L120" s="455">
        <f t="shared" si="122"/>
        <v>16000</v>
      </c>
      <c r="M120" s="455">
        <f t="shared" si="123"/>
        <v>16000</v>
      </c>
      <c r="N120" s="455">
        <f t="shared" si="124"/>
        <v>16000</v>
      </c>
      <c r="O120" s="456" t="s">
        <v>381</v>
      </c>
      <c r="P120" s="457">
        <v>15000</v>
      </c>
      <c r="Q120" s="457"/>
      <c r="R120" s="457">
        <f t="shared" si="105"/>
        <v>15000</v>
      </c>
      <c r="S120" s="457">
        <f t="shared" si="106"/>
        <v>15000</v>
      </c>
      <c r="T120" s="457">
        <f t="shared" si="107"/>
        <v>15000</v>
      </c>
      <c r="U120" s="458" t="s">
        <v>263</v>
      </c>
      <c r="V120" s="459">
        <v>10504.20168067227</v>
      </c>
      <c r="W120" s="459">
        <f>V120*19%</f>
        <v>1995.7983193277312</v>
      </c>
      <c r="X120" s="459">
        <f t="shared" si="108"/>
        <v>12500</v>
      </c>
      <c r="Y120" s="459">
        <f t="shared" si="109"/>
        <v>10504.20168067227</v>
      </c>
      <c r="Z120" s="459">
        <f t="shared" si="110"/>
        <v>12500</v>
      </c>
      <c r="AA120" s="460">
        <f t="shared" si="125"/>
        <v>14500</v>
      </c>
      <c r="AB120" s="460">
        <f t="shared" si="111"/>
        <v>14500</v>
      </c>
      <c r="AC120" s="461">
        <f t="shared" si="126"/>
        <v>1802.7756377319947</v>
      </c>
      <c r="AD120" s="427">
        <f t="shared" si="112"/>
        <v>0.12432935432634447</v>
      </c>
      <c r="AE120" s="428"/>
      <c r="BH120" s="7">
        <v>125</v>
      </c>
      <c r="DB120" s="7" t="str">
        <f>VLOOKUP(D120,listaBolsa!$D$2:$BA$1248,1,0)</f>
        <v>Semilla Guascas</v>
      </c>
      <c r="DC120" s="7">
        <f>VLOOKUP(D120,listaBolsa!$D$2:$BA$1248,2,0)</f>
        <v>0</v>
      </c>
      <c r="DD120" s="7" t="str">
        <f>VLOOKUP(D120,listaBolsa!$D$2:$BA$1248,10,0)</f>
        <v xml:space="preserve">JUNTOS DE LA MANO </v>
      </c>
      <c r="DE120" s="7">
        <f>VLOOKUP(D120,listaBolsa!$D$2:$BA$1248,14,0)</f>
        <v>16000</v>
      </c>
      <c r="DF120" s="7" t="str">
        <f>VLOOKUP(D120,listaBolsa!$D$2:$BA$1248,23,0)</f>
        <v>MYCBDE</v>
      </c>
      <c r="DG120" s="7">
        <f>VLOOKUP(D120,listaBolsa!$D$2:$BA$1248,29,0)</f>
        <v>15000</v>
      </c>
      <c r="DH120" s="7" t="str">
        <f>VLOOKUP(D120,listaBolsa!$D$2:$BA$1248,36,0)</f>
        <v>HOMCENTER</v>
      </c>
      <c r="DI120" s="7">
        <f>VLOOKUP(D120,listaBolsa!$D$2:$BA$1248,40,0)</f>
        <v>10504.2</v>
      </c>
      <c r="DJ120" s="252">
        <f>VLOOKUP(D120,listaBolsa!$D$2:$BA$1248,48,0)</f>
        <v>0.12429999999999999</v>
      </c>
      <c r="DK120" s="7" t="b">
        <f t="shared" si="113"/>
        <v>1</v>
      </c>
      <c r="DL120" s="7" t="b">
        <f t="shared" si="114"/>
        <v>0</v>
      </c>
      <c r="DM120" s="7" t="b">
        <f t="shared" si="115"/>
        <v>1</v>
      </c>
      <c r="DN120" s="7" t="b">
        <f t="shared" si="116"/>
        <v>1</v>
      </c>
      <c r="DO120" s="7" t="b">
        <f t="shared" si="117"/>
        <v>1</v>
      </c>
      <c r="DP120" s="7" t="b">
        <f t="shared" si="118"/>
        <v>1</v>
      </c>
      <c r="DQ120" s="7" t="b">
        <f t="shared" si="119"/>
        <v>1</v>
      </c>
      <c r="DR120" s="7" t="b">
        <f t="shared" si="120"/>
        <v>0</v>
      </c>
      <c r="DS120" s="7" t="b">
        <f t="shared" si="121"/>
        <v>0</v>
      </c>
    </row>
    <row r="121" spans="1:126" s="7" customFormat="1" ht="42">
      <c r="A121" s="7" t="s">
        <v>570</v>
      </c>
      <c r="B121" s="453">
        <v>107</v>
      </c>
      <c r="C121" s="642" t="s">
        <v>579</v>
      </c>
      <c r="D121" s="453" t="s">
        <v>591</v>
      </c>
      <c r="E121" s="453" t="s">
        <v>592</v>
      </c>
      <c r="F121" s="194" t="s">
        <v>568</v>
      </c>
      <c r="G121" s="453">
        <v>1</v>
      </c>
      <c r="H121" s="443" t="s">
        <v>192</v>
      </c>
      <c r="I121" s="454" t="s">
        <v>380</v>
      </c>
      <c r="J121" s="455">
        <v>3700</v>
      </c>
      <c r="K121" s="455"/>
      <c r="L121" s="455">
        <f t="shared" si="122"/>
        <v>3700</v>
      </c>
      <c r="M121" s="455">
        <f t="shared" si="123"/>
        <v>3700</v>
      </c>
      <c r="N121" s="455">
        <f t="shared" si="124"/>
        <v>3700</v>
      </c>
      <c r="O121" s="456" t="s">
        <v>381</v>
      </c>
      <c r="P121" s="457">
        <v>3800</v>
      </c>
      <c r="Q121" s="457"/>
      <c r="R121" s="457">
        <f t="shared" si="105"/>
        <v>3800</v>
      </c>
      <c r="S121" s="457">
        <f t="shared" si="106"/>
        <v>3800</v>
      </c>
      <c r="T121" s="457">
        <f t="shared" si="107"/>
        <v>3800</v>
      </c>
      <c r="U121" s="458" t="s">
        <v>382</v>
      </c>
      <c r="V121" s="459">
        <v>3500</v>
      </c>
      <c r="W121" s="459"/>
      <c r="X121" s="459">
        <f t="shared" si="108"/>
        <v>3500</v>
      </c>
      <c r="Y121" s="459">
        <f t="shared" si="109"/>
        <v>3500</v>
      </c>
      <c r="Z121" s="459">
        <f t="shared" si="110"/>
        <v>3500</v>
      </c>
      <c r="AA121" s="460">
        <f t="shared" si="125"/>
        <v>3666.6666666666665</v>
      </c>
      <c r="AB121" s="460">
        <f t="shared" si="111"/>
        <v>3666.6666666666665</v>
      </c>
      <c r="AC121" s="461">
        <f t="shared" si="126"/>
        <v>152.75252316519467</v>
      </c>
      <c r="AD121" s="427">
        <f t="shared" si="112"/>
        <v>4.1659779045053094E-2</v>
      </c>
      <c r="AE121" s="428"/>
      <c r="BH121" s="7">
        <v>126</v>
      </c>
      <c r="DB121" s="7" t="str">
        <f>VLOOKUP(D121,listaBolsa!$D$2:$BA$1248,1,0)</f>
        <v>Semilla de Kale</v>
      </c>
      <c r="DC121" s="7">
        <f>VLOOKUP(D121,listaBolsa!$D$2:$BA$1248,2,0)</f>
        <v>0</v>
      </c>
      <c r="DD121" s="7" t="str">
        <f>VLOOKUP(D121,listaBolsa!$D$2:$BA$1248,10,0)</f>
        <v xml:space="preserve">JUNTOS DE LA MANO </v>
      </c>
      <c r="DE121" s="7">
        <f>VLOOKUP(D121,listaBolsa!$D$2:$BA$1248,14,0)</f>
        <v>3700</v>
      </c>
      <c r="DF121" s="7" t="str">
        <f>VLOOKUP(D121,listaBolsa!$D$2:$BA$1248,23,0)</f>
        <v>MYCBDE</v>
      </c>
      <c r="DG121" s="7">
        <f>VLOOKUP(D121,listaBolsa!$D$2:$BA$1248,29,0)</f>
        <v>3800</v>
      </c>
      <c r="DH121" s="7" t="str">
        <f>VLOOKUP(D121,listaBolsa!$D$2:$BA$1248,36,0)</f>
        <v>DAGROW</v>
      </c>
      <c r="DI121" s="7">
        <f>VLOOKUP(D121,listaBolsa!$D$2:$BA$1248,40,0)</f>
        <v>3500</v>
      </c>
      <c r="DJ121" s="252">
        <f>VLOOKUP(D121,listaBolsa!$D$2:$BA$1248,48,0)</f>
        <v>4.1700000000000001E-2</v>
      </c>
      <c r="DK121" s="7" t="b">
        <f t="shared" si="113"/>
        <v>1</v>
      </c>
      <c r="DL121" s="7" t="b">
        <f t="shared" si="114"/>
        <v>0</v>
      </c>
      <c r="DM121" s="7" t="b">
        <f t="shared" si="115"/>
        <v>1</v>
      </c>
      <c r="DN121" s="7" t="b">
        <f t="shared" si="116"/>
        <v>1</v>
      </c>
      <c r="DO121" s="7" t="b">
        <f t="shared" si="117"/>
        <v>1</v>
      </c>
      <c r="DP121" s="7" t="b">
        <f t="shared" si="118"/>
        <v>1</v>
      </c>
      <c r="DQ121" s="7" t="b">
        <f t="shared" si="119"/>
        <v>1</v>
      </c>
      <c r="DR121" s="7" t="b">
        <f t="shared" si="120"/>
        <v>1</v>
      </c>
      <c r="DS121" s="7" t="b">
        <f t="shared" si="121"/>
        <v>0</v>
      </c>
    </row>
    <row r="122" spans="1:126" s="7" customFormat="1" ht="42">
      <c r="A122" s="7" t="s">
        <v>570</v>
      </c>
      <c r="B122" s="453">
        <v>108</v>
      </c>
      <c r="C122" s="642" t="s">
        <v>579</v>
      </c>
      <c r="D122" s="453" t="s">
        <v>594</v>
      </c>
      <c r="E122" s="453" t="s">
        <v>595</v>
      </c>
      <c r="F122" s="194" t="s">
        <v>568</v>
      </c>
      <c r="G122" s="453">
        <v>1</v>
      </c>
      <c r="H122" s="443" t="s">
        <v>192</v>
      </c>
      <c r="I122" s="454" t="s">
        <v>380</v>
      </c>
      <c r="J122" s="455">
        <v>4100</v>
      </c>
      <c r="K122" s="455"/>
      <c r="L122" s="455">
        <f t="shared" si="122"/>
        <v>4100</v>
      </c>
      <c r="M122" s="455">
        <f t="shared" si="123"/>
        <v>4100</v>
      </c>
      <c r="N122" s="455">
        <f t="shared" si="124"/>
        <v>4100</v>
      </c>
      <c r="O122" s="456" t="s">
        <v>381</v>
      </c>
      <c r="P122" s="457">
        <v>4200</v>
      </c>
      <c r="Q122" s="457"/>
      <c r="R122" s="457">
        <f t="shared" si="105"/>
        <v>4200</v>
      </c>
      <c r="S122" s="457">
        <f t="shared" si="106"/>
        <v>4200</v>
      </c>
      <c r="T122" s="457">
        <f t="shared" si="107"/>
        <v>4200</v>
      </c>
      <c r="U122" s="458" t="s">
        <v>382</v>
      </c>
      <c r="V122" s="459">
        <v>4000</v>
      </c>
      <c r="W122" s="459"/>
      <c r="X122" s="459">
        <f t="shared" si="108"/>
        <v>4000</v>
      </c>
      <c r="Y122" s="459">
        <f t="shared" si="109"/>
        <v>4000</v>
      </c>
      <c r="Z122" s="459">
        <f t="shared" si="110"/>
        <v>4000</v>
      </c>
      <c r="AA122" s="460">
        <f t="shared" si="125"/>
        <v>4100</v>
      </c>
      <c r="AB122" s="460">
        <f t="shared" si="111"/>
        <v>4100</v>
      </c>
      <c r="AC122" s="461">
        <f t="shared" si="126"/>
        <v>100</v>
      </c>
      <c r="AD122" s="427">
        <f t="shared" si="112"/>
        <v>2.4390243902439025E-2</v>
      </c>
      <c r="AE122" s="428"/>
      <c r="BH122" s="7">
        <v>127</v>
      </c>
      <c r="DB122" s="7" t="str">
        <f>VLOOKUP(D122,listaBolsa!$D$2:$BA$1248,1,0)</f>
        <v>Semilla de Albahaca Morada</v>
      </c>
      <c r="DC122" s="7">
        <f>VLOOKUP(D122,listaBolsa!$D$2:$BA$1248,2,0)</f>
        <v>0</v>
      </c>
      <c r="DD122" s="7" t="str">
        <f>VLOOKUP(D122,listaBolsa!$D$2:$BA$1248,10,0)</f>
        <v xml:space="preserve">JUNTOS DE LA MANO </v>
      </c>
      <c r="DE122" s="7">
        <f>VLOOKUP(D122,listaBolsa!$D$2:$BA$1248,14,0)</f>
        <v>4100</v>
      </c>
      <c r="DF122" s="7" t="str">
        <f>VLOOKUP(D122,listaBolsa!$D$2:$BA$1248,23,0)</f>
        <v>MYCBDE</v>
      </c>
      <c r="DG122" s="7">
        <f>VLOOKUP(D122,listaBolsa!$D$2:$BA$1248,29,0)</f>
        <v>4200</v>
      </c>
      <c r="DH122" s="7" t="str">
        <f>VLOOKUP(D122,listaBolsa!$D$2:$BA$1248,36,0)</f>
        <v>DAGROW</v>
      </c>
      <c r="DI122" s="7">
        <f>VLOOKUP(D122,listaBolsa!$D$2:$BA$1248,40,0)</f>
        <v>4000</v>
      </c>
      <c r="DJ122" s="252">
        <f>VLOOKUP(D122,listaBolsa!$D$2:$BA$1248,48,0)</f>
        <v>2.4400000000000002E-2</v>
      </c>
      <c r="DK122" s="7" t="b">
        <f t="shared" si="113"/>
        <v>1</v>
      </c>
      <c r="DL122" s="7" t="b">
        <f t="shared" si="114"/>
        <v>0</v>
      </c>
      <c r="DM122" s="7" t="b">
        <f t="shared" si="115"/>
        <v>1</v>
      </c>
      <c r="DN122" s="7" t="b">
        <f t="shared" si="116"/>
        <v>1</v>
      </c>
      <c r="DO122" s="7" t="b">
        <f t="shared" si="117"/>
        <v>1</v>
      </c>
      <c r="DP122" s="7" t="b">
        <f t="shared" si="118"/>
        <v>1</v>
      </c>
      <c r="DQ122" s="7" t="b">
        <f t="shared" si="119"/>
        <v>1</v>
      </c>
      <c r="DR122" s="7" t="b">
        <f t="shared" si="120"/>
        <v>1</v>
      </c>
      <c r="DS122" s="7" t="b">
        <f t="shared" si="121"/>
        <v>0</v>
      </c>
    </row>
    <row r="123" spans="1:126" s="7" customFormat="1" ht="42">
      <c r="A123" s="7" t="s">
        <v>570</v>
      </c>
      <c r="B123" s="453">
        <v>109</v>
      </c>
      <c r="C123" s="642" t="s">
        <v>579</v>
      </c>
      <c r="D123" s="453" t="s">
        <v>597</v>
      </c>
      <c r="E123" s="453" t="s">
        <v>598</v>
      </c>
      <c r="F123" s="194" t="s">
        <v>568</v>
      </c>
      <c r="G123" s="453">
        <v>1</v>
      </c>
      <c r="H123" s="443" t="s">
        <v>192</v>
      </c>
      <c r="I123" s="454" t="s">
        <v>380</v>
      </c>
      <c r="J123" s="455">
        <v>15500</v>
      </c>
      <c r="K123" s="455"/>
      <c r="L123" s="455">
        <f t="shared" si="122"/>
        <v>15500</v>
      </c>
      <c r="M123" s="455">
        <f t="shared" si="123"/>
        <v>15500</v>
      </c>
      <c r="N123" s="455">
        <f t="shared" si="124"/>
        <v>15500</v>
      </c>
      <c r="O123" s="456" t="s">
        <v>381</v>
      </c>
      <c r="P123" s="457">
        <v>14000</v>
      </c>
      <c r="Q123" s="457"/>
      <c r="R123" s="457">
        <f t="shared" si="105"/>
        <v>14000</v>
      </c>
      <c r="S123" s="457">
        <f t="shared" si="106"/>
        <v>14000</v>
      </c>
      <c r="T123" s="457">
        <f t="shared" si="107"/>
        <v>14000</v>
      </c>
      <c r="U123" s="458" t="s">
        <v>599</v>
      </c>
      <c r="V123" s="459">
        <v>16806.722689075632</v>
      </c>
      <c r="W123" s="459">
        <f>V123*19%</f>
        <v>3193.2773109243699</v>
      </c>
      <c r="X123" s="459">
        <f t="shared" si="108"/>
        <v>20000</v>
      </c>
      <c r="Y123" s="459">
        <f t="shared" si="109"/>
        <v>16806.722689075632</v>
      </c>
      <c r="Z123" s="459">
        <f t="shared" si="110"/>
        <v>20000</v>
      </c>
      <c r="AA123" s="460">
        <f t="shared" si="125"/>
        <v>16500</v>
      </c>
      <c r="AB123" s="460">
        <f t="shared" si="111"/>
        <v>16500</v>
      </c>
      <c r="AC123" s="461">
        <f t="shared" si="126"/>
        <v>3122.4989991991993</v>
      </c>
      <c r="AD123" s="427">
        <f t="shared" si="112"/>
        <v>0.18924236358783025</v>
      </c>
      <c r="AE123" s="428"/>
      <c r="BH123" s="7">
        <v>128</v>
      </c>
      <c r="DB123" s="7" t="str">
        <f>VLOOKUP(D123,listaBolsa!$D$2:$BA$1248,1,0)</f>
        <v>Semilla de Alverja (Pisum sativum)</v>
      </c>
      <c r="DC123" s="7">
        <f>VLOOKUP(D123,listaBolsa!$D$2:$BA$1248,2,0)</f>
        <v>0</v>
      </c>
      <c r="DD123" s="7" t="str">
        <f>VLOOKUP(D123,listaBolsa!$D$2:$BA$1248,10,0)</f>
        <v xml:space="preserve">JUNTOS DE LA MANO </v>
      </c>
      <c r="DE123" s="7">
        <f>VLOOKUP(D123,listaBolsa!$D$2:$BA$1248,14,0)</f>
        <v>15500</v>
      </c>
      <c r="DF123" s="7" t="str">
        <f>VLOOKUP(D123,listaBolsa!$D$2:$BA$1248,23,0)</f>
        <v>MYCBDE</v>
      </c>
      <c r="DG123" s="7">
        <f>VLOOKUP(D123,listaBolsa!$D$2:$BA$1248,29,0)</f>
        <v>14000</v>
      </c>
      <c r="DH123" s="7" t="str">
        <f>VLOOKUP(D123,listaBolsa!$D$2:$BA$1248,36,0)</f>
        <v>MARK</v>
      </c>
      <c r="DI123" s="7">
        <f>VLOOKUP(D123,listaBolsa!$D$2:$BA$1248,40,0)</f>
        <v>16806.72</v>
      </c>
      <c r="DJ123" s="252">
        <f>VLOOKUP(D123,listaBolsa!$D$2:$BA$1248,48,0)</f>
        <v>0.18920000000000001</v>
      </c>
      <c r="DK123" s="7" t="b">
        <f t="shared" si="113"/>
        <v>1</v>
      </c>
      <c r="DL123" s="7" t="b">
        <f t="shared" si="114"/>
        <v>0</v>
      </c>
      <c r="DM123" s="7" t="b">
        <f t="shared" si="115"/>
        <v>1</v>
      </c>
      <c r="DN123" s="7" t="b">
        <f t="shared" si="116"/>
        <v>1</v>
      </c>
      <c r="DO123" s="7" t="b">
        <f t="shared" si="117"/>
        <v>1</v>
      </c>
      <c r="DP123" s="7" t="b">
        <f t="shared" si="118"/>
        <v>1</v>
      </c>
      <c r="DQ123" s="7" t="b">
        <f t="shared" si="119"/>
        <v>1</v>
      </c>
      <c r="DR123" s="7" t="b">
        <f t="shared" si="120"/>
        <v>0</v>
      </c>
      <c r="DS123" s="7" t="b">
        <f t="shared" si="121"/>
        <v>0</v>
      </c>
    </row>
    <row r="124" spans="1:126" s="7" customFormat="1" ht="43.15">
      <c r="A124" s="7" t="s">
        <v>570</v>
      </c>
      <c r="B124" s="453">
        <v>110</v>
      </c>
      <c r="C124" s="642" t="s">
        <v>579</v>
      </c>
      <c r="D124" s="453" t="s">
        <v>601</v>
      </c>
      <c r="E124" s="453" t="s">
        <v>602</v>
      </c>
      <c r="F124" s="194" t="s">
        <v>568</v>
      </c>
      <c r="G124" s="453">
        <v>1</v>
      </c>
      <c r="H124" s="443" t="s">
        <v>192</v>
      </c>
      <c r="I124" s="454" t="s">
        <v>603</v>
      </c>
      <c r="J124" s="455">
        <v>1500</v>
      </c>
      <c r="K124" s="455"/>
      <c r="L124" s="455">
        <f t="shared" si="122"/>
        <v>1500</v>
      </c>
      <c r="M124" s="455">
        <f t="shared" si="123"/>
        <v>1500</v>
      </c>
      <c r="N124" s="455">
        <f t="shared" si="124"/>
        <v>1500</v>
      </c>
      <c r="O124" s="456" t="s">
        <v>604</v>
      </c>
      <c r="P124" s="457">
        <v>1200</v>
      </c>
      <c r="Q124" s="457"/>
      <c r="R124" s="457">
        <f t="shared" si="105"/>
        <v>1200</v>
      </c>
      <c r="S124" s="457">
        <f t="shared" si="106"/>
        <v>1200</v>
      </c>
      <c r="T124" s="457">
        <f t="shared" si="107"/>
        <v>1200</v>
      </c>
      <c r="U124" s="458" t="s">
        <v>605</v>
      </c>
      <c r="V124" s="459">
        <v>1800</v>
      </c>
      <c r="W124" s="459"/>
      <c r="X124" s="459">
        <f t="shared" si="108"/>
        <v>1800</v>
      </c>
      <c r="Y124" s="459">
        <f t="shared" si="109"/>
        <v>1800</v>
      </c>
      <c r="Z124" s="459">
        <f t="shared" si="110"/>
        <v>1800</v>
      </c>
      <c r="AA124" s="460">
        <f t="shared" si="125"/>
        <v>1500</v>
      </c>
      <c r="AB124" s="460">
        <f t="shared" si="111"/>
        <v>1500</v>
      </c>
      <c r="AC124" s="461">
        <f t="shared" si="126"/>
        <v>300</v>
      </c>
      <c r="AD124" s="427">
        <f t="shared" si="112"/>
        <v>0.2</v>
      </c>
      <c r="AE124" s="428"/>
      <c r="BH124" s="7">
        <v>129</v>
      </c>
      <c r="DB124" s="7" t="str">
        <f>VLOOKUP(D124,listaBolsa!$D$2:$BA$1248,1,0)</f>
        <v>Plántula de brócoli</v>
      </c>
      <c r="DC124" s="7">
        <f>VLOOKUP(D124,listaBolsa!$D$2:$BA$1248,2,0)</f>
        <v>0</v>
      </c>
      <c r="DD124" s="7" t="str">
        <f>VLOOKUP(D124,listaBolsa!$D$2:$BA$1248,10,0)</f>
        <v>AGRIPLANT</v>
      </c>
      <c r="DE124" s="7">
        <f>VLOOKUP(D124,listaBolsa!$D$2:$BA$1248,14,0)</f>
        <v>1500</v>
      </c>
      <c r="DF124" s="7" t="str">
        <f>VLOOKUP(D124,listaBolsa!$D$2:$BA$1248,23,0)</f>
        <v>SEMBRAMOS VIVEROS ONLINE</v>
      </c>
      <c r="DG124" s="7">
        <f>VLOOKUP(D124,listaBolsa!$D$2:$BA$1248,29,0)</f>
        <v>1200</v>
      </c>
      <c r="DH124" s="7" t="str">
        <f>VLOOKUP(D124,listaBolsa!$D$2:$BA$1248,36,0)</f>
        <v>PAQUA</v>
      </c>
      <c r="DI124" s="7">
        <f>VLOOKUP(D124,listaBolsa!$D$2:$BA$1248,40,0)</f>
        <v>1800</v>
      </c>
      <c r="DJ124" s="252">
        <f>VLOOKUP(D124,listaBolsa!$D$2:$BA$1248,48,0)</f>
        <v>0.2</v>
      </c>
      <c r="DK124" s="7" t="b">
        <f t="shared" si="113"/>
        <v>1</v>
      </c>
      <c r="DL124" s="7" t="b">
        <f t="shared" si="114"/>
        <v>0</v>
      </c>
      <c r="DM124" s="7" t="b">
        <f t="shared" si="115"/>
        <v>1</v>
      </c>
      <c r="DN124" s="7" t="b">
        <f t="shared" si="116"/>
        <v>1</v>
      </c>
      <c r="DO124" s="7" t="b">
        <f t="shared" si="117"/>
        <v>1</v>
      </c>
      <c r="DP124" s="7" t="b">
        <f t="shared" si="118"/>
        <v>1</v>
      </c>
      <c r="DQ124" s="7" t="b">
        <f t="shared" si="119"/>
        <v>1</v>
      </c>
      <c r="DR124" s="7" t="b">
        <f t="shared" si="120"/>
        <v>1</v>
      </c>
      <c r="DS124" s="7" t="b">
        <f t="shared" si="121"/>
        <v>1</v>
      </c>
    </row>
    <row r="125" spans="1:126" s="7" customFormat="1" ht="42">
      <c r="A125" s="7" t="s">
        <v>570</v>
      </c>
      <c r="B125" s="453">
        <v>111</v>
      </c>
      <c r="C125" s="642" t="s">
        <v>579</v>
      </c>
      <c r="D125" s="453" t="s">
        <v>607</v>
      </c>
      <c r="E125" s="453" t="s">
        <v>602</v>
      </c>
      <c r="F125" s="194" t="s">
        <v>568</v>
      </c>
      <c r="G125" s="453">
        <v>1</v>
      </c>
      <c r="H125" s="443" t="s">
        <v>192</v>
      </c>
      <c r="I125" s="454" t="s">
        <v>380</v>
      </c>
      <c r="J125" s="455">
        <v>220</v>
      </c>
      <c r="K125" s="455"/>
      <c r="L125" s="455">
        <f t="shared" si="122"/>
        <v>220</v>
      </c>
      <c r="M125" s="455">
        <f t="shared" si="123"/>
        <v>220</v>
      </c>
      <c r="N125" s="455">
        <f t="shared" si="124"/>
        <v>220</v>
      </c>
      <c r="O125" s="456" t="s">
        <v>381</v>
      </c>
      <c r="P125" s="457">
        <v>200</v>
      </c>
      <c r="Q125" s="457"/>
      <c r="R125" s="457">
        <f t="shared" si="105"/>
        <v>200</v>
      </c>
      <c r="S125" s="457">
        <f t="shared" si="106"/>
        <v>200</v>
      </c>
      <c r="T125" s="457">
        <f t="shared" si="107"/>
        <v>200</v>
      </c>
      <c r="U125" s="458" t="s">
        <v>382</v>
      </c>
      <c r="V125" s="459">
        <v>169</v>
      </c>
      <c r="W125" s="459"/>
      <c r="X125" s="459">
        <f t="shared" si="108"/>
        <v>169</v>
      </c>
      <c r="Y125" s="459">
        <f t="shared" si="109"/>
        <v>169</v>
      </c>
      <c r="Z125" s="459">
        <f t="shared" si="110"/>
        <v>169</v>
      </c>
      <c r="AA125" s="460">
        <f t="shared" si="125"/>
        <v>196.33333333333334</v>
      </c>
      <c r="AB125" s="460">
        <f t="shared" si="111"/>
        <v>196.33333333333334</v>
      </c>
      <c r="AC125" s="461">
        <f t="shared" si="126"/>
        <v>25.696951829610761</v>
      </c>
      <c r="AD125" s="427">
        <f t="shared" si="112"/>
        <v>0.13088430473485957</v>
      </c>
      <c r="AE125" s="428"/>
      <c r="BH125" s="7">
        <v>1</v>
      </c>
      <c r="DB125" s="7" t="str">
        <f>VLOOKUP(D125,listaBolsa!$D$2:$BA$1248,1,0)</f>
        <v>Plántula de cebolla puerro</v>
      </c>
      <c r="DC125" s="7">
        <f>VLOOKUP(D125,listaBolsa!$D$2:$BA$1248,2,0)</f>
        <v>0</v>
      </c>
      <c r="DD125" s="7" t="str">
        <f>VLOOKUP(D125,listaBolsa!$D$2:$BA$1248,10,0)</f>
        <v xml:space="preserve">JUNTOS DE LA MANO </v>
      </c>
      <c r="DE125" s="7">
        <f>VLOOKUP(D125,listaBolsa!$D$2:$BA$1248,14,0)</f>
        <v>220</v>
      </c>
      <c r="DF125" s="7" t="str">
        <f>VLOOKUP(D125,listaBolsa!$D$2:$BA$1248,23,0)</f>
        <v>MYCBDE</v>
      </c>
      <c r="DG125" s="7">
        <f>VLOOKUP(D125,listaBolsa!$D$2:$BA$1248,29,0)</f>
        <v>200</v>
      </c>
      <c r="DH125" s="7" t="str">
        <f>VLOOKUP(D125,listaBolsa!$D$2:$BA$1248,36,0)</f>
        <v>DAGROW</v>
      </c>
      <c r="DI125" s="7">
        <f>VLOOKUP(D125,listaBolsa!$D$2:$BA$1248,40,0)</f>
        <v>169</v>
      </c>
      <c r="DJ125" s="252">
        <f>VLOOKUP(D125,listaBolsa!$D$2:$BA$1248,48,0)</f>
        <v>0.13089999999999999</v>
      </c>
      <c r="DK125" s="7" t="b">
        <f t="shared" si="113"/>
        <v>1</v>
      </c>
      <c r="DL125" s="7" t="b">
        <f t="shared" si="114"/>
        <v>0</v>
      </c>
      <c r="DM125" s="7" t="b">
        <f t="shared" si="115"/>
        <v>1</v>
      </c>
      <c r="DN125" s="7" t="b">
        <f t="shared" si="116"/>
        <v>1</v>
      </c>
      <c r="DO125" s="7" t="b">
        <f t="shared" si="117"/>
        <v>1</v>
      </c>
      <c r="DP125" s="7" t="b">
        <f t="shared" si="118"/>
        <v>1</v>
      </c>
      <c r="DQ125" s="7" t="b">
        <f t="shared" si="119"/>
        <v>1</v>
      </c>
      <c r="DR125" s="7" t="b">
        <f t="shared" si="120"/>
        <v>1</v>
      </c>
      <c r="DS125" s="7" t="b">
        <f t="shared" si="121"/>
        <v>0</v>
      </c>
    </row>
    <row r="126" spans="1:126" s="7" customFormat="1" ht="42">
      <c r="A126" s="7" t="s">
        <v>570</v>
      </c>
      <c r="B126" s="453">
        <v>112</v>
      </c>
      <c r="C126" s="642" t="s">
        <v>579</v>
      </c>
      <c r="D126" s="453" t="s">
        <v>609</v>
      </c>
      <c r="E126" s="453" t="s">
        <v>602</v>
      </c>
      <c r="F126" s="194" t="s">
        <v>568</v>
      </c>
      <c r="G126" s="453">
        <v>1</v>
      </c>
      <c r="H126" s="443" t="s">
        <v>192</v>
      </c>
      <c r="I126" s="454" t="s">
        <v>380</v>
      </c>
      <c r="J126" s="455">
        <v>220</v>
      </c>
      <c r="K126" s="455"/>
      <c r="L126" s="455">
        <f t="shared" si="122"/>
        <v>220</v>
      </c>
      <c r="M126" s="455">
        <f t="shared" si="123"/>
        <v>220</v>
      </c>
      <c r="N126" s="455">
        <f t="shared" si="124"/>
        <v>220</v>
      </c>
      <c r="O126" s="456" t="s">
        <v>381</v>
      </c>
      <c r="P126" s="457">
        <v>200</v>
      </c>
      <c r="Q126" s="457"/>
      <c r="R126" s="457">
        <f t="shared" si="105"/>
        <v>200</v>
      </c>
      <c r="S126" s="457">
        <f t="shared" si="106"/>
        <v>200</v>
      </c>
      <c r="T126" s="457">
        <f t="shared" si="107"/>
        <v>200</v>
      </c>
      <c r="U126" s="458" t="s">
        <v>610</v>
      </c>
      <c r="V126" s="459">
        <v>250</v>
      </c>
      <c r="W126" s="459"/>
      <c r="X126" s="459">
        <f t="shared" si="108"/>
        <v>250</v>
      </c>
      <c r="Y126" s="459">
        <f t="shared" si="109"/>
        <v>250</v>
      </c>
      <c r="Z126" s="459">
        <f t="shared" si="110"/>
        <v>250</v>
      </c>
      <c r="AA126" s="460">
        <f t="shared" si="125"/>
        <v>223.33333333333334</v>
      </c>
      <c r="AB126" s="460">
        <f t="shared" si="111"/>
        <v>223.33333333333334</v>
      </c>
      <c r="AC126" s="461">
        <f t="shared" si="126"/>
        <v>25.166114784235834</v>
      </c>
      <c r="AD126" s="427">
        <f t="shared" si="112"/>
        <v>0.11268409604881716</v>
      </c>
      <c r="AE126" s="428"/>
      <c r="BH126" s="7">
        <v>2</v>
      </c>
      <c r="DB126" s="7" t="str">
        <f>VLOOKUP(D126,listaBolsa!$D$2:$BA$1248,1,0)</f>
        <v>Plántula de lechuga verde crespa</v>
      </c>
      <c r="DC126" s="7">
        <f>VLOOKUP(D126,listaBolsa!$D$2:$BA$1248,2,0)</f>
        <v>0</v>
      </c>
      <c r="DD126" s="7" t="str">
        <f>VLOOKUP(D126,listaBolsa!$D$2:$BA$1248,10,0)</f>
        <v xml:space="preserve">JUNTOS DE LA MANO </v>
      </c>
      <c r="DE126" s="7">
        <f>VLOOKUP(D126,listaBolsa!$D$2:$BA$1248,14,0)</f>
        <v>220</v>
      </c>
      <c r="DF126" s="7" t="str">
        <f>VLOOKUP(D126,listaBolsa!$D$2:$BA$1248,23,0)</f>
        <v>MYCBDE</v>
      </c>
      <c r="DG126" s="7">
        <f>VLOOKUP(D126,listaBolsa!$D$2:$BA$1248,29,0)</f>
        <v>200</v>
      </c>
      <c r="DH126" s="7" t="str">
        <f>VLOOKUP(D126,listaBolsa!$D$2:$BA$1248,36,0)</f>
        <v>FROM NATIVO</v>
      </c>
      <c r="DI126" s="7">
        <f>VLOOKUP(D126,listaBolsa!$D$2:$BA$1248,40,0)</f>
        <v>210.08</v>
      </c>
      <c r="DJ126" s="252">
        <f>VLOOKUP(D126,listaBolsa!$D$2:$BA$1248,48,0)</f>
        <v>0.11269999999999999</v>
      </c>
      <c r="DK126" s="7" t="b">
        <f t="shared" si="113"/>
        <v>1</v>
      </c>
      <c r="DL126" s="7" t="b">
        <f t="shared" si="114"/>
        <v>0</v>
      </c>
      <c r="DM126" s="7" t="b">
        <f t="shared" si="115"/>
        <v>1</v>
      </c>
      <c r="DN126" s="7" t="b">
        <f t="shared" si="116"/>
        <v>1</v>
      </c>
      <c r="DO126" s="7" t="b">
        <f t="shared" si="117"/>
        <v>1</v>
      </c>
      <c r="DP126" s="7" t="b">
        <f t="shared" si="118"/>
        <v>1</v>
      </c>
      <c r="DQ126" s="7" t="b">
        <f t="shared" si="119"/>
        <v>1</v>
      </c>
      <c r="DR126" s="7" t="b">
        <f t="shared" si="120"/>
        <v>0</v>
      </c>
      <c r="DS126" s="7" t="b">
        <f t="shared" si="121"/>
        <v>0</v>
      </c>
    </row>
    <row r="127" spans="1:126" s="7" customFormat="1" ht="42">
      <c r="A127" s="7" t="s">
        <v>570</v>
      </c>
      <c r="B127" s="453">
        <v>113</v>
      </c>
      <c r="C127" s="642" t="s">
        <v>579</v>
      </c>
      <c r="D127" s="453" t="s">
        <v>612</v>
      </c>
      <c r="E127" s="453" t="s">
        <v>602</v>
      </c>
      <c r="F127" s="194" t="s">
        <v>568</v>
      </c>
      <c r="G127" s="453">
        <v>1</v>
      </c>
      <c r="H127" s="443" t="s">
        <v>192</v>
      </c>
      <c r="I127" s="454" t="s">
        <v>380</v>
      </c>
      <c r="J127" s="455">
        <v>360</v>
      </c>
      <c r="K127" s="455"/>
      <c r="L127" s="455">
        <f t="shared" si="122"/>
        <v>360</v>
      </c>
      <c r="M127" s="455">
        <f t="shared" si="123"/>
        <v>360</v>
      </c>
      <c r="N127" s="455">
        <f t="shared" si="124"/>
        <v>360</v>
      </c>
      <c r="O127" s="456" t="s">
        <v>381</v>
      </c>
      <c r="P127" s="457">
        <v>380</v>
      </c>
      <c r="Q127" s="457"/>
      <c r="R127" s="457">
        <f t="shared" si="105"/>
        <v>380</v>
      </c>
      <c r="S127" s="457">
        <f t="shared" si="106"/>
        <v>380</v>
      </c>
      <c r="T127" s="457">
        <f t="shared" si="107"/>
        <v>380</v>
      </c>
      <c r="U127" s="458" t="s">
        <v>382</v>
      </c>
      <c r="V127" s="459">
        <v>350</v>
      </c>
      <c r="W127" s="459"/>
      <c r="X127" s="459">
        <f t="shared" si="108"/>
        <v>350</v>
      </c>
      <c r="Y127" s="459">
        <f t="shared" si="109"/>
        <v>350</v>
      </c>
      <c r="Z127" s="459">
        <f t="shared" si="110"/>
        <v>350</v>
      </c>
      <c r="AA127" s="460">
        <f t="shared" si="125"/>
        <v>363.33333333333331</v>
      </c>
      <c r="AB127" s="460">
        <f t="shared" si="111"/>
        <v>363.33333333333331</v>
      </c>
      <c r="AC127" s="461">
        <f t="shared" si="126"/>
        <v>15.275252316519467</v>
      </c>
      <c r="AD127" s="427">
        <f t="shared" si="112"/>
        <v>4.2041978852805875E-2</v>
      </c>
      <c r="AE127" s="428"/>
      <c r="BH127" s="7">
        <v>3</v>
      </c>
      <c r="DB127" s="7" t="str">
        <f>VLOOKUP(D127,listaBolsa!$D$2:$BA$1248,1,0)</f>
        <v>plántula de menta</v>
      </c>
      <c r="DC127" s="7">
        <f>VLOOKUP(D127,listaBolsa!$D$2:$BA$1248,2,0)</f>
        <v>0</v>
      </c>
      <c r="DD127" s="7" t="str">
        <f>VLOOKUP(D127,listaBolsa!$D$2:$BA$1248,10,0)</f>
        <v xml:space="preserve">JUNTOS DE LA MANO </v>
      </c>
      <c r="DE127" s="7">
        <f>VLOOKUP(D127,listaBolsa!$D$2:$BA$1248,14,0)</f>
        <v>360</v>
      </c>
      <c r="DF127" s="7" t="str">
        <f>VLOOKUP(D127,listaBolsa!$D$2:$BA$1248,23,0)</f>
        <v>MYCBDE</v>
      </c>
      <c r="DG127" s="7">
        <f>VLOOKUP(D127,listaBolsa!$D$2:$BA$1248,29,0)</f>
        <v>380</v>
      </c>
      <c r="DH127" s="7" t="str">
        <f>VLOOKUP(D127,listaBolsa!$D$2:$BA$1248,36,0)</f>
        <v>DAGROW</v>
      </c>
      <c r="DI127" s="7">
        <f>VLOOKUP(D127,listaBolsa!$D$2:$BA$1248,40,0)</f>
        <v>350</v>
      </c>
      <c r="DJ127" s="252">
        <f>VLOOKUP(D127,listaBolsa!$D$2:$BA$1248,48,0)</f>
        <v>4.2000000000000003E-2</v>
      </c>
      <c r="DK127" s="7" t="b">
        <f t="shared" si="113"/>
        <v>1</v>
      </c>
      <c r="DL127" s="7" t="b">
        <f t="shared" si="114"/>
        <v>0</v>
      </c>
      <c r="DM127" s="7" t="b">
        <f t="shared" si="115"/>
        <v>1</v>
      </c>
      <c r="DN127" s="7" t="b">
        <f t="shared" si="116"/>
        <v>1</v>
      </c>
      <c r="DO127" s="7" t="b">
        <f t="shared" si="117"/>
        <v>1</v>
      </c>
      <c r="DP127" s="7" t="b">
        <f t="shared" si="118"/>
        <v>1</v>
      </c>
      <c r="DQ127" s="7" t="b">
        <f t="shared" si="119"/>
        <v>1</v>
      </c>
      <c r="DR127" s="7" t="b">
        <f t="shared" si="120"/>
        <v>1</v>
      </c>
      <c r="DS127" s="7" t="b">
        <f t="shared" si="121"/>
        <v>0</v>
      </c>
    </row>
    <row r="128" spans="1:126" s="7" customFormat="1" ht="42">
      <c r="A128" s="7" t="s">
        <v>570</v>
      </c>
      <c r="B128" s="453">
        <v>114</v>
      </c>
      <c r="C128" s="642" t="s">
        <v>579</v>
      </c>
      <c r="D128" s="453" t="s">
        <v>614</v>
      </c>
      <c r="E128" s="453" t="s">
        <v>602</v>
      </c>
      <c r="F128" s="194" t="s">
        <v>568</v>
      </c>
      <c r="G128" s="453">
        <v>1</v>
      </c>
      <c r="H128" s="443" t="s">
        <v>192</v>
      </c>
      <c r="I128" s="454" t="s">
        <v>380</v>
      </c>
      <c r="J128" s="455">
        <v>420</v>
      </c>
      <c r="K128" s="455"/>
      <c r="L128" s="455">
        <f t="shared" si="122"/>
        <v>420</v>
      </c>
      <c r="M128" s="455">
        <f t="shared" si="123"/>
        <v>420</v>
      </c>
      <c r="N128" s="455">
        <f t="shared" si="124"/>
        <v>420</v>
      </c>
      <c r="O128" s="456" t="s">
        <v>381</v>
      </c>
      <c r="P128" s="457">
        <v>400</v>
      </c>
      <c r="Q128" s="457"/>
      <c r="R128" s="457">
        <f t="shared" si="105"/>
        <v>400</v>
      </c>
      <c r="S128" s="457">
        <f t="shared" si="106"/>
        <v>400</v>
      </c>
      <c r="T128" s="457">
        <f t="shared" si="107"/>
        <v>400</v>
      </c>
      <c r="U128" s="458" t="s">
        <v>382</v>
      </c>
      <c r="V128" s="459">
        <v>350</v>
      </c>
      <c r="W128" s="459"/>
      <c r="X128" s="459">
        <f t="shared" si="108"/>
        <v>350</v>
      </c>
      <c r="Y128" s="459">
        <f t="shared" si="109"/>
        <v>350</v>
      </c>
      <c r="Z128" s="459">
        <f t="shared" si="110"/>
        <v>350</v>
      </c>
      <c r="AA128" s="460">
        <f t="shared" si="125"/>
        <v>390</v>
      </c>
      <c r="AB128" s="460">
        <f t="shared" si="111"/>
        <v>390</v>
      </c>
      <c r="AC128" s="461">
        <f t="shared" si="126"/>
        <v>36.055512754639892</v>
      </c>
      <c r="AD128" s="427">
        <f t="shared" si="112"/>
        <v>9.2450032704204849E-2</v>
      </c>
      <c r="AE128" s="428"/>
      <c r="BH128" s="7">
        <v>4</v>
      </c>
      <c r="DB128" s="7" t="str">
        <f>VLOOKUP(D128,listaBolsa!$D$2:$BA$1248,1,0)</f>
        <v>plántula de caléndula</v>
      </c>
      <c r="DC128" s="7">
        <f>VLOOKUP(D128,listaBolsa!$D$2:$BA$1248,2,0)</f>
        <v>0</v>
      </c>
      <c r="DD128" s="7" t="str">
        <f>VLOOKUP(D128,listaBolsa!$D$2:$BA$1248,10,0)</f>
        <v xml:space="preserve">JUNTOS DE LA MANO </v>
      </c>
      <c r="DE128" s="7">
        <f>VLOOKUP(D128,listaBolsa!$D$2:$BA$1248,14,0)</f>
        <v>420</v>
      </c>
      <c r="DF128" s="7" t="str">
        <f>VLOOKUP(D128,listaBolsa!$D$2:$BA$1248,23,0)</f>
        <v>MYCBDE</v>
      </c>
      <c r="DG128" s="7">
        <f>VLOOKUP(D128,listaBolsa!$D$2:$BA$1248,29,0)</f>
        <v>400</v>
      </c>
      <c r="DH128" s="7" t="str">
        <f>VLOOKUP(D128,listaBolsa!$D$2:$BA$1248,36,0)</f>
        <v>DAGROW</v>
      </c>
      <c r="DI128" s="7">
        <f>VLOOKUP(D128,listaBolsa!$D$2:$BA$1248,40,0)</f>
        <v>350</v>
      </c>
      <c r="DJ128" s="252">
        <f>VLOOKUP(D128,listaBolsa!$D$2:$BA$1248,48,0)</f>
        <v>9.2499999999999999E-2</v>
      </c>
      <c r="DK128" s="7" t="b">
        <f t="shared" si="113"/>
        <v>1</v>
      </c>
      <c r="DL128" s="7" t="b">
        <f t="shared" si="114"/>
        <v>0</v>
      </c>
      <c r="DM128" s="7" t="b">
        <f t="shared" si="115"/>
        <v>1</v>
      </c>
      <c r="DN128" s="7" t="b">
        <f t="shared" si="116"/>
        <v>1</v>
      </c>
      <c r="DO128" s="7" t="b">
        <f t="shared" si="117"/>
        <v>1</v>
      </c>
      <c r="DP128" s="7" t="b">
        <f t="shared" si="118"/>
        <v>1</v>
      </c>
      <c r="DQ128" s="7" t="b">
        <f t="shared" si="119"/>
        <v>1</v>
      </c>
      <c r="DR128" s="7" t="b">
        <f t="shared" si="120"/>
        <v>1</v>
      </c>
      <c r="DS128" s="7" t="b">
        <f t="shared" si="121"/>
        <v>0</v>
      </c>
    </row>
    <row r="129" spans="1:123" s="7" customFormat="1" ht="43.15">
      <c r="A129" s="7" t="s">
        <v>570</v>
      </c>
      <c r="B129" s="453">
        <v>115</v>
      </c>
      <c r="C129" s="642" t="s">
        <v>579</v>
      </c>
      <c r="D129" s="453" t="s">
        <v>621</v>
      </c>
      <c r="E129" s="453" t="s">
        <v>622</v>
      </c>
      <c r="F129" s="194" t="s">
        <v>568</v>
      </c>
      <c r="G129" s="453">
        <v>1</v>
      </c>
      <c r="H129" s="443" t="s">
        <v>192</v>
      </c>
      <c r="I129" s="454" t="s">
        <v>603</v>
      </c>
      <c r="J129" s="455">
        <v>1500</v>
      </c>
      <c r="K129" s="455"/>
      <c r="L129" s="455">
        <f t="shared" si="122"/>
        <v>1500</v>
      </c>
      <c r="M129" s="455">
        <f t="shared" si="123"/>
        <v>1500</v>
      </c>
      <c r="N129" s="455">
        <f t="shared" si="124"/>
        <v>1500</v>
      </c>
      <c r="O129" s="456" t="s">
        <v>604</v>
      </c>
      <c r="P129" s="457">
        <v>1200</v>
      </c>
      <c r="Q129" s="457"/>
      <c r="R129" s="457">
        <f t="shared" si="105"/>
        <v>1200</v>
      </c>
      <c r="S129" s="457">
        <f t="shared" si="106"/>
        <v>1200</v>
      </c>
      <c r="T129" s="457">
        <f t="shared" si="107"/>
        <v>1200</v>
      </c>
      <c r="U129" s="458" t="s">
        <v>605</v>
      </c>
      <c r="V129" s="459">
        <v>1500</v>
      </c>
      <c r="W129" s="459"/>
      <c r="X129" s="459">
        <f t="shared" si="108"/>
        <v>1500</v>
      </c>
      <c r="Y129" s="459">
        <f t="shared" si="109"/>
        <v>1500</v>
      </c>
      <c r="Z129" s="459">
        <f t="shared" si="110"/>
        <v>1500</v>
      </c>
      <c r="AA129" s="460">
        <f t="shared" si="125"/>
        <v>1400</v>
      </c>
      <c r="AB129" s="460">
        <f t="shared" si="111"/>
        <v>1400</v>
      </c>
      <c r="AC129" s="461">
        <f t="shared" si="126"/>
        <v>173.20508075688772</v>
      </c>
      <c r="AD129" s="427">
        <f t="shared" si="112"/>
        <v>0.12371791482634838</v>
      </c>
      <c r="AE129" s="428"/>
      <c r="BH129" s="7">
        <v>6</v>
      </c>
      <c r="DB129" s="7" t="str">
        <f>VLOOKUP(D129,listaBolsa!$D$2:$BA$1248,1,0)</f>
        <v>Plántula de Cilantro (Coriandrum sativum)</v>
      </c>
      <c r="DC129" s="7">
        <f>VLOOKUP(D129,listaBolsa!$D$2:$BA$1248,2,0)</f>
        <v>0</v>
      </c>
      <c r="DD129" s="7" t="str">
        <f>VLOOKUP(D129,listaBolsa!$D$2:$BA$1248,10,0)</f>
        <v>AGRIPLANT</v>
      </c>
      <c r="DE129" s="7">
        <f>VLOOKUP(D129,listaBolsa!$D$2:$BA$1248,14,0)</f>
        <v>1500</v>
      </c>
      <c r="DF129" s="7" t="str">
        <f>VLOOKUP(D129,listaBolsa!$D$2:$BA$1248,23,0)</f>
        <v>SEMBRAMOS VIVEROS ONLINE</v>
      </c>
      <c r="DG129" s="7">
        <f>VLOOKUP(D129,listaBolsa!$D$2:$BA$1248,29,0)</f>
        <v>1200</v>
      </c>
      <c r="DH129" s="7" t="str">
        <f>VLOOKUP(D129,listaBolsa!$D$2:$BA$1248,36,0)</f>
        <v>PAQUA</v>
      </c>
      <c r="DI129" s="7">
        <f>VLOOKUP(D129,listaBolsa!$D$2:$BA$1248,40,0)</f>
        <v>1500</v>
      </c>
      <c r="DJ129" s="252">
        <f>VLOOKUP(D129,listaBolsa!$D$2:$BA$1248,48,0)</f>
        <v>0.1237</v>
      </c>
      <c r="DK129" s="7" t="b">
        <f t="shared" si="113"/>
        <v>1</v>
      </c>
      <c r="DL129" s="7" t="b">
        <f t="shared" si="114"/>
        <v>0</v>
      </c>
      <c r="DM129" s="7" t="b">
        <f t="shared" si="115"/>
        <v>1</v>
      </c>
      <c r="DN129" s="7" t="b">
        <f t="shared" si="116"/>
        <v>1</v>
      </c>
      <c r="DO129" s="7" t="b">
        <f t="shared" si="117"/>
        <v>1</v>
      </c>
      <c r="DP129" s="7" t="b">
        <f t="shared" si="118"/>
        <v>1</v>
      </c>
      <c r="DQ129" s="7" t="b">
        <f t="shared" si="119"/>
        <v>1</v>
      </c>
      <c r="DR129" s="7" t="b">
        <f t="shared" si="120"/>
        <v>1</v>
      </c>
      <c r="DS129" s="7" t="b">
        <f t="shared" si="121"/>
        <v>0</v>
      </c>
    </row>
    <row r="130" spans="1:123" s="7" customFormat="1" ht="42">
      <c r="A130" s="7" t="s">
        <v>570</v>
      </c>
      <c r="B130" s="453">
        <v>116</v>
      </c>
      <c r="C130" s="642" t="s">
        <v>579</v>
      </c>
      <c r="D130" s="453" t="s">
        <v>624</v>
      </c>
      <c r="E130" s="453" t="s">
        <v>622</v>
      </c>
      <c r="F130" s="194" t="s">
        <v>568</v>
      </c>
      <c r="G130" s="453">
        <v>1</v>
      </c>
      <c r="H130" s="443" t="s">
        <v>192</v>
      </c>
      <c r="I130" s="454" t="s">
        <v>380</v>
      </c>
      <c r="J130" s="455">
        <v>290</v>
      </c>
      <c r="K130" s="455"/>
      <c r="L130" s="455">
        <f t="shared" si="122"/>
        <v>290</v>
      </c>
      <c r="M130" s="455">
        <f t="shared" si="123"/>
        <v>290</v>
      </c>
      <c r="N130" s="455">
        <f t="shared" si="124"/>
        <v>290</v>
      </c>
      <c r="O130" s="456" t="s">
        <v>381</v>
      </c>
      <c r="P130" s="457">
        <v>275</v>
      </c>
      <c r="Q130" s="457"/>
      <c r="R130" s="457">
        <f t="shared" si="105"/>
        <v>275</v>
      </c>
      <c r="S130" s="457">
        <f t="shared" si="106"/>
        <v>275</v>
      </c>
      <c r="T130" s="457">
        <f t="shared" si="107"/>
        <v>275</v>
      </c>
      <c r="U130" s="458" t="s">
        <v>610</v>
      </c>
      <c r="V130" s="459">
        <v>300</v>
      </c>
      <c r="W130" s="459"/>
      <c r="X130" s="459">
        <f t="shared" si="108"/>
        <v>300</v>
      </c>
      <c r="Y130" s="459">
        <f t="shared" si="109"/>
        <v>300</v>
      </c>
      <c r="Z130" s="459">
        <f t="shared" si="110"/>
        <v>300</v>
      </c>
      <c r="AA130" s="460">
        <f t="shared" si="125"/>
        <v>288.33333333333331</v>
      </c>
      <c r="AB130" s="460">
        <f t="shared" si="111"/>
        <v>288.33333333333331</v>
      </c>
      <c r="AC130" s="461">
        <f t="shared" si="126"/>
        <v>12.583057392117915</v>
      </c>
      <c r="AD130" s="427">
        <f t="shared" si="112"/>
        <v>4.3640661475553469E-2</v>
      </c>
      <c r="AE130" s="428"/>
      <c r="BH130" s="7">
        <v>7</v>
      </c>
      <c r="DB130" s="7" t="str">
        <f>VLOOKUP(D130,listaBolsa!$D$2:$BA$1248,1,0)</f>
        <v>Plántula de Zanahoria (Daucus carota)</v>
      </c>
      <c r="DC130" s="7">
        <f>VLOOKUP(D130,listaBolsa!$D$2:$BA$1248,2,0)</f>
        <v>0</v>
      </c>
      <c r="DD130" s="7" t="str">
        <f>VLOOKUP(D130,listaBolsa!$D$2:$BA$1248,10,0)</f>
        <v xml:space="preserve">JUNTOS DE LA MANO </v>
      </c>
      <c r="DE130" s="7">
        <f>VLOOKUP(D130,listaBolsa!$D$2:$BA$1248,14,0)</f>
        <v>290</v>
      </c>
      <c r="DF130" s="7" t="str">
        <f>VLOOKUP(D130,listaBolsa!$D$2:$BA$1248,23,0)</f>
        <v>MYCBDE</v>
      </c>
      <c r="DG130" s="7">
        <f>VLOOKUP(D130,listaBolsa!$D$2:$BA$1248,29,0)</f>
        <v>275</v>
      </c>
      <c r="DH130" s="7" t="str">
        <f>VLOOKUP(D130,listaBolsa!$D$2:$BA$1248,36,0)</f>
        <v>FROM NATIVO</v>
      </c>
      <c r="DI130" s="7">
        <f>VLOOKUP(D130,listaBolsa!$D$2:$BA$1248,40,0)</f>
        <v>252.1</v>
      </c>
      <c r="DJ130" s="252">
        <f>VLOOKUP(D130,listaBolsa!$D$2:$BA$1248,48,0)</f>
        <v>4.36E-2</v>
      </c>
      <c r="DK130" s="7" t="b">
        <f t="shared" si="113"/>
        <v>1</v>
      </c>
      <c r="DL130" s="7" t="b">
        <f t="shared" si="114"/>
        <v>0</v>
      </c>
      <c r="DM130" s="7" t="b">
        <f t="shared" si="115"/>
        <v>1</v>
      </c>
      <c r="DN130" s="7" t="b">
        <f t="shared" si="116"/>
        <v>1</v>
      </c>
      <c r="DO130" s="7" t="b">
        <f t="shared" si="117"/>
        <v>1</v>
      </c>
      <c r="DP130" s="7" t="b">
        <f t="shared" si="118"/>
        <v>1</v>
      </c>
      <c r="DQ130" s="7" t="b">
        <f t="shared" si="119"/>
        <v>1</v>
      </c>
      <c r="DR130" s="7" t="b">
        <f t="shared" si="120"/>
        <v>0</v>
      </c>
      <c r="DS130" s="7" t="b">
        <f t="shared" si="121"/>
        <v>0</v>
      </c>
    </row>
    <row r="131" spans="1:123" s="7" customFormat="1" ht="63">
      <c r="A131" s="7" t="s">
        <v>570</v>
      </c>
      <c r="B131" s="453">
        <v>117</v>
      </c>
      <c r="C131" s="642" t="s">
        <v>579</v>
      </c>
      <c r="D131" s="453" t="s">
        <v>626</v>
      </c>
      <c r="E131" s="453" t="s">
        <v>622</v>
      </c>
      <c r="F131" s="194" t="s">
        <v>568</v>
      </c>
      <c r="G131" s="453">
        <v>1</v>
      </c>
      <c r="H131" s="443" t="s">
        <v>192</v>
      </c>
      <c r="I131" s="454" t="s">
        <v>380</v>
      </c>
      <c r="J131" s="455">
        <v>280</v>
      </c>
      <c r="K131" s="455"/>
      <c r="L131" s="455">
        <f t="shared" si="122"/>
        <v>280</v>
      </c>
      <c r="M131" s="455">
        <f t="shared" si="123"/>
        <v>280</v>
      </c>
      <c r="N131" s="455">
        <f t="shared" si="124"/>
        <v>280</v>
      </c>
      <c r="O131" s="456" t="s">
        <v>382</v>
      </c>
      <c r="P131" s="457">
        <v>216</v>
      </c>
      <c r="Q131" s="457"/>
      <c r="R131" s="457">
        <f t="shared" si="105"/>
        <v>216</v>
      </c>
      <c r="S131" s="457">
        <f t="shared" si="106"/>
        <v>216</v>
      </c>
      <c r="T131" s="457">
        <f t="shared" si="107"/>
        <v>216</v>
      </c>
      <c r="U131" s="458" t="s">
        <v>381</v>
      </c>
      <c r="V131" s="459">
        <v>250</v>
      </c>
      <c r="W131" s="459"/>
      <c r="X131" s="459">
        <f t="shared" si="108"/>
        <v>250</v>
      </c>
      <c r="Y131" s="459">
        <f t="shared" si="109"/>
        <v>250</v>
      </c>
      <c r="Z131" s="459">
        <f t="shared" si="110"/>
        <v>250</v>
      </c>
      <c r="AA131" s="460">
        <f t="shared" si="125"/>
        <v>248.66666666666666</v>
      </c>
      <c r="AB131" s="460">
        <f t="shared" si="111"/>
        <v>248.66666666666666</v>
      </c>
      <c r="AC131" s="461">
        <f t="shared" si="126"/>
        <v>32.020826556060797</v>
      </c>
      <c r="AD131" s="427">
        <f t="shared" si="112"/>
        <v>0.12877007998415871</v>
      </c>
      <c r="AE131" s="428"/>
      <c r="BH131" s="7">
        <v>8</v>
      </c>
      <c r="DB131" s="7" t="str">
        <f>VLOOKUP(D131,listaBolsa!$D$2:$BA$1248,1,0)</f>
        <v>Plántula de Lechuga crespa morada (Lactuca sativa var. crispa)</v>
      </c>
      <c r="DC131" s="7">
        <f>VLOOKUP(D131,listaBolsa!$D$2:$BA$1248,2,0)</f>
        <v>0</v>
      </c>
      <c r="DD131" s="7" t="str">
        <f>VLOOKUP(D131,listaBolsa!$D$2:$BA$1248,10,0)</f>
        <v xml:space="preserve">JUNTOS DE LA MANO </v>
      </c>
      <c r="DE131" s="7">
        <f>VLOOKUP(D131,listaBolsa!$D$2:$BA$1248,14,0)</f>
        <v>280</v>
      </c>
      <c r="DF131" s="7" t="str">
        <f>VLOOKUP(D131,listaBolsa!$D$2:$BA$1248,23,0)</f>
        <v>DAGROW</v>
      </c>
      <c r="DG131" s="7">
        <f>VLOOKUP(D131,listaBolsa!$D$2:$BA$1248,29,0)</f>
        <v>216</v>
      </c>
      <c r="DH131" s="7" t="str">
        <f>VLOOKUP(D131,listaBolsa!$D$2:$BA$1248,36,0)</f>
        <v>MYCBDE</v>
      </c>
      <c r="DI131" s="7">
        <f>VLOOKUP(D131,listaBolsa!$D$2:$BA$1248,40,0)</f>
        <v>250</v>
      </c>
      <c r="DJ131" s="252">
        <f>VLOOKUP(D131,listaBolsa!$D$2:$BA$1248,48,0)</f>
        <v>0.1288</v>
      </c>
      <c r="DK131" s="7" t="b">
        <f t="shared" si="113"/>
        <v>1</v>
      </c>
      <c r="DL131" s="7" t="b">
        <f t="shared" si="114"/>
        <v>0</v>
      </c>
      <c r="DM131" s="7" t="b">
        <f t="shared" si="115"/>
        <v>1</v>
      </c>
      <c r="DN131" s="7" t="b">
        <f t="shared" si="116"/>
        <v>1</v>
      </c>
      <c r="DO131" s="7" t="b">
        <f t="shared" si="117"/>
        <v>1</v>
      </c>
      <c r="DP131" s="7" t="b">
        <f t="shared" si="118"/>
        <v>1</v>
      </c>
      <c r="DQ131" s="7" t="b">
        <f t="shared" si="119"/>
        <v>1</v>
      </c>
      <c r="DR131" s="7" t="b">
        <f t="shared" si="120"/>
        <v>1</v>
      </c>
      <c r="DS131" s="7" t="b">
        <f t="shared" si="121"/>
        <v>0</v>
      </c>
    </row>
    <row r="132" spans="1:123" s="7" customFormat="1" ht="42">
      <c r="A132" s="7" t="s">
        <v>570</v>
      </c>
      <c r="B132" s="453">
        <v>118</v>
      </c>
      <c r="C132" s="642" t="s">
        <v>579</v>
      </c>
      <c r="D132" s="453" t="s">
        <v>628</v>
      </c>
      <c r="E132" s="453" t="s">
        <v>622</v>
      </c>
      <c r="F132" s="194" t="s">
        <v>568</v>
      </c>
      <c r="G132" s="453">
        <v>1</v>
      </c>
      <c r="H132" s="443" t="s">
        <v>192</v>
      </c>
      <c r="I132" s="454" t="s">
        <v>380</v>
      </c>
      <c r="J132" s="455">
        <v>320</v>
      </c>
      <c r="K132" s="455"/>
      <c r="L132" s="455">
        <f t="shared" si="122"/>
        <v>320</v>
      </c>
      <c r="M132" s="455">
        <f t="shared" si="123"/>
        <v>320</v>
      </c>
      <c r="N132" s="455">
        <f t="shared" si="124"/>
        <v>320</v>
      </c>
      <c r="O132" s="456" t="s">
        <v>381</v>
      </c>
      <c r="P132" s="457">
        <v>300</v>
      </c>
      <c r="Q132" s="457"/>
      <c r="R132" s="457">
        <f t="shared" si="105"/>
        <v>300</v>
      </c>
      <c r="S132" s="457">
        <f t="shared" si="106"/>
        <v>300</v>
      </c>
      <c r="T132" s="457">
        <f t="shared" si="107"/>
        <v>300</v>
      </c>
      <c r="U132" s="458" t="s">
        <v>382</v>
      </c>
      <c r="V132" s="459">
        <v>246</v>
      </c>
      <c r="W132" s="459"/>
      <c r="X132" s="459">
        <f t="shared" si="108"/>
        <v>246</v>
      </c>
      <c r="Y132" s="459">
        <f t="shared" si="109"/>
        <v>246</v>
      </c>
      <c r="Z132" s="459">
        <f t="shared" si="110"/>
        <v>246</v>
      </c>
      <c r="AA132" s="460">
        <f t="shared" si="125"/>
        <v>288.66666666666669</v>
      </c>
      <c r="AB132" s="460">
        <f t="shared" si="111"/>
        <v>288.66666666666669</v>
      </c>
      <c r="AC132" s="461">
        <f t="shared" si="126"/>
        <v>38.27967258654818</v>
      </c>
      <c r="AD132" s="427">
        <f t="shared" si="112"/>
        <v>0.1326085655423147</v>
      </c>
      <c r="AE132" s="428"/>
      <c r="BH132" s="7">
        <v>9</v>
      </c>
      <c r="DB132" s="7" t="str">
        <f>VLOOKUP(D132,listaBolsa!$D$2:$BA$1248,1,0)</f>
        <v>Plántula de Lechuga lisa verde (Lactuca sativa var. capitata)</v>
      </c>
      <c r="DC132" s="7">
        <f>VLOOKUP(D132,listaBolsa!$D$2:$BA$1248,2,0)</f>
        <v>0</v>
      </c>
      <c r="DD132" s="7" t="str">
        <f>VLOOKUP(D132,listaBolsa!$D$2:$BA$1248,10,0)</f>
        <v xml:space="preserve">JUNTOS DE LA MANO </v>
      </c>
      <c r="DE132" s="7">
        <f>VLOOKUP(D132,listaBolsa!$D$2:$BA$1248,14,0)</f>
        <v>320</v>
      </c>
      <c r="DF132" s="7" t="str">
        <f>VLOOKUP(D132,listaBolsa!$D$2:$BA$1248,23,0)</f>
        <v>MYCBDE</v>
      </c>
      <c r="DG132" s="7">
        <f>VLOOKUP(D132,listaBolsa!$D$2:$BA$1248,29,0)</f>
        <v>300</v>
      </c>
      <c r="DH132" s="7" t="str">
        <f>VLOOKUP(D132,listaBolsa!$D$2:$BA$1248,36,0)</f>
        <v>DAGROW</v>
      </c>
      <c r="DI132" s="7">
        <f>VLOOKUP(D132,listaBolsa!$D$2:$BA$1248,40,0)</f>
        <v>246</v>
      </c>
      <c r="DJ132" s="252">
        <f>VLOOKUP(D132,listaBolsa!$D$2:$BA$1248,48,0)</f>
        <v>0.1326</v>
      </c>
      <c r="DK132" s="7" t="b">
        <f t="shared" si="113"/>
        <v>1</v>
      </c>
      <c r="DL132" s="7" t="b">
        <f t="shared" si="114"/>
        <v>0</v>
      </c>
      <c r="DM132" s="7" t="b">
        <f t="shared" si="115"/>
        <v>1</v>
      </c>
      <c r="DN132" s="7" t="b">
        <f t="shared" si="116"/>
        <v>1</v>
      </c>
      <c r="DO132" s="7" t="b">
        <f t="shared" si="117"/>
        <v>1</v>
      </c>
      <c r="DP132" s="7" t="b">
        <f t="shared" si="118"/>
        <v>1</v>
      </c>
      <c r="DQ132" s="7" t="b">
        <f t="shared" si="119"/>
        <v>1</v>
      </c>
      <c r="DR132" s="7" t="b">
        <f t="shared" si="120"/>
        <v>1</v>
      </c>
      <c r="DS132" s="7" t="b">
        <f t="shared" si="121"/>
        <v>0</v>
      </c>
    </row>
    <row r="133" spans="1:123" s="7" customFormat="1" ht="63">
      <c r="A133" s="7" t="s">
        <v>570</v>
      </c>
      <c r="B133" s="453">
        <v>119</v>
      </c>
      <c r="C133" s="642" t="s">
        <v>579</v>
      </c>
      <c r="D133" s="453" t="s">
        <v>630</v>
      </c>
      <c r="E133" s="453" t="s">
        <v>622</v>
      </c>
      <c r="F133" s="194" t="s">
        <v>568</v>
      </c>
      <c r="G133" s="453">
        <v>1</v>
      </c>
      <c r="H133" s="443" t="s">
        <v>192</v>
      </c>
      <c r="I133" s="454" t="s">
        <v>380</v>
      </c>
      <c r="J133" s="455">
        <v>320</v>
      </c>
      <c r="K133" s="455"/>
      <c r="L133" s="455">
        <f t="shared" si="122"/>
        <v>320</v>
      </c>
      <c r="M133" s="455">
        <f t="shared" si="123"/>
        <v>320</v>
      </c>
      <c r="N133" s="455">
        <f t="shared" si="124"/>
        <v>320</v>
      </c>
      <c r="O133" s="456" t="s">
        <v>381</v>
      </c>
      <c r="P133" s="457">
        <v>300</v>
      </c>
      <c r="Q133" s="457"/>
      <c r="R133" s="457">
        <f t="shared" si="105"/>
        <v>300</v>
      </c>
      <c r="S133" s="457">
        <f t="shared" si="106"/>
        <v>300</v>
      </c>
      <c r="T133" s="457">
        <f t="shared" si="107"/>
        <v>300</v>
      </c>
      <c r="U133" s="458" t="s">
        <v>382</v>
      </c>
      <c r="V133" s="459">
        <v>255</v>
      </c>
      <c r="W133" s="459"/>
      <c r="X133" s="459">
        <f t="shared" si="108"/>
        <v>255</v>
      </c>
      <c r="Y133" s="459">
        <f t="shared" si="109"/>
        <v>255</v>
      </c>
      <c r="Z133" s="459">
        <f t="shared" si="110"/>
        <v>255</v>
      </c>
      <c r="AA133" s="460">
        <f t="shared" si="125"/>
        <v>291.66666666666669</v>
      </c>
      <c r="AB133" s="460">
        <f t="shared" si="111"/>
        <v>291.66666666666669</v>
      </c>
      <c r="AC133" s="461">
        <f t="shared" si="126"/>
        <v>33.291640592396966</v>
      </c>
      <c r="AD133" s="427">
        <f t="shared" si="112"/>
        <v>0.11414276774536102</v>
      </c>
      <c r="AE133" s="428"/>
      <c r="BH133" s="7">
        <v>10</v>
      </c>
      <c r="DB133" s="7" t="str">
        <f>VLOOKUP(D133,listaBolsa!$D$2:$BA$1248,1,0)</f>
        <v>Plántula de Lechuga lisa morada (Lactuca sativa var. capitata)</v>
      </c>
      <c r="DC133" s="7">
        <f>VLOOKUP(D133,listaBolsa!$D$2:$BA$1248,2,0)</f>
        <v>0</v>
      </c>
      <c r="DD133" s="7" t="str">
        <f>VLOOKUP(D133,listaBolsa!$D$2:$BA$1248,10,0)</f>
        <v xml:space="preserve">JUNTOS DE LA MANO </v>
      </c>
      <c r="DE133" s="7">
        <f>VLOOKUP(D133,listaBolsa!$D$2:$BA$1248,14,0)</f>
        <v>320</v>
      </c>
      <c r="DF133" s="7" t="str">
        <f>VLOOKUP(D133,listaBolsa!$D$2:$BA$1248,23,0)</f>
        <v>MYCBDE</v>
      </c>
      <c r="DG133" s="7">
        <f>VLOOKUP(D133,listaBolsa!$D$2:$BA$1248,29,0)</f>
        <v>300</v>
      </c>
      <c r="DH133" s="7" t="str">
        <f>VLOOKUP(D133,listaBolsa!$D$2:$BA$1248,36,0)</f>
        <v>DAGROW</v>
      </c>
      <c r="DI133" s="7">
        <f>VLOOKUP(D133,listaBolsa!$D$2:$BA$1248,40,0)</f>
        <v>255</v>
      </c>
      <c r="DJ133" s="252">
        <f>VLOOKUP(D133,listaBolsa!$D$2:$BA$1248,48,0)</f>
        <v>0.11409999999999999</v>
      </c>
      <c r="DK133" s="7" t="b">
        <f t="shared" si="113"/>
        <v>1</v>
      </c>
      <c r="DL133" s="7" t="b">
        <f t="shared" si="114"/>
        <v>0</v>
      </c>
      <c r="DM133" s="7" t="b">
        <f t="shared" si="115"/>
        <v>1</v>
      </c>
      <c r="DN133" s="7" t="b">
        <f t="shared" si="116"/>
        <v>1</v>
      </c>
      <c r="DO133" s="7" t="b">
        <f t="shared" si="117"/>
        <v>1</v>
      </c>
      <c r="DP133" s="7" t="b">
        <f t="shared" si="118"/>
        <v>1</v>
      </c>
      <c r="DQ133" s="7" t="b">
        <f t="shared" si="119"/>
        <v>1</v>
      </c>
      <c r="DR133" s="7" t="b">
        <f t="shared" si="120"/>
        <v>1</v>
      </c>
      <c r="DS133" s="7" t="b">
        <f t="shared" si="121"/>
        <v>0</v>
      </c>
    </row>
    <row r="134" spans="1:123" s="7" customFormat="1" ht="43.15">
      <c r="A134" s="7" t="s">
        <v>570</v>
      </c>
      <c r="B134" s="453">
        <v>120</v>
      </c>
      <c r="C134" s="642" t="s">
        <v>579</v>
      </c>
      <c r="D134" s="453" t="s">
        <v>632</v>
      </c>
      <c r="E134" s="453" t="s">
        <v>622</v>
      </c>
      <c r="F134" s="194" t="s">
        <v>568</v>
      </c>
      <c r="G134" s="453">
        <v>1</v>
      </c>
      <c r="H134" s="443" t="s">
        <v>192</v>
      </c>
      <c r="I134" s="454" t="s">
        <v>603</v>
      </c>
      <c r="J134" s="455">
        <v>1500</v>
      </c>
      <c r="K134" s="455"/>
      <c r="L134" s="455">
        <f t="shared" si="122"/>
        <v>1500</v>
      </c>
      <c r="M134" s="455">
        <f t="shared" si="123"/>
        <v>1500</v>
      </c>
      <c r="N134" s="455">
        <f t="shared" si="124"/>
        <v>1500</v>
      </c>
      <c r="O134" s="456" t="s">
        <v>604</v>
      </c>
      <c r="P134" s="457">
        <v>1200</v>
      </c>
      <c r="Q134" s="457"/>
      <c r="R134" s="457">
        <f t="shared" si="105"/>
        <v>1200</v>
      </c>
      <c r="S134" s="457">
        <f t="shared" si="106"/>
        <v>1200</v>
      </c>
      <c r="T134" s="457">
        <f t="shared" si="107"/>
        <v>1200</v>
      </c>
      <c r="U134" s="458" t="s">
        <v>605</v>
      </c>
      <c r="V134" s="459">
        <v>1500</v>
      </c>
      <c r="W134" s="459"/>
      <c r="X134" s="459">
        <f t="shared" si="108"/>
        <v>1500</v>
      </c>
      <c r="Y134" s="459">
        <f t="shared" si="109"/>
        <v>1500</v>
      </c>
      <c r="Z134" s="459">
        <f t="shared" si="110"/>
        <v>1500</v>
      </c>
      <c r="AA134" s="460">
        <f t="shared" si="125"/>
        <v>1400</v>
      </c>
      <c r="AB134" s="460">
        <f t="shared" si="111"/>
        <v>1400</v>
      </c>
      <c r="AC134" s="461">
        <f t="shared" si="126"/>
        <v>173.20508075688772</v>
      </c>
      <c r="AD134" s="427">
        <f t="shared" si="112"/>
        <v>0.12371791482634838</v>
      </c>
      <c r="AE134" s="428"/>
      <c r="BH134" s="7">
        <v>11</v>
      </c>
      <c r="DB134" s="7" t="str">
        <f>VLOOKUP(D134,listaBolsa!$D$2:$BA$1248,1,0)</f>
        <v>Plántula de Lechuga Batavia (Lactuca sativa var. capitata)</v>
      </c>
      <c r="DC134" s="7">
        <f>VLOOKUP(D134,listaBolsa!$D$2:$BA$1248,2,0)</f>
        <v>0</v>
      </c>
      <c r="DD134" s="7" t="str">
        <f>VLOOKUP(D134,listaBolsa!$D$2:$BA$1248,10,0)</f>
        <v>AGRIPLANT</v>
      </c>
      <c r="DE134" s="7">
        <f>VLOOKUP(D134,listaBolsa!$D$2:$BA$1248,14,0)</f>
        <v>1500</v>
      </c>
      <c r="DF134" s="7" t="str">
        <f>VLOOKUP(D134,listaBolsa!$D$2:$BA$1248,23,0)</f>
        <v>SEMBRAMOS VIVEROS ONLINE</v>
      </c>
      <c r="DG134" s="7">
        <f>VLOOKUP(D134,listaBolsa!$D$2:$BA$1248,29,0)</f>
        <v>1200</v>
      </c>
      <c r="DH134" s="7" t="str">
        <f>VLOOKUP(D134,listaBolsa!$D$2:$BA$1248,36,0)</f>
        <v>PAQUA</v>
      </c>
      <c r="DI134" s="7">
        <f>VLOOKUP(D134,listaBolsa!$D$2:$BA$1248,40,0)</f>
        <v>1500</v>
      </c>
      <c r="DJ134" s="252">
        <f>VLOOKUP(D134,listaBolsa!$D$2:$BA$1248,48,0)</f>
        <v>0.1237</v>
      </c>
      <c r="DK134" s="7" t="b">
        <f t="shared" si="113"/>
        <v>1</v>
      </c>
      <c r="DL134" s="7" t="b">
        <f t="shared" si="114"/>
        <v>0</v>
      </c>
      <c r="DM134" s="7" t="b">
        <f t="shared" si="115"/>
        <v>1</v>
      </c>
      <c r="DN134" s="7" t="b">
        <f t="shared" si="116"/>
        <v>1</v>
      </c>
      <c r="DO134" s="7" t="b">
        <f t="shared" si="117"/>
        <v>1</v>
      </c>
      <c r="DP134" s="7" t="b">
        <f t="shared" si="118"/>
        <v>1</v>
      </c>
      <c r="DQ134" s="7" t="b">
        <f t="shared" si="119"/>
        <v>1</v>
      </c>
      <c r="DR134" s="7" t="b">
        <f t="shared" si="120"/>
        <v>1</v>
      </c>
      <c r="DS134" s="7" t="b">
        <f t="shared" si="121"/>
        <v>0</v>
      </c>
    </row>
    <row r="135" spans="1:123" s="7" customFormat="1" ht="63">
      <c r="A135" s="7" t="s">
        <v>570</v>
      </c>
      <c r="B135" s="453">
        <v>121</v>
      </c>
      <c r="C135" s="642" t="s">
        <v>579</v>
      </c>
      <c r="D135" s="453" t="s">
        <v>634</v>
      </c>
      <c r="E135" s="453" t="s">
        <v>622</v>
      </c>
      <c r="F135" s="194" t="s">
        <v>568</v>
      </c>
      <c r="G135" s="453">
        <v>1</v>
      </c>
      <c r="H135" s="443" t="s">
        <v>192</v>
      </c>
      <c r="I135" s="454" t="s">
        <v>380</v>
      </c>
      <c r="J135" s="455">
        <v>240</v>
      </c>
      <c r="K135" s="455"/>
      <c r="L135" s="455">
        <f t="shared" si="122"/>
        <v>240</v>
      </c>
      <c r="M135" s="455">
        <f t="shared" si="123"/>
        <v>240</v>
      </c>
      <c r="N135" s="455">
        <f t="shared" si="124"/>
        <v>240</v>
      </c>
      <c r="O135" s="456" t="s">
        <v>381</v>
      </c>
      <c r="P135" s="457">
        <v>250</v>
      </c>
      <c r="Q135" s="457"/>
      <c r="R135" s="457">
        <f t="shared" si="105"/>
        <v>250</v>
      </c>
      <c r="S135" s="457">
        <f t="shared" si="106"/>
        <v>250</v>
      </c>
      <c r="T135" s="457">
        <f t="shared" si="107"/>
        <v>250</v>
      </c>
      <c r="U135" s="458" t="s">
        <v>382</v>
      </c>
      <c r="V135" s="459">
        <v>224</v>
      </c>
      <c r="W135" s="459"/>
      <c r="X135" s="459">
        <f t="shared" si="108"/>
        <v>224</v>
      </c>
      <c r="Y135" s="459">
        <f t="shared" si="109"/>
        <v>224</v>
      </c>
      <c r="Z135" s="459">
        <f t="shared" si="110"/>
        <v>224</v>
      </c>
      <c r="AA135" s="460">
        <f t="shared" si="125"/>
        <v>238</v>
      </c>
      <c r="AB135" s="460">
        <f t="shared" si="111"/>
        <v>238</v>
      </c>
      <c r="AC135" s="461">
        <f t="shared" si="126"/>
        <v>13.114877048604001</v>
      </c>
      <c r="AD135" s="427">
        <f t="shared" si="112"/>
        <v>5.5104525414302524E-2</v>
      </c>
      <c r="AE135" s="428"/>
      <c r="BH135" s="7">
        <v>12</v>
      </c>
      <c r="DB135" s="7" t="str">
        <f>VLOOKUP(D135,listaBolsa!$D$2:$BA$1248,1,0)</f>
        <v>Plántula de Lechuga de cogollo (Lactuca sativa var. romana)</v>
      </c>
      <c r="DC135" s="7">
        <f>VLOOKUP(D135,listaBolsa!$D$2:$BA$1248,2,0)</f>
        <v>0</v>
      </c>
      <c r="DD135" s="7" t="str">
        <f>VLOOKUP(D135,listaBolsa!$D$2:$BA$1248,10,0)</f>
        <v xml:space="preserve">JUNTOS DE LA MANO </v>
      </c>
      <c r="DE135" s="7">
        <f>VLOOKUP(D135,listaBolsa!$D$2:$BA$1248,14,0)</f>
        <v>240</v>
      </c>
      <c r="DF135" s="7" t="str">
        <f>VLOOKUP(D135,listaBolsa!$D$2:$BA$1248,23,0)</f>
        <v>MYCBDE</v>
      </c>
      <c r="DG135" s="7">
        <f>VLOOKUP(D135,listaBolsa!$D$2:$BA$1248,29,0)</f>
        <v>250</v>
      </c>
      <c r="DH135" s="7" t="str">
        <f>VLOOKUP(D135,listaBolsa!$D$2:$BA$1248,36,0)</f>
        <v>DAGROW</v>
      </c>
      <c r="DI135" s="7">
        <f>VLOOKUP(D135,listaBolsa!$D$2:$BA$1248,40,0)</f>
        <v>224</v>
      </c>
      <c r="DJ135" s="252">
        <f>VLOOKUP(D135,listaBolsa!$D$2:$BA$1248,48,0)</f>
        <v>5.5100000000000003E-2</v>
      </c>
      <c r="DK135" s="7" t="b">
        <f t="shared" si="113"/>
        <v>1</v>
      </c>
      <c r="DL135" s="7" t="b">
        <f t="shared" si="114"/>
        <v>0</v>
      </c>
      <c r="DM135" s="7" t="b">
        <f t="shared" si="115"/>
        <v>1</v>
      </c>
      <c r="DN135" s="7" t="b">
        <f t="shared" si="116"/>
        <v>1</v>
      </c>
      <c r="DO135" s="7" t="b">
        <f t="shared" si="117"/>
        <v>1</v>
      </c>
      <c r="DP135" s="7" t="b">
        <f t="shared" si="118"/>
        <v>1</v>
      </c>
      <c r="DQ135" s="7" t="b">
        <f t="shared" si="119"/>
        <v>1</v>
      </c>
      <c r="DR135" s="7" t="b">
        <f t="shared" si="120"/>
        <v>1</v>
      </c>
      <c r="DS135" s="7" t="b">
        <f t="shared" si="121"/>
        <v>0</v>
      </c>
    </row>
    <row r="136" spans="1:123" s="7" customFormat="1" ht="63">
      <c r="A136" s="7" t="s">
        <v>570</v>
      </c>
      <c r="B136" s="453">
        <v>122</v>
      </c>
      <c r="C136" s="642" t="s">
        <v>579</v>
      </c>
      <c r="D136" s="453" t="s">
        <v>636</v>
      </c>
      <c r="E136" s="453" t="s">
        <v>622</v>
      </c>
      <c r="F136" s="194" t="s">
        <v>568</v>
      </c>
      <c r="G136" s="453">
        <v>1</v>
      </c>
      <c r="H136" s="443" t="s">
        <v>192</v>
      </c>
      <c r="I136" s="454" t="s">
        <v>603</v>
      </c>
      <c r="J136" s="455">
        <v>1500</v>
      </c>
      <c r="K136" s="455"/>
      <c r="L136" s="455">
        <f t="shared" si="122"/>
        <v>1500</v>
      </c>
      <c r="M136" s="455">
        <f t="shared" si="123"/>
        <v>1500</v>
      </c>
      <c r="N136" s="455">
        <f t="shared" si="124"/>
        <v>1500</v>
      </c>
      <c r="O136" s="456" t="s">
        <v>637</v>
      </c>
      <c r="P136" s="457">
        <v>1200</v>
      </c>
      <c r="Q136" s="457"/>
      <c r="R136" s="457">
        <f t="shared" si="105"/>
        <v>1200</v>
      </c>
      <c r="S136" s="457">
        <f t="shared" si="106"/>
        <v>1200</v>
      </c>
      <c r="T136" s="457">
        <f t="shared" si="107"/>
        <v>1200</v>
      </c>
      <c r="U136" s="458" t="s">
        <v>605</v>
      </c>
      <c r="V136" s="459">
        <v>1500</v>
      </c>
      <c r="W136" s="459"/>
      <c r="X136" s="459">
        <f t="shared" si="108"/>
        <v>1500</v>
      </c>
      <c r="Y136" s="459">
        <f t="shared" si="109"/>
        <v>1500</v>
      </c>
      <c r="Z136" s="459">
        <f t="shared" si="110"/>
        <v>1500</v>
      </c>
      <c r="AA136" s="460">
        <f t="shared" si="125"/>
        <v>1400</v>
      </c>
      <c r="AB136" s="460">
        <f t="shared" si="111"/>
        <v>1400</v>
      </c>
      <c r="AC136" s="461">
        <f t="shared" si="126"/>
        <v>173.20508075688772</v>
      </c>
      <c r="AD136" s="427">
        <f t="shared" si="112"/>
        <v>0.12371791482634838</v>
      </c>
      <c r="AE136" s="428"/>
      <c r="BH136" s="7">
        <v>13</v>
      </c>
      <c r="DB136" s="7" t="str">
        <f>VLOOKUP(D136,listaBolsa!$D$2:$BA$1248,1,0)</f>
        <v>Plántula de Lechuga Mizuna (Brassica rapa var. nipposinica)</v>
      </c>
      <c r="DC136" s="7">
        <f>VLOOKUP(D136,listaBolsa!$D$2:$BA$1248,2,0)</f>
        <v>0</v>
      </c>
      <c r="DD136" s="7" t="str">
        <f>VLOOKUP(D136,listaBolsa!$D$2:$BA$1248,10,0)</f>
        <v>AGRIPLANT</v>
      </c>
      <c r="DE136" s="7">
        <f>VLOOKUP(D136,listaBolsa!$D$2:$BA$1248,14,0)</f>
        <v>1500</v>
      </c>
      <c r="DF136" s="7" t="str">
        <f>VLOOKUP(D136,listaBolsa!$D$2:$BA$1248,23,0)</f>
        <v>SEMBRAMOS VARIOS ONLINE</v>
      </c>
      <c r="DG136" s="7">
        <f>VLOOKUP(D136,listaBolsa!$D$2:$BA$1248,29,0)</f>
        <v>1200</v>
      </c>
      <c r="DH136" s="7" t="str">
        <f>VLOOKUP(D136,listaBolsa!$D$2:$BA$1248,36,0)</f>
        <v>PAQUA</v>
      </c>
      <c r="DI136" s="7">
        <f>VLOOKUP(D136,listaBolsa!$D$2:$BA$1248,40,0)</f>
        <v>1500</v>
      </c>
      <c r="DJ136" s="252">
        <f>VLOOKUP(D136,listaBolsa!$D$2:$BA$1248,48,0)</f>
        <v>0.1237</v>
      </c>
      <c r="DK136" s="7" t="b">
        <f t="shared" si="113"/>
        <v>1</v>
      </c>
      <c r="DL136" s="7" t="b">
        <f t="shared" si="114"/>
        <v>0</v>
      </c>
      <c r="DM136" s="7" t="b">
        <f t="shared" si="115"/>
        <v>1</v>
      </c>
      <c r="DN136" s="7" t="b">
        <f t="shared" si="116"/>
        <v>1</v>
      </c>
      <c r="DO136" s="7" t="b">
        <f t="shared" si="117"/>
        <v>1</v>
      </c>
      <c r="DP136" s="7" t="b">
        <f t="shared" si="118"/>
        <v>1</v>
      </c>
      <c r="DQ136" s="7" t="b">
        <f t="shared" si="119"/>
        <v>1</v>
      </c>
      <c r="DR136" s="7" t="b">
        <f t="shared" si="120"/>
        <v>1</v>
      </c>
      <c r="DS136" s="7" t="b">
        <f t="shared" si="121"/>
        <v>0</v>
      </c>
    </row>
    <row r="137" spans="1:123" s="7" customFormat="1" ht="42">
      <c r="A137" s="7" t="s">
        <v>570</v>
      </c>
      <c r="B137" s="453">
        <v>123</v>
      </c>
      <c r="C137" s="642" t="s">
        <v>579</v>
      </c>
      <c r="D137" s="453" t="s">
        <v>639</v>
      </c>
      <c r="E137" s="453" t="s">
        <v>622</v>
      </c>
      <c r="F137" s="194" t="s">
        <v>568</v>
      </c>
      <c r="G137" s="453">
        <v>1</v>
      </c>
      <c r="H137" s="443" t="s">
        <v>192</v>
      </c>
      <c r="I137" s="454" t="s">
        <v>380</v>
      </c>
      <c r="J137" s="455">
        <v>220</v>
      </c>
      <c r="K137" s="455"/>
      <c r="L137" s="455">
        <f t="shared" si="122"/>
        <v>220</v>
      </c>
      <c r="M137" s="455">
        <f t="shared" si="123"/>
        <v>220</v>
      </c>
      <c r="N137" s="455">
        <f t="shared" si="124"/>
        <v>220</v>
      </c>
      <c r="O137" s="456" t="s">
        <v>381</v>
      </c>
      <c r="P137" s="457">
        <v>200</v>
      </c>
      <c r="Q137" s="457"/>
      <c r="R137" s="457">
        <f t="shared" si="105"/>
        <v>200</v>
      </c>
      <c r="S137" s="457">
        <f t="shared" si="106"/>
        <v>200</v>
      </c>
      <c r="T137" s="457">
        <f t="shared" si="107"/>
        <v>200</v>
      </c>
      <c r="U137" s="458" t="s">
        <v>382</v>
      </c>
      <c r="V137" s="459">
        <v>154</v>
      </c>
      <c r="W137" s="459"/>
      <c r="X137" s="459">
        <f t="shared" si="108"/>
        <v>154</v>
      </c>
      <c r="Y137" s="459">
        <f t="shared" si="109"/>
        <v>154</v>
      </c>
      <c r="Z137" s="459">
        <f t="shared" si="110"/>
        <v>154</v>
      </c>
      <c r="AA137" s="460">
        <f t="shared" si="125"/>
        <v>191.33333333333334</v>
      </c>
      <c r="AB137" s="460">
        <f t="shared" si="111"/>
        <v>191.33333333333334</v>
      </c>
      <c r="AC137" s="461">
        <f t="shared" si="126"/>
        <v>33.842773723992181</v>
      </c>
      <c r="AD137" s="427">
        <f t="shared" si="112"/>
        <v>0.17687860831354799</v>
      </c>
      <c r="AE137" s="428"/>
      <c r="BH137" s="7">
        <v>14</v>
      </c>
      <c r="DB137" s="7" t="str">
        <f>VLOOKUP(D137,listaBolsa!$D$2:$BA$1248,1,0)</f>
        <v>plántula de lechuga Escarola (Cichorium endivia)</v>
      </c>
      <c r="DC137" s="7">
        <f>VLOOKUP(D137,listaBolsa!$D$2:$BA$1248,2,0)</f>
        <v>0</v>
      </c>
      <c r="DD137" s="7" t="str">
        <f>VLOOKUP(D137,listaBolsa!$D$2:$BA$1248,10,0)</f>
        <v xml:space="preserve">JUNTOS DE LA MANO </v>
      </c>
      <c r="DE137" s="7">
        <f>VLOOKUP(D137,listaBolsa!$D$2:$BA$1248,14,0)</f>
        <v>220</v>
      </c>
      <c r="DF137" s="7" t="str">
        <f>VLOOKUP(D137,listaBolsa!$D$2:$BA$1248,23,0)</f>
        <v>MYCBDE</v>
      </c>
      <c r="DG137" s="7">
        <f>VLOOKUP(D137,listaBolsa!$D$2:$BA$1248,29,0)</f>
        <v>200</v>
      </c>
      <c r="DH137" s="7" t="str">
        <f>VLOOKUP(D137,listaBolsa!$D$2:$BA$1248,36,0)</f>
        <v>DAGROW</v>
      </c>
      <c r="DI137" s="7">
        <f>VLOOKUP(D137,listaBolsa!$D$2:$BA$1248,40,0)</f>
        <v>154</v>
      </c>
      <c r="DJ137" s="252">
        <f>VLOOKUP(D137,listaBolsa!$D$2:$BA$1248,48,0)</f>
        <v>0.1769</v>
      </c>
      <c r="DK137" s="7" t="b">
        <f t="shared" si="113"/>
        <v>1</v>
      </c>
      <c r="DL137" s="7" t="b">
        <f t="shared" si="114"/>
        <v>0</v>
      </c>
      <c r="DM137" s="7" t="b">
        <f t="shared" si="115"/>
        <v>1</v>
      </c>
      <c r="DN137" s="7" t="b">
        <f t="shared" si="116"/>
        <v>1</v>
      </c>
      <c r="DO137" s="7" t="b">
        <f t="shared" si="117"/>
        <v>1</v>
      </c>
      <c r="DP137" s="7" t="b">
        <f t="shared" si="118"/>
        <v>1</v>
      </c>
      <c r="DQ137" s="7" t="b">
        <f t="shared" si="119"/>
        <v>1</v>
      </c>
      <c r="DR137" s="7" t="b">
        <f t="shared" si="120"/>
        <v>1</v>
      </c>
      <c r="DS137" s="7" t="b">
        <f t="shared" si="121"/>
        <v>0</v>
      </c>
    </row>
    <row r="138" spans="1:123" s="7" customFormat="1" ht="42">
      <c r="A138" s="7" t="s">
        <v>570</v>
      </c>
      <c r="B138" s="453">
        <v>124</v>
      </c>
      <c r="C138" s="642" t="s">
        <v>579</v>
      </c>
      <c r="D138" s="453" t="s">
        <v>641</v>
      </c>
      <c r="E138" s="453" t="s">
        <v>622</v>
      </c>
      <c r="F138" s="194" t="s">
        <v>568</v>
      </c>
      <c r="G138" s="453">
        <v>1</v>
      </c>
      <c r="H138" s="443" t="s">
        <v>192</v>
      </c>
      <c r="I138" s="454" t="s">
        <v>380</v>
      </c>
      <c r="J138" s="455">
        <v>220</v>
      </c>
      <c r="K138" s="455"/>
      <c r="L138" s="455">
        <f t="shared" si="122"/>
        <v>220</v>
      </c>
      <c r="M138" s="455">
        <f t="shared" si="123"/>
        <v>220</v>
      </c>
      <c r="N138" s="455">
        <f t="shared" si="124"/>
        <v>220</v>
      </c>
      <c r="O138" s="456" t="s">
        <v>381</v>
      </c>
      <c r="P138" s="457">
        <v>200</v>
      </c>
      <c r="Q138" s="457"/>
      <c r="R138" s="457">
        <f t="shared" si="105"/>
        <v>200</v>
      </c>
      <c r="S138" s="457">
        <f t="shared" si="106"/>
        <v>200</v>
      </c>
      <c r="T138" s="457">
        <f t="shared" si="107"/>
        <v>200</v>
      </c>
      <c r="U138" s="458" t="s">
        <v>642</v>
      </c>
      <c r="V138" s="459">
        <v>168.0672268907563</v>
      </c>
      <c r="W138" s="459"/>
      <c r="X138" s="459">
        <f t="shared" si="108"/>
        <v>168.0672268907563</v>
      </c>
      <c r="Y138" s="459">
        <f t="shared" si="109"/>
        <v>168.0672268907563</v>
      </c>
      <c r="Z138" s="459">
        <f t="shared" si="110"/>
        <v>168.0672268907563</v>
      </c>
      <c r="AA138" s="460">
        <f t="shared" si="125"/>
        <v>196.02240896358543</v>
      </c>
      <c r="AB138" s="460">
        <f t="shared" si="111"/>
        <v>196.02240896358543</v>
      </c>
      <c r="AC138" s="461">
        <f t="shared" si="126"/>
        <v>26.193876260373688</v>
      </c>
      <c r="AD138" s="427">
        <f t="shared" si="112"/>
        <v>0.13362694805592179</v>
      </c>
      <c r="AE138" s="428"/>
      <c r="BH138" s="7">
        <v>15</v>
      </c>
      <c r="DB138" s="7" t="str">
        <f>VLOOKUP(D138,listaBolsa!$D$2:$BA$1248,1,0)</f>
        <v>Plántula de Lechuga Romana (Lactuca sativa var. longifolia)</v>
      </c>
      <c r="DC138" s="7">
        <f>VLOOKUP(D138,listaBolsa!$D$2:$BA$1248,2,0)</f>
        <v>0</v>
      </c>
      <c r="DD138" s="7" t="str">
        <f>VLOOKUP(D138,listaBolsa!$D$2:$BA$1248,10,0)</f>
        <v xml:space="preserve">JUNTOS DE LA MANO </v>
      </c>
      <c r="DE138" s="7">
        <f>VLOOKUP(D138,listaBolsa!$D$2:$BA$1248,14,0)</f>
        <v>220</v>
      </c>
      <c r="DF138" s="7" t="str">
        <f>VLOOKUP(D138,listaBolsa!$D$2:$BA$1248,23,0)</f>
        <v>MYCBDE</v>
      </c>
      <c r="DG138" s="7">
        <f>VLOOKUP(D138,listaBolsa!$D$2:$BA$1248,29,0)</f>
        <v>200</v>
      </c>
      <c r="DH138" s="7" t="str">
        <f>VLOOKUP(D138,listaBolsa!$D$2:$BA$1248,36,0)</f>
        <v>PLANTULAMOS</v>
      </c>
      <c r="DI138" s="7">
        <f>VLOOKUP(D138,listaBolsa!$D$2:$BA$1248,40,0)</f>
        <v>168.07</v>
      </c>
      <c r="DJ138" s="252">
        <f>VLOOKUP(D138,listaBolsa!$D$2:$BA$1248,48,0)</f>
        <v>5.5899999999999998E-2</v>
      </c>
      <c r="DK138" s="7" t="b">
        <f t="shared" si="113"/>
        <v>1</v>
      </c>
      <c r="DL138" s="7" t="b">
        <f t="shared" si="114"/>
        <v>0</v>
      </c>
      <c r="DM138" s="7" t="b">
        <f t="shared" si="115"/>
        <v>1</v>
      </c>
      <c r="DN138" s="7" t="b">
        <f t="shared" si="116"/>
        <v>1</v>
      </c>
      <c r="DO138" s="7" t="b">
        <f t="shared" si="117"/>
        <v>1</v>
      </c>
      <c r="DP138" s="7" t="b">
        <f t="shared" si="118"/>
        <v>1</v>
      </c>
      <c r="DQ138" s="7" t="b">
        <f t="shared" si="119"/>
        <v>1</v>
      </c>
      <c r="DR138" s="7" t="b">
        <f t="shared" si="120"/>
        <v>0</v>
      </c>
      <c r="DS138" s="7" t="b">
        <f t="shared" si="121"/>
        <v>0</v>
      </c>
    </row>
    <row r="139" spans="1:123" s="7" customFormat="1" ht="63">
      <c r="A139" s="7" t="s">
        <v>570</v>
      </c>
      <c r="B139" s="453">
        <v>125</v>
      </c>
      <c r="C139" s="642" t="s">
        <v>579</v>
      </c>
      <c r="D139" s="453" t="s">
        <v>644</v>
      </c>
      <c r="E139" s="453" t="s">
        <v>622</v>
      </c>
      <c r="F139" s="194" t="s">
        <v>568</v>
      </c>
      <c r="G139" s="453">
        <v>1</v>
      </c>
      <c r="H139" s="443" t="s">
        <v>192</v>
      </c>
      <c r="I139" s="454" t="s">
        <v>380</v>
      </c>
      <c r="J139" s="455">
        <v>220</v>
      </c>
      <c r="K139" s="455"/>
      <c r="L139" s="455">
        <f t="shared" si="122"/>
        <v>220</v>
      </c>
      <c r="M139" s="455">
        <f t="shared" si="123"/>
        <v>220</v>
      </c>
      <c r="N139" s="455">
        <f t="shared" si="124"/>
        <v>220</v>
      </c>
      <c r="O139" s="456" t="s">
        <v>381</v>
      </c>
      <c r="P139" s="457">
        <v>200</v>
      </c>
      <c r="Q139" s="457"/>
      <c r="R139" s="457">
        <f t="shared" si="105"/>
        <v>200</v>
      </c>
      <c r="S139" s="457">
        <f t="shared" si="106"/>
        <v>200</v>
      </c>
      <c r="T139" s="457">
        <f t="shared" si="107"/>
        <v>200</v>
      </c>
      <c r="U139" s="458" t="s">
        <v>382</v>
      </c>
      <c r="V139" s="459">
        <v>147</v>
      </c>
      <c r="W139" s="459"/>
      <c r="X139" s="459">
        <f t="shared" si="108"/>
        <v>147</v>
      </c>
      <c r="Y139" s="459">
        <f t="shared" si="109"/>
        <v>147</v>
      </c>
      <c r="Z139" s="459">
        <f t="shared" si="110"/>
        <v>147</v>
      </c>
      <c r="AA139" s="460">
        <f t="shared" si="125"/>
        <v>189</v>
      </c>
      <c r="AB139" s="460">
        <f t="shared" si="111"/>
        <v>189</v>
      </c>
      <c r="AC139" s="461">
        <f t="shared" si="126"/>
        <v>37.722672227720032</v>
      </c>
      <c r="AD139" s="427">
        <f t="shared" si="112"/>
        <v>0.19959085834772503</v>
      </c>
      <c r="AE139" s="428"/>
      <c r="BH139" s="7">
        <v>16</v>
      </c>
      <c r="DB139" s="7" t="str">
        <f>VLOOKUP(D139,listaBolsa!$D$2:$BA$1248,1,0)</f>
        <v>Plántula de Perejil liso (Petroselinum crispum var. neapolitanum)</v>
      </c>
      <c r="DC139" s="7">
        <f>VLOOKUP(D139,listaBolsa!$D$2:$BA$1248,2,0)</f>
        <v>0</v>
      </c>
      <c r="DD139" s="7" t="str">
        <f>VLOOKUP(D139,listaBolsa!$D$2:$BA$1248,10,0)</f>
        <v xml:space="preserve">JUNTOS DE LA MANO </v>
      </c>
      <c r="DE139" s="7">
        <f>VLOOKUP(D139,listaBolsa!$D$2:$BA$1248,14,0)</f>
        <v>220</v>
      </c>
      <c r="DF139" s="7" t="str">
        <f>VLOOKUP(D139,listaBolsa!$D$2:$BA$1248,23,0)</f>
        <v>MYCBDE</v>
      </c>
      <c r="DG139" s="7">
        <f>VLOOKUP(D139,listaBolsa!$D$2:$BA$1248,29,0)</f>
        <v>200</v>
      </c>
      <c r="DH139" s="7" t="str">
        <f>VLOOKUP(D139,listaBolsa!$D$2:$BA$1248,36,0)</f>
        <v>DAGROW</v>
      </c>
      <c r="DI139" s="7">
        <f>VLOOKUP(D139,listaBolsa!$D$2:$BA$1248,40,0)</f>
        <v>147</v>
      </c>
      <c r="DJ139" s="252">
        <f>VLOOKUP(D139,listaBolsa!$D$2:$BA$1248,48,0)</f>
        <v>0.1996</v>
      </c>
      <c r="DK139" s="7" t="b">
        <f t="shared" si="113"/>
        <v>1</v>
      </c>
      <c r="DL139" s="7" t="b">
        <f t="shared" si="114"/>
        <v>0</v>
      </c>
      <c r="DM139" s="7" t="b">
        <f t="shared" si="115"/>
        <v>1</v>
      </c>
      <c r="DN139" s="7" t="b">
        <f t="shared" si="116"/>
        <v>1</v>
      </c>
      <c r="DO139" s="7" t="b">
        <f t="shared" si="117"/>
        <v>1</v>
      </c>
      <c r="DP139" s="7" t="b">
        <f t="shared" si="118"/>
        <v>1</v>
      </c>
      <c r="DQ139" s="7" t="b">
        <f t="shared" si="119"/>
        <v>1</v>
      </c>
      <c r="DR139" s="7" t="b">
        <f t="shared" si="120"/>
        <v>1</v>
      </c>
      <c r="DS139" s="7" t="b">
        <f t="shared" si="121"/>
        <v>0</v>
      </c>
    </row>
    <row r="140" spans="1:123" s="7" customFormat="1" ht="63">
      <c r="A140" s="7" t="s">
        <v>570</v>
      </c>
      <c r="B140" s="453">
        <v>126</v>
      </c>
      <c r="C140" s="642" t="s">
        <v>579</v>
      </c>
      <c r="D140" s="453" t="s">
        <v>646</v>
      </c>
      <c r="E140" s="453" t="s">
        <v>622</v>
      </c>
      <c r="F140" s="194" t="s">
        <v>568</v>
      </c>
      <c r="G140" s="453">
        <v>1</v>
      </c>
      <c r="H140" s="443" t="s">
        <v>192</v>
      </c>
      <c r="I140" s="454" t="s">
        <v>380</v>
      </c>
      <c r="J140" s="455">
        <v>220</v>
      </c>
      <c r="K140" s="455"/>
      <c r="L140" s="455">
        <f t="shared" si="122"/>
        <v>220</v>
      </c>
      <c r="M140" s="455">
        <f t="shared" si="123"/>
        <v>220</v>
      </c>
      <c r="N140" s="455">
        <f t="shared" si="124"/>
        <v>220</v>
      </c>
      <c r="O140" s="456" t="s">
        <v>381</v>
      </c>
      <c r="P140" s="457">
        <v>200</v>
      </c>
      <c r="Q140" s="457"/>
      <c r="R140" s="457">
        <f t="shared" si="105"/>
        <v>200</v>
      </c>
      <c r="S140" s="457">
        <f t="shared" si="106"/>
        <v>200</v>
      </c>
      <c r="T140" s="457">
        <f t="shared" si="107"/>
        <v>200</v>
      </c>
      <c r="U140" s="458" t="s">
        <v>382</v>
      </c>
      <c r="V140" s="459">
        <v>147</v>
      </c>
      <c r="W140" s="459"/>
      <c r="X140" s="459">
        <f t="shared" si="108"/>
        <v>147</v>
      </c>
      <c r="Y140" s="459">
        <f t="shared" si="109"/>
        <v>147</v>
      </c>
      <c r="Z140" s="459">
        <f t="shared" si="110"/>
        <v>147</v>
      </c>
      <c r="AA140" s="460">
        <f t="shared" si="125"/>
        <v>189</v>
      </c>
      <c r="AB140" s="460">
        <f t="shared" si="111"/>
        <v>189</v>
      </c>
      <c r="AC140" s="461">
        <f t="shared" si="126"/>
        <v>37.722672227720032</v>
      </c>
      <c r="AD140" s="427">
        <f t="shared" si="112"/>
        <v>0.19959085834772503</v>
      </c>
      <c r="AE140" s="428"/>
      <c r="BH140" s="7">
        <v>17</v>
      </c>
      <c r="DB140" s="7" t="str">
        <f>VLOOKUP(D140,listaBolsa!$D$2:$BA$1248,1,0)</f>
        <v>Plántula de Perejil crespo (Petroselinum crispum var. crispum)</v>
      </c>
      <c r="DC140" s="7">
        <f>VLOOKUP(D140,listaBolsa!$D$2:$BA$1248,2,0)</f>
        <v>0</v>
      </c>
      <c r="DD140" s="7" t="str">
        <f>VLOOKUP(D140,listaBolsa!$D$2:$BA$1248,10,0)</f>
        <v xml:space="preserve">JUNTOS DE LA MANO </v>
      </c>
      <c r="DE140" s="7">
        <f>VLOOKUP(D140,listaBolsa!$D$2:$BA$1248,14,0)</f>
        <v>220</v>
      </c>
      <c r="DF140" s="7" t="str">
        <f>VLOOKUP(D140,listaBolsa!$D$2:$BA$1248,23,0)</f>
        <v>MYCBDE</v>
      </c>
      <c r="DG140" s="7">
        <f>VLOOKUP(D140,listaBolsa!$D$2:$BA$1248,29,0)</f>
        <v>200</v>
      </c>
      <c r="DH140" s="7" t="str">
        <f>VLOOKUP(D140,listaBolsa!$D$2:$BA$1248,36,0)</f>
        <v>DAGROW</v>
      </c>
      <c r="DI140" s="7">
        <f>VLOOKUP(D140,listaBolsa!$D$2:$BA$1248,40,0)</f>
        <v>147</v>
      </c>
      <c r="DJ140" s="252">
        <f>VLOOKUP(D140,listaBolsa!$D$2:$BA$1248,48,0)</f>
        <v>0.1996</v>
      </c>
      <c r="DK140" s="7" t="b">
        <f t="shared" si="113"/>
        <v>1</v>
      </c>
      <c r="DL140" s="7" t="b">
        <f t="shared" si="114"/>
        <v>0</v>
      </c>
      <c r="DM140" s="7" t="b">
        <f t="shared" si="115"/>
        <v>1</v>
      </c>
      <c r="DN140" s="7" t="b">
        <f t="shared" si="116"/>
        <v>1</v>
      </c>
      <c r="DO140" s="7" t="b">
        <f t="shared" si="117"/>
        <v>1</v>
      </c>
      <c r="DP140" s="7" t="b">
        <f t="shared" si="118"/>
        <v>1</v>
      </c>
      <c r="DQ140" s="7" t="b">
        <f t="shared" si="119"/>
        <v>1</v>
      </c>
      <c r="DR140" s="7" t="b">
        <f t="shared" si="120"/>
        <v>1</v>
      </c>
      <c r="DS140" s="7" t="b">
        <f t="shared" si="121"/>
        <v>0</v>
      </c>
    </row>
    <row r="141" spans="1:123" s="7" customFormat="1" ht="42">
      <c r="A141" s="7" t="s">
        <v>570</v>
      </c>
      <c r="B141" s="453">
        <v>127</v>
      </c>
      <c r="C141" s="642" t="s">
        <v>579</v>
      </c>
      <c r="D141" s="453" t="s">
        <v>648</v>
      </c>
      <c r="E141" s="453" t="s">
        <v>622</v>
      </c>
      <c r="F141" s="194" t="s">
        <v>568</v>
      </c>
      <c r="G141" s="453">
        <v>1</v>
      </c>
      <c r="H141" s="443" t="s">
        <v>192</v>
      </c>
      <c r="I141" s="454" t="s">
        <v>380</v>
      </c>
      <c r="J141" s="455">
        <v>880</v>
      </c>
      <c r="K141" s="455">
        <f>J141*19%</f>
        <v>167.2</v>
      </c>
      <c r="L141" s="455">
        <f t="shared" si="122"/>
        <v>1047.2</v>
      </c>
      <c r="M141" s="455">
        <f t="shared" si="123"/>
        <v>880</v>
      </c>
      <c r="N141" s="455">
        <f t="shared" si="124"/>
        <v>1047.2</v>
      </c>
      <c r="O141" s="456" t="s">
        <v>381</v>
      </c>
      <c r="P141" s="457">
        <v>700</v>
      </c>
      <c r="Q141" s="457">
        <f>P141*19%</f>
        <v>133</v>
      </c>
      <c r="R141" s="457">
        <f t="shared" si="105"/>
        <v>833</v>
      </c>
      <c r="S141" s="457">
        <f t="shared" si="106"/>
        <v>700</v>
      </c>
      <c r="T141" s="457">
        <f t="shared" si="107"/>
        <v>833</v>
      </c>
      <c r="U141" s="458" t="s">
        <v>382</v>
      </c>
      <c r="V141" s="459">
        <v>616</v>
      </c>
      <c r="W141" s="459">
        <f>V141*19%</f>
        <v>117.04</v>
      </c>
      <c r="X141" s="459">
        <f t="shared" si="108"/>
        <v>733.04</v>
      </c>
      <c r="Y141" s="459">
        <f t="shared" si="109"/>
        <v>616</v>
      </c>
      <c r="Z141" s="459">
        <f t="shared" si="110"/>
        <v>733.04</v>
      </c>
      <c r="AA141" s="460">
        <f t="shared" si="125"/>
        <v>871.07999999999993</v>
      </c>
      <c r="AB141" s="460">
        <f t="shared" si="111"/>
        <v>871.07999999999993</v>
      </c>
      <c r="AC141" s="461">
        <f t="shared" si="126"/>
        <v>160.50448965683245</v>
      </c>
      <c r="AD141" s="427">
        <f t="shared" si="112"/>
        <v>0.18425918360751303</v>
      </c>
      <c r="AE141" s="428"/>
      <c r="BH141" s="7">
        <v>18</v>
      </c>
      <c r="DB141" s="7" t="str">
        <f>VLOOKUP(D141,listaBolsa!$D$2:$BA$1248,1,0)</f>
        <v>Pántula de Zuchini amarillo (Cucurbita pepo)</v>
      </c>
      <c r="DC141" s="7">
        <f>VLOOKUP(D141,listaBolsa!$D$2:$BA$1248,2,0)</f>
        <v>0</v>
      </c>
      <c r="DD141" s="7" t="str">
        <f>VLOOKUP(D141,listaBolsa!$D$2:$BA$1248,10,0)</f>
        <v xml:space="preserve">JUNTOS DE LA MANO </v>
      </c>
      <c r="DE141" s="7">
        <f>VLOOKUP(D141,listaBolsa!$D$2:$BA$1248,14,0)</f>
        <v>880</v>
      </c>
      <c r="DF141" s="7" t="str">
        <f>VLOOKUP(D141,listaBolsa!$D$2:$BA$1248,23,0)</f>
        <v>MYCBDE</v>
      </c>
      <c r="DG141" s="7">
        <f>VLOOKUP(D141,listaBolsa!$D$2:$BA$1248,29,0)</f>
        <v>700</v>
      </c>
      <c r="DH141" s="7" t="str">
        <f>VLOOKUP(D141,listaBolsa!$D$2:$BA$1248,36,0)</f>
        <v>DAGROW</v>
      </c>
      <c r="DI141" s="7">
        <f>VLOOKUP(D141,listaBolsa!$D$2:$BA$1248,40,0)</f>
        <v>616</v>
      </c>
      <c r="DJ141" s="252">
        <f>VLOOKUP(D141,listaBolsa!$D$2:$BA$1248,48,0)</f>
        <v>0.18429999999999999</v>
      </c>
      <c r="DK141" s="7" t="b">
        <f t="shared" si="113"/>
        <v>1</v>
      </c>
      <c r="DL141" s="7" t="b">
        <f t="shared" si="114"/>
        <v>0</v>
      </c>
      <c r="DM141" s="7" t="b">
        <f t="shared" si="115"/>
        <v>1</v>
      </c>
      <c r="DN141" s="7" t="b">
        <f t="shared" si="116"/>
        <v>1</v>
      </c>
      <c r="DO141" s="7" t="b">
        <f t="shared" si="117"/>
        <v>1</v>
      </c>
      <c r="DP141" s="7" t="b">
        <f t="shared" si="118"/>
        <v>1</v>
      </c>
      <c r="DQ141" s="7" t="b">
        <f t="shared" si="119"/>
        <v>1</v>
      </c>
      <c r="DR141" s="7" t="b">
        <f t="shared" si="120"/>
        <v>1</v>
      </c>
      <c r="DS141" s="7" t="b">
        <f t="shared" si="121"/>
        <v>0</v>
      </c>
    </row>
    <row r="142" spans="1:123" s="7" customFormat="1" ht="42">
      <c r="A142" s="7" t="s">
        <v>570</v>
      </c>
      <c r="B142" s="453">
        <v>128</v>
      </c>
      <c r="C142" s="642" t="s">
        <v>579</v>
      </c>
      <c r="D142" s="453" t="s">
        <v>650</v>
      </c>
      <c r="E142" s="453" t="s">
        <v>622</v>
      </c>
      <c r="F142" s="194" t="s">
        <v>568</v>
      </c>
      <c r="G142" s="453">
        <v>1</v>
      </c>
      <c r="H142" s="443" t="s">
        <v>192</v>
      </c>
      <c r="I142" s="454" t="s">
        <v>380</v>
      </c>
      <c r="J142" s="455">
        <v>800</v>
      </c>
      <c r="K142" s="455"/>
      <c r="L142" s="455">
        <f t="shared" si="122"/>
        <v>800</v>
      </c>
      <c r="M142" s="455">
        <f t="shared" si="123"/>
        <v>800</v>
      </c>
      <c r="N142" s="455">
        <f t="shared" si="124"/>
        <v>800</v>
      </c>
      <c r="O142" s="456" t="s">
        <v>381</v>
      </c>
      <c r="P142" s="457">
        <v>700</v>
      </c>
      <c r="Q142" s="457"/>
      <c r="R142" s="457">
        <f t="shared" si="105"/>
        <v>700</v>
      </c>
      <c r="S142" s="457">
        <f t="shared" si="106"/>
        <v>700</v>
      </c>
      <c r="T142" s="457">
        <f t="shared" si="107"/>
        <v>700</v>
      </c>
      <c r="U142" s="458" t="s">
        <v>382</v>
      </c>
      <c r="V142" s="459">
        <v>616</v>
      </c>
      <c r="W142" s="459"/>
      <c r="X142" s="459">
        <f t="shared" si="108"/>
        <v>616</v>
      </c>
      <c r="Y142" s="459">
        <f t="shared" si="109"/>
        <v>616</v>
      </c>
      <c r="Z142" s="459">
        <f t="shared" si="110"/>
        <v>616</v>
      </c>
      <c r="AA142" s="460">
        <f t="shared" si="125"/>
        <v>705.33333333333337</v>
      </c>
      <c r="AB142" s="460">
        <f t="shared" si="111"/>
        <v>705.33333333333337</v>
      </c>
      <c r="AC142" s="461">
        <f t="shared" si="126"/>
        <v>92.115869063551543</v>
      </c>
      <c r="AD142" s="427">
        <f t="shared" si="112"/>
        <v>0.13059905821864584</v>
      </c>
      <c r="AE142" s="428"/>
      <c r="BH142" s="7">
        <v>19</v>
      </c>
      <c r="DB142" s="7" t="str">
        <f>VLOOKUP(D142,listaBolsa!$D$2:$BA$1248,1,0)</f>
        <v>Plántula de Zuchini verde (Cucurbita pepo)</v>
      </c>
      <c r="DC142" s="7">
        <f>VLOOKUP(D142,listaBolsa!$D$2:$BA$1248,2,0)</f>
        <v>0</v>
      </c>
      <c r="DD142" s="7" t="str">
        <f>VLOOKUP(D142,listaBolsa!$D$2:$BA$1248,10,0)</f>
        <v xml:space="preserve">JUNTOS DE LA MANO </v>
      </c>
      <c r="DE142" s="7">
        <f>VLOOKUP(D142,listaBolsa!$D$2:$BA$1248,14,0)</f>
        <v>800</v>
      </c>
      <c r="DF142" s="7" t="str">
        <f>VLOOKUP(D142,listaBolsa!$D$2:$BA$1248,23,0)</f>
        <v>MYCBDE</v>
      </c>
      <c r="DG142" s="7">
        <f>VLOOKUP(D142,listaBolsa!$D$2:$BA$1248,29,0)</f>
        <v>700</v>
      </c>
      <c r="DH142" s="7" t="str">
        <f>VLOOKUP(D142,listaBolsa!$D$2:$BA$1248,36,0)</f>
        <v>DAGROW</v>
      </c>
      <c r="DI142" s="7">
        <f>VLOOKUP(D142,listaBolsa!$D$2:$BA$1248,40,0)</f>
        <v>616</v>
      </c>
      <c r="DJ142" s="252">
        <f>VLOOKUP(D142,listaBolsa!$D$2:$BA$1248,48,0)</f>
        <v>0.13059999999999999</v>
      </c>
      <c r="DK142" s="7" t="b">
        <f t="shared" si="113"/>
        <v>1</v>
      </c>
      <c r="DL142" s="7" t="b">
        <f t="shared" si="114"/>
        <v>0</v>
      </c>
      <c r="DM142" s="7" t="b">
        <f t="shared" si="115"/>
        <v>1</v>
      </c>
      <c r="DN142" s="7" t="b">
        <f t="shared" si="116"/>
        <v>1</v>
      </c>
      <c r="DO142" s="7" t="b">
        <f t="shared" si="117"/>
        <v>1</v>
      </c>
      <c r="DP142" s="7" t="b">
        <f t="shared" si="118"/>
        <v>1</v>
      </c>
      <c r="DQ142" s="7" t="b">
        <f t="shared" si="119"/>
        <v>1</v>
      </c>
      <c r="DR142" s="7" t="b">
        <f t="shared" si="120"/>
        <v>1</v>
      </c>
      <c r="DS142" s="7" t="b">
        <f t="shared" si="121"/>
        <v>0</v>
      </c>
    </row>
    <row r="143" spans="1:123" s="7" customFormat="1" ht="42">
      <c r="A143" s="7" t="s">
        <v>570</v>
      </c>
      <c r="B143" s="453">
        <v>129</v>
      </c>
      <c r="C143" s="642" t="s">
        <v>579</v>
      </c>
      <c r="D143" s="453" t="s">
        <v>652</v>
      </c>
      <c r="E143" s="453" t="s">
        <v>622</v>
      </c>
      <c r="F143" s="194" t="s">
        <v>568</v>
      </c>
      <c r="G143" s="453">
        <v>1</v>
      </c>
      <c r="H143" s="443" t="s">
        <v>192</v>
      </c>
      <c r="I143" s="454" t="s">
        <v>380</v>
      </c>
      <c r="J143" s="455">
        <v>280</v>
      </c>
      <c r="K143" s="455"/>
      <c r="L143" s="455">
        <f t="shared" si="122"/>
        <v>280</v>
      </c>
      <c r="M143" s="455">
        <f t="shared" si="123"/>
        <v>280</v>
      </c>
      <c r="N143" s="455">
        <f t="shared" si="124"/>
        <v>280</v>
      </c>
      <c r="O143" s="456" t="s">
        <v>381</v>
      </c>
      <c r="P143" s="457">
        <v>250</v>
      </c>
      <c r="Q143" s="457"/>
      <c r="R143" s="457">
        <f t="shared" si="105"/>
        <v>250</v>
      </c>
      <c r="S143" s="457">
        <f t="shared" si="106"/>
        <v>250</v>
      </c>
      <c r="T143" s="457">
        <f t="shared" si="107"/>
        <v>250</v>
      </c>
      <c r="U143" s="458" t="s">
        <v>382</v>
      </c>
      <c r="V143" s="459">
        <v>216</v>
      </c>
      <c r="W143" s="459"/>
      <c r="X143" s="459">
        <f t="shared" si="108"/>
        <v>216</v>
      </c>
      <c r="Y143" s="459">
        <f t="shared" si="109"/>
        <v>216</v>
      </c>
      <c r="Z143" s="459">
        <f t="shared" si="110"/>
        <v>216</v>
      </c>
      <c r="AA143" s="460">
        <f t="shared" si="125"/>
        <v>248.66666666666666</v>
      </c>
      <c r="AB143" s="460">
        <f t="shared" si="111"/>
        <v>248.66666666666666</v>
      </c>
      <c r="AC143" s="461">
        <f t="shared" si="126"/>
        <v>32.020826556060797</v>
      </c>
      <c r="AD143" s="427">
        <f t="shared" si="112"/>
        <v>0.12877007998415871</v>
      </c>
      <c r="AE143" s="428"/>
      <c r="BH143" s="7">
        <v>20</v>
      </c>
      <c r="DB143" s="7" t="str">
        <f>VLOOKUP(D143,listaBolsa!$D$2:$BA$1248,1,0)</f>
        <v>Plántula de Brócoli Liso (Brassica oleracea var. italica)</v>
      </c>
      <c r="DC143" s="7">
        <f>VLOOKUP(D143,listaBolsa!$D$2:$BA$1248,2,0)</f>
        <v>0</v>
      </c>
      <c r="DD143" s="7" t="str">
        <f>VLOOKUP(D143,listaBolsa!$D$2:$BA$1248,10,0)</f>
        <v xml:space="preserve">JUNTOS DE LA MANO </v>
      </c>
      <c r="DE143" s="7">
        <f>VLOOKUP(D143,listaBolsa!$D$2:$BA$1248,14,0)</f>
        <v>280</v>
      </c>
      <c r="DF143" s="7" t="str">
        <f>VLOOKUP(D143,listaBolsa!$D$2:$BA$1248,23,0)</f>
        <v>MYCBDE</v>
      </c>
      <c r="DG143" s="7">
        <f>VLOOKUP(D143,listaBolsa!$D$2:$BA$1248,29,0)</f>
        <v>250</v>
      </c>
      <c r="DH143" s="7" t="str">
        <f>VLOOKUP(D143,listaBolsa!$D$2:$BA$1248,36,0)</f>
        <v>DAGROW</v>
      </c>
      <c r="DI143" s="7">
        <f>VLOOKUP(D143,listaBolsa!$D$2:$BA$1248,40,0)</f>
        <v>216</v>
      </c>
      <c r="DJ143" s="252">
        <f>VLOOKUP(D143,listaBolsa!$D$2:$BA$1248,48,0)</f>
        <v>0.1288</v>
      </c>
      <c r="DK143" s="7" t="b">
        <f t="shared" si="113"/>
        <v>1</v>
      </c>
      <c r="DL143" s="7" t="b">
        <f t="shared" si="114"/>
        <v>0</v>
      </c>
      <c r="DM143" s="7" t="b">
        <f t="shared" si="115"/>
        <v>1</v>
      </c>
      <c r="DN143" s="7" t="b">
        <f t="shared" si="116"/>
        <v>1</v>
      </c>
      <c r="DO143" s="7" t="b">
        <f t="shared" si="117"/>
        <v>1</v>
      </c>
      <c r="DP143" s="7" t="b">
        <f t="shared" si="118"/>
        <v>1</v>
      </c>
      <c r="DQ143" s="7" t="b">
        <f t="shared" si="119"/>
        <v>1</v>
      </c>
      <c r="DR143" s="7" t="b">
        <f t="shared" si="120"/>
        <v>1</v>
      </c>
      <c r="DS143" s="7" t="b">
        <f t="shared" si="121"/>
        <v>0</v>
      </c>
    </row>
    <row r="144" spans="1:123" s="7" customFormat="1" ht="63">
      <c r="A144" s="7" t="s">
        <v>570</v>
      </c>
      <c r="B144" s="453">
        <v>130</v>
      </c>
      <c r="C144" s="642" t="s">
        <v>579</v>
      </c>
      <c r="D144" s="453" t="s">
        <v>654</v>
      </c>
      <c r="E144" s="453" t="s">
        <v>622</v>
      </c>
      <c r="F144" s="194" t="s">
        <v>568</v>
      </c>
      <c r="G144" s="453">
        <v>1</v>
      </c>
      <c r="H144" s="443" t="s">
        <v>192</v>
      </c>
      <c r="I144" s="454" t="s">
        <v>603</v>
      </c>
      <c r="J144" s="455">
        <v>1500</v>
      </c>
      <c r="K144" s="455"/>
      <c r="L144" s="455">
        <f t="shared" si="122"/>
        <v>1500</v>
      </c>
      <c r="M144" s="455">
        <f t="shared" si="123"/>
        <v>1500</v>
      </c>
      <c r="N144" s="455">
        <f t="shared" si="124"/>
        <v>1500</v>
      </c>
      <c r="O144" s="456" t="s">
        <v>604</v>
      </c>
      <c r="P144" s="457">
        <v>1200</v>
      </c>
      <c r="Q144" s="457"/>
      <c r="R144" s="457">
        <f t="shared" si="105"/>
        <v>1200</v>
      </c>
      <c r="S144" s="457">
        <f t="shared" si="106"/>
        <v>1200</v>
      </c>
      <c r="T144" s="457">
        <f t="shared" si="107"/>
        <v>1200</v>
      </c>
      <c r="U144" s="458" t="s">
        <v>605</v>
      </c>
      <c r="V144" s="459">
        <v>1800</v>
      </c>
      <c r="W144" s="459"/>
      <c r="X144" s="459">
        <f t="shared" si="108"/>
        <v>1800</v>
      </c>
      <c r="Y144" s="459">
        <f t="shared" si="109"/>
        <v>1800</v>
      </c>
      <c r="Z144" s="459">
        <f t="shared" si="110"/>
        <v>1800</v>
      </c>
      <c r="AA144" s="460">
        <f t="shared" si="125"/>
        <v>1500</v>
      </c>
      <c r="AB144" s="460">
        <f t="shared" si="111"/>
        <v>1500</v>
      </c>
      <c r="AC144" s="461">
        <f t="shared" si="126"/>
        <v>300</v>
      </c>
      <c r="AD144" s="427">
        <f t="shared" si="112"/>
        <v>0.2</v>
      </c>
      <c r="AE144" s="428"/>
      <c r="BH144" s="7">
        <v>21</v>
      </c>
      <c r="DB144" s="7" t="str">
        <f>VLOOKUP(D144,listaBolsa!$D$2:$BA$1248,1,0)</f>
        <v>Plántula de Brocoli Romanesco (Brassica oleracea var. botrytis)</v>
      </c>
      <c r="DC144" s="7">
        <f>VLOOKUP(D144,listaBolsa!$D$2:$BA$1248,2,0)</f>
        <v>0</v>
      </c>
      <c r="DD144" s="7" t="str">
        <f>VLOOKUP(D144,listaBolsa!$D$2:$BA$1248,10,0)</f>
        <v>AGRIPLANT</v>
      </c>
      <c r="DE144" s="7">
        <f>VLOOKUP(D144,listaBolsa!$D$2:$BA$1248,14,0)</f>
        <v>1500</v>
      </c>
      <c r="DF144" s="7" t="str">
        <f>VLOOKUP(D144,listaBolsa!$D$2:$BA$1248,23,0)</f>
        <v>SEMBRAMOS VIVEROS ONLINE</v>
      </c>
      <c r="DG144" s="7">
        <f>VLOOKUP(D144,listaBolsa!$D$2:$BA$1248,29,0)</f>
        <v>1200</v>
      </c>
      <c r="DH144" s="7" t="str">
        <f>VLOOKUP(D144,listaBolsa!$D$2:$BA$1248,36,0)</f>
        <v>PAQUA</v>
      </c>
      <c r="DI144" s="7">
        <f>VLOOKUP(D144,listaBolsa!$D$2:$BA$1248,40,0)</f>
        <v>1800</v>
      </c>
      <c r="DJ144" s="252">
        <f>VLOOKUP(D144,listaBolsa!$D$2:$BA$1248,48,0)</f>
        <v>0.2</v>
      </c>
      <c r="DK144" s="7" t="b">
        <f t="shared" si="113"/>
        <v>1</v>
      </c>
      <c r="DL144" s="7" t="b">
        <f t="shared" si="114"/>
        <v>0</v>
      </c>
      <c r="DM144" s="7" t="b">
        <f t="shared" si="115"/>
        <v>1</v>
      </c>
      <c r="DN144" s="7" t="b">
        <f t="shared" si="116"/>
        <v>1</v>
      </c>
      <c r="DO144" s="7" t="b">
        <f t="shared" si="117"/>
        <v>1</v>
      </c>
      <c r="DP144" s="7" t="b">
        <f t="shared" si="118"/>
        <v>1</v>
      </c>
      <c r="DQ144" s="7" t="b">
        <f t="shared" si="119"/>
        <v>1</v>
      </c>
      <c r="DR144" s="7" t="b">
        <f t="shared" si="120"/>
        <v>1</v>
      </c>
      <c r="DS144" s="7" t="b">
        <f t="shared" si="121"/>
        <v>1</v>
      </c>
    </row>
    <row r="145" spans="1:126" s="7" customFormat="1" ht="63">
      <c r="A145" s="7" t="s">
        <v>570</v>
      </c>
      <c r="B145" s="453">
        <v>131</v>
      </c>
      <c r="C145" s="642" t="s">
        <v>579</v>
      </c>
      <c r="D145" s="453" t="s">
        <v>656</v>
      </c>
      <c r="E145" s="453" t="s">
        <v>622</v>
      </c>
      <c r="F145" s="194" t="s">
        <v>568</v>
      </c>
      <c r="G145" s="453">
        <v>1</v>
      </c>
      <c r="H145" s="443" t="s">
        <v>192</v>
      </c>
      <c r="I145" s="454" t="s">
        <v>380</v>
      </c>
      <c r="J145" s="455">
        <v>2600</v>
      </c>
      <c r="K145" s="455"/>
      <c r="L145" s="455">
        <f t="shared" si="122"/>
        <v>2600</v>
      </c>
      <c r="M145" s="455">
        <f t="shared" si="123"/>
        <v>2600</v>
      </c>
      <c r="N145" s="455">
        <f t="shared" si="124"/>
        <v>2600</v>
      </c>
      <c r="O145" s="456" t="s">
        <v>381</v>
      </c>
      <c r="P145" s="457">
        <v>2500</v>
      </c>
      <c r="Q145" s="457"/>
      <c r="R145" s="457">
        <f t="shared" si="105"/>
        <v>2500</v>
      </c>
      <c r="S145" s="457">
        <f t="shared" si="106"/>
        <v>2500</v>
      </c>
      <c r="T145" s="457">
        <f t="shared" si="107"/>
        <v>2500</v>
      </c>
      <c r="U145" s="458" t="s">
        <v>382</v>
      </c>
      <c r="V145" s="459">
        <v>2387</v>
      </c>
      <c r="W145" s="459"/>
      <c r="X145" s="459">
        <f t="shared" si="108"/>
        <v>2387</v>
      </c>
      <c r="Y145" s="459">
        <f t="shared" si="109"/>
        <v>2387</v>
      </c>
      <c r="Z145" s="459">
        <f t="shared" si="110"/>
        <v>2387</v>
      </c>
      <c r="AA145" s="460">
        <f t="shared" si="125"/>
        <v>2495.6666666666665</v>
      </c>
      <c r="AB145" s="460">
        <f t="shared" si="111"/>
        <v>2495.6666666666665</v>
      </c>
      <c r="AC145" s="461">
        <f t="shared" si="126"/>
        <v>106.56609842409232</v>
      </c>
      <c r="AD145" s="427">
        <f t="shared" si="112"/>
        <v>4.2700453489017895E-2</v>
      </c>
      <c r="AE145" s="428"/>
      <c r="BH145" s="7">
        <v>22</v>
      </c>
      <c r="DB145" s="7" t="str">
        <f>VLOOKUP(D145,listaBolsa!$D$2:$BA$1248,1,0)</f>
        <v>Plántula de Tomate Cherry (Solanum lycopersicum var. cerasiforme)</v>
      </c>
      <c r="DC145" s="7">
        <f>VLOOKUP(D145,listaBolsa!$D$2:$BA$1248,2,0)</f>
        <v>0</v>
      </c>
      <c r="DD145" s="7" t="str">
        <f>VLOOKUP(D145,listaBolsa!$D$2:$BA$1248,10,0)</f>
        <v xml:space="preserve">JUNTOS DE LA MANO </v>
      </c>
      <c r="DE145" s="7">
        <f>VLOOKUP(D145,listaBolsa!$D$2:$BA$1248,14,0)</f>
        <v>2600</v>
      </c>
      <c r="DF145" s="7" t="str">
        <f>VLOOKUP(D145,listaBolsa!$D$2:$BA$1248,23,0)</f>
        <v>MYCBDE</v>
      </c>
      <c r="DG145" s="7">
        <f>VLOOKUP(D145,listaBolsa!$D$2:$BA$1248,29,0)</f>
        <v>2500</v>
      </c>
      <c r="DH145" s="7" t="str">
        <f>VLOOKUP(D145,listaBolsa!$D$2:$BA$1248,36,0)</f>
        <v>DAGROW</v>
      </c>
      <c r="DI145" s="7">
        <f>VLOOKUP(D145,listaBolsa!$D$2:$BA$1248,40,0)</f>
        <v>2387</v>
      </c>
      <c r="DJ145" s="252">
        <f>VLOOKUP(D145,listaBolsa!$D$2:$BA$1248,48,0)</f>
        <v>4.2700000000000002E-2</v>
      </c>
      <c r="DK145" s="7" t="b">
        <f t="shared" si="113"/>
        <v>1</v>
      </c>
      <c r="DL145" s="7" t="b">
        <f t="shared" si="114"/>
        <v>0</v>
      </c>
      <c r="DM145" s="7" t="b">
        <f t="shared" si="115"/>
        <v>1</v>
      </c>
      <c r="DN145" s="7" t="b">
        <f t="shared" si="116"/>
        <v>1</v>
      </c>
      <c r="DO145" s="7" t="b">
        <f t="shared" si="117"/>
        <v>1</v>
      </c>
      <c r="DP145" s="7" t="b">
        <f t="shared" si="118"/>
        <v>1</v>
      </c>
      <c r="DQ145" s="7" t="b">
        <f t="shared" si="119"/>
        <v>1</v>
      </c>
      <c r="DR145" s="7" t="b">
        <f t="shared" si="120"/>
        <v>1</v>
      </c>
      <c r="DS145" s="7" t="b">
        <f t="shared" si="121"/>
        <v>0</v>
      </c>
    </row>
    <row r="146" spans="1:126" s="7" customFormat="1" ht="42">
      <c r="A146" s="7" t="s">
        <v>570</v>
      </c>
      <c r="B146" s="453">
        <v>132</v>
      </c>
      <c r="C146" s="642" t="s">
        <v>579</v>
      </c>
      <c r="D146" s="453" t="s">
        <v>658</v>
      </c>
      <c r="E146" s="453" t="s">
        <v>622</v>
      </c>
      <c r="F146" s="194" t="s">
        <v>568</v>
      </c>
      <c r="G146" s="453">
        <v>1</v>
      </c>
      <c r="H146" s="443" t="s">
        <v>192</v>
      </c>
      <c r="I146" s="454" t="s">
        <v>380</v>
      </c>
      <c r="J146" s="455">
        <v>220</v>
      </c>
      <c r="K146" s="455"/>
      <c r="L146" s="455">
        <f t="shared" ref="L146:L177" si="127">J146+K146</f>
        <v>220</v>
      </c>
      <c r="M146" s="455">
        <f t="shared" ref="M146:M177" si="128">IF(C146="","",(J146*G146))</f>
        <v>220</v>
      </c>
      <c r="N146" s="455">
        <f t="shared" ref="N146:N177" si="129">IF(C146="","",(L146*G146))</f>
        <v>220</v>
      </c>
      <c r="O146" s="456" t="s">
        <v>381</v>
      </c>
      <c r="P146" s="457">
        <v>200</v>
      </c>
      <c r="Q146" s="457"/>
      <c r="R146" s="457">
        <f t="shared" ref="R146:R177" si="130">P146+Q146</f>
        <v>200</v>
      </c>
      <c r="S146" s="457">
        <f t="shared" ref="S146:S177" si="131">IF(C146="","",(P146*G146))</f>
        <v>200</v>
      </c>
      <c r="T146" s="457">
        <f t="shared" ref="T146:T177" si="132">IF(C146="","",(R146*G146))</f>
        <v>200</v>
      </c>
      <c r="U146" s="458" t="s">
        <v>382</v>
      </c>
      <c r="V146" s="459">
        <v>147</v>
      </c>
      <c r="W146" s="459"/>
      <c r="X146" s="459">
        <f t="shared" ref="X146:X175" si="133">V146+W146</f>
        <v>147</v>
      </c>
      <c r="Y146" s="459">
        <f t="shared" ref="Y146:Y175" si="134">IF(C146="","",(V146*G146))</f>
        <v>147</v>
      </c>
      <c r="Z146" s="459">
        <f t="shared" ref="Z146:Z175" si="135">IF(C146="","",(X146*G146))</f>
        <v>147</v>
      </c>
      <c r="AA146" s="460">
        <f t="shared" si="125"/>
        <v>189</v>
      </c>
      <c r="AB146" s="460">
        <f t="shared" ref="AB146:AB177" si="136">IF(C146="","",AA146*G146)</f>
        <v>189</v>
      </c>
      <c r="AC146" s="461">
        <f t="shared" si="126"/>
        <v>37.722672227720032</v>
      </c>
      <c r="AD146" s="427">
        <f t="shared" ref="AD146:AD177" si="137">IF(C146="","",(AC146/AB146))</f>
        <v>0.19959085834772503</v>
      </c>
      <c r="AE146" s="428"/>
      <c r="BH146" s="7">
        <v>23</v>
      </c>
      <c r="DB146" s="7" t="str">
        <f>VLOOKUP(D146,listaBolsa!$D$2:$BA$1248,1,0)</f>
        <v>Plántula de Rúgula ( Eruca vesicaria)</v>
      </c>
      <c r="DC146" s="7">
        <f>VLOOKUP(D146,listaBolsa!$D$2:$BA$1248,2,0)</f>
        <v>0</v>
      </c>
      <c r="DD146" s="7" t="str">
        <f>VLOOKUP(D146,listaBolsa!$D$2:$BA$1248,10,0)</f>
        <v xml:space="preserve">JUNTOS DE LA MANO </v>
      </c>
      <c r="DE146" s="7">
        <f>VLOOKUP(D146,listaBolsa!$D$2:$BA$1248,14,0)</f>
        <v>220</v>
      </c>
      <c r="DF146" s="7" t="str">
        <f>VLOOKUP(D146,listaBolsa!$D$2:$BA$1248,23,0)</f>
        <v>MYCBDE</v>
      </c>
      <c r="DG146" s="7">
        <f>VLOOKUP(D146,listaBolsa!$D$2:$BA$1248,29,0)</f>
        <v>200</v>
      </c>
      <c r="DH146" s="7" t="str">
        <f>VLOOKUP(D146,listaBolsa!$D$2:$BA$1248,36,0)</f>
        <v>DAGROW</v>
      </c>
      <c r="DI146" s="7">
        <f>VLOOKUP(D146,listaBolsa!$D$2:$BA$1248,40,0)</f>
        <v>147</v>
      </c>
      <c r="DJ146" s="252">
        <f>VLOOKUP(D146,listaBolsa!$D$2:$BA$1248,48,0)</f>
        <v>0.1996</v>
      </c>
      <c r="DK146" s="7" t="b">
        <f t="shared" ref="DK146:DK172" si="138">DB146=D146</f>
        <v>1</v>
      </c>
      <c r="DL146" s="7" t="b">
        <f t="shared" ref="DL146:DL172" si="139">DC146=E146</f>
        <v>0</v>
      </c>
      <c r="DM146" s="7" t="b">
        <f t="shared" ref="DM146:DM177" si="140">DD146=I146</f>
        <v>1</v>
      </c>
      <c r="DN146" s="7" t="b">
        <f t="shared" ref="DN146:DN177" si="141">DE146=J146</f>
        <v>1</v>
      </c>
      <c r="DO146" s="7" t="b">
        <f t="shared" ref="DO146:DO177" si="142">DF146=O146</f>
        <v>1</v>
      </c>
      <c r="DP146" s="7" t="b">
        <f t="shared" ref="DP146:DP177" si="143">DG146=P146</f>
        <v>1</v>
      </c>
      <c r="DQ146" s="7" t="b">
        <f t="shared" ref="DQ146:DQ177" si="144">DH146=U146</f>
        <v>1</v>
      </c>
      <c r="DR146" s="7" t="b">
        <f t="shared" ref="DR146:DR177" si="145">DI146=V146</f>
        <v>1</v>
      </c>
      <c r="DS146" s="7" t="b">
        <f t="shared" ref="DS146:DS177" si="146">DJ146=AD146</f>
        <v>0</v>
      </c>
    </row>
    <row r="147" spans="1:126" s="7" customFormat="1" ht="42">
      <c r="A147" s="7" t="s">
        <v>570</v>
      </c>
      <c r="B147" s="453">
        <v>133</v>
      </c>
      <c r="C147" s="642" t="s">
        <v>579</v>
      </c>
      <c r="D147" s="453" t="s">
        <v>660</v>
      </c>
      <c r="E147" s="453" t="s">
        <v>622</v>
      </c>
      <c r="F147" s="194" t="s">
        <v>568</v>
      </c>
      <c r="G147" s="453">
        <v>1</v>
      </c>
      <c r="H147" s="443" t="s">
        <v>192</v>
      </c>
      <c r="I147" s="454" t="s">
        <v>380</v>
      </c>
      <c r="J147" s="455">
        <v>260</v>
      </c>
      <c r="K147" s="455"/>
      <c r="L147" s="455">
        <f t="shared" si="127"/>
        <v>260</v>
      </c>
      <c r="M147" s="455">
        <f t="shared" si="128"/>
        <v>260</v>
      </c>
      <c r="N147" s="455">
        <f t="shared" si="129"/>
        <v>260</v>
      </c>
      <c r="O147" s="456" t="s">
        <v>381</v>
      </c>
      <c r="P147" s="457">
        <v>250</v>
      </c>
      <c r="Q147" s="457"/>
      <c r="R147" s="457">
        <f t="shared" si="130"/>
        <v>250</v>
      </c>
      <c r="S147" s="457">
        <f t="shared" si="131"/>
        <v>250</v>
      </c>
      <c r="T147" s="457">
        <f t="shared" si="132"/>
        <v>250</v>
      </c>
      <c r="U147" s="458" t="s">
        <v>382</v>
      </c>
      <c r="V147" s="459">
        <v>350</v>
      </c>
      <c r="W147" s="459"/>
      <c r="X147" s="459">
        <f t="shared" si="133"/>
        <v>350</v>
      </c>
      <c r="Y147" s="459">
        <f t="shared" si="134"/>
        <v>350</v>
      </c>
      <c r="Z147" s="459">
        <f t="shared" si="135"/>
        <v>350</v>
      </c>
      <c r="AA147" s="460">
        <f t="shared" ref="AA147:AA178" si="147">IF(B147="","",AVERAGE(L147,R147,X147))</f>
        <v>286.66666666666669</v>
      </c>
      <c r="AB147" s="460">
        <f t="shared" si="136"/>
        <v>286.66666666666669</v>
      </c>
      <c r="AC147" s="461">
        <f t="shared" ref="AC147:AC178" si="148">IF(C147="","",STDEV(N147,T147,Z147))</f>
        <v>55.075705472860975</v>
      </c>
      <c r="AD147" s="427">
        <f t="shared" si="137"/>
        <v>0.19212455397509642</v>
      </c>
      <c r="AE147" s="428"/>
      <c r="BH147" s="7">
        <v>24</v>
      </c>
      <c r="DB147" s="7" t="str">
        <f>VLOOKUP(D147,listaBolsa!$D$2:$BA$1248,1,0)</f>
        <v>Plántula de Tomillo (Thymus vulgaris)</v>
      </c>
      <c r="DC147" s="7">
        <f>VLOOKUP(D147,listaBolsa!$D$2:$BA$1248,2,0)</f>
        <v>0</v>
      </c>
      <c r="DD147" s="7" t="str">
        <f>VLOOKUP(D147,listaBolsa!$D$2:$BA$1248,10,0)</f>
        <v xml:space="preserve">JUNTOS DE LA MANO </v>
      </c>
      <c r="DE147" s="7">
        <f>VLOOKUP(D147,listaBolsa!$D$2:$BA$1248,14,0)</f>
        <v>260</v>
      </c>
      <c r="DF147" s="7" t="str">
        <f>VLOOKUP(D147,listaBolsa!$D$2:$BA$1248,23,0)</f>
        <v>MYCBDE</v>
      </c>
      <c r="DG147" s="7">
        <f>VLOOKUP(D147,listaBolsa!$D$2:$BA$1248,29,0)</f>
        <v>250</v>
      </c>
      <c r="DH147" s="7" t="str">
        <f>VLOOKUP(D147,listaBolsa!$D$2:$BA$1248,36,0)</f>
        <v>DAGROW</v>
      </c>
      <c r="DI147" s="7">
        <f>VLOOKUP(D147,listaBolsa!$D$2:$BA$1248,40,0)</f>
        <v>350</v>
      </c>
      <c r="DJ147" s="252">
        <f>VLOOKUP(D147,listaBolsa!$D$2:$BA$1248,48,0)</f>
        <v>0.19209999999999999</v>
      </c>
      <c r="DK147" s="7" t="b">
        <f t="shared" si="138"/>
        <v>1</v>
      </c>
      <c r="DL147" s="7" t="b">
        <f t="shared" si="139"/>
        <v>0</v>
      </c>
      <c r="DM147" s="7" t="b">
        <f t="shared" si="140"/>
        <v>1</v>
      </c>
      <c r="DN147" s="7" t="b">
        <f t="shared" si="141"/>
        <v>1</v>
      </c>
      <c r="DO147" s="7" t="b">
        <f t="shared" si="142"/>
        <v>1</v>
      </c>
      <c r="DP147" s="7" t="b">
        <f t="shared" si="143"/>
        <v>1</v>
      </c>
      <c r="DQ147" s="7" t="b">
        <f t="shared" si="144"/>
        <v>1</v>
      </c>
      <c r="DR147" s="7" t="b">
        <f t="shared" si="145"/>
        <v>1</v>
      </c>
      <c r="DS147" s="7" t="b">
        <f t="shared" si="146"/>
        <v>0</v>
      </c>
    </row>
    <row r="148" spans="1:126" s="7" customFormat="1" ht="42">
      <c r="A148" s="7" t="s">
        <v>570</v>
      </c>
      <c r="B148" s="453">
        <v>134</v>
      </c>
      <c r="C148" s="642" t="s">
        <v>579</v>
      </c>
      <c r="D148" s="453" t="s">
        <v>662</v>
      </c>
      <c r="E148" s="453" t="s">
        <v>622</v>
      </c>
      <c r="F148" s="194" t="s">
        <v>568</v>
      </c>
      <c r="G148" s="453">
        <v>1</v>
      </c>
      <c r="H148" s="443" t="s">
        <v>192</v>
      </c>
      <c r="I148" s="454" t="s">
        <v>380</v>
      </c>
      <c r="J148" s="455">
        <v>280</v>
      </c>
      <c r="K148" s="455"/>
      <c r="L148" s="455">
        <f t="shared" si="127"/>
        <v>280</v>
      </c>
      <c r="M148" s="455">
        <f t="shared" si="128"/>
        <v>280</v>
      </c>
      <c r="N148" s="455">
        <f t="shared" si="129"/>
        <v>280</v>
      </c>
      <c r="O148" s="456" t="s">
        <v>381</v>
      </c>
      <c r="P148" s="457">
        <v>250</v>
      </c>
      <c r="Q148" s="457"/>
      <c r="R148" s="457">
        <f t="shared" si="130"/>
        <v>250</v>
      </c>
      <c r="S148" s="457">
        <f t="shared" si="131"/>
        <v>250</v>
      </c>
      <c r="T148" s="457">
        <f t="shared" si="132"/>
        <v>250</v>
      </c>
      <c r="U148" s="458" t="s">
        <v>382</v>
      </c>
      <c r="V148" s="459">
        <v>193</v>
      </c>
      <c r="W148" s="459"/>
      <c r="X148" s="459">
        <f t="shared" si="133"/>
        <v>193</v>
      </c>
      <c r="Y148" s="459">
        <f t="shared" si="134"/>
        <v>193</v>
      </c>
      <c r="Z148" s="459">
        <f t="shared" si="135"/>
        <v>193</v>
      </c>
      <c r="AA148" s="460">
        <f t="shared" si="147"/>
        <v>241</v>
      </c>
      <c r="AB148" s="460">
        <f t="shared" si="136"/>
        <v>241</v>
      </c>
      <c r="AC148" s="461">
        <f t="shared" si="148"/>
        <v>44.192759587968709</v>
      </c>
      <c r="AD148" s="427">
        <f t="shared" si="137"/>
        <v>0.18337244642310668</v>
      </c>
      <c r="AE148" s="428"/>
      <c r="BH148" s="7">
        <v>25</v>
      </c>
      <c r="DB148" s="7" t="str">
        <f>VLOOKUP(D148,listaBolsa!$D$2:$BA$1248,1,0)</f>
        <v>Plántula de Apio (Apium graveolens)</v>
      </c>
      <c r="DC148" s="7">
        <f>VLOOKUP(D148,listaBolsa!$D$2:$BA$1248,2,0)</f>
        <v>0</v>
      </c>
      <c r="DD148" s="7" t="str">
        <f>VLOOKUP(D148,listaBolsa!$D$2:$BA$1248,10,0)</f>
        <v xml:space="preserve">JUNTOS DE LA MANO </v>
      </c>
      <c r="DE148" s="7">
        <f>VLOOKUP(D148,listaBolsa!$D$2:$BA$1248,14,0)</f>
        <v>280</v>
      </c>
      <c r="DF148" s="7" t="str">
        <f>VLOOKUP(D148,listaBolsa!$D$2:$BA$1248,23,0)</f>
        <v>MYCBDE</v>
      </c>
      <c r="DG148" s="7">
        <f>VLOOKUP(D148,listaBolsa!$D$2:$BA$1248,29,0)</f>
        <v>250</v>
      </c>
      <c r="DH148" s="7" t="str">
        <f>VLOOKUP(D148,listaBolsa!$D$2:$BA$1248,36,0)</f>
        <v>DAGROW</v>
      </c>
      <c r="DI148" s="7">
        <f>VLOOKUP(D148,listaBolsa!$D$2:$BA$1248,40,0)</f>
        <v>193</v>
      </c>
      <c r="DJ148" s="252">
        <f>VLOOKUP(D148,listaBolsa!$D$2:$BA$1248,48,0)</f>
        <v>0.18340000000000001</v>
      </c>
      <c r="DK148" s="7" t="b">
        <f t="shared" si="138"/>
        <v>1</v>
      </c>
      <c r="DL148" s="7" t="b">
        <f t="shared" si="139"/>
        <v>0</v>
      </c>
      <c r="DM148" s="7" t="b">
        <f t="shared" si="140"/>
        <v>1</v>
      </c>
      <c r="DN148" s="7" t="b">
        <f t="shared" si="141"/>
        <v>1</v>
      </c>
      <c r="DO148" s="7" t="b">
        <f t="shared" si="142"/>
        <v>1</v>
      </c>
      <c r="DP148" s="7" t="b">
        <f t="shared" si="143"/>
        <v>1</v>
      </c>
      <c r="DQ148" s="7" t="b">
        <f t="shared" si="144"/>
        <v>1</v>
      </c>
      <c r="DR148" s="7" t="b">
        <f t="shared" si="145"/>
        <v>1</v>
      </c>
      <c r="DS148" s="7" t="b">
        <f t="shared" si="146"/>
        <v>0</v>
      </c>
    </row>
    <row r="149" spans="1:126" s="7" customFormat="1" ht="42">
      <c r="A149" s="7" t="s">
        <v>570</v>
      </c>
      <c r="B149" s="453">
        <v>135</v>
      </c>
      <c r="C149" s="642" t="s">
        <v>579</v>
      </c>
      <c r="D149" s="453" t="s">
        <v>664</v>
      </c>
      <c r="E149" s="453" t="s">
        <v>622</v>
      </c>
      <c r="F149" s="194" t="s">
        <v>568</v>
      </c>
      <c r="G149" s="453">
        <v>1</v>
      </c>
      <c r="H149" s="443" t="s">
        <v>192</v>
      </c>
      <c r="I149" s="454" t="s">
        <v>665</v>
      </c>
      <c r="J149" s="455">
        <v>6722.6890756302528</v>
      </c>
      <c r="K149" s="455"/>
      <c r="L149" s="455">
        <f t="shared" si="127"/>
        <v>6722.6890756302528</v>
      </c>
      <c r="M149" s="455">
        <f t="shared" si="128"/>
        <v>6722.6890756302528</v>
      </c>
      <c r="N149" s="455">
        <f t="shared" si="129"/>
        <v>6722.6890756302528</v>
      </c>
      <c r="O149" s="456" t="s">
        <v>666</v>
      </c>
      <c r="P149" s="457">
        <v>6722.6890756302528</v>
      </c>
      <c r="Q149" s="457"/>
      <c r="R149" s="457">
        <f t="shared" si="130"/>
        <v>6722.6890756302528</v>
      </c>
      <c r="S149" s="457">
        <f t="shared" si="131"/>
        <v>6722.6890756302528</v>
      </c>
      <c r="T149" s="457">
        <f t="shared" si="132"/>
        <v>6722.6890756302528</v>
      </c>
      <c r="U149" s="458" t="s">
        <v>667</v>
      </c>
      <c r="V149" s="459">
        <v>8000</v>
      </c>
      <c r="W149" s="459"/>
      <c r="X149" s="459">
        <f t="shared" si="133"/>
        <v>8000</v>
      </c>
      <c r="Y149" s="459">
        <f t="shared" si="134"/>
        <v>8000</v>
      </c>
      <c r="Z149" s="459">
        <f t="shared" si="135"/>
        <v>8000</v>
      </c>
      <c r="AA149" s="460">
        <f t="shared" si="147"/>
        <v>7148.4593837535022</v>
      </c>
      <c r="AB149" s="460">
        <f t="shared" si="136"/>
        <v>7148.4593837535022</v>
      </c>
      <c r="AC149" s="461">
        <f t="shared" si="148"/>
        <v>737.45580602372331</v>
      </c>
      <c r="AD149" s="427">
        <f t="shared" si="137"/>
        <v>0.10316290076429044</v>
      </c>
      <c r="AE149" s="428"/>
      <c r="BH149" s="7">
        <v>26</v>
      </c>
      <c r="DB149" s="7" t="str">
        <f>VLOOKUP(D149,listaBolsa!$D$2:$BA$1248,1,0)</f>
        <v>Plántula de Frijol Cargamanto (Phaseolus vulgaris)</v>
      </c>
      <c r="DC149" s="7">
        <f>VLOOKUP(D149,listaBolsa!$D$2:$BA$1248,2,0)</f>
        <v>0</v>
      </c>
      <c r="DD149" s="7" t="str">
        <f>VLOOKUP(D149,listaBolsa!$D$2:$BA$1248,10,0)</f>
        <v>MY GARDEN</v>
      </c>
      <c r="DE149" s="7">
        <f>VLOOKUP(D149,listaBolsa!$D$2:$BA$1248,14,0)</f>
        <v>6722.69</v>
      </c>
      <c r="DF149" s="7" t="str">
        <f>VLOOKUP(D149,listaBolsa!$D$2:$BA$1248,23,0)</f>
        <v>HOGAR SEMILLA</v>
      </c>
      <c r="DG149" s="7">
        <f>VLOOKUP(D149,listaBolsa!$D$2:$BA$1248,29,0)</f>
        <v>8000</v>
      </c>
      <c r="DH149" s="7" t="str">
        <f>VLOOKUP(D149,listaBolsa!$D$2:$BA$1248,36,0)</f>
        <v>ZELVA</v>
      </c>
      <c r="DI149" s="7">
        <f>VLOOKUP(D149,listaBolsa!$D$2:$BA$1248,40,0)</f>
        <v>8000</v>
      </c>
      <c r="DJ149" s="252">
        <f>VLOOKUP(D149,listaBolsa!$D$2:$BA$1248,48,0)</f>
        <v>0</v>
      </c>
      <c r="DK149" s="7" t="b">
        <f t="shared" si="138"/>
        <v>1</v>
      </c>
      <c r="DL149" s="7" t="b">
        <f t="shared" si="139"/>
        <v>0</v>
      </c>
      <c r="DM149" s="7" t="b">
        <f t="shared" si="140"/>
        <v>1</v>
      </c>
      <c r="DN149" s="7" t="b">
        <f t="shared" si="141"/>
        <v>0</v>
      </c>
      <c r="DO149" s="7" t="b">
        <f t="shared" si="142"/>
        <v>1</v>
      </c>
      <c r="DP149" s="7" t="b">
        <f t="shared" si="143"/>
        <v>0</v>
      </c>
      <c r="DQ149" s="7" t="b">
        <f t="shared" si="144"/>
        <v>1</v>
      </c>
      <c r="DR149" s="7" t="b">
        <f t="shared" si="145"/>
        <v>1</v>
      </c>
      <c r="DS149" s="7" t="b">
        <f t="shared" si="146"/>
        <v>0</v>
      </c>
    </row>
    <row r="150" spans="1:126" s="7" customFormat="1" ht="63">
      <c r="A150" s="7" t="s">
        <v>570</v>
      </c>
      <c r="B150" s="453">
        <v>136</v>
      </c>
      <c r="C150" s="642" t="s">
        <v>579</v>
      </c>
      <c r="D150" s="453" t="s">
        <v>669</v>
      </c>
      <c r="E150" s="453" t="s">
        <v>622</v>
      </c>
      <c r="F150" s="194" t="s">
        <v>568</v>
      </c>
      <c r="G150" s="453">
        <v>1</v>
      </c>
      <c r="H150" s="443" t="s">
        <v>192</v>
      </c>
      <c r="I150" s="454" t="s">
        <v>603</v>
      </c>
      <c r="J150" s="455">
        <v>1500</v>
      </c>
      <c r="K150" s="455"/>
      <c r="L150" s="455">
        <f t="shared" si="127"/>
        <v>1500</v>
      </c>
      <c r="M150" s="455">
        <f t="shared" si="128"/>
        <v>1500</v>
      </c>
      <c r="N150" s="455">
        <f t="shared" si="129"/>
        <v>1500</v>
      </c>
      <c r="O150" s="456" t="s">
        <v>604</v>
      </c>
      <c r="P150" s="457">
        <v>1200</v>
      </c>
      <c r="Q150" s="457"/>
      <c r="R150" s="457">
        <f t="shared" si="130"/>
        <v>1200</v>
      </c>
      <c r="S150" s="457">
        <f t="shared" si="131"/>
        <v>1200</v>
      </c>
      <c r="T150" s="457">
        <f t="shared" si="132"/>
        <v>1200</v>
      </c>
      <c r="U150" s="458" t="s">
        <v>605</v>
      </c>
      <c r="V150" s="459">
        <v>1500</v>
      </c>
      <c r="W150" s="459"/>
      <c r="X150" s="459">
        <f t="shared" si="133"/>
        <v>1500</v>
      </c>
      <c r="Y150" s="459">
        <f t="shared" si="134"/>
        <v>1500</v>
      </c>
      <c r="Z150" s="459">
        <f t="shared" si="135"/>
        <v>1500</v>
      </c>
      <c r="AA150" s="460">
        <f t="shared" si="147"/>
        <v>1400</v>
      </c>
      <c r="AB150" s="460">
        <f t="shared" si="136"/>
        <v>1400</v>
      </c>
      <c r="AC150" s="461">
        <f t="shared" si="148"/>
        <v>173.20508075688772</v>
      </c>
      <c r="AD150" s="427">
        <f t="shared" si="137"/>
        <v>0.12371791482634838</v>
      </c>
      <c r="AE150" s="428"/>
      <c r="BH150" s="7">
        <v>27</v>
      </c>
      <c r="DB150" s="7" t="str">
        <f>VLOOKUP(D150,listaBolsa!$D$2:$BA$1248,1,0)</f>
        <v>Plántula de Kale Liso (Brassica oleracea var. acephala) </v>
      </c>
      <c r="DC150" s="7">
        <f>VLOOKUP(D150,listaBolsa!$D$2:$BA$1248,2,0)</f>
        <v>0</v>
      </c>
      <c r="DD150" s="7" t="str">
        <f>VLOOKUP(D150,listaBolsa!$D$2:$BA$1248,10,0)</f>
        <v>AGRIPLANT</v>
      </c>
      <c r="DE150" s="7">
        <f>VLOOKUP(D150,listaBolsa!$D$2:$BA$1248,14,0)</f>
        <v>1500</v>
      </c>
      <c r="DF150" s="7" t="str">
        <f>VLOOKUP(D150,listaBolsa!$D$2:$BA$1248,23,0)</f>
        <v>SEMBRAMOS VIVEROS ONLINE</v>
      </c>
      <c r="DG150" s="7">
        <f>VLOOKUP(D150,listaBolsa!$D$2:$BA$1248,29,0)</f>
        <v>1200</v>
      </c>
      <c r="DH150" s="7" t="str">
        <f>VLOOKUP(D150,listaBolsa!$D$2:$BA$1248,36,0)</f>
        <v>PAQUA</v>
      </c>
      <c r="DI150" s="7">
        <f>VLOOKUP(D150,listaBolsa!$D$2:$BA$1248,40,0)</f>
        <v>1500</v>
      </c>
      <c r="DJ150" s="252">
        <f>VLOOKUP(D150,listaBolsa!$D$2:$BA$1248,48,0)</f>
        <v>0.1237</v>
      </c>
      <c r="DK150" s="7" t="b">
        <f t="shared" si="138"/>
        <v>1</v>
      </c>
      <c r="DL150" s="7" t="b">
        <f t="shared" si="139"/>
        <v>0</v>
      </c>
      <c r="DM150" s="7" t="b">
        <f t="shared" si="140"/>
        <v>1</v>
      </c>
      <c r="DN150" s="7" t="b">
        <f t="shared" si="141"/>
        <v>1</v>
      </c>
      <c r="DO150" s="7" t="b">
        <f t="shared" si="142"/>
        <v>1</v>
      </c>
      <c r="DP150" s="7" t="b">
        <f t="shared" si="143"/>
        <v>1</v>
      </c>
      <c r="DQ150" s="7" t="b">
        <f t="shared" si="144"/>
        <v>1</v>
      </c>
      <c r="DR150" s="7" t="b">
        <f t="shared" si="145"/>
        <v>1</v>
      </c>
      <c r="DS150" s="7" t="b">
        <f t="shared" si="146"/>
        <v>0</v>
      </c>
    </row>
    <row r="151" spans="1:126" s="7" customFormat="1" ht="63">
      <c r="A151" s="7" t="s">
        <v>570</v>
      </c>
      <c r="B151" s="453">
        <v>137</v>
      </c>
      <c r="C151" s="642" t="s">
        <v>579</v>
      </c>
      <c r="D151" s="453" t="s">
        <v>671</v>
      </c>
      <c r="E151" s="453" t="s">
        <v>622</v>
      </c>
      <c r="F151" s="194" t="s">
        <v>568</v>
      </c>
      <c r="G151" s="453">
        <v>1</v>
      </c>
      <c r="H151" s="443" t="s">
        <v>192</v>
      </c>
      <c r="I151" s="454" t="s">
        <v>603</v>
      </c>
      <c r="J151" s="455">
        <v>1500</v>
      </c>
      <c r="K151" s="455"/>
      <c r="L151" s="455">
        <f t="shared" si="127"/>
        <v>1500</v>
      </c>
      <c r="M151" s="455">
        <f t="shared" si="128"/>
        <v>1500</v>
      </c>
      <c r="N151" s="455">
        <f t="shared" si="129"/>
        <v>1500</v>
      </c>
      <c r="O151" s="456" t="s">
        <v>604</v>
      </c>
      <c r="P151" s="457">
        <v>1200</v>
      </c>
      <c r="Q151" s="457"/>
      <c r="R151" s="457">
        <f t="shared" si="130"/>
        <v>1200</v>
      </c>
      <c r="S151" s="457">
        <f t="shared" si="131"/>
        <v>1200</v>
      </c>
      <c r="T151" s="457">
        <f t="shared" si="132"/>
        <v>1200</v>
      </c>
      <c r="U151" s="458" t="s">
        <v>605</v>
      </c>
      <c r="V151" s="459">
        <v>1500</v>
      </c>
      <c r="W151" s="459"/>
      <c r="X151" s="459">
        <f t="shared" si="133"/>
        <v>1500</v>
      </c>
      <c r="Y151" s="459">
        <f t="shared" si="134"/>
        <v>1500</v>
      </c>
      <c r="Z151" s="459">
        <f t="shared" si="135"/>
        <v>1500</v>
      </c>
      <c r="AA151" s="460">
        <f t="shared" si="147"/>
        <v>1400</v>
      </c>
      <c r="AB151" s="460">
        <f t="shared" si="136"/>
        <v>1400</v>
      </c>
      <c r="AC151" s="461">
        <f t="shared" si="148"/>
        <v>173.20508075688772</v>
      </c>
      <c r="AD151" s="427">
        <f t="shared" si="137"/>
        <v>0.12371791482634838</v>
      </c>
      <c r="AE151" s="428"/>
      <c r="BH151" s="7">
        <v>28</v>
      </c>
      <c r="DB151" s="7" t="str">
        <f>VLOOKUP(D151,listaBolsa!$D$2:$BA$1248,1,0)</f>
        <v>Plántula de Kale Crespo (Brassica oleracea var. sabellica)</v>
      </c>
      <c r="DC151" s="7">
        <f>VLOOKUP(D151,listaBolsa!$D$2:$BA$1248,2,0)</f>
        <v>0</v>
      </c>
      <c r="DD151" s="7" t="str">
        <f>VLOOKUP(D151,listaBolsa!$D$2:$BA$1248,10,0)</f>
        <v>AGRIPLANT</v>
      </c>
      <c r="DE151" s="7">
        <f>VLOOKUP(D151,listaBolsa!$D$2:$BA$1248,14,0)</f>
        <v>1500</v>
      </c>
      <c r="DF151" s="7" t="str">
        <f>VLOOKUP(D151,listaBolsa!$D$2:$BA$1248,23,0)</f>
        <v>SEMBRAMOS VIVEROS ONLINE</v>
      </c>
      <c r="DG151" s="7">
        <f>VLOOKUP(D151,listaBolsa!$D$2:$BA$1248,29,0)</f>
        <v>1200</v>
      </c>
      <c r="DH151" s="7" t="str">
        <f>VLOOKUP(D151,listaBolsa!$D$2:$BA$1248,36,0)</f>
        <v>PAQUA</v>
      </c>
      <c r="DI151" s="7">
        <f>VLOOKUP(D151,listaBolsa!$D$2:$BA$1248,40,0)</f>
        <v>1500</v>
      </c>
      <c r="DJ151" s="252">
        <f>VLOOKUP(D151,listaBolsa!$D$2:$BA$1248,48,0)</f>
        <v>0.1237</v>
      </c>
      <c r="DK151" s="7" t="b">
        <f t="shared" si="138"/>
        <v>1</v>
      </c>
      <c r="DL151" s="7" t="b">
        <f t="shared" si="139"/>
        <v>0</v>
      </c>
      <c r="DM151" s="7" t="b">
        <f t="shared" si="140"/>
        <v>1</v>
      </c>
      <c r="DN151" s="7" t="b">
        <f t="shared" si="141"/>
        <v>1</v>
      </c>
      <c r="DO151" s="7" t="b">
        <f t="shared" si="142"/>
        <v>1</v>
      </c>
      <c r="DP151" s="7" t="b">
        <f t="shared" si="143"/>
        <v>1</v>
      </c>
      <c r="DQ151" s="7" t="b">
        <f t="shared" si="144"/>
        <v>1</v>
      </c>
      <c r="DR151" s="7" t="b">
        <f t="shared" si="145"/>
        <v>1</v>
      </c>
      <c r="DS151" s="7" t="b">
        <f t="shared" si="146"/>
        <v>0</v>
      </c>
    </row>
    <row r="152" spans="1:126" s="7" customFormat="1" ht="42">
      <c r="A152" s="7" t="s">
        <v>570</v>
      </c>
      <c r="B152" s="453">
        <v>138</v>
      </c>
      <c r="C152" s="642" t="s">
        <v>579</v>
      </c>
      <c r="D152" s="453" t="s">
        <v>673</v>
      </c>
      <c r="E152" s="453" t="s">
        <v>622</v>
      </c>
      <c r="F152" s="194" t="s">
        <v>568</v>
      </c>
      <c r="G152" s="453">
        <v>1</v>
      </c>
      <c r="H152" s="443" t="s">
        <v>192</v>
      </c>
      <c r="I152" s="454" t="s">
        <v>380</v>
      </c>
      <c r="J152" s="455">
        <v>460</v>
      </c>
      <c r="K152" s="455"/>
      <c r="L152" s="455">
        <f t="shared" si="127"/>
        <v>460</v>
      </c>
      <c r="M152" s="455">
        <f t="shared" si="128"/>
        <v>460</v>
      </c>
      <c r="N152" s="455">
        <f t="shared" si="129"/>
        <v>460</v>
      </c>
      <c r="O152" s="456" t="s">
        <v>381</v>
      </c>
      <c r="P152" s="457">
        <v>400</v>
      </c>
      <c r="Q152" s="457"/>
      <c r="R152" s="457">
        <f t="shared" si="130"/>
        <v>400</v>
      </c>
      <c r="S152" s="457">
        <f t="shared" si="131"/>
        <v>400</v>
      </c>
      <c r="T152" s="457">
        <f t="shared" si="132"/>
        <v>400</v>
      </c>
      <c r="U152" s="458" t="s">
        <v>382</v>
      </c>
      <c r="V152" s="459">
        <v>350</v>
      </c>
      <c r="W152" s="459"/>
      <c r="X152" s="459">
        <f t="shared" si="133"/>
        <v>350</v>
      </c>
      <c r="Y152" s="459">
        <f t="shared" si="134"/>
        <v>350</v>
      </c>
      <c r="Z152" s="459">
        <f t="shared" si="135"/>
        <v>350</v>
      </c>
      <c r="AA152" s="460">
        <f t="shared" si="147"/>
        <v>403.33333333333331</v>
      </c>
      <c r="AB152" s="460">
        <f t="shared" si="136"/>
        <v>403.33333333333331</v>
      </c>
      <c r="AC152" s="461">
        <f t="shared" si="148"/>
        <v>55.07570547286111</v>
      </c>
      <c r="AD152" s="427">
        <f t="shared" si="137"/>
        <v>0.13655133588312673</v>
      </c>
      <c r="AE152" s="428"/>
      <c r="BH152" s="7">
        <v>29</v>
      </c>
      <c r="DB152" s="7" t="str">
        <f>VLOOKUP(D152,listaBolsa!$D$2:$BA$1248,1,0)</f>
        <v>Plántula de Caléndula (Calendula officinalis)</v>
      </c>
      <c r="DC152" s="7">
        <f>VLOOKUP(D152,listaBolsa!$D$2:$BA$1248,2,0)</f>
        <v>0</v>
      </c>
      <c r="DD152" s="7" t="str">
        <f>VLOOKUP(D152,listaBolsa!$D$2:$BA$1248,10,0)</f>
        <v xml:space="preserve">JUNTOS DE LA MANO </v>
      </c>
      <c r="DE152" s="7">
        <f>VLOOKUP(D152,listaBolsa!$D$2:$BA$1248,14,0)</f>
        <v>460</v>
      </c>
      <c r="DF152" s="7" t="str">
        <f>VLOOKUP(D152,listaBolsa!$D$2:$BA$1248,23,0)</f>
        <v>MYCBDE</v>
      </c>
      <c r="DG152" s="7">
        <f>VLOOKUP(D152,listaBolsa!$D$2:$BA$1248,29,0)</f>
        <v>400</v>
      </c>
      <c r="DH152" s="7" t="str">
        <f>VLOOKUP(D152,listaBolsa!$D$2:$BA$1248,36,0)</f>
        <v>DAGROW</v>
      </c>
      <c r="DI152" s="7">
        <f>VLOOKUP(D152,listaBolsa!$D$2:$BA$1248,40,0)</f>
        <v>350</v>
      </c>
      <c r="DJ152" s="252">
        <f>VLOOKUP(D152,listaBolsa!$D$2:$BA$1248,48,0)</f>
        <v>0.1366</v>
      </c>
      <c r="DK152" s="7" t="b">
        <f t="shared" si="138"/>
        <v>1</v>
      </c>
      <c r="DL152" s="7" t="b">
        <f t="shared" si="139"/>
        <v>0</v>
      </c>
      <c r="DM152" s="7" t="b">
        <f t="shared" si="140"/>
        <v>1</v>
      </c>
      <c r="DN152" s="7" t="b">
        <f t="shared" si="141"/>
        <v>1</v>
      </c>
      <c r="DO152" s="7" t="b">
        <f t="shared" si="142"/>
        <v>1</v>
      </c>
      <c r="DP152" s="7" t="b">
        <f t="shared" si="143"/>
        <v>1</v>
      </c>
      <c r="DQ152" s="7" t="b">
        <f t="shared" si="144"/>
        <v>1</v>
      </c>
      <c r="DR152" s="7" t="b">
        <f t="shared" si="145"/>
        <v>1</v>
      </c>
      <c r="DS152" s="7" t="b">
        <f t="shared" si="146"/>
        <v>0</v>
      </c>
    </row>
    <row r="153" spans="1:126" s="7" customFormat="1" ht="43.15">
      <c r="A153" s="7" t="s">
        <v>570</v>
      </c>
      <c r="B153" s="453">
        <v>139</v>
      </c>
      <c r="C153" s="642" t="s">
        <v>579</v>
      </c>
      <c r="D153" s="453" t="s">
        <v>675</v>
      </c>
      <c r="E153" s="453" t="s">
        <v>622</v>
      </c>
      <c r="F153" s="194" t="s">
        <v>568</v>
      </c>
      <c r="G153" s="453">
        <v>1</v>
      </c>
      <c r="H153" s="443" t="s">
        <v>192</v>
      </c>
      <c r="I153" s="454" t="s">
        <v>603</v>
      </c>
      <c r="J153" s="455">
        <v>1500</v>
      </c>
      <c r="K153" s="455"/>
      <c r="L153" s="455">
        <f t="shared" si="127"/>
        <v>1500</v>
      </c>
      <c r="M153" s="455">
        <f t="shared" si="128"/>
        <v>1500</v>
      </c>
      <c r="N153" s="455">
        <f t="shared" si="129"/>
        <v>1500</v>
      </c>
      <c r="O153" s="456" t="s">
        <v>604</v>
      </c>
      <c r="P153" s="457">
        <v>1200</v>
      </c>
      <c r="Q153" s="457"/>
      <c r="R153" s="457">
        <f t="shared" si="130"/>
        <v>1200</v>
      </c>
      <c r="S153" s="457">
        <f t="shared" si="131"/>
        <v>1200</v>
      </c>
      <c r="T153" s="457">
        <f t="shared" si="132"/>
        <v>1200</v>
      </c>
      <c r="U153" s="458" t="s">
        <v>676</v>
      </c>
      <c r="V153" s="459">
        <v>1400</v>
      </c>
      <c r="W153" s="459"/>
      <c r="X153" s="459">
        <f t="shared" si="133"/>
        <v>1400</v>
      </c>
      <c r="Y153" s="459">
        <f t="shared" si="134"/>
        <v>1400</v>
      </c>
      <c r="Z153" s="459">
        <f t="shared" si="135"/>
        <v>1400</v>
      </c>
      <c r="AA153" s="460">
        <f t="shared" si="147"/>
        <v>1366.6666666666667</v>
      </c>
      <c r="AB153" s="460">
        <f t="shared" si="136"/>
        <v>1366.6666666666667</v>
      </c>
      <c r="AC153" s="461">
        <f t="shared" si="148"/>
        <v>152.75252316519467</v>
      </c>
      <c r="AD153" s="427">
        <f t="shared" si="137"/>
        <v>0.11177013890136195</v>
      </c>
      <c r="AE153" s="428"/>
      <c r="BH153" s="7">
        <v>30</v>
      </c>
      <c r="DB153" s="7" t="str">
        <f>VLOOKUP(D153,listaBolsa!$D$2:$BA$1248,1,0)</f>
        <v>Plántula de Acelga Blanca (Beta vulgaris var. cicla)</v>
      </c>
      <c r="DC153" s="7">
        <f>VLOOKUP(D153,listaBolsa!$D$2:$BA$1248,2,0)</f>
        <v>0</v>
      </c>
      <c r="DD153" s="7" t="str">
        <f>VLOOKUP(D153,listaBolsa!$D$2:$BA$1248,10,0)</f>
        <v>AGRIPLANT</v>
      </c>
      <c r="DE153" s="7">
        <f>VLOOKUP(D153,listaBolsa!$D$2:$BA$1248,14,0)</f>
        <v>1500</v>
      </c>
      <c r="DF153" s="7" t="str">
        <f>VLOOKUP(D153,listaBolsa!$D$2:$BA$1248,23,0)</f>
        <v>SEMBRAMOS VIVEROS ONLINE</v>
      </c>
      <c r="DG153" s="7">
        <f>VLOOKUP(D153,listaBolsa!$D$2:$BA$1248,29,0)</f>
        <v>1200</v>
      </c>
      <c r="DH153" s="7" t="str">
        <f>VLOOKUP(D153,listaBolsa!$D$2:$BA$1248,36,0)</f>
        <v>FRUTOS CAMPESTRES</v>
      </c>
      <c r="DI153" s="7">
        <f>VLOOKUP(D153,listaBolsa!$D$2:$BA$1248,40,0)</f>
        <v>1400</v>
      </c>
      <c r="DJ153" s="252">
        <f>VLOOKUP(D153,listaBolsa!$D$2:$BA$1248,48,0)</f>
        <v>0.1118</v>
      </c>
      <c r="DK153" s="7" t="b">
        <f t="shared" si="138"/>
        <v>1</v>
      </c>
      <c r="DL153" s="7" t="b">
        <f t="shared" si="139"/>
        <v>0</v>
      </c>
      <c r="DM153" s="7" t="b">
        <f t="shared" si="140"/>
        <v>1</v>
      </c>
      <c r="DN153" s="7" t="b">
        <f t="shared" si="141"/>
        <v>1</v>
      </c>
      <c r="DO153" s="7" t="b">
        <f t="shared" si="142"/>
        <v>1</v>
      </c>
      <c r="DP153" s="7" t="b">
        <f t="shared" si="143"/>
        <v>1</v>
      </c>
      <c r="DQ153" s="7" t="b">
        <f t="shared" si="144"/>
        <v>1</v>
      </c>
      <c r="DR153" s="7" t="b">
        <f t="shared" si="145"/>
        <v>1</v>
      </c>
      <c r="DS153" s="7" t="b">
        <f t="shared" si="146"/>
        <v>0</v>
      </c>
    </row>
    <row r="154" spans="1:126" s="7" customFormat="1" ht="43.15">
      <c r="A154" s="7" t="s">
        <v>570</v>
      </c>
      <c r="B154" s="453">
        <v>140</v>
      </c>
      <c r="C154" s="642" t="s">
        <v>579</v>
      </c>
      <c r="D154" s="453" t="s">
        <v>678</v>
      </c>
      <c r="E154" s="453" t="s">
        <v>622</v>
      </c>
      <c r="F154" s="194" t="s">
        <v>568</v>
      </c>
      <c r="G154" s="453">
        <v>1</v>
      </c>
      <c r="H154" s="443" t="s">
        <v>192</v>
      </c>
      <c r="I154" s="454" t="s">
        <v>603</v>
      </c>
      <c r="J154" s="455">
        <v>1500</v>
      </c>
      <c r="K154" s="455"/>
      <c r="L154" s="455">
        <f t="shared" si="127"/>
        <v>1500</v>
      </c>
      <c r="M154" s="455">
        <f t="shared" si="128"/>
        <v>1500</v>
      </c>
      <c r="N154" s="455">
        <f t="shared" si="129"/>
        <v>1500</v>
      </c>
      <c r="O154" s="456" t="s">
        <v>604</v>
      </c>
      <c r="P154" s="457">
        <v>1200</v>
      </c>
      <c r="Q154" s="457"/>
      <c r="R154" s="457">
        <f t="shared" si="130"/>
        <v>1200</v>
      </c>
      <c r="S154" s="457">
        <f t="shared" si="131"/>
        <v>1200</v>
      </c>
      <c r="T154" s="457">
        <f t="shared" si="132"/>
        <v>1200</v>
      </c>
      <c r="U154" s="458" t="s">
        <v>605</v>
      </c>
      <c r="V154" s="459">
        <v>1500</v>
      </c>
      <c r="W154" s="459"/>
      <c r="X154" s="459">
        <f t="shared" si="133"/>
        <v>1500</v>
      </c>
      <c r="Y154" s="459">
        <f t="shared" si="134"/>
        <v>1500</v>
      </c>
      <c r="Z154" s="459">
        <f t="shared" si="135"/>
        <v>1500</v>
      </c>
      <c r="AA154" s="460">
        <f t="shared" si="147"/>
        <v>1400</v>
      </c>
      <c r="AB154" s="460">
        <f t="shared" si="136"/>
        <v>1400</v>
      </c>
      <c r="AC154" s="461">
        <f t="shared" si="148"/>
        <v>173.20508075688772</v>
      </c>
      <c r="AD154" s="427">
        <f t="shared" si="137"/>
        <v>0.12371791482634838</v>
      </c>
      <c r="AE154" s="428"/>
      <c r="BH154" s="7">
        <v>31</v>
      </c>
      <c r="DB154" s="7" t="str">
        <f>VLOOKUP(D154,listaBolsa!$D$2:$BA$1248,1,0)</f>
        <v>Plántula de Acelga de colores (Beta vulgaris var. cicla)</v>
      </c>
      <c r="DC154" s="7">
        <f>VLOOKUP(D154,listaBolsa!$D$2:$BA$1248,2,0)</f>
        <v>0</v>
      </c>
      <c r="DD154" s="7" t="str">
        <f>VLOOKUP(D154,listaBolsa!$D$2:$BA$1248,10,0)</f>
        <v>AGRIPLANT</v>
      </c>
      <c r="DE154" s="7">
        <f>VLOOKUP(D154,listaBolsa!$D$2:$BA$1248,14,0)</f>
        <v>1500</v>
      </c>
      <c r="DF154" s="7" t="str">
        <f>VLOOKUP(D154,listaBolsa!$D$2:$BA$1248,23,0)</f>
        <v>SEMBRAMOS VIVEROS ONLINE</v>
      </c>
      <c r="DG154" s="7">
        <f>VLOOKUP(D154,listaBolsa!$D$2:$BA$1248,29,0)</f>
        <v>1200</v>
      </c>
      <c r="DH154" s="7" t="str">
        <f>VLOOKUP(D154,listaBolsa!$D$2:$BA$1248,36,0)</f>
        <v>PAQUA</v>
      </c>
      <c r="DI154" s="7">
        <f>VLOOKUP(D154,listaBolsa!$D$2:$BA$1248,40,0)</f>
        <v>1500</v>
      </c>
      <c r="DJ154" s="252">
        <f>VLOOKUP(D154,listaBolsa!$D$2:$BA$1248,48,0)</f>
        <v>0.1237</v>
      </c>
      <c r="DK154" s="7" t="b">
        <f t="shared" si="138"/>
        <v>1</v>
      </c>
      <c r="DL154" s="7" t="b">
        <f t="shared" si="139"/>
        <v>0</v>
      </c>
      <c r="DM154" s="7" t="b">
        <f t="shared" si="140"/>
        <v>1</v>
      </c>
      <c r="DN154" s="7" t="b">
        <f t="shared" si="141"/>
        <v>1</v>
      </c>
      <c r="DO154" s="7" t="b">
        <f t="shared" si="142"/>
        <v>1</v>
      </c>
      <c r="DP154" s="7" t="b">
        <f t="shared" si="143"/>
        <v>1</v>
      </c>
      <c r="DQ154" s="7" t="b">
        <f t="shared" si="144"/>
        <v>1</v>
      </c>
      <c r="DR154" s="7" t="b">
        <f t="shared" si="145"/>
        <v>1</v>
      </c>
      <c r="DS154" s="7" t="b">
        <f t="shared" si="146"/>
        <v>0</v>
      </c>
    </row>
    <row r="155" spans="1:126" s="7" customFormat="1" ht="42">
      <c r="A155" s="7" t="s">
        <v>570</v>
      </c>
      <c r="B155" s="453">
        <v>141</v>
      </c>
      <c r="C155" s="642" t="s">
        <v>579</v>
      </c>
      <c r="D155" s="453" t="s">
        <v>680</v>
      </c>
      <c r="E155" s="453" t="s">
        <v>622</v>
      </c>
      <c r="F155" s="194" t="s">
        <v>568</v>
      </c>
      <c r="G155" s="453">
        <v>1</v>
      </c>
      <c r="H155" s="443" t="s">
        <v>192</v>
      </c>
      <c r="I155" s="454" t="s">
        <v>380</v>
      </c>
      <c r="J155" s="455">
        <v>4000</v>
      </c>
      <c r="K155" s="455"/>
      <c r="L155" s="455">
        <f t="shared" si="127"/>
        <v>4000</v>
      </c>
      <c r="M155" s="455">
        <f t="shared" si="128"/>
        <v>4000</v>
      </c>
      <c r="N155" s="455">
        <f t="shared" si="129"/>
        <v>4000</v>
      </c>
      <c r="O155" s="456" t="s">
        <v>381</v>
      </c>
      <c r="P155" s="457">
        <v>3800</v>
      </c>
      <c r="Q155" s="457"/>
      <c r="R155" s="457">
        <f t="shared" si="130"/>
        <v>3800</v>
      </c>
      <c r="S155" s="457">
        <f t="shared" si="131"/>
        <v>3800</v>
      </c>
      <c r="T155" s="457">
        <f t="shared" si="132"/>
        <v>3800</v>
      </c>
      <c r="U155" s="458" t="s">
        <v>382</v>
      </c>
      <c r="V155" s="459">
        <v>3500</v>
      </c>
      <c r="W155" s="459"/>
      <c r="X155" s="459">
        <f t="shared" si="133"/>
        <v>3500</v>
      </c>
      <c r="Y155" s="459">
        <f t="shared" si="134"/>
        <v>3500</v>
      </c>
      <c r="Z155" s="459">
        <f t="shared" si="135"/>
        <v>3500</v>
      </c>
      <c r="AA155" s="460">
        <f t="shared" si="147"/>
        <v>3766.6666666666665</v>
      </c>
      <c r="AB155" s="460">
        <f t="shared" si="136"/>
        <v>3766.6666666666665</v>
      </c>
      <c r="AC155" s="461">
        <f t="shared" si="148"/>
        <v>251.66114784235833</v>
      </c>
      <c r="AD155" s="427">
        <f t="shared" si="137"/>
        <v>6.6812694117440272E-2</v>
      </c>
      <c r="AE155" s="428"/>
      <c r="BH155" s="7">
        <v>32</v>
      </c>
      <c r="DB155" s="7" t="str">
        <f>VLOOKUP(D155,listaBolsa!$D$2:$BA$1248,1,0)</f>
        <v>Plántula de Lulo (Solanum quitoense)</v>
      </c>
      <c r="DC155" s="7">
        <f>VLOOKUP(D155,listaBolsa!$D$2:$BA$1248,2,0)</f>
        <v>0</v>
      </c>
      <c r="DD155" s="7" t="str">
        <f>VLOOKUP(D155,listaBolsa!$D$2:$BA$1248,10,0)</f>
        <v xml:space="preserve">JUNTOS DE LA MANO </v>
      </c>
      <c r="DE155" s="7">
        <f>VLOOKUP(D155,listaBolsa!$D$2:$BA$1248,14,0)</f>
        <v>4000</v>
      </c>
      <c r="DF155" s="7" t="str">
        <f>VLOOKUP(D155,listaBolsa!$D$2:$BA$1248,23,0)</f>
        <v>MYCBDE</v>
      </c>
      <c r="DG155" s="7">
        <f>VLOOKUP(D155,listaBolsa!$D$2:$BA$1248,29,0)</f>
        <v>3800</v>
      </c>
      <c r="DH155" s="7" t="str">
        <f>VLOOKUP(D155,listaBolsa!$D$2:$BA$1248,36,0)</f>
        <v>DAGROW</v>
      </c>
      <c r="DI155" s="7">
        <f>VLOOKUP(D155,listaBolsa!$D$2:$BA$1248,40,0)</f>
        <v>3500</v>
      </c>
      <c r="DJ155" s="252">
        <f>VLOOKUP(D155,listaBolsa!$D$2:$BA$1248,48,0)</f>
        <v>6.6799999999999998E-2</v>
      </c>
      <c r="DK155" s="7" t="b">
        <f t="shared" si="138"/>
        <v>1</v>
      </c>
      <c r="DL155" s="7" t="b">
        <f t="shared" si="139"/>
        <v>0</v>
      </c>
      <c r="DM155" s="7" t="b">
        <f t="shared" si="140"/>
        <v>1</v>
      </c>
      <c r="DN155" s="7" t="b">
        <f t="shared" si="141"/>
        <v>1</v>
      </c>
      <c r="DO155" s="7" t="b">
        <f t="shared" si="142"/>
        <v>1</v>
      </c>
      <c r="DP155" s="7" t="b">
        <f t="shared" si="143"/>
        <v>1</v>
      </c>
      <c r="DQ155" s="7" t="b">
        <f t="shared" si="144"/>
        <v>1</v>
      </c>
      <c r="DR155" s="7" t="b">
        <f t="shared" si="145"/>
        <v>1</v>
      </c>
      <c r="DS155" s="7" t="b">
        <f t="shared" si="146"/>
        <v>0</v>
      </c>
    </row>
    <row r="156" spans="1:126" s="7" customFormat="1" ht="42">
      <c r="A156" s="7" t="s">
        <v>570</v>
      </c>
      <c r="B156" s="453">
        <v>142</v>
      </c>
      <c r="C156" s="642" t="s">
        <v>579</v>
      </c>
      <c r="D156" s="453" t="s">
        <v>682</v>
      </c>
      <c r="E156" s="453" t="s">
        <v>683</v>
      </c>
      <c r="F156" s="194" t="s">
        <v>568</v>
      </c>
      <c r="G156" s="453">
        <v>1</v>
      </c>
      <c r="H156" s="443" t="s">
        <v>192</v>
      </c>
      <c r="I156" s="454" t="s">
        <v>1083</v>
      </c>
      <c r="J156" s="455">
        <v>21008.400000000001</v>
      </c>
      <c r="K156" s="455">
        <f>J156*19%</f>
        <v>3991.5960000000005</v>
      </c>
      <c r="L156" s="455">
        <f t="shared" si="127"/>
        <v>24999.996000000003</v>
      </c>
      <c r="M156" s="455">
        <f t="shared" si="128"/>
        <v>21008.400000000001</v>
      </c>
      <c r="N156" s="455">
        <f t="shared" si="129"/>
        <v>24999.996000000003</v>
      </c>
      <c r="O156" s="456" t="s">
        <v>381</v>
      </c>
      <c r="P156" s="457">
        <v>25000</v>
      </c>
      <c r="Q156" s="457"/>
      <c r="R156" s="457">
        <f t="shared" si="130"/>
        <v>25000</v>
      </c>
      <c r="S156" s="457">
        <f t="shared" si="131"/>
        <v>25000</v>
      </c>
      <c r="T156" s="457">
        <f t="shared" si="132"/>
        <v>25000</v>
      </c>
      <c r="U156" s="458" t="s">
        <v>382</v>
      </c>
      <c r="V156" s="459">
        <v>22400</v>
      </c>
      <c r="W156" s="459"/>
      <c r="X156" s="459">
        <f t="shared" si="133"/>
        <v>22400</v>
      </c>
      <c r="Y156" s="459">
        <f t="shared" si="134"/>
        <v>22400</v>
      </c>
      <c r="Z156" s="459">
        <f t="shared" si="135"/>
        <v>22400</v>
      </c>
      <c r="AA156" s="460">
        <f t="shared" si="147"/>
        <v>24133.331999999999</v>
      </c>
      <c r="AB156" s="460">
        <f t="shared" si="136"/>
        <v>24133.331999999999</v>
      </c>
      <c r="AC156" s="461">
        <f t="shared" si="148"/>
        <v>1501.1095451938218</v>
      </c>
      <c r="AD156" s="427">
        <f t="shared" si="137"/>
        <v>6.2200675198676329E-2</v>
      </c>
      <c r="AE156" s="428"/>
      <c r="BH156" s="7">
        <v>33</v>
      </c>
      <c r="DB156" s="7" t="str">
        <f>VLOOKUP(D156,listaBolsa!$D$2:$BA$1248,1,0)</f>
        <v>Cal dolomita</v>
      </c>
      <c r="DC156" s="7">
        <f>VLOOKUP(D156,listaBolsa!$D$2:$BA$1248,2,0)</f>
        <v>0</v>
      </c>
      <c r="DD156" s="7" t="str">
        <f>VLOOKUP(D156,listaBolsa!$D$2:$BA$1248,10,0)</f>
        <v xml:space="preserve">JUNTOS DE LA MANO </v>
      </c>
      <c r="DE156" s="7">
        <f>VLOOKUP(D156,listaBolsa!$D$2:$BA$1248,14,0)</f>
        <v>26000</v>
      </c>
      <c r="DF156" s="7" t="str">
        <f>VLOOKUP(D156,listaBolsa!$D$2:$BA$1248,23,0)</f>
        <v>MYCBDE</v>
      </c>
      <c r="DG156" s="7">
        <f>VLOOKUP(D156,listaBolsa!$D$2:$BA$1248,29,0)</f>
        <v>25000</v>
      </c>
      <c r="DH156" s="7" t="str">
        <f>VLOOKUP(D156,listaBolsa!$D$2:$BA$1248,36,0)</f>
        <v>DAGROW</v>
      </c>
      <c r="DI156" s="7">
        <f>VLOOKUP(D156,listaBolsa!$D$2:$BA$1248,40,0)</f>
        <v>22400</v>
      </c>
      <c r="DJ156" s="252">
        <f>VLOOKUP(D156,listaBolsa!$D$2:$BA$1248,48,0)</f>
        <v>7.5999999999999998E-2</v>
      </c>
      <c r="DK156" s="7" t="b">
        <f t="shared" si="138"/>
        <v>1</v>
      </c>
      <c r="DL156" s="7" t="b">
        <f t="shared" si="139"/>
        <v>0</v>
      </c>
      <c r="DM156" s="7" t="b">
        <f t="shared" si="140"/>
        <v>0</v>
      </c>
      <c r="DN156" s="7" t="b">
        <f t="shared" si="141"/>
        <v>0</v>
      </c>
      <c r="DO156" s="7" t="b">
        <f t="shared" si="142"/>
        <v>1</v>
      </c>
      <c r="DP156" s="7" t="b">
        <f t="shared" si="143"/>
        <v>1</v>
      </c>
      <c r="DQ156" s="7" t="b">
        <f t="shared" si="144"/>
        <v>1</v>
      </c>
      <c r="DR156" s="7" t="b">
        <f t="shared" si="145"/>
        <v>1</v>
      </c>
      <c r="DS156" s="7" t="b">
        <f t="shared" si="146"/>
        <v>0</v>
      </c>
    </row>
    <row r="157" spans="1:126" s="7" customFormat="1" ht="42">
      <c r="A157" s="7" t="s">
        <v>570</v>
      </c>
      <c r="B157" s="453">
        <v>143</v>
      </c>
      <c r="C157" s="642" t="s">
        <v>579</v>
      </c>
      <c r="D157" s="453" t="s">
        <v>685</v>
      </c>
      <c r="E157" s="453" t="s">
        <v>686</v>
      </c>
      <c r="F157" s="194" t="s">
        <v>568</v>
      </c>
      <c r="G157" s="453">
        <v>1</v>
      </c>
      <c r="H157" s="443" t="s">
        <v>192</v>
      </c>
      <c r="I157" s="454" t="s">
        <v>380</v>
      </c>
      <c r="J157" s="455">
        <v>20000</v>
      </c>
      <c r="K157" s="455"/>
      <c r="L157" s="455">
        <f t="shared" si="127"/>
        <v>20000</v>
      </c>
      <c r="M157" s="455">
        <f t="shared" si="128"/>
        <v>20000</v>
      </c>
      <c r="N157" s="455">
        <f t="shared" si="129"/>
        <v>20000</v>
      </c>
      <c r="O157" s="456" t="s">
        <v>381</v>
      </c>
      <c r="P157" s="457">
        <v>18000</v>
      </c>
      <c r="Q157" s="457"/>
      <c r="R157" s="457">
        <f t="shared" si="130"/>
        <v>18000</v>
      </c>
      <c r="S157" s="457">
        <f t="shared" si="131"/>
        <v>18000</v>
      </c>
      <c r="T157" s="457">
        <f t="shared" si="132"/>
        <v>18000</v>
      </c>
      <c r="U157" s="458" t="s">
        <v>382</v>
      </c>
      <c r="V157" s="459">
        <v>14000</v>
      </c>
      <c r="W157" s="459"/>
      <c r="X157" s="459">
        <f t="shared" si="133"/>
        <v>14000</v>
      </c>
      <c r="Y157" s="459">
        <f t="shared" si="134"/>
        <v>14000</v>
      </c>
      <c r="Z157" s="459">
        <f t="shared" si="135"/>
        <v>14000</v>
      </c>
      <c r="AA157" s="460">
        <f t="shared" si="147"/>
        <v>17333.333333333332</v>
      </c>
      <c r="AB157" s="460">
        <f t="shared" si="136"/>
        <v>17333.333333333332</v>
      </c>
      <c r="AC157" s="461">
        <f t="shared" si="148"/>
        <v>3055.05046330389</v>
      </c>
      <c r="AD157" s="427">
        <f t="shared" si="137"/>
        <v>0.1762529113444552</v>
      </c>
      <c r="AE157" s="428"/>
      <c r="BH157" s="7">
        <v>34</v>
      </c>
      <c r="DB157" s="7" t="str">
        <f>VLOOKUP(D157,listaBolsa!$D$2:$BA$1248,1,0)</f>
        <v xml:space="preserve">Bulto de compost. </v>
      </c>
      <c r="DC157" s="7">
        <f>VLOOKUP(D157,listaBolsa!$D$2:$BA$1248,2,0)</f>
        <v>0</v>
      </c>
      <c r="DD157" s="7" t="str">
        <f>VLOOKUP(D157,listaBolsa!$D$2:$BA$1248,10,0)</f>
        <v xml:space="preserve">JUNTOS DE LA MANO </v>
      </c>
      <c r="DE157" s="7">
        <f>VLOOKUP(D157,listaBolsa!$D$2:$BA$1248,14,0)</f>
        <v>20000</v>
      </c>
      <c r="DF157" s="7" t="str">
        <f>VLOOKUP(D157,listaBolsa!$D$2:$BA$1248,23,0)</f>
        <v>MYCBDE</v>
      </c>
      <c r="DG157" s="7">
        <f>VLOOKUP(D157,listaBolsa!$D$2:$BA$1248,29,0)</f>
        <v>18000</v>
      </c>
      <c r="DH157" s="7" t="str">
        <f>VLOOKUP(D157,listaBolsa!$D$2:$BA$1248,36,0)</f>
        <v>DAGROW</v>
      </c>
      <c r="DI157" s="7">
        <f>VLOOKUP(D157,listaBolsa!$D$2:$BA$1248,40,0)</f>
        <v>14000</v>
      </c>
      <c r="DJ157" s="252">
        <f>VLOOKUP(D157,listaBolsa!$D$2:$BA$1248,48,0)</f>
        <v>0.17630000000000001</v>
      </c>
      <c r="DK157" s="7" t="b">
        <f t="shared" si="138"/>
        <v>1</v>
      </c>
      <c r="DL157" s="7" t="b">
        <f t="shared" si="139"/>
        <v>0</v>
      </c>
      <c r="DM157" s="7" t="b">
        <f t="shared" si="140"/>
        <v>1</v>
      </c>
      <c r="DN157" s="7" t="b">
        <f t="shared" si="141"/>
        <v>1</v>
      </c>
      <c r="DO157" s="7" t="b">
        <f t="shared" si="142"/>
        <v>1</v>
      </c>
      <c r="DP157" s="7" t="b">
        <f t="shared" si="143"/>
        <v>1</v>
      </c>
      <c r="DQ157" s="7" t="b">
        <f t="shared" si="144"/>
        <v>1</v>
      </c>
      <c r="DR157" s="7" t="b">
        <f t="shared" si="145"/>
        <v>1</v>
      </c>
      <c r="DS157" s="7" t="b">
        <f t="shared" si="146"/>
        <v>0</v>
      </c>
    </row>
    <row r="158" spans="1:126" s="7" customFormat="1" ht="158.44999999999999">
      <c r="A158" s="7" t="s">
        <v>570</v>
      </c>
      <c r="B158" s="453">
        <v>144</v>
      </c>
      <c r="C158" s="642" t="s">
        <v>579</v>
      </c>
      <c r="D158" s="453" t="s">
        <v>688</v>
      </c>
      <c r="E158" s="453" t="s">
        <v>689</v>
      </c>
      <c r="F158" s="194" t="s">
        <v>568</v>
      </c>
      <c r="G158" s="453">
        <v>1</v>
      </c>
      <c r="H158" s="443" t="s">
        <v>192</v>
      </c>
      <c r="I158" s="454" t="s">
        <v>230</v>
      </c>
      <c r="J158" s="455">
        <v>135672.26999999999</v>
      </c>
      <c r="K158" s="455">
        <f t="shared" ref="K158:K166" si="149">J158*19%</f>
        <v>25777.731299999999</v>
      </c>
      <c r="L158" s="455">
        <f t="shared" si="127"/>
        <v>161450.0013</v>
      </c>
      <c r="M158" s="455">
        <f t="shared" si="128"/>
        <v>135672.26999999999</v>
      </c>
      <c r="N158" s="455">
        <f t="shared" si="129"/>
        <v>161450.0013</v>
      </c>
      <c r="O158" s="456" t="s">
        <v>768</v>
      </c>
      <c r="P158" s="457">
        <v>124365.55</v>
      </c>
      <c r="Q158" s="457">
        <f t="shared" ref="Q158:Q166" si="150">P158*19%</f>
        <v>23629.4545</v>
      </c>
      <c r="R158" s="457">
        <f t="shared" si="130"/>
        <v>147995.00450000001</v>
      </c>
      <c r="S158" s="457">
        <f t="shared" si="131"/>
        <v>124365.55</v>
      </c>
      <c r="T158" s="457">
        <f t="shared" si="132"/>
        <v>147995.00450000001</v>
      </c>
      <c r="U158" s="458" t="s">
        <v>769</v>
      </c>
      <c r="V158" s="459">
        <v>135672.26999999999</v>
      </c>
      <c r="W158" s="459">
        <f t="shared" ref="W158:W166" si="151">V158*19%</f>
        <v>25777.731299999999</v>
      </c>
      <c r="X158" s="459">
        <f t="shared" si="133"/>
        <v>161450.0013</v>
      </c>
      <c r="Y158" s="459">
        <f t="shared" si="134"/>
        <v>135672.26999999999</v>
      </c>
      <c r="Z158" s="459">
        <f t="shared" si="135"/>
        <v>161450.0013</v>
      </c>
      <c r="AA158" s="460">
        <f t="shared" si="147"/>
        <v>156965.00236666668</v>
      </c>
      <c r="AB158" s="460">
        <f t="shared" si="136"/>
        <v>156965.00236666668</v>
      </c>
      <c r="AC158" s="461">
        <f t="shared" si="148"/>
        <v>7768.2460244255499</v>
      </c>
      <c r="AD158" s="427">
        <f t="shared" si="137"/>
        <v>4.9490306165696121E-2</v>
      </c>
      <c r="AE158" s="428" t="s">
        <v>1085</v>
      </c>
      <c r="BH158" s="7">
        <v>35</v>
      </c>
      <c r="DB158" s="7" t="str">
        <f>VLOOKUP(D158,listaBolsa!$D$2:$BA$1248,1,0)</f>
        <v>Malla plástica tipo diamante 15 mt</v>
      </c>
      <c r="DC158" s="7">
        <f>VLOOKUP(D158,listaBolsa!$D$2:$BA$1248,2,0)</f>
        <v>0</v>
      </c>
      <c r="DD158" s="7" t="str">
        <f>VLOOKUP(D158,listaBolsa!$D$2:$BA$1248,10,0)</f>
        <v xml:space="preserve">JUNTOS DE LA MANO </v>
      </c>
      <c r="DE158" s="7">
        <f>VLOOKUP(D158,listaBolsa!$D$2:$BA$1248,14,0)</f>
        <v>250000</v>
      </c>
      <c r="DF158" s="7" t="str">
        <f>VLOOKUP(D158,listaBolsa!$D$2:$BA$1248,23,0)</f>
        <v>MYCBDE</v>
      </c>
      <c r="DG158" s="7">
        <f>VLOOKUP(D158,listaBolsa!$D$2:$BA$1248,29,0)</f>
        <v>285600</v>
      </c>
      <c r="DH158" s="7" t="str">
        <f>VLOOKUP(D158,listaBolsa!$D$2:$BA$1248,36,0)</f>
        <v>DAGROW</v>
      </c>
      <c r="DI158" s="7">
        <f>VLOOKUP(D158,listaBolsa!$D$2:$BA$1248,40,0)</f>
        <v>224000</v>
      </c>
      <c r="DJ158" s="252">
        <f>VLOOKUP(D158,listaBolsa!$D$2:$BA$1248,48,0)</f>
        <v>5.5100000000000003E-2</v>
      </c>
      <c r="DK158" s="7" t="b">
        <f t="shared" si="138"/>
        <v>1</v>
      </c>
      <c r="DL158" s="7" t="b">
        <f t="shared" si="139"/>
        <v>0</v>
      </c>
      <c r="DM158" s="7" t="b">
        <f t="shared" si="140"/>
        <v>0</v>
      </c>
      <c r="DN158" s="7" t="b">
        <f t="shared" si="141"/>
        <v>0</v>
      </c>
      <c r="DO158" s="7" t="b">
        <f t="shared" si="142"/>
        <v>0</v>
      </c>
      <c r="DP158" s="7" t="b">
        <f t="shared" si="143"/>
        <v>0</v>
      </c>
      <c r="DQ158" s="7" t="b">
        <f t="shared" si="144"/>
        <v>0</v>
      </c>
      <c r="DR158" s="7" t="b">
        <f t="shared" si="145"/>
        <v>0</v>
      </c>
      <c r="DS158" s="7" t="b">
        <f t="shared" si="146"/>
        <v>0</v>
      </c>
      <c r="DV158" s="7">
        <f>19300*(15/1.55)</f>
        <v>186774.19354838709</v>
      </c>
    </row>
    <row r="159" spans="1:126" s="7" customFormat="1" ht="42">
      <c r="A159" s="7" t="s">
        <v>570</v>
      </c>
      <c r="B159" s="453">
        <v>145</v>
      </c>
      <c r="C159" s="642" t="s">
        <v>579</v>
      </c>
      <c r="D159" s="453" t="s">
        <v>691</v>
      </c>
      <c r="E159" s="453" t="s">
        <v>692</v>
      </c>
      <c r="F159" s="194" t="s">
        <v>568</v>
      </c>
      <c r="G159" s="453">
        <v>1</v>
      </c>
      <c r="H159" s="443" t="s">
        <v>192</v>
      </c>
      <c r="I159" s="454" t="s">
        <v>693</v>
      </c>
      <c r="J159" s="455">
        <v>11596.638655462189</v>
      </c>
      <c r="K159" s="455">
        <f t="shared" si="149"/>
        <v>2203.361344537816</v>
      </c>
      <c r="L159" s="455">
        <f t="shared" si="127"/>
        <v>13800.000000000005</v>
      </c>
      <c r="M159" s="455">
        <f t="shared" si="128"/>
        <v>11596.638655462189</v>
      </c>
      <c r="N159" s="455">
        <f t="shared" si="129"/>
        <v>13800.000000000005</v>
      </c>
      <c r="O159" s="456" t="s">
        <v>694</v>
      </c>
      <c r="P159" s="457">
        <v>13949.57983193277</v>
      </c>
      <c r="Q159" s="457">
        <f t="shared" si="150"/>
        <v>2650.4201680672263</v>
      </c>
      <c r="R159" s="457">
        <f t="shared" si="130"/>
        <v>16599.999999999996</v>
      </c>
      <c r="S159" s="457">
        <f t="shared" si="131"/>
        <v>13949.57983193277</v>
      </c>
      <c r="T159" s="457">
        <f t="shared" si="132"/>
        <v>16599.999999999996</v>
      </c>
      <c r="U159" s="458" t="s">
        <v>695</v>
      </c>
      <c r="V159" s="459">
        <v>10420.16806722689</v>
      </c>
      <c r="W159" s="459">
        <f t="shared" si="151"/>
        <v>1979.8319327731092</v>
      </c>
      <c r="X159" s="459">
        <f t="shared" si="133"/>
        <v>12400</v>
      </c>
      <c r="Y159" s="459">
        <f t="shared" si="134"/>
        <v>10420.16806722689</v>
      </c>
      <c r="Z159" s="459">
        <f t="shared" si="135"/>
        <v>12400</v>
      </c>
      <c r="AA159" s="460">
        <f t="shared" si="147"/>
        <v>14266.666666666666</v>
      </c>
      <c r="AB159" s="460">
        <f t="shared" si="136"/>
        <v>14266.666666666666</v>
      </c>
      <c r="AC159" s="461">
        <f t="shared" si="148"/>
        <v>2138.5353243127206</v>
      </c>
      <c r="AD159" s="427">
        <f t="shared" si="137"/>
        <v>0.1498973358163122</v>
      </c>
      <c r="AE159" s="428"/>
      <c r="BH159" s="7">
        <v>36</v>
      </c>
      <c r="DB159" s="7" t="str">
        <f>VLOOKUP(D159,listaBolsa!$D$2:$BA$1248,1,0)</f>
        <v>Bandeja de germinación 32 cavidades</v>
      </c>
      <c r="DC159" s="7">
        <f>VLOOKUP(D159,listaBolsa!$D$2:$BA$1248,2,0)</f>
        <v>0</v>
      </c>
      <c r="DD159" s="7" t="str">
        <f>VLOOKUP(D159,listaBolsa!$D$2:$BA$1248,10,0)</f>
        <v>LARES</v>
      </c>
      <c r="DE159" s="7">
        <f>VLOOKUP(D159,listaBolsa!$D$2:$BA$1248,14,0)</f>
        <v>11596.64</v>
      </c>
      <c r="DF159" s="7" t="str">
        <f>VLOOKUP(D159,listaBolsa!$D$2:$BA$1248,23,0)</f>
        <v>TERMOFORMADOS</v>
      </c>
      <c r="DG159" s="7">
        <f>VLOOKUP(D159,listaBolsa!$D$2:$BA$1248,29,0)</f>
        <v>16600</v>
      </c>
      <c r="DH159" s="7" t="str">
        <f>VLOOKUP(D159,listaBolsa!$D$2:$BA$1248,36,0)</f>
        <v>TIERRAGRO</v>
      </c>
      <c r="DI159" s="7">
        <f>VLOOKUP(D159,listaBolsa!$D$2:$BA$1248,40,0)</f>
        <v>10420.17</v>
      </c>
      <c r="DJ159" s="252">
        <f>VLOOKUP(D159,listaBolsa!$D$2:$BA$1248,48,0)</f>
        <v>0.14990000000000001</v>
      </c>
      <c r="DK159" s="7" t="b">
        <f t="shared" si="138"/>
        <v>1</v>
      </c>
      <c r="DL159" s="7" t="b">
        <f t="shared" si="139"/>
        <v>0</v>
      </c>
      <c r="DM159" s="7" t="b">
        <f t="shared" si="140"/>
        <v>0</v>
      </c>
      <c r="DN159" s="7" t="b">
        <f t="shared" si="141"/>
        <v>0</v>
      </c>
      <c r="DO159" s="7" t="b">
        <f t="shared" si="142"/>
        <v>1</v>
      </c>
      <c r="DP159" s="7" t="b">
        <f t="shared" si="143"/>
        <v>0</v>
      </c>
      <c r="DQ159" s="7" t="b">
        <f t="shared" si="144"/>
        <v>1</v>
      </c>
      <c r="DR159" s="7" t="b">
        <f t="shared" si="145"/>
        <v>0</v>
      </c>
      <c r="DS159" s="7" t="b">
        <f t="shared" si="146"/>
        <v>0</v>
      </c>
    </row>
    <row r="160" spans="1:126" s="7" customFormat="1" ht="42">
      <c r="A160" s="7" t="s">
        <v>570</v>
      </c>
      <c r="B160" s="453">
        <v>146</v>
      </c>
      <c r="C160" s="642" t="s">
        <v>579</v>
      </c>
      <c r="D160" s="453" t="s">
        <v>697</v>
      </c>
      <c r="E160" s="453" t="s">
        <v>698</v>
      </c>
      <c r="F160" s="194" t="s">
        <v>568</v>
      </c>
      <c r="G160" s="453">
        <v>1</v>
      </c>
      <c r="H160" s="443" t="s">
        <v>192</v>
      </c>
      <c r="I160" s="454" t="s">
        <v>699</v>
      </c>
      <c r="J160" s="455">
        <v>15041.17647058824</v>
      </c>
      <c r="K160" s="455">
        <f t="shared" si="149"/>
        <v>2857.8235294117658</v>
      </c>
      <c r="L160" s="455">
        <f t="shared" si="127"/>
        <v>17899.000000000007</v>
      </c>
      <c r="M160" s="455">
        <f t="shared" si="128"/>
        <v>15041.17647058824</v>
      </c>
      <c r="N160" s="455">
        <f t="shared" si="129"/>
        <v>17899.000000000007</v>
      </c>
      <c r="O160" s="456" t="s">
        <v>285</v>
      </c>
      <c r="P160" s="457">
        <v>15450.42016806723</v>
      </c>
      <c r="Q160" s="457">
        <f t="shared" si="150"/>
        <v>2935.5798319327737</v>
      </c>
      <c r="R160" s="457">
        <f t="shared" si="130"/>
        <v>18386.000000000004</v>
      </c>
      <c r="S160" s="457">
        <f t="shared" si="131"/>
        <v>15450.42016806723</v>
      </c>
      <c r="T160" s="457">
        <f t="shared" si="132"/>
        <v>18386.000000000004</v>
      </c>
      <c r="U160" s="458" t="s">
        <v>700</v>
      </c>
      <c r="V160" s="459">
        <v>15729.411764705879</v>
      </c>
      <c r="W160" s="459">
        <f t="shared" si="151"/>
        <v>2988.5882352941171</v>
      </c>
      <c r="X160" s="459">
        <f t="shared" si="133"/>
        <v>18717.999999999996</v>
      </c>
      <c r="Y160" s="459">
        <f t="shared" si="134"/>
        <v>15729.411764705879</v>
      </c>
      <c r="Z160" s="459">
        <f t="shared" si="135"/>
        <v>18717.999999999996</v>
      </c>
      <c r="AA160" s="460">
        <f t="shared" si="147"/>
        <v>18334.333333333339</v>
      </c>
      <c r="AB160" s="460">
        <f t="shared" si="136"/>
        <v>18334.333333333339</v>
      </c>
      <c r="AC160" s="461">
        <f t="shared" si="148"/>
        <v>411.93729296256845</v>
      </c>
      <c r="AD160" s="427">
        <f t="shared" si="137"/>
        <v>2.2468081357156972E-2</v>
      </c>
      <c r="AE160" s="428"/>
      <c r="BH160" s="7">
        <v>37</v>
      </c>
      <c r="DB160" s="7" t="str">
        <f>VLOOKUP(D160,listaBolsa!$D$2:$BA$1248,1,0)</f>
        <v xml:space="preserve">Palín Hoyador </v>
      </c>
      <c r="DC160" s="7">
        <f>VLOOKUP(D160,listaBolsa!$D$2:$BA$1248,2,0)</f>
        <v>0</v>
      </c>
      <c r="DD160" s="7" t="str">
        <f>VLOOKUP(D160,listaBolsa!$D$2:$BA$1248,10,0)</f>
        <v>FERRAGRO</v>
      </c>
      <c r="DE160" s="7">
        <f>VLOOKUP(D160,listaBolsa!$D$2:$BA$1248,14,0)</f>
        <v>15041.18</v>
      </c>
      <c r="DF160" s="7" t="str">
        <f>VLOOKUP(D160,listaBolsa!$D$2:$BA$1248,23,0)</f>
        <v>FALABELLA COLOMBIA</v>
      </c>
      <c r="DG160" s="7">
        <f>VLOOKUP(D160,listaBolsa!$D$2:$BA$1248,29,0)</f>
        <v>18386</v>
      </c>
      <c r="DH160" s="7" t="str">
        <f>VLOOKUP(D160,listaBolsa!$D$2:$BA$1248,36,0)</f>
        <v>MACHO</v>
      </c>
      <c r="DI160" s="7">
        <f>VLOOKUP(D160,listaBolsa!$D$2:$BA$1248,40,0)</f>
        <v>15729.41</v>
      </c>
      <c r="DJ160" s="252">
        <f>VLOOKUP(D160,listaBolsa!$D$2:$BA$1248,48,0)</f>
        <v>2.2499999999999999E-2</v>
      </c>
      <c r="DK160" s="7" t="b">
        <f t="shared" si="138"/>
        <v>1</v>
      </c>
      <c r="DL160" s="7" t="b">
        <f t="shared" si="139"/>
        <v>0</v>
      </c>
      <c r="DM160" s="7" t="b">
        <f t="shared" si="140"/>
        <v>1</v>
      </c>
      <c r="DN160" s="7" t="b">
        <f t="shared" si="141"/>
        <v>0</v>
      </c>
      <c r="DO160" s="7" t="b">
        <f t="shared" si="142"/>
        <v>1</v>
      </c>
      <c r="DP160" s="7" t="b">
        <f t="shared" si="143"/>
        <v>0</v>
      </c>
      <c r="DQ160" s="7" t="b">
        <f t="shared" si="144"/>
        <v>1</v>
      </c>
      <c r="DR160" s="7" t="b">
        <f t="shared" si="145"/>
        <v>0</v>
      </c>
      <c r="DS160" s="7" t="b">
        <f t="shared" si="146"/>
        <v>0</v>
      </c>
    </row>
    <row r="161" spans="1:123" s="7" customFormat="1" ht="42">
      <c r="A161" s="7" t="s">
        <v>570</v>
      </c>
      <c r="B161" s="453">
        <v>147</v>
      </c>
      <c r="C161" s="642" t="s">
        <v>579</v>
      </c>
      <c r="D161" s="453" t="s">
        <v>702</v>
      </c>
      <c r="E161" s="453" t="s">
        <v>703</v>
      </c>
      <c r="F161" s="194" t="s">
        <v>568</v>
      </c>
      <c r="G161" s="453">
        <v>1</v>
      </c>
      <c r="H161" s="443" t="s">
        <v>192</v>
      </c>
      <c r="I161" s="454" t="s">
        <v>704</v>
      </c>
      <c r="J161" s="455">
        <v>103823.5294117647</v>
      </c>
      <c r="K161" s="455">
        <f t="shared" si="149"/>
        <v>19726.470588235294</v>
      </c>
      <c r="L161" s="455">
        <f t="shared" si="127"/>
        <v>123550</v>
      </c>
      <c r="M161" s="455">
        <f t="shared" si="128"/>
        <v>103823.5294117647</v>
      </c>
      <c r="N161" s="455">
        <f t="shared" si="129"/>
        <v>123550</v>
      </c>
      <c r="O161" s="456" t="s">
        <v>705</v>
      </c>
      <c r="P161" s="457">
        <v>98823.529411764714</v>
      </c>
      <c r="Q161" s="457">
        <f t="shared" si="150"/>
        <v>18776.470588235297</v>
      </c>
      <c r="R161" s="457">
        <f t="shared" si="130"/>
        <v>117600.00000000001</v>
      </c>
      <c r="S161" s="457">
        <f t="shared" si="131"/>
        <v>98823.529411764714</v>
      </c>
      <c r="T161" s="457">
        <f t="shared" si="132"/>
        <v>117600.00000000001</v>
      </c>
      <c r="U161" s="458" t="s">
        <v>706</v>
      </c>
      <c r="V161" s="459">
        <v>96415.966386554632</v>
      </c>
      <c r="W161" s="459">
        <f t="shared" si="151"/>
        <v>18319.033613445379</v>
      </c>
      <c r="X161" s="459">
        <f t="shared" si="133"/>
        <v>114735.00000000001</v>
      </c>
      <c r="Y161" s="459">
        <f t="shared" si="134"/>
        <v>96415.966386554632</v>
      </c>
      <c r="Z161" s="459">
        <f t="shared" si="135"/>
        <v>114735.00000000001</v>
      </c>
      <c r="AA161" s="460">
        <f t="shared" si="147"/>
        <v>118628.33333333333</v>
      </c>
      <c r="AB161" s="460">
        <f t="shared" si="136"/>
        <v>118628.33333333333</v>
      </c>
      <c r="AC161" s="461">
        <f t="shared" si="148"/>
        <v>4496.5718423409253</v>
      </c>
      <c r="AD161" s="427">
        <f t="shared" si="137"/>
        <v>3.7904703842597399E-2</v>
      </c>
      <c r="AE161" s="428"/>
      <c r="BH161" s="7">
        <v>38</v>
      </c>
      <c r="DB161" s="7" t="str">
        <f>VLOOKUP(D161,listaBolsa!$D$2:$BA$1248,1,0)</f>
        <v>Barra Agrícola</v>
      </c>
      <c r="DC161" s="7">
        <f>VLOOKUP(D161,listaBolsa!$D$2:$BA$1248,2,0)</f>
        <v>0</v>
      </c>
      <c r="DD161" s="7" t="str">
        <f>VLOOKUP(D161,listaBolsa!$D$2:$BA$1248,10,0)</f>
        <v>ATRIAL</v>
      </c>
      <c r="DE161" s="7">
        <f>VLOOKUP(D161,listaBolsa!$D$2:$BA$1248,14,0)</f>
        <v>103823.53</v>
      </c>
      <c r="DF161" s="7" t="str">
        <f>VLOOKUP(D161,listaBolsa!$D$2:$BA$1248,23,0)</f>
        <v>HERRAGRO</v>
      </c>
      <c r="DG161" s="7">
        <f>VLOOKUP(D161,listaBolsa!$D$2:$BA$1248,29,0)</f>
        <v>117600</v>
      </c>
      <c r="DH161" s="7" t="str">
        <f>VLOOKUP(D161,listaBolsa!$D$2:$BA$1248,36,0)</f>
        <v>CASA ANDINA</v>
      </c>
      <c r="DI161" s="7">
        <f>VLOOKUP(D161,listaBolsa!$D$2:$BA$1248,40,0)</f>
        <v>96415.97</v>
      </c>
      <c r="DJ161" s="252">
        <f>VLOOKUP(D161,listaBolsa!$D$2:$BA$1248,48,0)</f>
        <v>3.7900000000000003E-2</v>
      </c>
      <c r="DK161" s="7" t="b">
        <f t="shared" si="138"/>
        <v>1</v>
      </c>
      <c r="DL161" s="7" t="b">
        <f t="shared" si="139"/>
        <v>0</v>
      </c>
      <c r="DM161" s="7" t="b">
        <f t="shared" si="140"/>
        <v>1</v>
      </c>
      <c r="DN161" s="7" t="b">
        <f t="shared" si="141"/>
        <v>0</v>
      </c>
      <c r="DO161" s="7" t="b">
        <f t="shared" si="142"/>
        <v>1</v>
      </c>
      <c r="DP161" s="7" t="b">
        <f t="shared" si="143"/>
        <v>0</v>
      </c>
      <c r="DQ161" s="7" t="b">
        <f t="shared" si="144"/>
        <v>1</v>
      </c>
      <c r="DR161" s="7" t="b">
        <f t="shared" si="145"/>
        <v>0</v>
      </c>
      <c r="DS161" s="7" t="b">
        <f t="shared" si="146"/>
        <v>0</v>
      </c>
    </row>
    <row r="162" spans="1:123" s="7" customFormat="1" ht="42">
      <c r="A162" s="7" t="s">
        <v>570</v>
      </c>
      <c r="B162" s="453">
        <v>148</v>
      </c>
      <c r="C162" s="642" t="s">
        <v>579</v>
      </c>
      <c r="D162" s="453" t="s">
        <v>708</v>
      </c>
      <c r="E162" s="453" t="s">
        <v>709</v>
      </c>
      <c r="F162" s="194" t="s">
        <v>568</v>
      </c>
      <c r="G162" s="453">
        <v>1</v>
      </c>
      <c r="H162" s="443" t="s">
        <v>192</v>
      </c>
      <c r="I162" s="454" t="s">
        <v>230</v>
      </c>
      <c r="J162" s="455">
        <v>57899</v>
      </c>
      <c r="K162" s="455">
        <f t="shared" si="149"/>
        <v>11000.81</v>
      </c>
      <c r="L162" s="455">
        <f t="shared" si="127"/>
        <v>68899.81</v>
      </c>
      <c r="M162" s="455">
        <f t="shared" si="128"/>
        <v>57899</v>
      </c>
      <c r="N162" s="455">
        <f t="shared" si="129"/>
        <v>68899.81</v>
      </c>
      <c r="O162" s="456" t="s">
        <v>239</v>
      </c>
      <c r="P162" s="457">
        <v>44201.68</v>
      </c>
      <c r="Q162" s="457">
        <f t="shared" si="150"/>
        <v>8398.3191999999999</v>
      </c>
      <c r="R162" s="457">
        <f t="shared" si="130"/>
        <v>52599.999199999998</v>
      </c>
      <c r="S162" s="457">
        <f t="shared" si="131"/>
        <v>44201.68</v>
      </c>
      <c r="T162" s="457">
        <f t="shared" si="132"/>
        <v>52599.999199999998</v>
      </c>
      <c r="U162" s="458" t="s">
        <v>1086</v>
      </c>
      <c r="V162" s="459">
        <v>45859.66</v>
      </c>
      <c r="W162" s="459">
        <f t="shared" si="151"/>
        <v>8713.3353999999999</v>
      </c>
      <c r="X162" s="459">
        <f t="shared" si="133"/>
        <v>54572.9954</v>
      </c>
      <c r="Y162" s="459">
        <f t="shared" si="134"/>
        <v>45859.66</v>
      </c>
      <c r="Z162" s="459">
        <f t="shared" si="135"/>
        <v>54572.9954</v>
      </c>
      <c r="AA162" s="460">
        <f t="shared" si="147"/>
        <v>58690.934866666656</v>
      </c>
      <c r="AB162" s="460">
        <f t="shared" si="136"/>
        <v>58690.934866666656</v>
      </c>
      <c r="AC162" s="461">
        <f t="shared" si="148"/>
        <v>8896.0118658474748</v>
      </c>
      <c r="AD162" s="427">
        <f t="shared" si="137"/>
        <v>0.15157386547100204</v>
      </c>
      <c r="AE162" s="428"/>
      <c r="BH162" s="7">
        <v>39</v>
      </c>
      <c r="DB162" s="7" t="str">
        <f>VLOOKUP(D162,listaBolsa!$D$2:$BA$1248,1,0)</f>
        <v>Pala</v>
      </c>
      <c r="DC162" s="7">
        <f>VLOOKUP(D162,listaBolsa!$D$2:$BA$1248,2,0)</f>
        <v>0</v>
      </c>
      <c r="DD162" s="7" t="str">
        <f>VLOOKUP(D162,listaBolsa!$D$2:$BA$1248,10,0)</f>
        <v xml:space="preserve">JUNTOS DE LA MANO </v>
      </c>
      <c r="DE162" s="7">
        <f>VLOOKUP(D162,listaBolsa!$D$2:$BA$1248,14,0)</f>
        <v>81500</v>
      </c>
      <c r="DF162" s="7" t="str">
        <f>VLOOKUP(D162,listaBolsa!$D$2:$BA$1248,23,0)</f>
        <v>MYCBDE</v>
      </c>
      <c r="DG162" s="7">
        <f>VLOOKUP(D162,listaBolsa!$D$2:$BA$1248,29,0)</f>
        <v>99960</v>
      </c>
      <c r="DH162" s="7" t="str">
        <f>VLOOKUP(D162,listaBolsa!$D$2:$BA$1248,36,0)</f>
        <v>DAGROW</v>
      </c>
      <c r="DI162" s="7">
        <f>VLOOKUP(D162,listaBolsa!$D$2:$BA$1248,40,0)</f>
        <v>96460</v>
      </c>
      <c r="DJ162" s="252">
        <f>VLOOKUP(D162,listaBolsa!$D$2:$BA$1248,48,0)</f>
        <v>9.1800000000000007E-2</v>
      </c>
      <c r="DK162" s="7" t="b">
        <f t="shared" si="138"/>
        <v>1</v>
      </c>
      <c r="DL162" s="7" t="b">
        <f t="shared" si="139"/>
        <v>0</v>
      </c>
      <c r="DM162" s="7" t="b">
        <f t="shared" si="140"/>
        <v>0</v>
      </c>
      <c r="DN162" s="7" t="b">
        <f t="shared" si="141"/>
        <v>0</v>
      </c>
      <c r="DO162" s="7" t="b">
        <f t="shared" si="142"/>
        <v>0</v>
      </c>
      <c r="DP162" s="7" t="b">
        <f t="shared" si="143"/>
        <v>0</v>
      </c>
      <c r="DQ162" s="7" t="b">
        <f t="shared" si="144"/>
        <v>0</v>
      </c>
      <c r="DR162" s="7" t="b">
        <f t="shared" si="145"/>
        <v>0</v>
      </c>
      <c r="DS162" s="7" t="b">
        <f t="shared" si="146"/>
        <v>0</v>
      </c>
    </row>
    <row r="163" spans="1:123" s="7" customFormat="1" ht="42">
      <c r="A163" s="7" t="s">
        <v>570</v>
      </c>
      <c r="B163" s="453">
        <v>149</v>
      </c>
      <c r="C163" s="642" t="s">
        <v>579</v>
      </c>
      <c r="D163" s="453" t="s">
        <v>711</v>
      </c>
      <c r="E163" s="453" t="s">
        <v>712</v>
      </c>
      <c r="F163" s="194" t="s">
        <v>568</v>
      </c>
      <c r="G163" s="453">
        <v>1</v>
      </c>
      <c r="H163" s="443" t="s">
        <v>192</v>
      </c>
      <c r="I163" s="454" t="s">
        <v>230</v>
      </c>
      <c r="J163" s="455">
        <v>83949.58</v>
      </c>
      <c r="K163" s="455">
        <f t="shared" si="149"/>
        <v>15950.4202</v>
      </c>
      <c r="L163" s="455">
        <f t="shared" si="127"/>
        <v>99900.000200000009</v>
      </c>
      <c r="M163" s="455">
        <f t="shared" si="128"/>
        <v>83949.58</v>
      </c>
      <c r="N163" s="455">
        <f t="shared" si="129"/>
        <v>99900.000200000009</v>
      </c>
      <c r="O163" s="456" t="s">
        <v>769</v>
      </c>
      <c r="P163" s="457">
        <v>83949.58</v>
      </c>
      <c r="Q163" s="457">
        <f t="shared" si="150"/>
        <v>15950.4202</v>
      </c>
      <c r="R163" s="457">
        <f t="shared" si="130"/>
        <v>99900.000200000009</v>
      </c>
      <c r="S163" s="457">
        <f t="shared" si="131"/>
        <v>83949.58</v>
      </c>
      <c r="T163" s="457">
        <f t="shared" si="132"/>
        <v>99900.000200000009</v>
      </c>
      <c r="U163" s="458" t="s">
        <v>1087</v>
      </c>
      <c r="V163" s="459">
        <v>68000</v>
      </c>
      <c r="W163" s="459">
        <f t="shared" si="151"/>
        <v>12920</v>
      </c>
      <c r="X163" s="459">
        <f t="shared" si="133"/>
        <v>80920</v>
      </c>
      <c r="Y163" s="459">
        <f t="shared" si="134"/>
        <v>68000</v>
      </c>
      <c r="Z163" s="459">
        <f t="shared" si="135"/>
        <v>80920</v>
      </c>
      <c r="AA163" s="460">
        <f t="shared" si="147"/>
        <v>93573.333466666678</v>
      </c>
      <c r="AB163" s="460">
        <f t="shared" si="136"/>
        <v>93573.333466666678</v>
      </c>
      <c r="AC163" s="461">
        <f t="shared" si="148"/>
        <v>10958.108224689156</v>
      </c>
      <c r="AD163" s="427">
        <f t="shared" si="137"/>
        <v>0.11710716951846893</v>
      </c>
      <c r="AE163" s="428"/>
      <c r="BH163" s="7">
        <v>40</v>
      </c>
      <c r="DB163" s="7" t="str">
        <f>VLOOKUP(D163,listaBolsa!$D$2:$BA$1248,1,0)</f>
        <v>Azadón</v>
      </c>
      <c r="DC163" s="7">
        <f>VLOOKUP(D163,listaBolsa!$D$2:$BA$1248,2,0)</f>
        <v>0</v>
      </c>
      <c r="DD163" s="7" t="str">
        <f>VLOOKUP(D163,listaBolsa!$D$2:$BA$1248,10,0)</f>
        <v xml:space="preserve">JUNTOS DE LA MANO </v>
      </c>
      <c r="DE163" s="7">
        <f>VLOOKUP(D163,listaBolsa!$D$2:$BA$1248,14,0)</f>
        <v>140000</v>
      </c>
      <c r="DF163" s="7" t="str">
        <f>VLOOKUP(D163,listaBolsa!$D$2:$BA$1248,23,0)</f>
        <v>DAGROW</v>
      </c>
      <c r="DG163" s="7">
        <f>VLOOKUP(D163,listaBolsa!$D$2:$BA$1248,29,0)</f>
        <v>166433</v>
      </c>
      <c r="DH163" s="7" t="str">
        <f>VLOOKUP(D163,listaBolsa!$D$2:$BA$1248,36,0)</f>
        <v>MYCBDE</v>
      </c>
      <c r="DI163" s="7">
        <f>VLOOKUP(D163,listaBolsa!$D$2:$BA$1248,40,0)</f>
        <v>142000</v>
      </c>
      <c r="DJ163" s="252">
        <f>VLOOKUP(D163,listaBolsa!$D$2:$BA$1248,48,0)</f>
        <v>8.5000000000000006E-3</v>
      </c>
      <c r="DK163" s="7" t="b">
        <f t="shared" si="138"/>
        <v>1</v>
      </c>
      <c r="DL163" s="7" t="b">
        <f t="shared" si="139"/>
        <v>0</v>
      </c>
      <c r="DM163" s="7" t="b">
        <f t="shared" si="140"/>
        <v>0</v>
      </c>
      <c r="DN163" s="7" t="b">
        <f t="shared" si="141"/>
        <v>0</v>
      </c>
      <c r="DO163" s="7" t="b">
        <f t="shared" si="142"/>
        <v>0</v>
      </c>
      <c r="DP163" s="7" t="b">
        <f t="shared" si="143"/>
        <v>0</v>
      </c>
      <c r="DQ163" s="7" t="b">
        <f t="shared" si="144"/>
        <v>0</v>
      </c>
      <c r="DR163" s="7" t="b">
        <f t="shared" si="145"/>
        <v>0</v>
      </c>
      <c r="DS163" s="7" t="b">
        <f t="shared" si="146"/>
        <v>0</v>
      </c>
    </row>
    <row r="164" spans="1:123" s="7" customFormat="1" ht="42">
      <c r="A164" s="7" t="s">
        <v>570</v>
      </c>
      <c r="B164" s="453">
        <v>150</v>
      </c>
      <c r="C164" s="642" t="s">
        <v>579</v>
      </c>
      <c r="D164" s="453" t="s">
        <v>714</v>
      </c>
      <c r="E164" s="453" t="s">
        <v>715</v>
      </c>
      <c r="F164" s="194" t="s">
        <v>568</v>
      </c>
      <c r="G164" s="453">
        <v>1</v>
      </c>
      <c r="H164" s="443" t="s">
        <v>192</v>
      </c>
      <c r="I164" s="454" t="s">
        <v>1088</v>
      </c>
      <c r="J164" s="455">
        <v>16359.66</v>
      </c>
      <c r="K164" s="455">
        <f t="shared" si="149"/>
        <v>3108.3353999999999</v>
      </c>
      <c r="L164" s="455">
        <f t="shared" si="127"/>
        <v>19467.9954</v>
      </c>
      <c r="M164" s="455">
        <f t="shared" si="128"/>
        <v>16359.66</v>
      </c>
      <c r="N164" s="455">
        <f t="shared" si="129"/>
        <v>19467.9954</v>
      </c>
      <c r="O164" s="456" t="s">
        <v>1089</v>
      </c>
      <c r="P164" s="457">
        <v>19319.330000000002</v>
      </c>
      <c r="Q164" s="457">
        <f t="shared" si="150"/>
        <v>3670.6727000000005</v>
      </c>
      <c r="R164" s="457">
        <f t="shared" si="130"/>
        <v>22990.002700000001</v>
      </c>
      <c r="S164" s="457">
        <f t="shared" si="131"/>
        <v>19319.330000000002</v>
      </c>
      <c r="T164" s="457">
        <f t="shared" si="132"/>
        <v>22990.002700000001</v>
      </c>
      <c r="U164" s="458" t="s">
        <v>1090</v>
      </c>
      <c r="V164" s="459">
        <v>18651.259999999998</v>
      </c>
      <c r="W164" s="459">
        <f t="shared" si="151"/>
        <v>3543.7393999999999</v>
      </c>
      <c r="X164" s="459">
        <f t="shared" si="133"/>
        <v>22194.999399999997</v>
      </c>
      <c r="Y164" s="459">
        <f t="shared" si="134"/>
        <v>18651.259999999998</v>
      </c>
      <c r="Z164" s="459">
        <f t="shared" si="135"/>
        <v>22194.999399999997</v>
      </c>
      <c r="AA164" s="460">
        <f t="shared" si="147"/>
        <v>21550.999166666665</v>
      </c>
      <c r="AB164" s="460">
        <f t="shared" si="136"/>
        <v>21550.999166666665</v>
      </c>
      <c r="AC164" s="461">
        <f t="shared" si="148"/>
        <v>1847.2103509653043</v>
      </c>
      <c r="AD164" s="427">
        <f t="shared" si="137"/>
        <v>8.5713443570747255E-2</v>
      </c>
      <c r="AE164" s="428"/>
      <c r="BH164" s="7">
        <v>41</v>
      </c>
      <c r="DB164" s="7" t="str">
        <f>VLOOKUP(D164,listaBolsa!$D$2:$BA$1248,1,0)</f>
        <v>Rastrillo de garra de 12 dientes para jardín</v>
      </c>
      <c r="DC164" s="7">
        <f>VLOOKUP(D164,listaBolsa!$D$2:$BA$1248,2,0)</f>
        <v>0</v>
      </c>
      <c r="DD164" s="7" t="str">
        <f>VLOOKUP(D164,listaBolsa!$D$2:$BA$1248,10,0)</f>
        <v xml:space="preserve">JUNTOS DE LA MANO </v>
      </c>
      <c r="DE164" s="7">
        <f>VLOOKUP(D164,listaBolsa!$D$2:$BA$1248,14,0)</f>
        <v>56000</v>
      </c>
      <c r="DF164" s="7" t="str">
        <f>VLOOKUP(D164,listaBolsa!$D$2:$BA$1248,23,0)</f>
        <v>MYCBDE</v>
      </c>
      <c r="DG164" s="7">
        <f>VLOOKUP(D164,listaBolsa!$D$2:$BA$1248,29,0)</f>
        <v>71400</v>
      </c>
      <c r="DH164" s="7" t="str">
        <f>VLOOKUP(D164,listaBolsa!$D$2:$BA$1248,36,0)</f>
        <v>DAGROW</v>
      </c>
      <c r="DI164" s="7">
        <f>VLOOKUP(D164,listaBolsa!$D$2:$BA$1248,40,0)</f>
        <v>58660</v>
      </c>
      <c r="DJ164" s="252">
        <f>VLOOKUP(D164,listaBolsa!$D$2:$BA$1248,48,0)</f>
        <v>3.5000000000000003E-2</v>
      </c>
      <c r="DK164" s="7" t="b">
        <f t="shared" si="138"/>
        <v>1</v>
      </c>
      <c r="DL164" s="7" t="b">
        <f t="shared" si="139"/>
        <v>0</v>
      </c>
      <c r="DM164" s="7" t="b">
        <f t="shared" si="140"/>
        <v>0</v>
      </c>
      <c r="DN164" s="7" t="b">
        <f t="shared" si="141"/>
        <v>0</v>
      </c>
      <c r="DO164" s="7" t="b">
        <f t="shared" si="142"/>
        <v>0</v>
      </c>
      <c r="DP164" s="7" t="b">
        <f t="shared" si="143"/>
        <v>0</v>
      </c>
      <c r="DQ164" s="7" t="b">
        <f t="shared" si="144"/>
        <v>0</v>
      </c>
      <c r="DR164" s="7" t="b">
        <f t="shared" si="145"/>
        <v>0</v>
      </c>
      <c r="DS164" s="7" t="b">
        <f t="shared" si="146"/>
        <v>0</v>
      </c>
    </row>
    <row r="165" spans="1:123" s="7" customFormat="1" ht="42">
      <c r="A165" s="7" t="s">
        <v>570</v>
      </c>
      <c r="B165" s="453">
        <v>151</v>
      </c>
      <c r="C165" s="642" t="s">
        <v>579</v>
      </c>
      <c r="D165" s="453" t="s">
        <v>717</v>
      </c>
      <c r="E165" s="453" t="s">
        <v>718</v>
      </c>
      <c r="F165" s="194" t="s">
        <v>568</v>
      </c>
      <c r="G165" s="453">
        <v>1</v>
      </c>
      <c r="H165" s="443" t="s">
        <v>192</v>
      </c>
      <c r="I165" s="454" t="s">
        <v>382</v>
      </c>
      <c r="J165" s="455">
        <v>7140</v>
      </c>
      <c r="K165" s="455">
        <f t="shared" si="149"/>
        <v>1356.6</v>
      </c>
      <c r="L165" s="455">
        <f t="shared" si="127"/>
        <v>8496.6</v>
      </c>
      <c r="M165" s="455">
        <f t="shared" si="128"/>
        <v>7140</v>
      </c>
      <c r="N165" s="455">
        <f t="shared" si="129"/>
        <v>8496.6</v>
      </c>
      <c r="O165" s="456" t="s">
        <v>381</v>
      </c>
      <c r="P165" s="457">
        <v>8500</v>
      </c>
      <c r="Q165" s="457">
        <f t="shared" si="150"/>
        <v>1615</v>
      </c>
      <c r="R165" s="457">
        <f t="shared" si="130"/>
        <v>10115</v>
      </c>
      <c r="S165" s="457">
        <f t="shared" si="131"/>
        <v>8500</v>
      </c>
      <c r="T165" s="457">
        <f t="shared" si="132"/>
        <v>10115</v>
      </c>
      <c r="U165" s="458" t="s">
        <v>380</v>
      </c>
      <c r="V165" s="459">
        <v>8300</v>
      </c>
      <c r="W165" s="459">
        <f t="shared" si="151"/>
        <v>1577</v>
      </c>
      <c r="X165" s="459">
        <f t="shared" si="133"/>
        <v>9877</v>
      </c>
      <c r="Y165" s="459">
        <f t="shared" si="134"/>
        <v>8300</v>
      </c>
      <c r="Z165" s="459">
        <f t="shared" si="135"/>
        <v>9877</v>
      </c>
      <c r="AA165" s="460">
        <f t="shared" si="147"/>
        <v>9496.1999999999989</v>
      </c>
      <c r="AB165" s="460">
        <f t="shared" si="136"/>
        <v>9496.1999999999989</v>
      </c>
      <c r="AC165" s="461">
        <f t="shared" si="148"/>
        <v>873.81984413264479</v>
      </c>
      <c r="AD165" s="427">
        <f t="shared" si="137"/>
        <v>9.2017843361833676E-2</v>
      </c>
      <c r="AE165" s="428"/>
      <c r="BH165" s="7">
        <v>42</v>
      </c>
      <c r="DB165" s="7" t="e">
        <f>VLOOKUP(D165,listaBolsa!$D$2:$BA$1248,1,0)</f>
        <v>#N/A</v>
      </c>
      <c r="DC165" s="7" t="e">
        <f>VLOOKUP(D165,listaBolsa!$D$2:$BA$1248,2,0)</f>
        <v>#N/A</v>
      </c>
      <c r="DD165" s="7" t="e">
        <f>VLOOKUP(D165,listaBolsa!$D$2:$BA$1248,10,0)</f>
        <v>#N/A</v>
      </c>
      <c r="DE165" s="7" t="e">
        <f>VLOOKUP(D165,listaBolsa!$D$2:$BA$1248,14,0)</f>
        <v>#N/A</v>
      </c>
      <c r="DF165" s="7" t="e">
        <f>VLOOKUP(D165,listaBolsa!$D$2:$BA$1248,23,0)</f>
        <v>#N/A</v>
      </c>
      <c r="DG165" s="7" t="e">
        <f>VLOOKUP(D165,listaBolsa!$D$2:$BA$1248,29,0)</f>
        <v>#N/A</v>
      </c>
      <c r="DH165" s="7" t="e">
        <f>VLOOKUP(D165,listaBolsa!$D$2:$BA$1248,36,0)</f>
        <v>#N/A</v>
      </c>
      <c r="DI165" s="7" t="e">
        <f>VLOOKUP(D165,listaBolsa!$D$2:$BA$1248,40,0)</f>
        <v>#N/A</v>
      </c>
      <c r="DJ165" s="252" t="e">
        <f>VLOOKUP(D165,listaBolsa!$D$2:$BA$1248,48,0)</f>
        <v>#N/A</v>
      </c>
      <c r="DK165" s="7" t="e">
        <f t="shared" si="138"/>
        <v>#N/A</v>
      </c>
      <c r="DL165" s="7" t="e">
        <f t="shared" si="139"/>
        <v>#N/A</v>
      </c>
      <c r="DM165" s="7" t="e">
        <f t="shared" si="140"/>
        <v>#N/A</v>
      </c>
      <c r="DN165" s="7" t="e">
        <f t="shared" si="141"/>
        <v>#N/A</v>
      </c>
      <c r="DO165" s="7" t="e">
        <f t="shared" si="142"/>
        <v>#N/A</v>
      </c>
      <c r="DP165" s="7" t="e">
        <f t="shared" si="143"/>
        <v>#N/A</v>
      </c>
      <c r="DQ165" s="7" t="e">
        <f t="shared" si="144"/>
        <v>#N/A</v>
      </c>
      <c r="DR165" s="7" t="e">
        <f t="shared" si="145"/>
        <v>#N/A</v>
      </c>
      <c r="DS165" s="7" t="e">
        <f t="shared" si="146"/>
        <v>#N/A</v>
      </c>
    </row>
    <row r="166" spans="1:123" s="7" customFormat="1" ht="42">
      <c r="A166" s="7" t="s">
        <v>570</v>
      </c>
      <c r="B166" s="453">
        <v>152</v>
      </c>
      <c r="C166" s="642" t="s">
        <v>579</v>
      </c>
      <c r="D166" s="453" t="s">
        <v>720</v>
      </c>
      <c r="E166" s="453" t="s">
        <v>721</v>
      </c>
      <c r="F166" s="194" t="s">
        <v>568</v>
      </c>
      <c r="G166" s="453">
        <v>1</v>
      </c>
      <c r="H166" s="443" t="s">
        <v>192</v>
      </c>
      <c r="I166" s="454" t="s">
        <v>380</v>
      </c>
      <c r="J166" s="455">
        <v>50000</v>
      </c>
      <c r="K166" s="455">
        <f t="shared" si="149"/>
        <v>9500</v>
      </c>
      <c r="L166" s="455">
        <f t="shared" si="127"/>
        <v>59500</v>
      </c>
      <c r="M166" s="455">
        <f t="shared" si="128"/>
        <v>50000</v>
      </c>
      <c r="N166" s="455">
        <f t="shared" si="129"/>
        <v>59500</v>
      </c>
      <c r="O166" s="456" t="s">
        <v>381</v>
      </c>
      <c r="P166" s="457">
        <v>49000</v>
      </c>
      <c r="Q166" s="457">
        <f t="shared" si="150"/>
        <v>9310</v>
      </c>
      <c r="R166" s="457">
        <f t="shared" si="130"/>
        <v>58310</v>
      </c>
      <c r="S166" s="457">
        <f t="shared" si="131"/>
        <v>49000</v>
      </c>
      <c r="T166" s="457">
        <f t="shared" si="132"/>
        <v>58310</v>
      </c>
      <c r="U166" s="458" t="s">
        <v>382</v>
      </c>
      <c r="V166" s="459">
        <v>47600</v>
      </c>
      <c r="W166" s="459">
        <f t="shared" si="151"/>
        <v>9044</v>
      </c>
      <c r="X166" s="459">
        <f t="shared" si="133"/>
        <v>56644</v>
      </c>
      <c r="Y166" s="459">
        <f t="shared" si="134"/>
        <v>47600</v>
      </c>
      <c r="Z166" s="459">
        <f t="shared" si="135"/>
        <v>56644</v>
      </c>
      <c r="AA166" s="460">
        <f t="shared" si="147"/>
        <v>58151.333333333336</v>
      </c>
      <c r="AB166" s="460">
        <f t="shared" si="136"/>
        <v>58151.333333333336</v>
      </c>
      <c r="AC166" s="461">
        <f t="shared" si="148"/>
        <v>1434.5958780553265</v>
      </c>
      <c r="AD166" s="427">
        <f t="shared" si="137"/>
        <v>2.4670042728547233E-2</v>
      </c>
      <c r="AE166" s="428"/>
      <c r="BH166" s="7">
        <v>43</v>
      </c>
      <c r="DB166" s="7" t="str">
        <f>VLOOKUP(D166,listaBolsa!$D$2:$BA$1248,1,0)</f>
        <v>Regadera Plástica de 5 litros</v>
      </c>
      <c r="DC166" s="7">
        <f>VLOOKUP(D166,listaBolsa!$D$2:$BA$1248,2,0)</f>
        <v>0</v>
      </c>
      <c r="DD166" s="7" t="str">
        <f>VLOOKUP(D166,listaBolsa!$D$2:$BA$1248,10,0)</f>
        <v xml:space="preserve">JUNTOS DE LA MANO </v>
      </c>
      <c r="DE166" s="7">
        <f>VLOOKUP(D166,listaBolsa!$D$2:$BA$1248,14,0)</f>
        <v>50000</v>
      </c>
      <c r="DF166" s="7" t="str">
        <f>VLOOKUP(D166,listaBolsa!$D$2:$BA$1248,23,0)</f>
        <v>MYCBDE</v>
      </c>
      <c r="DG166" s="7">
        <f>VLOOKUP(D166,listaBolsa!$D$2:$BA$1248,29,0)</f>
        <v>58310</v>
      </c>
      <c r="DH166" s="7" t="str">
        <f>VLOOKUP(D166,listaBolsa!$D$2:$BA$1248,36,0)</f>
        <v>DAGROW</v>
      </c>
      <c r="DI166" s="7">
        <f>VLOOKUP(D166,listaBolsa!$D$2:$BA$1248,40,0)</f>
        <v>47600</v>
      </c>
      <c r="DJ166" s="252">
        <f>VLOOKUP(D166,listaBolsa!$D$2:$BA$1248,48,0)</f>
        <v>2.47E-2</v>
      </c>
      <c r="DK166" s="7" t="b">
        <f t="shared" si="138"/>
        <v>1</v>
      </c>
      <c r="DL166" s="7" t="b">
        <f t="shared" si="139"/>
        <v>0</v>
      </c>
      <c r="DM166" s="7" t="b">
        <f t="shared" si="140"/>
        <v>1</v>
      </c>
      <c r="DN166" s="7" t="b">
        <f t="shared" si="141"/>
        <v>1</v>
      </c>
      <c r="DO166" s="7" t="b">
        <f t="shared" si="142"/>
        <v>1</v>
      </c>
      <c r="DP166" s="7" t="b">
        <f t="shared" si="143"/>
        <v>0</v>
      </c>
      <c r="DQ166" s="7" t="b">
        <f t="shared" si="144"/>
        <v>1</v>
      </c>
      <c r="DR166" s="7" t="b">
        <f t="shared" si="145"/>
        <v>1</v>
      </c>
      <c r="DS166" s="7" t="b">
        <f t="shared" si="146"/>
        <v>0</v>
      </c>
    </row>
    <row r="167" spans="1:123" s="7" customFormat="1" ht="42">
      <c r="A167" s="7" t="s">
        <v>570</v>
      </c>
      <c r="B167" s="453">
        <v>153</v>
      </c>
      <c r="C167" s="642" t="s">
        <v>579</v>
      </c>
      <c r="D167" s="453" t="s">
        <v>723</v>
      </c>
      <c r="E167" s="453" t="s">
        <v>724</v>
      </c>
      <c r="F167" s="194" t="s">
        <v>568</v>
      </c>
      <c r="G167" s="453">
        <v>1</v>
      </c>
      <c r="H167" s="443" t="s">
        <v>192</v>
      </c>
      <c r="I167" s="454" t="s">
        <v>380</v>
      </c>
      <c r="J167" s="455">
        <v>26000</v>
      </c>
      <c r="K167" s="455"/>
      <c r="L167" s="455">
        <f t="shared" si="127"/>
        <v>26000</v>
      </c>
      <c r="M167" s="455">
        <f t="shared" si="128"/>
        <v>26000</v>
      </c>
      <c r="N167" s="455">
        <f t="shared" si="129"/>
        <v>26000</v>
      </c>
      <c r="O167" s="456" t="s">
        <v>381</v>
      </c>
      <c r="P167" s="457">
        <v>28000</v>
      </c>
      <c r="Q167" s="457"/>
      <c r="R167" s="457">
        <f t="shared" si="130"/>
        <v>28000</v>
      </c>
      <c r="S167" s="457">
        <f t="shared" si="131"/>
        <v>28000</v>
      </c>
      <c r="T167" s="457">
        <f t="shared" si="132"/>
        <v>28000</v>
      </c>
      <c r="U167" s="458" t="s">
        <v>382</v>
      </c>
      <c r="V167" s="459">
        <v>25000</v>
      </c>
      <c r="W167" s="459"/>
      <c r="X167" s="459">
        <f t="shared" si="133"/>
        <v>25000</v>
      </c>
      <c r="Y167" s="459">
        <f t="shared" si="134"/>
        <v>25000</v>
      </c>
      <c r="Z167" s="459">
        <f t="shared" si="135"/>
        <v>25000</v>
      </c>
      <c r="AA167" s="460">
        <f t="shared" si="147"/>
        <v>26333.333333333332</v>
      </c>
      <c r="AB167" s="460">
        <f t="shared" si="136"/>
        <v>26333.333333333332</v>
      </c>
      <c r="AC167" s="461">
        <f t="shared" si="148"/>
        <v>1527.5252316519466</v>
      </c>
      <c r="AD167" s="427">
        <f t="shared" si="137"/>
        <v>5.8007287277922023E-2</v>
      </c>
      <c r="AE167" s="428"/>
      <c r="BH167" s="7">
        <v>44</v>
      </c>
      <c r="DB167" s="7" t="str">
        <f>VLOOKUP(D167,listaBolsa!$D$2:$BA$1248,1,0)</f>
        <v>Tierra negra preparada, Bulto 40 kg</v>
      </c>
      <c r="DC167" s="7">
        <f>VLOOKUP(D167,listaBolsa!$D$2:$BA$1248,2,0)</f>
        <v>0</v>
      </c>
      <c r="DD167" s="7" t="str">
        <f>VLOOKUP(D167,listaBolsa!$D$2:$BA$1248,10,0)</f>
        <v xml:space="preserve">JUNTOS DE LA MANO </v>
      </c>
      <c r="DE167" s="7">
        <f>VLOOKUP(D167,listaBolsa!$D$2:$BA$1248,14,0)</f>
        <v>26000</v>
      </c>
      <c r="DF167" s="7" t="str">
        <f>VLOOKUP(D167,listaBolsa!$D$2:$BA$1248,23,0)</f>
        <v>MYCBDE</v>
      </c>
      <c r="DG167" s="7">
        <f>VLOOKUP(D167,listaBolsa!$D$2:$BA$1248,29,0)</f>
        <v>28000</v>
      </c>
      <c r="DH167" s="7" t="str">
        <f>VLOOKUP(D167,listaBolsa!$D$2:$BA$1248,36,0)</f>
        <v>DAGROW</v>
      </c>
      <c r="DI167" s="7">
        <f>VLOOKUP(D167,listaBolsa!$D$2:$BA$1248,40,0)</f>
        <v>25000</v>
      </c>
      <c r="DJ167" s="252">
        <f>VLOOKUP(D167,listaBolsa!$D$2:$BA$1248,48,0)</f>
        <v>5.8000000000000003E-2</v>
      </c>
      <c r="DK167" s="7" t="b">
        <f t="shared" si="138"/>
        <v>1</v>
      </c>
      <c r="DL167" s="7" t="b">
        <f t="shared" si="139"/>
        <v>0</v>
      </c>
      <c r="DM167" s="7" t="b">
        <f t="shared" si="140"/>
        <v>1</v>
      </c>
      <c r="DN167" s="7" t="b">
        <f t="shared" si="141"/>
        <v>1</v>
      </c>
      <c r="DO167" s="7" t="b">
        <f t="shared" si="142"/>
        <v>1</v>
      </c>
      <c r="DP167" s="7" t="b">
        <f t="shared" si="143"/>
        <v>1</v>
      </c>
      <c r="DQ167" s="7" t="b">
        <f t="shared" si="144"/>
        <v>1</v>
      </c>
      <c r="DR167" s="7" t="b">
        <f t="shared" si="145"/>
        <v>1</v>
      </c>
      <c r="DS167" s="7" t="b">
        <f t="shared" si="146"/>
        <v>0</v>
      </c>
    </row>
    <row r="168" spans="1:123" s="7" customFormat="1" ht="43.15">
      <c r="A168" s="7" t="s">
        <v>570</v>
      </c>
      <c r="B168" s="453">
        <v>154</v>
      </c>
      <c r="C168" s="642" t="s">
        <v>579</v>
      </c>
      <c r="D168" s="453" t="s">
        <v>726</v>
      </c>
      <c r="E168" s="453" t="s">
        <v>727</v>
      </c>
      <c r="F168" s="194" t="s">
        <v>568</v>
      </c>
      <c r="G168" s="453">
        <v>1</v>
      </c>
      <c r="H168" s="443" t="s">
        <v>192</v>
      </c>
      <c r="I168" s="454" t="s">
        <v>380</v>
      </c>
      <c r="J168" s="455">
        <v>2200</v>
      </c>
      <c r="K168" s="455"/>
      <c r="L168" s="455">
        <f t="shared" si="127"/>
        <v>2200</v>
      </c>
      <c r="M168" s="455">
        <f t="shared" si="128"/>
        <v>2200</v>
      </c>
      <c r="N168" s="455">
        <f t="shared" si="129"/>
        <v>2200</v>
      </c>
      <c r="O168" s="456" t="s">
        <v>381</v>
      </c>
      <c r="P168" s="457">
        <v>2000</v>
      </c>
      <c r="Q168" s="457"/>
      <c r="R168" s="457">
        <f t="shared" si="130"/>
        <v>2000</v>
      </c>
      <c r="S168" s="457">
        <f t="shared" si="131"/>
        <v>2000</v>
      </c>
      <c r="T168" s="457">
        <f t="shared" si="132"/>
        <v>2000</v>
      </c>
      <c r="U168" s="458" t="s">
        <v>728</v>
      </c>
      <c r="V168" s="459">
        <v>2016.806722689076</v>
      </c>
      <c r="W168" s="459">
        <f>V168*19%</f>
        <v>383.19327731092443</v>
      </c>
      <c r="X168" s="459">
        <f t="shared" si="133"/>
        <v>2400.0000000000005</v>
      </c>
      <c r="Y168" s="459">
        <f t="shared" si="134"/>
        <v>2016.806722689076</v>
      </c>
      <c r="Z168" s="459">
        <f t="shared" si="135"/>
        <v>2400.0000000000005</v>
      </c>
      <c r="AA168" s="460">
        <f t="shared" si="147"/>
        <v>2200</v>
      </c>
      <c r="AB168" s="460">
        <f t="shared" si="136"/>
        <v>2200</v>
      </c>
      <c r="AC168" s="461">
        <f t="shared" si="148"/>
        <v>200.00000000000023</v>
      </c>
      <c r="AD168" s="427">
        <f t="shared" si="137"/>
        <v>9.0909090909091009E-2</v>
      </c>
      <c r="AE168" s="428"/>
      <c r="BH168" s="7">
        <v>45</v>
      </c>
      <c r="DB168" s="7" t="str">
        <f>VLOOKUP(D168,listaBolsa!$D$2:$BA$1248,1,0)</f>
        <v>Abono bocashi para acelerar compostaje</v>
      </c>
      <c r="DC168" s="7">
        <f>VLOOKUP(D168,listaBolsa!$D$2:$BA$1248,2,0)</f>
        <v>0</v>
      </c>
      <c r="DD168" s="7" t="str">
        <f>VLOOKUP(D168,listaBolsa!$D$2:$BA$1248,10,0)</f>
        <v xml:space="preserve">JUNTOS DE LA MANO </v>
      </c>
      <c r="DE168" s="7">
        <f>VLOOKUP(D168,listaBolsa!$D$2:$BA$1248,14,0)</f>
        <v>2200</v>
      </c>
      <c r="DF168" s="7" t="str">
        <f>VLOOKUP(D168,listaBolsa!$D$2:$BA$1248,23,0)</f>
        <v>MYCBDE</v>
      </c>
      <c r="DG168" s="7">
        <f>VLOOKUP(D168,listaBolsa!$D$2:$BA$1248,29,0)</f>
        <v>2000</v>
      </c>
      <c r="DH168" s="7" t="str">
        <f>VLOOKUP(D168,listaBolsa!$D$2:$BA$1248,36,0)</f>
        <v>DISTRIBUCIONES LADAM SAS</v>
      </c>
      <c r="DI168" s="7">
        <f>VLOOKUP(D168,listaBolsa!$D$2:$BA$1248,40,0)</f>
        <v>2016.81</v>
      </c>
      <c r="DJ168" s="252">
        <f>VLOOKUP(D168,listaBolsa!$D$2:$BA$1248,48,0)</f>
        <v>9.0899999999999995E-2</v>
      </c>
      <c r="DK168" s="7" t="b">
        <f t="shared" si="138"/>
        <v>1</v>
      </c>
      <c r="DL168" s="7" t="b">
        <f t="shared" si="139"/>
        <v>0</v>
      </c>
      <c r="DM168" s="7" t="b">
        <f t="shared" si="140"/>
        <v>1</v>
      </c>
      <c r="DN168" s="7" t="b">
        <f t="shared" si="141"/>
        <v>1</v>
      </c>
      <c r="DO168" s="7" t="b">
        <f t="shared" si="142"/>
        <v>1</v>
      </c>
      <c r="DP168" s="7" t="b">
        <f t="shared" si="143"/>
        <v>1</v>
      </c>
      <c r="DQ168" s="7" t="b">
        <f t="shared" si="144"/>
        <v>1</v>
      </c>
      <c r="DR168" s="7" t="b">
        <f t="shared" si="145"/>
        <v>0</v>
      </c>
      <c r="DS168" s="7" t="b">
        <f t="shared" si="146"/>
        <v>0</v>
      </c>
    </row>
    <row r="169" spans="1:123" s="7" customFormat="1" ht="42">
      <c r="A169" s="7" t="s">
        <v>570</v>
      </c>
      <c r="B169" s="453">
        <v>155</v>
      </c>
      <c r="C169" s="642" t="s">
        <v>579</v>
      </c>
      <c r="D169" s="453" t="s">
        <v>730</v>
      </c>
      <c r="E169" s="453" t="s">
        <v>731</v>
      </c>
      <c r="F169" s="194" t="s">
        <v>568</v>
      </c>
      <c r="G169" s="453">
        <v>1</v>
      </c>
      <c r="H169" s="443" t="s">
        <v>192</v>
      </c>
      <c r="I169" s="454" t="s">
        <v>230</v>
      </c>
      <c r="J169" s="455">
        <v>56638.66</v>
      </c>
      <c r="K169" s="455">
        <f>J169*19%</f>
        <v>10761.3454</v>
      </c>
      <c r="L169" s="455">
        <f t="shared" si="127"/>
        <v>67400.005400000009</v>
      </c>
      <c r="M169" s="455">
        <f t="shared" si="128"/>
        <v>56638.66</v>
      </c>
      <c r="N169" s="455">
        <f t="shared" si="129"/>
        <v>67400.005400000009</v>
      </c>
      <c r="O169" s="456" t="s">
        <v>381</v>
      </c>
      <c r="P169" s="457">
        <v>73000</v>
      </c>
      <c r="Q169" s="457">
        <f>P169*19%</f>
        <v>13870</v>
      </c>
      <c r="R169" s="457">
        <f t="shared" si="130"/>
        <v>86870</v>
      </c>
      <c r="S169" s="457">
        <f t="shared" si="131"/>
        <v>73000</v>
      </c>
      <c r="T169" s="457">
        <f t="shared" si="132"/>
        <v>86870</v>
      </c>
      <c r="U169" s="458" t="s">
        <v>382</v>
      </c>
      <c r="V169" s="459">
        <v>70000</v>
      </c>
      <c r="W169" s="459">
        <f>V169*19%</f>
        <v>13300</v>
      </c>
      <c r="X169" s="459">
        <f t="shared" si="133"/>
        <v>83300</v>
      </c>
      <c r="Y169" s="459">
        <f t="shared" si="134"/>
        <v>70000</v>
      </c>
      <c r="Z169" s="459">
        <f t="shared" si="135"/>
        <v>83300</v>
      </c>
      <c r="AA169" s="460">
        <f t="shared" si="147"/>
        <v>79190.001800000013</v>
      </c>
      <c r="AB169" s="460">
        <f t="shared" si="136"/>
        <v>79190.001800000013</v>
      </c>
      <c r="AC169" s="461">
        <f t="shared" si="148"/>
        <v>10365.289978288463</v>
      </c>
      <c r="AD169" s="427">
        <f t="shared" si="137"/>
        <v>0.13089139717999679</v>
      </c>
      <c r="AE169" s="428"/>
      <c r="BH169" s="7">
        <v>46</v>
      </c>
      <c r="DB169" s="7" t="str">
        <f>VLOOKUP(D169,listaBolsa!$D$2:$BA$1248,1,0)</f>
        <v>Polisombra negra 10 mt</v>
      </c>
      <c r="DC169" s="7">
        <f>VLOOKUP(D169,listaBolsa!$D$2:$BA$1248,2,0)</f>
        <v>0</v>
      </c>
      <c r="DD169" s="7" t="str">
        <f>VLOOKUP(D169,listaBolsa!$D$2:$BA$1248,10,0)</f>
        <v xml:space="preserve">JUNTOS DE LA MANO </v>
      </c>
      <c r="DE169" s="7">
        <f>VLOOKUP(D169,listaBolsa!$D$2:$BA$1248,14,0)</f>
        <v>75000</v>
      </c>
      <c r="DF169" s="7" t="str">
        <f>VLOOKUP(D169,listaBolsa!$D$2:$BA$1248,23,0)</f>
        <v>MYCBDE</v>
      </c>
      <c r="DG169" s="7">
        <f>VLOOKUP(D169,listaBolsa!$D$2:$BA$1248,29,0)</f>
        <v>86870</v>
      </c>
      <c r="DH169" s="7" t="str">
        <f>VLOOKUP(D169,listaBolsa!$D$2:$BA$1248,36,0)</f>
        <v>DAGROW</v>
      </c>
      <c r="DI169" s="7">
        <f>VLOOKUP(D169,listaBolsa!$D$2:$BA$1248,40,0)</f>
        <v>70000</v>
      </c>
      <c r="DJ169" s="252">
        <f>VLOOKUP(D169,listaBolsa!$D$2:$BA$1248,48,0)</f>
        <v>3.4599999999999999E-2</v>
      </c>
      <c r="DK169" s="7" t="b">
        <f t="shared" si="138"/>
        <v>1</v>
      </c>
      <c r="DL169" s="7" t="b">
        <f t="shared" si="139"/>
        <v>0</v>
      </c>
      <c r="DM169" s="7" t="b">
        <f t="shared" si="140"/>
        <v>0</v>
      </c>
      <c r="DN169" s="7" t="b">
        <f t="shared" si="141"/>
        <v>0</v>
      </c>
      <c r="DO169" s="7" t="b">
        <f t="shared" si="142"/>
        <v>1</v>
      </c>
      <c r="DP169" s="7" t="b">
        <f t="shared" si="143"/>
        <v>0</v>
      </c>
      <c r="DQ169" s="7" t="b">
        <f t="shared" si="144"/>
        <v>1</v>
      </c>
      <c r="DR169" s="7" t="b">
        <f t="shared" si="145"/>
        <v>1</v>
      </c>
      <c r="DS169" s="7" t="b">
        <f t="shared" si="146"/>
        <v>0</v>
      </c>
    </row>
    <row r="170" spans="1:123" s="7" customFormat="1" ht="42">
      <c r="A170" s="7" t="s">
        <v>570</v>
      </c>
      <c r="B170" s="453">
        <v>156</v>
      </c>
      <c r="C170" s="642" t="s">
        <v>579</v>
      </c>
      <c r="D170" s="453" t="s">
        <v>733</v>
      </c>
      <c r="E170" s="453" t="s">
        <v>734</v>
      </c>
      <c r="F170" s="194" t="s">
        <v>568</v>
      </c>
      <c r="G170" s="453">
        <v>1</v>
      </c>
      <c r="H170" s="443" t="s">
        <v>192</v>
      </c>
      <c r="I170" s="454" t="s">
        <v>380</v>
      </c>
      <c r="J170" s="455">
        <v>22000</v>
      </c>
      <c r="K170" s="455"/>
      <c r="L170" s="455">
        <f t="shared" si="127"/>
        <v>22000</v>
      </c>
      <c r="M170" s="455">
        <f t="shared" si="128"/>
        <v>22000</v>
      </c>
      <c r="N170" s="455">
        <f t="shared" si="129"/>
        <v>22000</v>
      </c>
      <c r="O170" s="456" t="s">
        <v>381</v>
      </c>
      <c r="P170" s="457">
        <v>24000</v>
      </c>
      <c r="Q170" s="457"/>
      <c r="R170" s="457">
        <f t="shared" si="130"/>
        <v>24000</v>
      </c>
      <c r="S170" s="457">
        <f t="shared" si="131"/>
        <v>24000</v>
      </c>
      <c r="T170" s="457">
        <f t="shared" si="132"/>
        <v>24000</v>
      </c>
      <c r="U170" s="458" t="s">
        <v>382</v>
      </c>
      <c r="V170" s="459">
        <v>20000</v>
      </c>
      <c r="W170" s="459"/>
      <c r="X170" s="459">
        <f t="shared" si="133"/>
        <v>20000</v>
      </c>
      <c r="Y170" s="459">
        <f t="shared" si="134"/>
        <v>20000</v>
      </c>
      <c r="Z170" s="459">
        <f t="shared" si="135"/>
        <v>20000</v>
      </c>
      <c r="AA170" s="460">
        <f t="shared" si="147"/>
        <v>22000</v>
      </c>
      <c r="AB170" s="460">
        <f t="shared" si="136"/>
        <v>22000</v>
      </c>
      <c r="AC170" s="461">
        <f t="shared" si="148"/>
        <v>2000</v>
      </c>
      <c r="AD170" s="427">
        <f t="shared" si="137"/>
        <v>9.0909090909090912E-2</v>
      </c>
      <c r="AE170" s="428"/>
      <c r="BH170" s="7">
        <v>47</v>
      </c>
      <c r="DB170" s="7" t="str">
        <f>VLOOKUP(D170,listaBolsa!$D$2:$BA$1248,1,0)</f>
        <v>Cascarilla quemada 4 kg</v>
      </c>
      <c r="DC170" s="7">
        <f>VLOOKUP(D170,listaBolsa!$D$2:$BA$1248,2,0)</f>
        <v>0</v>
      </c>
      <c r="DD170" s="7" t="str">
        <f>VLOOKUP(D170,listaBolsa!$D$2:$BA$1248,10,0)</f>
        <v xml:space="preserve">JUNTOS DE LA MANO </v>
      </c>
      <c r="DE170" s="7">
        <f>VLOOKUP(D170,listaBolsa!$D$2:$BA$1248,14,0)</f>
        <v>22000</v>
      </c>
      <c r="DF170" s="7" t="str">
        <f>VLOOKUP(D170,listaBolsa!$D$2:$BA$1248,23,0)</f>
        <v>MYCBDE</v>
      </c>
      <c r="DG170" s="7">
        <f>VLOOKUP(D170,listaBolsa!$D$2:$BA$1248,29,0)</f>
        <v>24000</v>
      </c>
      <c r="DH170" s="7" t="str">
        <f>VLOOKUP(D170,listaBolsa!$D$2:$BA$1248,36,0)</f>
        <v>DAGROW</v>
      </c>
      <c r="DI170" s="7">
        <f>VLOOKUP(D170,listaBolsa!$D$2:$BA$1248,40,0)</f>
        <v>20000</v>
      </c>
      <c r="DJ170" s="252">
        <f>VLOOKUP(D170,listaBolsa!$D$2:$BA$1248,48,0)</f>
        <v>9.0899999999999995E-2</v>
      </c>
      <c r="DK170" s="7" t="b">
        <f t="shared" si="138"/>
        <v>1</v>
      </c>
      <c r="DL170" s="7" t="b">
        <f t="shared" si="139"/>
        <v>0</v>
      </c>
      <c r="DM170" s="7" t="b">
        <f t="shared" si="140"/>
        <v>1</v>
      </c>
      <c r="DN170" s="7" t="b">
        <f t="shared" si="141"/>
        <v>1</v>
      </c>
      <c r="DO170" s="7" t="b">
        <f t="shared" si="142"/>
        <v>1</v>
      </c>
      <c r="DP170" s="7" t="b">
        <f t="shared" si="143"/>
        <v>1</v>
      </c>
      <c r="DQ170" s="7" t="b">
        <f t="shared" si="144"/>
        <v>1</v>
      </c>
      <c r="DR170" s="7" t="b">
        <f t="shared" si="145"/>
        <v>1</v>
      </c>
      <c r="DS170" s="7" t="b">
        <f t="shared" si="146"/>
        <v>0</v>
      </c>
    </row>
    <row r="171" spans="1:123" s="7" customFormat="1" ht="42">
      <c r="A171" s="7" t="s">
        <v>570</v>
      </c>
      <c r="B171" s="453">
        <v>157</v>
      </c>
      <c r="C171" s="642" t="s">
        <v>579</v>
      </c>
      <c r="D171" s="453" t="s">
        <v>736</v>
      </c>
      <c r="E171" s="453" t="s">
        <v>737</v>
      </c>
      <c r="F171" s="194" t="s">
        <v>568</v>
      </c>
      <c r="G171" s="453">
        <v>1</v>
      </c>
      <c r="H171" s="443" t="s">
        <v>192</v>
      </c>
      <c r="I171" s="454" t="s">
        <v>380</v>
      </c>
      <c r="J171" s="455">
        <v>17500</v>
      </c>
      <c r="K171" s="455"/>
      <c r="L171" s="455">
        <f t="shared" si="127"/>
        <v>17500</v>
      </c>
      <c r="M171" s="455">
        <f t="shared" si="128"/>
        <v>17500</v>
      </c>
      <c r="N171" s="455">
        <f t="shared" si="129"/>
        <v>17500</v>
      </c>
      <c r="O171" s="456" t="s">
        <v>381</v>
      </c>
      <c r="P171" s="457">
        <v>18000</v>
      </c>
      <c r="Q171" s="457"/>
      <c r="R171" s="457">
        <f t="shared" si="130"/>
        <v>18000</v>
      </c>
      <c r="S171" s="457">
        <f t="shared" si="131"/>
        <v>18000</v>
      </c>
      <c r="T171" s="457">
        <f t="shared" si="132"/>
        <v>18000</v>
      </c>
      <c r="U171" s="458" t="s">
        <v>382</v>
      </c>
      <c r="V171" s="459">
        <v>15000</v>
      </c>
      <c r="W171" s="459"/>
      <c r="X171" s="459">
        <f t="shared" si="133"/>
        <v>15000</v>
      </c>
      <c r="Y171" s="459">
        <f t="shared" si="134"/>
        <v>15000</v>
      </c>
      <c r="Z171" s="459">
        <f t="shared" si="135"/>
        <v>15000</v>
      </c>
      <c r="AA171" s="460">
        <f t="shared" si="147"/>
        <v>16833.333333333332</v>
      </c>
      <c r="AB171" s="460">
        <f t="shared" si="136"/>
        <v>16833.333333333332</v>
      </c>
      <c r="AC171" s="461">
        <f t="shared" si="148"/>
        <v>1607.2751268321592</v>
      </c>
      <c r="AD171" s="427">
        <f t="shared" si="137"/>
        <v>9.5481690702900551E-2</v>
      </c>
      <c r="AE171" s="428"/>
      <c r="BH171" s="7">
        <v>48</v>
      </c>
      <c r="DB171" s="7" t="str">
        <f>VLOOKUP(D171,listaBolsa!$D$2:$BA$1248,1,0)</f>
        <v>Humus 10 kg</v>
      </c>
      <c r="DC171" s="7">
        <f>VLOOKUP(D171,listaBolsa!$D$2:$BA$1248,2,0)</f>
        <v>0</v>
      </c>
      <c r="DD171" s="7" t="str">
        <f>VLOOKUP(D171,listaBolsa!$D$2:$BA$1248,10,0)</f>
        <v xml:space="preserve">JUNTOS DE LA MANO </v>
      </c>
      <c r="DE171" s="7">
        <f>VLOOKUP(D171,listaBolsa!$D$2:$BA$1248,14,0)</f>
        <v>17500</v>
      </c>
      <c r="DF171" s="7" t="str">
        <f>VLOOKUP(D171,listaBolsa!$D$2:$BA$1248,23,0)</f>
        <v>MYCBDE</v>
      </c>
      <c r="DG171" s="7">
        <f>VLOOKUP(D171,listaBolsa!$D$2:$BA$1248,29,0)</f>
        <v>18000</v>
      </c>
      <c r="DH171" s="7" t="str">
        <f>VLOOKUP(D171,listaBolsa!$D$2:$BA$1248,36,0)</f>
        <v>DAGROW</v>
      </c>
      <c r="DI171" s="7">
        <f>VLOOKUP(D171,listaBolsa!$D$2:$BA$1248,40,0)</f>
        <v>15000</v>
      </c>
      <c r="DJ171" s="252">
        <f>VLOOKUP(D171,listaBolsa!$D$2:$BA$1248,48,0)</f>
        <v>9.5500000000000002E-2</v>
      </c>
      <c r="DK171" s="7" t="b">
        <f t="shared" si="138"/>
        <v>1</v>
      </c>
      <c r="DL171" s="7" t="b">
        <f t="shared" si="139"/>
        <v>0</v>
      </c>
      <c r="DM171" s="7" t="b">
        <f t="shared" si="140"/>
        <v>1</v>
      </c>
      <c r="DN171" s="7" t="b">
        <f t="shared" si="141"/>
        <v>1</v>
      </c>
      <c r="DO171" s="7" t="b">
        <f t="shared" si="142"/>
        <v>1</v>
      </c>
      <c r="DP171" s="7" t="b">
        <f t="shared" si="143"/>
        <v>1</v>
      </c>
      <c r="DQ171" s="7" t="b">
        <f t="shared" si="144"/>
        <v>1</v>
      </c>
      <c r="DR171" s="7" t="b">
        <f t="shared" si="145"/>
        <v>1</v>
      </c>
      <c r="DS171" s="7" t="b">
        <f t="shared" si="146"/>
        <v>0</v>
      </c>
    </row>
    <row r="172" spans="1:123" s="7" customFormat="1" ht="42">
      <c r="A172" s="7" t="s">
        <v>570</v>
      </c>
      <c r="B172" s="453">
        <v>158</v>
      </c>
      <c r="C172" s="642" t="s">
        <v>579</v>
      </c>
      <c r="D172" s="453" t="s">
        <v>739</v>
      </c>
      <c r="E172" s="453" t="s">
        <v>740</v>
      </c>
      <c r="F172" s="194" t="s">
        <v>568</v>
      </c>
      <c r="G172" s="453">
        <v>1</v>
      </c>
      <c r="H172" s="443" t="s">
        <v>192</v>
      </c>
      <c r="I172" s="454" t="s">
        <v>380</v>
      </c>
      <c r="J172" s="455">
        <v>12000</v>
      </c>
      <c r="K172" s="455"/>
      <c r="L172" s="455">
        <f t="shared" si="127"/>
        <v>12000</v>
      </c>
      <c r="M172" s="455">
        <f t="shared" si="128"/>
        <v>12000</v>
      </c>
      <c r="N172" s="455">
        <f t="shared" si="129"/>
        <v>12000</v>
      </c>
      <c r="O172" s="456" t="s">
        <v>381</v>
      </c>
      <c r="P172" s="457">
        <v>10000</v>
      </c>
      <c r="Q172" s="457"/>
      <c r="R172" s="457">
        <f t="shared" si="130"/>
        <v>10000</v>
      </c>
      <c r="S172" s="457">
        <f t="shared" si="131"/>
        <v>10000</v>
      </c>
      <c r="T172" s="457">
        <f t="shared" si="132"/>
        <v>10000</v>
      </c>
      <c r="U172" s="458" t="s">
        <v>382</v>
      </c>
      <c r="V172" s="459">
        <v>8000</v>
      </c>
      <c r="W172" s="459"/>
      <c r="X172" s="459">
        <f t="shared" si="133"/>
        <v>8000</v>
      </c>
      <c r="Y172" s="459">
        <f t="shared" si="134"/>
        <v>8000</v>
      </c>
      <c r="Z172" s="459">
        <f t="shared" si="135"/>
        <v>8000</v>
      </c>
      <c r="AA172" s="460">
        <f t="shared" si="147"/>
        <v>10000</v>
      </c>
      <c r="AB172" s="460">
        <f t="shared" si="136"/>
        <v>10000</v>
      </c>
      <c r="AC172" s="461">
        <f t="shared" si="148"/>
        <v>2000</v>
      </c>
      <c r="AD172" s="427">
        <f t="shared" si="137"/>
        <v>0.2</v>
      </c>
      <c r="AE172" s="428"/>
      <c r="BH172" s="7">
        <v>49</v>
      </c>
      <c r="DB172" s="7" t="str">
        <f>VLOOKUP(D172,listaBolsa!$D$2:$BA$1248,1,0)</f>
        <v>Fibra de coco 4 lt</v>
      </c>
      <c r="DC172" s="7">
        <f>VLOOKUP(D172,listaBolsa!$D$2:$BA$1248,2,0)</f>
        <v>0</v>
      </c>
      <c r="DD172" s="7" t="str">
        <f>VLOOKUP(D172,listaBolsa!$D$2:$BA$1248,10,0)</f>
        <v xml:space="preserve">JUNTOS DE LA MANO </v>
      </c>
      <c r="DE172" s="7">
        <f>VLOOKUP(D172,listaBolsa!$D$2:$BA$1248,14,0)</f>
        <v>12000</v>
      </c>
      <c r="DF172" s="7" t="str">
        <f>VLOOKUP(D172,listaBolsa!$D$2:$BA$1248,23,0)</f>
        <v>MYCBDE</v>
      </c>
      <c r="DG172" s="7">
        <f>VLOOKUP(D172,listaBolsa!$D$2:$BA$1248,29,0)</f>
        <v>10000</v>
      </c>
      <c r="DH172" s="7" t="str">
        <f>VLOOKUP(D172,listaBolsa!$D$2:$BA$1248,36,0)</f>
        <v>DAGROW</v>
      </c>
      <c r="DI172" s="7">
        <f>VLOOKUP(D172,listaBolsa!$D$2:$BA$1248,40,0)</f>
        <v>8000</v>
      </c>
      <c r="DJ172" s="252">
        <f>VLOOKUP(D172,listaBolsa!$D$2:$BA$1248,48,0)</f>
        <v>0.2</v>
      </c>
      <c r="DK172" s="7" t="b">
        <f t="shared" si="138"/>
        <v>1</v>
      </c>
      <c r="DL172" s="7" t="b">
        <f t="shared" si="139"/>
        <v>0</v>
      </c>
      <c r="DM172" s="7" t="b">
        <f t="shared" si="140"/>
        <v>1</v>
      </c>
      <c r="DN172" s="7" t="b">
        <f t="shared" si="141"/>
        <v>1</v>
      </c>
      <c r="DO172" s="7" t="b">
        <f t="shared" si="142"/>
        <v>1</v>
      </c>
      <c r="DP172" s="7" t="b">
        <f t="shared" si="143"/>
        <v>1</v>
      </c>
      <c r="DQ172" s="7" t="b">
        <f t="shared" si="144"/>
        <v>1</v>
      </c>
      <c r="DR172" s="7" t="b">
        <f t="shared" si="145"/>
        <v>1</v>
      </c>
      <c r="DS172" s="7" t="b">
        <f t="shared" si="146"/>
        <v>1</v>
      </c>
    </row>
    <row r="173" spans="1:123" s="7" customFormat="1" ht="42">
      <c r="A173" s="7" t="s">
        <v>570</v>
      </c>
      <c r="B173" s="453">
        <v>159</v>
      </c>
      <c r="C173" s="642" t="s">
        <v>579</v>
      </c>
      <c r="D173" s="453" t="s">
        <v>742</v>
      </c>
      <c r="E173" s="453" t="s">
        <v>743</v>
      </c>
      <c r="F173" s="194" t="s">
        <v>568</v>
      </c>
      <c r="G173" s="453">
        <v>1</v>
      </c>
      <c r="H173" s="443" t="s">
        <v>192</v>
      </c>
      <c r="I173" s="454" t="s">
        <v>1092</v>
      </c>
      <c r="J173" s="455">
        <v>33613.449999999997</v>
      </c>
      <c r="K173" s="455">
        <f t="shared" ref="K173:K182" si="152">J173*19%</f>
        <v>6386.5554999999995</v>
      </c>
      <c r="L173" s="455">
        <f t="shared" si="127"/>
        <v>40000.005499999999</v>
      </c>
      <c r="M173" s="455">
        <f t="shared" si="128"/>
        <v>33613.449999999997</v>
      </c>
      <c r="N173" s="455">
        <f t="shared" si="129"/>
        <v>40000.005499999999</v>
      </c>
      <c r="O173" s="456" t="s">
        <v>230</v>
      </c>
      <c r="P173" s="457">
        <v>29327.73</v>
      </c>
      <c r="Q173" s="457">
        <f t="shared" ref="Q173:Q182" si="153">P173*19%</f>
        <v>5572.2686999999996</v>
      </c>
      <c r="R173" s="457">
        <f t="shared" si="130"/>
        <v>34899.998699999996</v>
      </c>
      <c r="S173" s="457">
        <f t="shared" si="131"/>
        <v>29327.73</v>
      </c>
      <c r="T173" s="457">
        <f t="shared" si="132"/>
        <v>34899.998699999996</v>
      </c>
      <c r="U173" s="458" t="s">
        <v>769</v>
      </c>
      <c r="V173" s="459">
        <v>31008.400000000001</v>
      </c>
      <c r="W173" s="459">
        <f>V173*19%</f>
        <v>5891.5960000000005</v>
      </c>
      <c r="X173" s="459">
        <f t="shared" si="133"/>
        <v>36899.995999999999</v>
      </c>
      <c r="Y173" s="459">
        <f t="shared" si="134"/>
        <v>31008.400000000001</v>
      </c>
      <c r="Z173" s="459">
        <f t="shared" si="135"/>
        <v>36899.995999999999</v>
      </c>
      <c r="AA173" s="460">
        <f t="shared" si="147"/>
        <v>37266.666733333332</v>
      </c>
      <c r="AB173" s="460">
        <f t="shared" si="136"/>
        <v>37266.666733333332</v>
      </c>
      <c r="AC173" s="461">
        <f t="shared" si="148"/>
        <v>2569.6989921047116</v>
      </c>
      <c r="AD173" s="427">
        <f t="shared" si="137"/>
        <v>6.8954355657632055E-2</v>
      </c>
      <c r="AE173" s="428"/>
      <c r="BH173" s="7">
        <v>50</v>
      </c>
      <c r="DB173" s="7" t="str">
        <f>VLOOKUP(D172,listaBolsa!$D$2:$BA$1248,1,0)</f>
        <v>Fibra de coco 4 lt</v>
      </c>
      <c r="DC173" s="7">
        <f>VLOOKUP(D172,listaBolsa!$D$2:$BA$1248,2,0)</f>
        <v>0</v>
      </c>
      <c r="DD173" s="7" t="str">
        <f>VLOOKUP(D172,listaBolsa!$D$2:$BA$1248,10,0)</f>
        <v xml:space="preserve">JUNTOS DE LA MANO </v>
      </c>
      <c r="DE173" s="7">
        <f>VLOOKUP(D172,listaBolsa!$D$2:$BA$1248,14,0)</f>
        <v>12000</v>
      </c>
      <c r="DF173" s="7" t="str">
        <f>VLOOKUP(D172,listaBolsa!$D$2:$BA$1248,23,0)</f>
        <v>MYCBDE</v>
      </c>
      <c r="DG173" s="7">
        <f>VLOOKUP(D172,listaBolsa!$D$2:$BA$1248,29,0)</f>
        <v>10000</v>
      </c>
      <c r="DH173" s="7" t="str">
        <f>VLOOKUP(D172,listaBolsa!$D$2:$BA$1248,36,0)</f>
        <v>DAGROW</v>
      </c>
      <c r="DI173" s="7">
        <f>VLOOKUP(D172,listaBolsa!$D$2:$BA$1248,40,0)</f>
        <v>8000</v>
      </c>
      <c r="DJ173" s="252">
        <f>VLOOKUP(D172,listaBolsa!$D$2:$BA$1248,48,0)</f>
        <v>0.2</v>
      </c>
      <c r="DK173" s="7" t="b">
        <f>DB173=D172</f>
        <v>1</v>
      </c>
      <c r="DL173" s="7" t="b">
        <f t="shared" ref="DL173:DL203" si="154">DC173=E173</f>
        <v>0</v>
      </c>
      <c r="DM173" s="7" t="b">
        <f t="shared" si="140"/>
        <v>0</v>
      </c>
      <c r="DN173" s="7" t="b">
        <f t="shared" si="141"/>
        <v>0</v>
      </c>
      <c r="DO173" s="7" t="b">
        <f t="shared" si="142"/>
        <v>0</v>
      </c>
      <c r="DP173" s="7" t="b">
        <f t="shared" si="143"/>
        <v>0</v>
      </c>
      <c r="DQ173" s="7" t="b">
        <f t="shared" si="144"/>
        <v>0</v>
      </c>
      <c r="DR173" s="7" t="b">
        <f t="shared" si="145"/>
        <v>0</v>
      </c>
      <c r="DS173" s="7" t="b">
        <f t="shared" si="146"/>
        <v>0</v>
      </c>
    </row>
    <row r="174" spans="1:123" s="7" customFormat="1" ht="42">
      <c r="A174" s="7" t="s">
        <v>570</v>
      </c>
      <c r="B174" s="453">
        <v>160</v>
      </c>
      <c r="C174" s="642" t="s">
        <v>579</v>
      </c>
      <c r="D174" s="453" t="s">
        <v>745</v>
      </c>
      <c r="E174" s="453" t="s">
        <v>746</v>
      </c>
      <c r="F174" s="194" t="s">
        <v>568</v>
      </c>
      <c r="G174" s="453">
        <v>1</v>
      </c>
      <c r="H174" s="443" t="s">
        <v>192</v>
      </c>
      <c r="I174" s="454" t="s">
        <v>1094</v>
      </c>
      <c r="J174" s="455">
        <v>14201.68</v>
      </c>
      <c r="K174" s="455">
        <f t="shared" si="152"/>
        <v>2698.3191999999999</v>
      </c>
      <c r="L174" s="455">
        <f t="shared" si="127"/>
        <v>16899.999199999998</v>
      </c>
      <c r="M174" s="455">
        <f t="shared" si="128"/>
        <v>14201.68</v>
      </c>
      <c r="N174" s="455">
        <f t="shared" si="129"/>
        <v>16899.999199999998</v>
      </c>
      <c r="O174" s="456" t="s">
        <v>1095</v>
      </c>
      <c r="P174" s="457">
        <v>10084.030000000001</v>
      </c>
      <c r="Q174" s="457">
        <f t="shared" si="153"/>
        <v>1915.9657000000002</v>
      </c>
      <c r="R174" s="457">
        <f t="shared" si="130"/>
        <v>11999.995700000001</v>
      </c>
      <c r="S174" s="457">
        <f t="shared" si="131"/>
        <v>10084.030000000001</v>
      </c>
      <c r="T174" s="457">
        <f t="shared" si="132"/>
        <v>11999.995700000001</v>
      </c>
      <c r="U174" s="458" t="s">
        <v>230</v>
      </c>
      <c r="V174" s="459">
        <v>14621.85</v>
      </c>
      <c r="W174" s="459">
        <f>V174*19%</f>
        <v>2778.1514999999999</v>
      </c>
      <c r="X174" s="459">
        <f t="shared" si="133"/>
        <v>17400.001499999998</v>
      </c>
      <c r="Y174" s="459">
        <f t="shared" si="134"/>
        <v>14621.85</v>
      </c>
      <c r="Z174" s="459">
        <f t="shared" si="135"/>
        <v>17400.001499999998</v>
      </c>
      <c r="AA174" s="460">
        <f t="shared" si="147"/>
        <v>15433.332133333332</v>
      </c>
      <c r="AB174" s="460">
        <f t="shared" si="136"/>
        <v>15433.332133333332</v>
      </c>
      <c r="AC174" s="461">
        <f t="shared" si="148"/>
        <v>2983.8481652627465</v>
      </c>
      <c r="AD174" s="427">
        <f t="shared" si="137"/>
        <v>0.193337909110253</v>
      </c>
      <c r="AE174" s="428"/>
      <c r="BH174" s="7">
        <v>51</v>
      </c>
      <c r="DB174" s="7" t="str">
        <f>VLOOKUP(D174,listaBolsa!$D$2:$BA$1248,1,0)</f>
        <v>Plástico calibre 6</v>
      </c>
      <c r="DC174" s="7">
        <f>VLOOKUP(D174,listaBolsa!$D$2:$BA$1248,2,0)</f>
        <v>0</v>
      </c>
      <c r="DD174" s="7" t="str">
        <f>VLOOKUP(D174,listaBolsa!$D$2:$BA$1248,10,0)</f>
        <v xml:space="preserve">JUNTOS DE LA MANO </v>
      </c>
      <c r="DE174" s="7">
        <f>VLOOKUP(D174,listaBolsa!$D$2:$BA$1248,14,0)</f>
        <v>69000</v>
      </c>
      <c r="DF174" s="7" t="str">
        <f>VLOOKUP(D174,listaBolsa!$D$2:$BA$1248,23,0)</f>
        <v>DAGROW</v>
      </c>
      <c r="DG174" s="7">
        <f>VLOOKUP(D174,listaBolsa!$D$2:$BA$1248,29,0)</f>
        <v>83300</v>
      </c>
      <c r="DH174" s="7" t="str">
        <f>VLOOKUP(D174,listaBolsa!$D$2:$BA$1248,36,0)</f>
        <v>MYCBDE</v>
      </c>
      <c r="DI174" s="7">
        <f>VLOOKUP(D174,listaBolsa!$D$2:$BA$1248,40,0)</f>
        <v>72000</v>
      </c>
      <c r="DJ174" s="252">
        <f>VLOOKUP(D174,listaBolsa!$D$2:$BA$1248,48,0)</f>
        <v>2.1700000000000001E-2</v>
      </c>
      <c r="DK174" s="7" t="b">
        <f t="shared" ref="DK174:DK197" si="155">DB174=D174</f>
        <v>1</v>
      </c>
      <c r="DL174" s="7" t="b">
        <f t="shared" si="154"/>
        <v>0</v>
      </c>
      <c r="DM174" s="7" t="b">
        <f t="shared" si="140"/>
        <v>0</v>
      </c>
      <c r="DN174" s="7" t="b">
        <f t="shared" si="141"/>
        <v>0</v>
      </c>
      <c r="DO174" s="7" t="b">
        <f t="shared" si="142"/>
        <v>0</v>
      </c>
      <c r="DP174" s="7" t="b">
        <f t="shared" si="143"/>
        <v>0</v>
      </c>
      <c r="DQ174" s="7" t="b">
        <f t="shared" si="144"/>
        <v>0</v>
      </c>
      <c r="DR174" s="7" t="b">
        <f t="shared" si="145"/>
        <v>0</v>
      </c>
      <c r="DS174" s="7" t="b">
        <f t="shared" si="146"/>
        <v>0</v>
      </c>
    </row>
    <row r="175" spans="1:123" s="7" customFormat="1" ht="84">
      <c r="A175" s="7" t="s">
        <v>570</v>
      </c>
      <c r="B175" s="453">
        <v>161</v>
      </c>
      <c r="C175" s="642" t="s">
        <v>579</v>
      </c>
      <c r="D175" s="453" t="s">
        <v>748</v>
      </c>
      <c r="E175" s="453" t="s">
        <v>749</v>
      </c>
      <c r="F175" s="194" t="s">
        <v>568</v>
      </c>
      <c r="G175" s="453">
        <v>1</v>
      </c>
      <c r="H175" s="443" t="s">
        <v>192</v>
      </c>
      <c r="I175" s="454" t="s">
        <v>1096</v>
      </c>
      <c r="J175" s="455">
        <v>45760</v>
      </c>
      <c r="K175" s="455">
        <f t="shared" si="152"/>
        <v>8694.4</v>
      </c>
      <c r="L175" s="455">
        <f t="shared" si="127"/>
        <v>54454.400000000001</v>
      </c>
      <c r="M175" s="455">
        <f t="shared" si="128"/>
        <v>45760</v>
      </c>
      <c r="N175" s="455">
        <f t="shared" si="129"/>
        <v>54454.400000000001</v>
      </c>
      <c r="O175" s="456" t="s">
        <v>1097</v>
      </c>
      <c r="P175" s="457">
        <v>28750</v>
      </c>
      <c r="Q175" s="457">
        <f t="shared" si="153"/>
        <v>5462.5</v>
      </c>
      <c r="R175" s="457">
        <f t="shared" si="130"/>
        <v>34212.5</v>
      </c>
      <c r="S175" s="457">
        <f t="shared" si="131"/>
        <v>28750</v>
      </c>
      <c r="T175" s="457">
        <f t="shared" si="132"/>
        <v>34212.5</v>
      </c>
      <c r="U175" s="458" t="s">
        <v>1098</v>
      </c>
      <c r="V175" s="459">
        <v>34705.879999999997</v>
      </c>
      <c r="W175" s="459">
        <f>V175*19%</f>
        <v>6594.1171999999997</v>
      </c>
      <c r="X175" s="459">
        <f t="shared" si="133"/>
        <v>41299.997199999998</v>
      </c>
      <c r="Y175" s="459">
        <f t="shared" si="134"/>
        <v>34705.879999999997</v>
      </c>
      <c r="Z175" s="459">
        <f t="shared" si="135"/>
        <v>41299.997199999998</v>
      </c>
      <c r="AA175" s="460">
        <f t="shared" si="147"/>
        <v>43322.299066666666</v>
      </c>
      <c r="AB175" s="460">
        <f t="shared" si="136"/>
        <v>43322.299066666666</v>
      </c>
      <c r="AC175" s="461">
        <f t="shared" si="148"/>
        <v>10271.363469980146</v>
      </c>
      <c r="AD175" s="427">
        <f t="shared" si="137"/>
        <v>0.23709183702771691</v>
      </c>
      <c r="AE175" s="428"/>
      <c r="BH175" s="7">
        <v>52</v>
      </c>
      <c r="DB175" s="7" t="str">
        <f>VLOOKUP(D175,listaBolsa!$D$2:$BA$1248,1,0)</f>
        <v>Kit de jardinería</v>
      </c>
      <c r="DC175" s="7">
        <f>VLOOKUP(D175,listaBolsa!$D$2:$BA$1248,2,0)</f>
        <v>0</v>
      </c>
      <c r="DD175" s="7" t="str">
        <f>VLOOKUP(D175,listaBolsa!$D$2:$BA$1248,10,0)</f>
        <v xml:space="preserve">JUNTOS DE LA MANO </v>
      </c>
      <c r="DE175" s="7">
        <f>VLOOKUP(D175,listaBolsa!$D$2:$BA$1248,14,0)</f>
        <v>137000</v>
      </c>
      <c r="DF175" s="7" t="str">
        <f>VLOOKUP(D175,listaBolsa!$D$2:$BA$1248,23,0)</f>
        <v>MYCBDE</v>
      </c>
      <c r="DG175" s="7">
        <f>VLOOKUP(D175,listaBolsa!$D$2:$BA$1248,29,0)</f>
        <v>166600</v>
      </c>
      <c r="DH175" s="7" t="str">
        <f>VLOOKUP(D175,listaBolsa!$D$2:$BA$1248,36,0)</f>
        <v>DAGROW</v>
      </c>
      <c r="DI175" s="7">
        <f>VLOOKUP(D175,listaBolsa!$D$2:$BA$1248,40,0)</f>
        <v>138600</v>
      </c>
      <c r="DJ175" s="252">
        <f>VLOOKUP(D175,listaBolsa!$D$2:$BA$1248,48,0)</f>
        <v>1.0800000000000001E-2</v>
      </c>
      <c r="DK175" s="7" t="b">
        <f t="shared" si="155"/>
        <v>1</v>
      </c>
      <c r="DL175" s="7" t="b">
        <f t="shared" si="154"/>
        <v>0</v>
      </c>
      <c r="DM175" s="7" t="b">
        <f t="shared" si="140"/>
        <v>0</v>
      </c>
      <c r="DN175" s="7" t="b">
        <f t="shared" si="141"/>
        <v>0</v>
      </c>
      <c r="DO175" s="7" t="b">
        <f t="shared" si="142"/>
        <v>0</v>
      </c>
      <c r="DP175" s="7" t="b">
        <f t="shared" si="143"/>
        <v>0</v>
      </c>
      <c r="DQ175" s="7" t="b">
        <f t="shared" si="144"/>
        <v>0</v>
      </c>
      <c r="DR175" s="7" t="b">
        <f t="shared" si="145"/>
        <v>0</v>
      </c>
      <c r="DS175" s="7" t="b">
        <f t="shared" si="146"/>
        <v>0</v>
      </c>
    </row>
    <row r="176" spans="1:123" s="7" customFormat="1" ht="42">
      <c r="A176" s="7" t="s">
        <v>570</v>
      </c>
      <c r="B176" s="453">
        <v>162</v>
      </c>
      <c r="C176" s="642" t="s">
        <v>579</v>
      </c>
      <c r="D176" s="453" t="s">
        <v>751</v>
      </c>
      <c r="E176" s="453" t="s">
        <v>752</v>
      </c>
      <c r="F176" s="194" t="s">
        <v>568</v>
      </c>
      <c r="G176" s="453">
        <v>1</v>
      </c>
      <c r="H176" s="443" t="s">
        <v>192</v>
      </c>
      <c r="I176" s="454" t="s">
        <v>230</v>
      </c>
      <c r="J176" s="455">
        <v>125966.39</v>
      </c>
      <c r="K176" s="455">
        <f t="shared" si="152"/>
        <v>23933.614099999999</v>
      </c>
      <c r="L176" s="455">
        <f t="shared" si="127"/>
        <v>149900.00409999999</v>
      </c>
      <c r="M176" s="455">
        <f t="shared" si="128"/>
        <v>125966.39</v>
      </c>
      <c r="N176" s="455">
        <f t="shared" si="129"/>
        <v>149900.00409999999</v>
      </c>
      <c r="O176" s="456" t="s">
        <v>769</v>
      </c>
      <c r="P176" s="457">
        <v>125966.39</v>
      </c>
      <c r="Q176" s="457">
        <f t="shared" si="153"/>
        <v>23933.614099999999</v>
      </c>
      <c r="R176" s="457">
        <f t="shared" si="130"/>
        <v>149900.00409999999</v>
      </c>
      <c r="S176" s="457">
        <f t="shared" si="131"/>
        <v>125966.39</v>
      </c>
      <c r="T176" s="457">
        <f t="shared" si="132"/>
        <v>149900.00409999999</v>
      </c>
      <c r="U176" s="458"/>
      <c r="V176" s="459"/>
      <c r="W176" s="459"/>
      <c r="X176" s="459"/>
      <c r="Y176" s="459"/>
      <c r="Z176" s="459"/>
      <c r="AA176" s="460">
        <f t="shared" si="147"/>
        <v>149900.00409999999</v>
      </c>
      <c r="AB176" s="460">
        <f t="shared" si="136"/>
        <v>149900.00409999999</v>
      </c>
      <c r="AC176" s="461">
        <f t="shared" si="148"/>
        <v>0</v>
      </c>
      <c r="AD176" s="427">
        <f t="shared" si="137"/>
        <v>0</v>
      </c>
      <c r="AE176" s="428"/>
      <c r="BH176" s="7">
        <v>53</v>
      </c>
      <c r="DB176" s="7" t="str">
        <f>VLOOKUP(D176,listaBolsa!$D$2:$BA$1248,1,0)</f>
        <v>Tijeras de poda larga</v>
      </c>
      <c r="DC176" s="7">
        <f>VLOOKUP(D176,listaBolsa!$D$2:$BA$1248,2,0)</f>
        <v>0</v>
      </c>
      <c r="DD176" s="7" t="str">
        <f>VLOOKUP(D176,listaBolsa!$D$2:$BA$1248,10,0)</f>
        <v xml:space="preserve">JUNTOS DE LA MANO </v>
      </c>
      <c r="DE176" s="7">
        <f>VLOOKUP(D176,listaBolsa!$D$2:$BA$1248,14,0)</f>
        <v>173000</v>
      </c>
      <c r="DF176" s="7" t="str">
        <f>VLOOKUP(D176,listaBolsa!$D$2:$BA$1248,23,0)</f>
        <v>MYCBDE</v>
      </c>
      <c r="DG176" s="7">
        <f>VLOOKUP(D176,listaBolsa!$D$2:$BA$1248,29,0)</f>
        <v>208250</v>
      </c>
      <c r="DH176" s="7" t="str">
        <f>VLOOKUP(D176,listaBolsa!$D$2:$BA$1248,36,0)</f>
        <v>DAGROW</v>
      </c>
      <c r="DI176" s="7">
        <f>VLOOKUP(D176,listaBolsa!$D$2:$BA$1248,40,0)</f>
        <v>180600</v>
      </c>
      <c r="DJ176" s="252">
        <f>VLOOKUP(D176,listaBolsa!$D$2:$BA$1248,48,0)</f>
        <v>2.24E-2</v>
      </c>
      <c r="DK176" s="7" t="b">
        <f t="shared" si="155"/>
        <v>1</v>
      </c>
      <c r="DL176" s="7" t="b">
        <f t="shared" si="154"/>
        <v>0</v>
      </c>
      <c r="DM176" s="7" t="b">
        <f t="shared" si="140"/>
        <v>0</v>
      </c>
      <c r="DN176" s="7" t="b">
        <f t="shared" si="141"/>
        <v>0</v>
      </c>
      <c r="DO176" s="7" t="b">
        <f t="shared" si="142"/>
        <v>0</v>
      </c>
      <c r="DP176" s="7" t="b">
        <f t="shared" si="143"/>
        <v>0</v>
      </c>
      <c r="DQ176" s="7" t="b">
        <f t="shared" si="144"/>
        <v>0</v>
      </c>
      <c r="DR176" s="7" t="b">
        <f t="shared" si="145"/>
        <v>0</v>
      </c>
      <c r="DS176" s="7" t="b">
        <f t="shared" si="146"/>
        <v>0</v>
      </c>
    </row>
    <row r="177" spans="1:123" s="7" customFormat="1" ht="42">
      <c r="A177" s="7" t="s">
        <v>570</v>
      </c>
      <c r="B177" s="453">
        <v>163</v>
      </c>
      <c r="C177" s="642" t="s">
        <v>579</v>
      </c>
      <c r="D177" s="453" t="s">
        <v>754</v>
      </c>
      <c r="E177" s="453" t="s">
        <v>755</v>
      </c>
      <c r="F177" s="194" t="s">
        <v>568</v>
      </c>
      <c r="G177" s="453">
        <v>1</v>
      </c>
      <c r="H177" s="443" t="s">
        <v>192</v>
      </c>
      <c r="I177" s="454" t="s">
        <v>380</v>
      </c>
      <c r="J177" s="455">
        <v>162000</v>
      </c>
      <c r="K177" s="455">
        <f t="shared" si="152"/>
        <v>30780</v>
      </c>
      <c r="L177" s="455">
        <f t="shared" si="127"/>
        <v>192780</v>
      </c>
      <c r="M177" s="455">
        <f t="shared" si="128"/>
        <v>162000</v>
      </c>
      <c r="N177" s="455">
        <f t="shared" si="129"/>
        <v>192780</v>
      </c>
      <c r="O177" s="456" t="s">
        <v>381</v>
      </c>
      <c r="P177" s="457">
        <v>160000</v>
      </c>
      <c r="Q177" s="457">
        <f t="shared" si="153"/>
        <v>30400</v>
      </c>
      <c r="R177" s="457">
        <f t="shared" si="130"/>
        <v>190400</v>
      </c>
      <c r="S177" s="457">
        <f t="shared" si="131"/>
        <v>160000</v>
      </c>
      <c r="T177" s="457">
        <f t="shared" si="132"/>
        <v>190400</v>
      </c>
      <c r="U177" s="458" t="s">
        <v>382</v>
      </c>
      <c r="V177" s="459">
        <v>154000</v>
      </c>
      <c r="W177" s="459">
        <f t="shared" ref="W177:W182" si="156">V177*19%</f>
        <v>29260</v>
      </c>
      <c r="X177" s="459">
        <f t="shared" ref="X177:X208" si="157">V177+W177</f>
        <v>183260</v>
      </c>
      <c r="Y177" s="459">
        <f t="shared" ref="Y177:Y208" si="158">IF(C177="","",(V177*G177))</f>
        <v>154000</v>
      </c>
      <c r="Z177" s="459">
        <f t="shared" ref="Z177:Z208" si="159">IF(C177="","",(X177*G177))</f>
        <v>183260</v>
      </c>
      <c r="AA177" s="460">
        <f t="shared" si="147"/>
        <v>188813.33333333334</v>
      </c>
      <c r="AB177" s="460">
        <f t="shared" si="136"/>
        <v>188813.33333333334</v>
      </c>
      <c r="AC177" s="461">
        <f t="shared" si="148"/>
        <v>4954.3650787293964</v>
      </c>
      <c r="AD177" s="427">
        <f t="shared" si="137"/>
        <v>2.6239487388228566E-2</v>
      </c>
      <c r="AE177" s="428"/>
      <c r="BH177" s="7">
        <v>54</v>
      </c>
      <c r="DB177" s="7" t="str">
        <f>VLOOKUP(D177,listaBolsa!$D$2:$BA$1248,1,0)</f>
        <v>Carretilla  tipo zorra</v>
      </c>
      <c r="DC177" s="7">
        <f>VLOOKUP(D177,listaBolsa!$D$2:$BA$1248,2,0)</f>
        <v>0</v>
      </c>
      <c r="DD177" s="7" t="str">
        <f>VLOOKUP(D177,listaBolsa!$D$2:$BA$1248,10,0)</f>
        <v xml:space="preserve">JUNTOS DE LA MANO </v>
      </c>
      <c r="DE177" s="7">
        <f>VLOOKUP(D177,listaBolsa!$D$2:$BA$1248,14,0)</f>
        <v>162000</v>
      </c>
      <c r="DF177" s="7" t="str">
        <f>VLOOKUP(D177,listaBolsa!$D$2:$BA$1248,23,0)</f>
        <v>MYCBDE</v>
      </c>
      <c r="DG177" s="7">
        <f>VLOOKUP(D177,listaBolsa!$D$2:$BA$1248,29,0)</f>
        <v>190400</v>
      </c>
      <c r="DH177" s="7" t="str">
        <f>VLOOKUP(D177,listaBolsa!$D$2:$BA$1248,36,0)</f>
        <v>DAGROW</v>
      </c>
      <c r="DI177" s="7">
        <f>VLOOKUP(D177,listaBolsa!$D$2:$BA$1248,40,0)</f>
        <v>154000</v>
      </c>
      <c r="DJ177" s="252">
        <f>VLOOKUP(D177,listaBolsa!$D$2:$BA$1248,48,0)</f>
        <v>2.6200000000000001E-2</v>
      </c>
      <c r="DK177" s="7" t="b">
        <f t="shared" si="155"/>
        <v>1</v>
      </c>
      <c r="DL177" s="7" t="b">
        <f t="shared" si="154"/>
        <v>0</v>
      </c>
      <c r="DM177" s="7" t="b">
        <f t="shared" si="140"/>
        <v>1</v>
      </c>
      <c r="DN177" s="7" t="b">
        <f t="shared" si="141"/>
        <v>1</v>
      </c>
      <c r="DO177" s="7" t="b">
        <f t="shared" si="142"/>
        <v>1</v>
      </c>
      <c r="DP177" s="7" t="b">
        <f t="shared" si="143"/>
        <v>0</v>
      </c>
      <c r="DQ177" s="7" t="b">
        <f t="shared" si="144"/>
        <v>1</v>
      </c>
      <c r="DR177" s="7" t="b">
        <f t="shared" si="145"/>
        <v>1</v>
      </c>
      <c r="DS177" s="7" t="b">
        <f t="shared" si="146"/>
        <v>0</v>
      </c>
    </row>
    <row r="178" spans="1:123" s="7" customFormat="1" ht="42">
      <c r="A178" s="7" t="s">
        <v>570</v>
      </c>
      <c r="B178" s="453">
        <v>164</v>
      </c>
      <c r="C178" s="642" t="s">
        <v>579</v>
      </c>
      <c r="D178" s="453" t="s">
        <v>757</v>
      </c>
      <c r="E178" s="453" t="s">
        <v>758</v>
      </c>
      <c r="F178" s="194" t="s">
        <v>568</v>
      </c>
      <c r="G178" s="453">
        <v>1</v>
      </c>
      <c r="H178" s="443" t="s">
        <v>192</v>
      </c>
      <c r="I178" s="454" t="s">
        <v>230</v>
      </c>
      <c r="J178" s="455">
        <v>10840.336134453781</v>
      </c>
      <c r="K178" s="455">
        <f t="shared" si="152"/>
        <v>2059.6638655462184</v>
      </c>
      <c r="L178" s="455">
        <f t="shared" ref="L178:L209" si="160">J178+K178</f>
        <v>12900</v>
      </c>
      <c r="M178" s="455">
        <f t="shared" ref="M178:M209" si="161">IF(C178="","",(J178*G178))</f>
        <v>10840.336134453781</v>
      </c>
      <c r="N178" s="455">
        <f t="shared" ref="N178:N209" si="162">IF(C178="","",(L178*G178))</f>
        <v>12900</v>
      </c>
      <c r="O178" s="456" t="s">
        <v>759</v>
      </c>
      <c r="P178" s="457">
        <v>10084.033613445379</v>
      </c>
      <c r="Q178" s="457">
        <f t="shared" si="153"/>
        <v>1915.966386554622</v>
      </c>
      <c r="R178" s="457">
        <f t="shared" ref="R178:R209" si="163">P178+Q178</f>
        <v>12000.000000000002</v>
      </c>
      <c r="S178" s="457">
        <f t="shared" ref="S178:S209" si="164">IF(C178="","",(P178*G178))</f>
        <v>10084.033613445379</v>
      </c>
      <c r="T178" s="457">
        <f t="shared" ref="T178:T209" si="165">IF(C178="","",(R178*G178))</f>
        <v>12000.000000000002</v>
      </c>
      <c r="U178" s="458" t="s">
        <v>224</v>
      </c>
      <c r="V178" s="459">
        <v>10000</v>
      </c>
      <c r="W178" s="459">
        <f t="shared" si="156"/>
        <v>1900</v>
      </c>
      <c r="X178" s="459">
        <f t="shared" si="157"/>
        <v>11900</v>
      </c>
      <c r="Y178" s="459">
        <f t="shared" si="158"/>
        <v>10000</v>
      </c>
      <c r="Z178" s="459">
        <f t="shared" si="159"/>
        <v>11900</v>
      </c>
      <c r="AA178" s="460">
        <f t="shared" si="147"/>
        <v>12266.666666666666</v>
      </c>
      <c r="AB178" s="460">
        <f t="shared" ref="AB178:AB209" si="166">IF(C178="","",AA178*G178)</f>
        <v>12266.666666666666</v>
      </c>
      <c r="AC178" s="461">
        <f t="shared" si="148"/>
        <v>550.75705472860977</v>
      </c>
      <c r="AD178" s="427">
        <f t="shared" ref="AD178:AD209" si="167">IF(C178="","",(AC178/AB178))</f>
        <v>4.4898672939832324E-2</v>
      </c>
      <c r="AE178" s="428"/>
      <c r="BH178" s="7">
        <v>55</v>
      </c>
      <c r="DB178" s="7" t="str">
        <f>VLOOKUP(D178,listaBolsa!$D$2:$BA$1248,1,0)</f>
        <v>Alambre dulce</v>
      </c>
      <c r="DC178" s="7">
        <f>VLOOKUP(D178,listaBolsa!$D$2:$BA$1248,2,0)</f>
        <v>0</v>
      </c>
      <c r="DD178" s="7" t="str">
        <f>VLOOKUP(D178,listaBolsa!$D$2:$BA$1248,10,0)</f>
        <v>HOMMECENTER</v>
      </c>
      <c r="DE178" s="7">
        <f>VLOOKUP(D178,listaBolsa!$D$2:$BA$1248,14,0)</f>
        <v>10840.34</v>
      </c>
      <c r="DF178" s="7" t="str">
        <f>VLOOKUP(D178,listaBolsa!$D$2:$BA$1248,23,0)</f>
        <v>FERRETERIA PEÑA</v>
      </c>
      <c r="DG178" s="7">
        <f>VLOOKUP(D178,listaBolsa!$D$2:$BA$1248,29,0)</f>
        <v>12000</v>
      </c>
      <c r="DH178" s="7" t="str">
        <f>VLOOKUP(D178,listaBolsa!$D$2:$BA$1248,36,0)</f>
        <v>COMADERAS</v>
      </c>
      <c r="DI178" s="7">
        <f>VLOOKUP(D178,listaBolsa!$D$2:$BA$1248,40,0)</f>
        <v>10000</v>
      </c>
      <c r="DJ178" s="252">
        <f>VLOOKUP(D178,listaBolsa!$D$2:$BA$1248,48,0)</f>
        <v>4.4900000000000002E-2</v>
      </c>
      <c r="DK178" s="7" t="b">
        <f t="shared" si="155"/>
        <v>1</v>
      </c>
      <c r="DL178" s="7" t="b">
        <f t="shared" si="154"/>
        <v>0</v>
      </c>
      <c r="DM178" s="7" t="b">
        <f t="shared" ref="DM178:DM209" si="168">DD178=I178</f>
        <v>0</v>
      </c>
      <c r="DN178" s="7" t="b">
        <f t="shared" ref="DN178:DN209" si="169">DE178=J178</f>
        <v>0</v>
      </c>
      <c r="DO178" s="7" t="b">
        <f t="shared" ref="DO178:DO209" si="170">DF178=O178</f>
        <v>1</v>
      </c>
      <c r="DP178" s="7" t="b">
        <f t="shared" ref="DP178:DP209" si="171">DG178=P178</f>
        <v>0</v>
      </c>
      <c r="DQ178" s="7" t="b">
        <f t="shared" ref="DQ178:DQ209" si="172">DH178=U178</f>
        <v>1</v>
      </c>
      <c r="DR178" s="7" t="b">
        <f t="shared" ref="DR178:DR209" si="173">DI178=V178</f>
        <v>1</v>
      </c>
      <c r="DS178" s="7" t="b">
        <f t="shared" ref="DS178:DS209" si="174">DJ178=AD178</f>
        <v>0</v>
      </c>
    </row>
    <row r="179" spans="1:123" s="7" customFormat="1" ht="42">
      <c r="A179" s="7" t="s">
        <v>570</v>
      </c>
      <c r="B179" s="453">
        <v>165</v>
      </c>
      <c r="C179" s="642" t="s">
        <v>579</v>
      </c>
      <c r="D179" s="453" t="s">
        <v>761</v>
      </c>
      <c r="E179" s="453" t="s">
        <v>762</v>
      </c>
      <c r="F179" s="194" t="s">
        <v>568</v>
      </c>
      <c r="G179" s="453">
        <v>1</v>
      </c>
      <c r="H179" s="443" t="s">
        <v>192</v>
      </c>
      <c r="I179" s="454" t="s">
        <v>695</v>
      </c>
      <c r="J179" s="455">
        <v>124285.7142857143</v>
      </c>
      <c r="K179" s="455">
        <f t="shared" si="152"/>
        <v>23614.285714285717</v>
      </c>
      <c r="L179" s="455">
        <f t="shared" si="160"/>
        <v>147900.00000000003</v>
      </c>
      <c r="M179" s="455">
        <f t="shared" si="161"/>
        <v>124285.7142857143</v>
      </c>
      <c r="N179" s="455">
        <f t="shared" si="162"/>
        <v>147900.00000000003</v>
      </c>
      <c r="O179" s="456" t="s">
        <v>763</v>
      </c>
      <c r="P179" s="457">
        <v>142857.1428571429</v>
      </c>
      <c r="Q179" s="457">
        <f t="shared" si="153"/>
        <v>27142.857142857152</v>
      </c>
      <c r="R179" s="457">
        <f t="shared" si="163"/>
        <v>170000.00000000006</v>
      </c>
      <c r="S179" s="457">
        <f t="shared" si="164"/>
        <v>142857.1428571429</v>
      </c>
      <c r="T179" s="457">
        <f t="shared" si="165"/>
        <v>170000.00000000006</v>
      </c>
      <c r="U179" s="458" t="s">
        <v>764</v>
      </c>
      <c r="V179" s="459">
        <v>131596.63865546219</v>
      </c>
      <c r="W179" s="459">
        <f t="shared" si="156"/>
        <v>25003.361344537814</v>
      </c>
      <c r="X179" s="459">
        <f t="shared" si="157"/>
        <v>156600</v>
      </c>
      <c r="Y179" s="459">
        <f t="shared" si="158"/>
        <v>131596.63865546219</v>
      </c>
      <c r="Z179" s="459">
        <f t="shared" si="159"/>
        <v>156600</v>
      </c>
      <c r="AA179" s="460">
        <f t="shared" ref="AA179:AA210" si="175">IF(B179="","",AVERAGE(L179,R179,X179))</f>
        <v>158166.66666666672</v>
      </c>
      <c r="AB179" s="460">
        <f t="shared" si="166"/>
        <v>158166.66666666672</v>
      </c>
      <c r="AC179" s="461">
        <f t="shared" ref="AC179:AC210" si="176">IF(C179="","",STDEV(N179,T179,Z179))</f>
        <v>11132.984026456417</v>
      </c>
      <c r="AD179" s="427">
        <f t="shared" si="167"/>
        <v>7.0387675615109044E-2</v>
      </c>
      <c r="AE179" s="428"/>
      <c r="BH179" s="7">
        <v>56</v>
      </c>
      <c r="DB179" s="7" t="str">
        <f>VLOOKUP(D179,listaBolsa!$D$2:$BA$1248,1,0)</f>
        <v>Aspersora de 10 litros</v>
      </c>
      <c r="DC179" s="7">
        <f>VLOOKUP(D179,listaBolsa!$D$2:$BA$1248,2,0)</f>
        <v>0</v>
      </c>
      <c r="DD179" s="7" t="str">
        <f>VLOOKUP(D179,listaBolsa!$D$2:$BA$1248,10,0)</f>
        <v>TIERRAGRO</v>
      </c>
      <c r="DE179" s="7">
        <f>VLOOKUP(D179,listaBolsa!$D$2:$BA$1248,14,0)</f>
        <v>124285.71</v>
      </c>
      <c r="DF179" s="7" t="str">
        <f>VLOOKUP(D179,listaBolsa!$D$2:$BA$1248,23,0)</f>
        <v>PROGEN</v>
      </c>
      <c r="DG179" s="7">
        <f>VLOOKUP(D179,listaBolsa!$D$2:$BA$1248,29,0)</f>
        <v>170000</v>
      </c>
      <c r="DH179" s="7" t="str">
        <f>VLOOKUP(D179,listaBolsa!$D$2:$BA$1248,36,0)</f>
        <v>AGROTECNICO</v>
      </c>
      <c r="DI179" s="7">
        <f>VLOOKUP(D179,listaBolsa!$D$2:$BA$1248,40,0)</f>
        <v>131596.64000000001</v>
      </c>
      <c r="DJ179" s="252">
        <f>VLOOKUP(D179,listaBolsa!$D$2:$BA$1248,48,0)</f>
        <v>7.0400000000000004E-2</v>
      </c>
      <c r="DK179" s="7" t="b">
        <f t="shared" si="155"/>
        <v>1</v>
      </c>
      <c r="DL179" s="7" t="b">
        <f t="shared" si="154"/>
        <v>0</v>
      </c>
      <c r="DM179" s="7" t="b">
        <f t="shared" si="168"/>
        <v>1</v>
      </c>
      <c r="DN179" s="7" t="b">
        <f t="shared" si="169"/>
        <v>0</v>
      </c>
      <c r="DO179" s="7" t="b">
        <f t="shared" si="170"/>
        <v>1</v>
      </c>
      <c r="DP179" s="7" t="b">
        <f t="shared" si="171"/>
        <v>0</v>
      </c>
      <c r="DQ179" s="7" t="b">
        <f t="shared" si="172"/>
        <v>1</v>
      </c>
      <c r="DR179" s="7" t="b">
        <f t="shared" si="173"/>
        <v>0</v>
      </c>
      <c r="DS179" s="7" t="b">
        <f t="shared" si="174"/>
        <v>0</v>
      </c>
    </row>
    <row r="180" spans="1:123" s="7" customFormat="1" ht="42">
      <c r="A180" s="7" t="s">
        <v>570</v>
      </c>
      <c r="B180" s="453">
        <v>166</v>
      </c>
      <c r="C180" s="642" t="s">
        <v>579</v>
      </c>
      <c r="D180" s="453" t="s">
        <v>766</v>
      </c>
      <c r="E180" s="453" t="s">
        <v>767</v>
      </c>
      <c r="F180" s="194" t="s">
        <v>568</v>
      </c>
      <c r="G180" s="453">
        <v>1</v>
      </c>
      <c r="H180" s="443" t="s">
        <v>192</v>
      </c>
      <c r="I180" s="454" t="s">
        <v>284</v>
      </c>
      <c r="J180" s="455">
        <v>54537.815126050416</v>
      </c>
      <c r="K180" s="455">
        <f t="shared" si="152"/>
        <v>10362.18487394958</v>
      </c>
      <c r="L180" s="455">
        <f t="shared" si="160"/>
        <v>64900</v>
      </c>
      <c r="M180" s="455">
        <f t="shared" si="161"/>
        <v>54537.815126050416</v>
      </c>
      <c r="N180" s="455">
        <f t="shared" si="162"/>
        <v>64900</v>
      </c>
      <c r="O180" s="456" t="s">
        <v>768</v>
      </c>
      <c r="P180" s="457">
        <v>54537.815126050416</v>
      </c>
      <c r="Q180" s="457">
        <f t="shared" si="153"/>
        <v>10362.18487394958</v>
      </c>
      <c r="R180" s="457">
        <f t="shared" si="163"/>
        <v>64900</v>
      </c>
      <c r="S180" s="457">
        <f t="shared" si="164"/>
        <v>54537.815126050416</v>
      </c>
      <c r="T180" s="457">
        <f t="shared" si="165"/>
        <v>64900</v>
      </c>
      <c r="U180" s="458" t="s">
        <v>769</v>
      </c>
      <c r="V180" s="459">
        <v>62521.01</v>
      </c>
      <c r="W180" s="459">
        <f t="shared" si="156"/>
        <v>11878.991900000001</v>
      </c>
      <c r="X180" s="459">
        <f t="shared" si="157"/>
        <v>74400.001900000003</v>
      </c>
      <c r="Y180" s="459">
        <f t="shared" si="158"/>
        <v>62521.01</v>
      </c>
      <c r="Z180" s="459">
        <f t="shared" si="159"/>
        <v>74400.001900000003</v>
      </c>
      <c r="AA180" s="460">
        <f t="shared" si="175"/>
        <v>68066.667300000001</v>
      </c>
      <c r="AB180" s="460">
        <f t="shared" si="166"/>
        <v>68066.667300000001</v>
      </c>
      <c r="AC180" s="461">
        <f t="shared" si="176"/>
        <v>5484.8286542669575</v>
      </c>
      <c r="AD180" s="427">
        <f t="shared" si="167"/>
        <v>8.0580243926045098E-2</v>
      </c>
      <c r="AE180" s="428"/>
      <c r="BH180" s="7">
        <v>57</v>
      </c>
      <c r="DB180" s="7" t="str">
        <f>VLOOKUP(D180,listaBolsa!$D$2:$BA$1248,1,0)</f>
        <v>Aspersora de 5 litros</v>
      </c>
      <c r="DC180" s="7">
        <f>VLOOKUP(D180,listaBolsa!$D$2:$BA$1248,2,0)</f>
        <v>0</v>
      </c>
      <c r="DD180" s="7" t="str">
        <f>VLOOKUP(D180,listaBolsa!$D$2:$BA$1248,10,0)</f>
        <v>HOMMECENTER</v>
      </c>
      <c r="DE180" s="7">
        <f>VLOOKUP(D180,listaBolsa!$D$2:$BA$1248,14,0)</f>
        <v>54537.82</v>
      </c>
      <c r="DF180" s="7" t="str">
        <f>VLOOKUP(D180,listaBolsa!$D$2:$BA$1248,23,0)</f>
        <v>EASY</v>
      </c>
      <c r="DG180" s="7">
        <f>VLOOKUP(D180,listaBolsa!$D$2:$BA$1248,29,0)</f>
        <v>64900</v>
      </c>
      <c r="DH180" s="7" t="str">
        <f>VLOOKUP(D180,listaBolsa!$D$2:$BA$1248,36,0)</f>
        <v>FALABELLA</v>
      </c>
      <c r="DI180" s="7">
        <f>VLOOKUP(D180,listaBolsa!$D$2:$BA$1248,40,0)</f>
        <v>52538.66</v>
      </c>
      <c r="DJ180" s="252">
        <f>VLOOKUP(D180,listaBolsa!$D$2:$BA$1248,48,0)</f>
        <v>2.1399999999999999E-2</v>
      </c>
      <c r="DK180" s="7" t="b">
        <f t="shared" si="155"/>
        <v>1</v>
      </c>
      <c r="DL180" s="7" t="b">
        <f t="shared" si="154"/>
        <v>0</v>
      </c>
      <c r="DM180" s="7" t="b">
        <f t="shared" si="168"/>
        <v>1</v>
      </c>
      <c r="DN180" s="7" t="b">
        <f t="shared" si="169"/>
        <v>0</v>
      </c>
      <c r="DO180" s="7" t="b">
        <f t="shared" si="170"/>
        <v>1</v>
      </c>
      <c r="DP180" s="7" t="b">
        <f t="shared" si="171"/>
        <v>0</v>
      </c>
      <c r="DQ180" s="7" t="b">
        <f t="shared" si="172"/>
        <v>1</v>
      </c>
      <c r="DR180" s="7" t="b">
        <f t="shared" si="173"/>
        <v>0</v>
      </c>
      <c r="DS180" s="7" t="b">
        <f t="shared" si="174"/>
        <v>0</v>
      </c>
    </row>
    <row r="181" spans="1:123" s="7" customFormat="1" ht="42">
      <c r="A181" s="7" t="s">
        <v>570</v>
      </c>
      <c r="B181" s="453">
        <v>167</v>
      </c>
      <c r="C181" s="642" t="s">
        <v>579</v>
      </c>
      <c r="D181" s="453" t="s">
        <v>378</v>
      </c>
      <c r="E181" s="453" t="s">
        <v>379</v>
      </c>
      <c r="F181" s="194" t="s">
        <v>568</v>
      </c>
      <c r="G181" s="453">
        <v>1</v>
      </c>
      <c r="H181" s="443" t="s">
        <v>192</v>
      </c>
      <c r="I181" s="454" t="s">
        <v>380</v>
      </c>
      <c r="J181" s="455">
        <v>18000</v>
      </c>
      <c r="K181" s="455">
        <f t="shared" si="152"/>
        <v>3420</v>
      </c>
      <c r="L181" s="455">
        <f t="shared" si="160"/>
        <v>21420</v>
      </c>
      <c r="M181" s="455">
        <f t="shared" si="161"/>
        <v>18000</v>
      </c>
      <c r="N181" s="455">
        <f t="shared" si="162"/>
        <v>21420</v>
      </c>
      <c r="O181" s="456" t="s">
        <v>381</v>
      </c>
      <c r="P181" s="457">
        <v>17000</v>
      </c>
      <c r="Q181" s="457">
        <f t="shared" si="153"/>
        <v>3230</v>
      </c>
      <c r="R181" s="457">
        <f t="shared" si="163"/>
        <v>20230</v>
      </c>
      <c r="S181" s="457">
        <f t="shared" si="164"/>
        <v>17000</v>
      </c>
      <c r="T181" s="457">
        <f t="shared" si="165"/>
        <v>20230</v>
      </c>
      <c r="U181" s="458" t="s">
        <v>382</v>
      </c>
      <c r="V181" s="459">
        <v>15260</v>
      </c>
      <c r="W181" s="459">
        <f t="shared" si="156"/>
        <v>2899.4</v>
      </c>
      <c r="X181" s="459">
        <f t="shared" si="157"/>
        <v>18159.400000000001</v>
      </c>
      <c r="Y181" s="459">
        <f t="shared" si="158"/>
        <v>15260</v>
      </c>
      <c r="Z181" s="459">
        <f t="shared" si="159"/>
        <v>18159.400000000001</v>
      </c>
      <c r="AA181" s="460">
        <f t="shared" si="175"/>
        <v>19936.466666666667</v>
      </c>
      <c r="AB181" s="460">
        <f t="shared" si="166"/>
        <v>19936.466666666667</v>
      </c>
      <c r="AC181" s="461">
        <f t="shared" si="176"/>
        <v>1649.9998343434252</v>
      </c>
      <c r="AD181" s="427">
        <f t="shared" si="167"/>
        <v>8.2762901868774399E-2</v>
      </c>
      <c r="AE181" s="428"/>
      <c r="BH181" s="7">
        <v>58</v>
      </c>
      <c r="DB181" s="7" t="e">
        <f>VLOOKUP(D181,listaBolsa!$D$2:$BA$1248,1,0)</f>
        <v>#N/A</v>
      </c>
      <c r="DC181" s="7" t="e">
        <f>VLOOKUP(D181,listaBolsa!$D$2:$BA$1248,2,0)</f>
        <v>#N/A</v>
      </c>
      <c r="DD181" s="7" t="e">
        <f>VLOOKUP(D181,listaBolsa!$D$2:$BA$1248,10,0)</f>
        <v>#N/A</v>
      </c>
      <c r="DE181" s="7" t="e">
        <f>VLOOKUP(D181,listaBolsa!$D$2:$BA$1248,14,0)</f>
        <v>#N/A</v>
      </c>
      <c r="DF181" s="7" t="e">
        <f>VLOOKUP(D181,listaBolsa!$D$2:$BA$1248,23,0)</f>
        <v>#N/A</v>
      </c>
      <c r="DG181" s="7" t="e">
        <f>VLOOKUP(D181,listaBolsa!$D$2:$BA$1248,29,0)</f>
        <v>#N/A</v>
      </c>
      <c r="DH181" s="7" t="e">
        <f>VLOOKUP(D181,listaBolsa!$D$2:$BA$1248,36,0)</f>
        <v>#N/A</v>
      </c>
      <c r="DI181" s="7" t="e">
        <f>VLOOKUP(D181,listaBolsa!$D$2:$BA$1248,40,0)</f>
        <v>#N/A</v>
      </c>
      <c r="DJ181" s="252" t="e">
        <f>VLOOKUP(D181,listaBolsa!$D$2:$BA$1248,48,0)</f>
        <v>#N/A</v>
      </c>
      <c r="DK181" s="7" t="e">
        <f t="shared" si="155"/>
        <v>#N/A</v>
      </c>
      <c r="DL181" s="7" t="e">
        <f t="shared" si="154"/>
        <v>#N/A</v>
      </c>
      <c r="DM181" s="7" t="e">
        <f t="shared" si="168"/>
        <v>#N/A</v>
      </c>
      <c r="DN181" s="7" t="e">
        <f t="shared" si="169"/>
        <v>#N/A</v>
      </c>
      <c r="DO181" s="7" t="e">
        <f t="shared" si="170"/>
        <v>#N/A</v>
      </c>
      <c r="DP181" s="7" t="e">
        <f t="shared" si="171"/>
        <v>#N/A</v>
      </c>
      <c r="DQ181" s="7" t="e">
        <f t="shared" si="172"/>
        <v>#N/A</v>
      </c>
      <c r="DR181" s="7" t="e">
        <f t="shared" si="173"/>
        <v>#N/A</v>
      </c>
      <c r="DS181" s="7" t="e">
        <f t="shared" si="174"/>
        <v>#N/A</v>
      </c>
    </row>
    <row r="182" spans="1:123" s="7" customFormat="1" ht="63">
      <c r="A182" s="7" t="s">
        <v>570</v>
      </c>
      <c r="B182" s="453">
        <v>168</v>
      </c>
      <c r="C182" s="642" t="s">
        <v>579</v>
      </c>
      <c r="D182" s="453" t="s">
        <v>772</v>
      </c>
      <c r="E182" s="453" t="s">
        <v>773</v>
      </c>
      <c r="F182" s="194" t="s">
        <v>568</v>
      </c>
      <c r="G182" s="453">
        <v>1</v>
      </c>
      <c r="H182" s="443" t="s">
        <v>192</v>
      </c>
      <c r="I182" s="454" t="s">
        <v>380</v>
      </c>
      <c r="J182" s="455">
        <v>340000</v>
      </c>
      <c r="K182" s="455">
        <f t="shared" si="152"/>
        <v>64600</v>
      </c>
      <c r="L182" s="455">
        <f t="shared" si="160"/>
        <v>404600</v>
      </c>
      <c r="M182" s="455">
        <f t="shared" si="161"/>
        <v>340000</v>
      </c>
      <c r="N182" s="455">
        <f t="shared" si="162"/>
        <v>404600</v>
      </c>
      <c r="O182" s="456" t="s">
        <v>381</v>
      </c>
      <c r="P182" s="457">
        <v>350000</v>
      </c>
      <c r="Q182" s="457">
        <f t="shared" si="153"/>
        <v>66500</v>
      </c>
      <c r="R182" s="457">
        <f t="shared" si="163"/>
        <v>416500</v>
      </c>
      <c r="S182" s="457">
        <f t="shared" si="164"/>
        <v>350000</v>
      </c>
      <c r="T182" s="457">
        <f t="shared" si="165"/>
        <v>416500</v>
      </c>
      <c r="U182" s="458" t="s">
        <v>769</v>
      </c>
      <c r="V182" s="459">
        <v>302521.01</v>
      </c>
      <c r="W182" s="459">
        <f t="shared" si="156"/>
        <v>57478.991900000001</v>
      </c>
      <c r="X182" s="459">
        <f t="shared" si="157"/>
        <v>360000.00190000003</v>
      </c>
      <c r="Y182" s="459">
        <f t="shared" si="158"/>
        <v>302521.01</v>
      </c>
      <c r="Z182" s="459">
        <f t="shared" si="159"/>
        <v>360000.00190000003</v>
      </c>
      <c r="AA182" s="460">
        <f t="shared" si="175"/>
        <v>393700.00063333334</v>
      </c>
      <c r="AB182" s="460">
        <f t="shared" si="166"/>
        <v>393700.00063333334</v>
      </c>
      <c r="AC182" s="461">
        <f t="shared" si="176"/>
        <v>29785.398032760953</v>
      </c>
      <c r="AD182" s="427">
        <f t="shared" si="167"/>
        <v>7.5655062191633426E-2</v>
      </c>
      <c r="AE182" s="428"/>
      <c r="BH182" s="7">
        <v>59</v>
      </c>
      <c r="DB182" s="7" t="str">
        <f>VLOOKUP(D182,listaBolsa!$D$2:$BA$1248,1,0)</f>
        <v>Vermicompostera</v>
      </c>
      <c r="DC182" s="7">
        <f>VLOOKUP(D182,listaBolsa!$D$2:$BA$1248,2,0)</f>
        <v>0</v>
      </c>
      <c r="DD182" s="7" t="str">
        <f>VLOOKUP(D182,listaBolsa!$D$2:$BA$1248,10,0)</f>
        <v xml:space="preserve">JUNTOS DE LA MANO </v>
      </c>
      <c r="DE182" s="7">
        <f>VLOOKUP(D182,listaBolsa!$D$2:$BA$1248,14,0)</f>
        <v>340000</v>
      </c>
      <c r="DF182" s="7" t="str">
        <f>VLOOKUP(D182,listaBolsa!$D$2:$BA$1248,23,0)</f>
        <v>MYCBDE</v>
      </c>
      <c r="DG182" s="7">
        <f>VLOOKUP(D182,listaBolsa!$D$2:$BA$1248,29,0)</f>
        <v>416500</v>
      </c>
      <c r="DH182" s="7" t="str">
        <f>VLOOKUP(D182,listaBolsa!$D$2:$BA$1248,36,0)</f>
        <v>DAGROW</v>
      </c>
      <c r="DI182" s="7">
        <f>VLOOKUP(D182,listaBolsa!$D$2:$BA$1248,40,0)</f>
        <v>364000</v>
      </c>
      <c r="DJ182" s="252">
        <f>VLOOKUP(D182,listaBolsa!$D$2:$BA$1248,48,0)</f>
        <v>3.4299999999999997E-2</v>
      </c>
      <c r="DK182" s="7" t="b">
        <f t="shared" si="155"/>
        <v>1</v>
      </c>
      <c r="DL182" s="7" t="b">
        <f t="shared" si="154"/>
        <v>0</v>
      </c>
      <c r="DM182" s="7" t="b">
        <f t="shared" si="168"/>
        <v>1</v>
      </c>
      <c r="DN182" s="7" t="b">
        <f t="shared" si="169"/>
        <v>1</v>
      </c>
      <c r="DO182" s="7" t="b">
        <f t="shared" si="170"/>
        <v>1</v>
      </c>
      <c r="DP182" s="7" t="b">
        <f t="shared" si="171"/>
        <v>0</v>
      </c>
      <c r="DQ182" s="7" t="b">
        <f t="shared" si="172"/>
        <v>0</v>
      </c>
      <c r="DR182" s="7" t="b">
        <f t="shared" si="173"/>
        <v>0</v>
      </c>
      <c r="DS182" s="7" t="b">
        <f t="shared" si="174"/>
        <v>0</v>
      </c>
    </row>
    <row r="183" spans="1:123" s="7" customFormat="1" ht="63">
      <c r="A183" s="7" t="s">
        <v>570</v>
      </c>
      <c r="B183" s="453">
        <v>169</v>
      </c>
      <c r="C183" s="642" t="s">
        <v>579</v>
      </c>
      <c r="D183" s="453" t="s">
        <v>775</v>
      </c>
      <c r="E183" s="453" t="s">
        <v>776</v>
      </c>
      <c r="F183" s="194" t="s">
        <v>568</v>
      </c>
      <c r="G183" s="453">
        <v>1</v>
      </c>
      <c r="H183" s="443" t="s">
        <v>192</v>
      </c>
      <c r="I183" s="454" t="s">
        <v>380</v>
      </c>
      <c r="J183" s="455">
        <v>60000</v>
      </c>
      <c r="K183" s="455"/>
      <c r="L183" s="455">
        <f t="shared" si="160"/>
        <v>60000</v>
      </c>
      <c r="M183" s="455">
        <f t="shared" si="161"/>
        <v>60000</v>
      </c>
      <c r="N183" s="455">
        <f t="shared" si="162"/>
        <v>60000</v>
      </c>
      <c r="O183" s="456" t="s">
        <v>381</v>
      </c>
      <c r="P183" s="457">
        <v>58300</v>
      </c>
      <c r="Q183" s="457"/>
      <c r="R183" s="457">
        <f t="shared" si="163"/>
        <v>58300</v>
      </c>
      <c r="S183" s="457">
        <f t="shared" si="164"/>
        <v>58300</v>
      </c>
      <c r="T183" s="457">
        <f t="shared" si="165"/>
        <v>58300</v>
      </c>
      <c r="U183" s="458" t="s">
        <v>1101</v>
      </c>
      <c r="V183" s="459">
        <v>42100.84</v>
      </c>
      <c r="W183" s="459"/>
      <c r="X183" s="459">
        <f t="shared" si="157"/>
        <v>42100.84</v>
      </c>
      <c r="Y183" s="459">
        <f t="shared" si="158"/>
        <v>42100.84</v>
      </c>
      <c r="Z183" s="459">
        <f t="shared" si="159"/>
        <v>42100.84</v>
      </c>
      <c r="AA183" s="460">
        <f t="shared" si="175"/>
        <v>53466.946666666663</v>
      </c>
      <c r="AB183" s="460">
        <f t="shared" si="166"/>
        <v>53466.946666666663</v>
      </c>
      <c r="AC183" s="461">
        <f t="shared" si="176"/>
        <v>9879.9689052412214</v>
      </c>
      <c r="AD183" s="427">
        <f t="shared" si="167"/>
        <v>0.18478648064264294</v>
      </c>
      <c r="AE183" s="428"/>
      <c r="BH183" s="7">
        <v>60</v>
      </c>
      <c r="DB183" s="7" t="str">
        <f>VLOOKUP(D183,listaBolsa!$D$2:$BA$1248,1,0)</f>
        <v xml:space="preserve">Fertilizante foliar en litro </v>
      </c>
      <c r="DC183" s="7">
        <f>VLOOKUP(D183,listaBolsa!$D$2:$BA$1248,2,0)</f>
        <v>0</v>
      </c>
      <c r="DD183" s="7" t="str">
        <f>VLOOKUP(D183,listaBolsa!$D$2:$BA$1248,10,0)</f>
        <v xml:space="preserve">JUNTOS DE LA MANO </v>
      </c>
      <c r="DE183" s="7">
        <f>VLOOKUP(D183,listaBolsa!$D$2:$BA$1248,14,0)</f>
        <v>60000</v>
      </c>
      <c r="DF183" s="7" t="str">
        <f>VLOOKUP(D183,listaBolsa!$D$2:$BA$1248,23,0)</f>
        <v>MYCBDE</v>
      </c>
      <c r="DG183" s="7">
        <f>VLOOKUP(D183,listaBolsa!$D$2:$BA$1248,29,0)</f>
        <v>58300</v>
      </c>
      <c r="DH183" s="7" t="str">
        <f>VLOOKUP(D183,listaBolsa!$D$2:$BA$1248,36,0)</f>
        <v>DAGROW</v>
      </c>
      <c r="DI183" s="7">
        <f>VLOOKUP(D183,listaBolsa!$D$2:$BA$1248,40,0)</f>
        <v>60000</v>
      </c>
      <c r="DJ183" s="252">
        <f>VLOOKUP(D183,listaBolsa!$D$2:$BA$1248,48,0)</f>
        <v>1.6500000000000001E-2</v>
      </c>
      <c r="DK183" s="7" t="b">
        <f t="shared" si="155"/>
        <v>1</v>
      </c>
      <c r="DL183" s="7" t="b">
        <f t="shared" si="154"/>
        <v>0</v>
      </c>
      <c r="DM183" s="7" t="b">
        <f t="shared" si="168"/>
        <v>1</v>
      </c>
      <c r="DN183" s="7" t="b">
        <f t="shared" si="169"/>
        <v>1</v>
      </c>
      <c r="DO183" s="7" t="b">
        <f t="shared" si="170"/>
        <v>1</v>
      </c>
      <c r="DP183" s="7" t="b">
        <f t="shared" si="171"/>
        <v>1</v>
      </c>
      <c r="DQ183" s="7" t="b">
        <f t="shared" si="172"/>
        <v>0</v>
      </c>
      <c r="DR183" s="7" t="b">
        <f t="shared" si="173"/>
        <v>0</v>
      </c>
      <c r="DS183" s="7" t="b">
        <f t="shared" si="174"/>
        <v>0</v>
      </c>
    </row>
    <row r="184" spans="1:123" s="7" customFormat="1" ht="42">
      <c r="A184" s="7" t="s">
        <v>570</v>
      </c>
      <c r="B184" s="453">
        <v>170</v>
      </c>
      <c r="C184" s="642" t="s">
        <v>579</v>
      </c>
      <c r="D184" s="453" t="s">
        <v>778</v>
      </c>
      <c r="E184" s="453" t="s">
        <v>779</v>
      </c>
      <c r="F184" s="194" t="s">
        <v>568</v>
      </c>
      <c r="G184" s="453">
        <v>1</v>
      </c>
      <c r="H184" s="443" t="s">
        <v>192</v>
      </c>
      <c r="I184" s="454" t="s">
        <v>380</v>
      </c>
      <c r="J184" s="455">
        <v>38000</v>
      </c>
      <c r="K184" s="455">
        <f t="shared" ref="K184:K190" si="177">J184*19%</f>
        <v>7220</v>
      </c>
      <c r="L184" s="455">
        <f t="shared" si="160"/>
        <v>45220</v>
      </c>
      <c r="M184" s="455">
        <f t="shared" si="161"/>
        <v>38000</v>
      </c>
      <c r="N184" s="455">
        <f t="shared" si="162"/>
        <v>45220</v>
      </c>
      <c r="O184" s="456" t="s">
        <v>381</v>
      </c>
      <c r="P184" s="457">
        <v>36000</v>
      </c>
      <c r="Q184" s="457">
        <f t="shared" ref="Q184:Q190" si="178">P184*19%</f>
        <v>6840</v>
      </c>
      <c r="R184" s="457">
        <f t="shared" si="163"/>
        <v>42840</v>
      </c>
      <c r="S184" s="457">
        <f t="shared" si="164"/>
        <v>36000</v>
      </c>
      <c r="T184" s="457">
        <f t="shared" si="165"/>
        <v>42840</v>
      </c>
      <c r="U184" s="458" t="s">
        <v>382</v>
      </c>
      <c r="V184" s="459">
        <v>32000</v>
      </c>
      <c r="W184" s="459">
        <f t="shared" ref="W184:W190" si="179">V184*19%</f>
        <v>6080</v>
      </c>
      <c r="X184" s="459">
        <f t="shared" si="157"/>
        <v>38080</v>
      </c>
      <c r="Y184" s="459">
        <f t="shared" si="158"/>
        <v>32000</v>
      </c>
      <c r="Z184" s="459">
        <f t="shared" si="159"/>
        <v>38080</v>
      </c>
      <c r="AA184" s="460">
        <f t="shared" si="175"/>
        <v>42046.666666666664</v>
      </c>
      <c r="AB184" s="460">
        <f t="shared" si="166"/>
        <v>42046.666666666664</v>
      </c>
      <c r="AC184" s="461">
        <f t="shared" si="176"/>
        <v>3635.5100513316329</v>
      </c>
      <c r="AD184" s="427">
        <f t="shared" si="167"/>
        <v>8.6463692357657357E-2</v>
      </c>
      <c r="AE184" s="428"/>
      <c r="BH184" s="7">
        <v>61</v>
      </c>
      <c r="DB184" s="7" t="str">
        <f>VLOOKUP(D184,listaBolsa!$D$2:$BA$1248,1,0)</f>
        <v>Regadera 8 litros</v>
      </c>
      <c r="DC184" s="7">
        <f>VLOOKUP(D184,listaBolsa!$D$2:$BA$1248,2,0)</f>
        <v>0</v>
      </c>
      <c r="DD184" s="7" t="str">
        <f>VLOOKUP(D184,listaBolsa!$D$2:$BA$1248,10,0)</f>
        <v xml:space="preserve">JUNTOS DE LA MANO </v>
      </c>
      <c r="DE184" s="7">
        <f>VLOOKUP(D184,listaBolsa!$D$2:$BA$1248,14,0)</f>
        <v>38000</v>
      </c>
      <c r="DF184" s="7" t="str">
        <f>VLOOKUP(D184,listaBolsa!$D$2:$BA$1248,23,0)</f>
        <v>MYCBDE</v>
      </c>
      <c r="DG184" s="7">
        <f>VLOOKUP(D184,listaBolsa!$D$2:$BA$1248,29,0)</f>
        <v>42840</v>
      </c>
      <c r="DH184" s="7" t="str">
        <f>VLOOKUP(D184,listaBolsa!$D$2:$BA$1248,36,0)</f>
        <v>DAGROW</v>
      </c>
      <c r="DI184" s="7">
        <f>VLOOKUP(D184,listaBolsa!$D$2:$BA$1248,40,0)</f>
        <v>32000</v>
      </c>
      <c r="DJ184" s="252">
        <f>VLOOKUP(D184,listaBolsa!$D$2:$BA$1248,48,0)</f>
        <v>8.6499999999999994E-2</v>
      </c>
      <c r="DK184" s="7" t="b">
        <f t="shared" si="155"/>
        <v>1</v>
      </c>
      <c r="DL184" s="7" t="b">
        <f t="shared" si="154"/>
        <v>0</v>
      </c>
      <c r="DM184" s="7" t="b">
        <f t="shared" si="168"/>
        <v>1</v>
      </c>
      <c r="DN184" s="7" t="b">
        <f t="shared" si="169"/>
        <v>1</v>
      </c>
      <c r="DO184" s="7" t="b">
        <f t="shared" si="170"/>
        <v>1</v>
      </c>
      <c r="DP184" s="7" t="b">
        <f t="shared" si="171"/>
        <v>0</v>
      </c>
      <c r="DQ184" s="7" t="b">
        <f t="shared" si="172"/>
        <v>1</v>
      </c>
      <c r="DR184" s="7" t="b">
        <f t="shared" si="173"/>
        <v>1</v>
      </c>
      <c r="DS184" s="7" t="b">
        <f t="shared" si="174"/>
        <v>0</v>
      </c>
    </row>
    <row r="185" spans="1:123" s="7" customFormat="1" ht="42">
      <c r="A185" s="7" t="s">
        <v>570</v>
      </c>
      <c r="B185" s="453">
        <v>171</v>
      </c>
      <c r="C185" s="642" t="s">
        <v>579</v>
      </c>
      <c r="D185" s="453" t="s">
        <v>781</v>
      </c>
      <c r="E185" s="453" t="s">
        <v>782</v>
      </c>
      <c r="F185" s="194" t="s">
        <v>568</v>
      </c>
      <c r="G185" s="453">
        <v>1</v>
      </c>
      <c r="H185" s="443" t="s">
        <v>192</v>
      </c>
      <c r="I185" s="454" t="s">
        <v>380</v>
      </c>
      <c r="J185" s="455">
        <v>39000</v>
      </c>
      <c r="K185" s="455">
        <f t="shared" si="177"/>
        <v>7410</v>
      </c>
      <c r="L185" s="455">
        <f t="shared" si="160"/>
        <v>46410</v>
      </c>
      <c r="M185" s="455">
        <f t="shared" si="161"/>
        <v>39000</v>
      </c>
      <c r="N185" s="455">
        <f t="shared" si="162"/>
        <v>46410</v>
      </c>
      <c r="O185" s="456" t="s">
        <v>381</v>
      </c>
      <c r="P185" s="457">
        <v>38000</v>
      </c>
      <c r="Q185" s="457">
        <f t="shared" si="178"/>
        <v>7220</v>
      </c>
      <c r="R185" s="457">
        <f t="shared" si="163"/>
        <v>45220</v>
      </c>
      <c r="S185" s="457">
        <f t="shared" si="164"/>
        <v>38000</v>
      </c>
      <c r="T185" s="457">
        <f t="shared" si="165"/>
        <v>45220</v>
      </c>
      <c r="U185" s="458" t="s">
        <v>382</v>
      </c>
      <c r="V185" s="459">
        <v>35000</v>
      </c>
      <c r="W185" s="459">
        <f t="shared" si="179"/>
        <v>6650</v>
      </c>
      <c r="X185" s="459">
        <f t="shared" si="157"/>
        <v>41650</v>
      </c>
      <c r="Y185" s="459">
        <f t="shared" si="158"/>
        <v>35000</v>
      </c>
      <c r="Z185" s="459">
        <f t="shared" si="159"/>
        <v>41650</v>
      </c>
      <c r="AA185" s="460">
        <f t="shared" si="175"/>
        <v>44426.666666666664</v>
      </c>
      <c r="AB185" s="460">
        <f t="shared" si="166"/>
        <v>44426.666666666664</v>
      </c>
      <c r="AC185" s="461">
        <f t="shared" si="176"/>
        <v>2477.1825393646977</v>
      </c>
      <c r="AD185" s="427">
        <f t="shared" si="167"/>
        <v>5.5758910699985696E-2</v>
      </c>
      <c r="AE185" s="428"/>
      <c r="BH185" s="7">
        <v>62</v>
      </c>
      <c r="DB185" s="7" t="str">
        <f>VLOOKUP(D185,listaBolsa!$D$2:$BA$1248,1,0)</f>
        <v>Canastilla plástica 13 cm</v>
      </c>
      <c r="DC185" s="7">
        <f>VLOOKUP(D185,listaBolsa!$D$2:$BA$1248,2,0)</f>
        <v>0</v>
      </c>
      <c r="DD185" s="7" t="str">
        <f>VLOOKUP(D185,listaBolsa!$D$2:$BA$1248,10,0)</f>
        <v xml:space="preserve">JUNTOS DE LA MANO </v>
      </c>
      <c r="DE185" s="7">
        <f>VLOOKUP(D185,listaBolsa!$D$2:$BA$1248,14,0)</f>
        <v>39000</v>
      </c>
      <c r="DF185" s="7" t="str">
        <f>VLOOKUP(D185,listaBolsa!$D$2:$BA$1248,23,0)</f>
        <v>MYCBDE</v>
      </c>
      <c r="DG185" s="7">
        <f>VLOOKUP(D185,listaBolsa!$D$2:$BA$1248,29,0)</f>
        <v>45220</v>
      </c>
      <c r="DH185" s="7" t="str">
        <f>VLOOKUP(D185,listaBolsa!$D$2:$BA$1248,36,0)</f>
        <v>DAGROW</v>
      </c>
      <c r="DI185" s="7">
        <f>VLOOKUP(D185,listaBolsa!$D$2:$BA$1248,40,0)</f>
        <v>35000</v>
      </c>
      <c r="DJ185" s="252">
        <f>VLOOKUP(D185,listaBolsa!$D$2:$BA$1248,48,0)</f>
        <v>5.5800000000000002E-2</v>
      </c>
      <c r="DK185" s="7" t="b">
        <f t="shared" si="155"/>
        <v>1</v>
      </c>
      <c r="DL185" s="7" t="b">
        <f t="shared" si="154"/>
        <v>0</v>
      </c>
      <c r="DM185" s="7" t="b">
        <f t="shared" si="168"/>
        <v>1</v>
      </c>
      <c r="DN185" s="7" t="b">
        <f t="shared" si="169"/>
        <v>1</v>
      </c>
      <c r="DO185" s="7" t="b">
        <f t="shared" si="170"/>
        <v>1</v>
      </c>
      <c r="DP185" s="7" t="b">
        <f t="shared" si="171"/>
        <v>0</v>
      </c>
      <c r="DQ185" s="7" t="b">
        <f t="shared" si="172"/>
        <v>1</v>
      </c>
      <c r="DR185" s="7" t="b">
        <f t="shared" si="173"/>
        <v>1</v>
      </c>
      <c r="DS185" s="7" t="b">
        <f t="shared" si="174"/>
        <v>0</v>
      </c>
    </row>
    <row r="186" spans="1:123" s="7" customFormat="1" ht="42">
      <c r="A186" s="7" t="s">
        <v>570</v>
      </c>
      <c r="B186" s="453">
        <v>172</v>
      </c>
      <c r="C186" s="642" t="s">
        <v>579</v>
      </c>
      <c r="D186" s="453" t="s">
        <v>784</v>
      </c>
      <c r="E186" s="453" t="s">
        <v>785</v>
      </c>
      <c r="F186" s="194" t="s">
        <v>568</v>
      </c>
      <c r="G186" s="453">
        <v>1</v>
      </c>
      <c r="H186" s="443" t="s">
        <v>192</v>
      </c>
      <c r="I186" s="454" t="s">
        <v>380</v>
      </c>
      <c r="J186" s="455">
        <v>46000</v>
      </c>
      <c r="K186" s="455">
        <f t="shared" si="177"/>
        <v>8740</v>
      </c>
      <c r="L186" s="455">
        <f t="shared" si="160"/>
        <v>54740</v>
      </c>
      <c r="M186" s="455">
        <f t="shared" si="161"/>
        <v>46000</v>
      </c>
      <c r="N186" s="455">
        <f t="shared" si="162"/>
        <v>54740</v>
      </c>
      <c r="O186" s="456" t="s">
        <v>381</v>
      </c>
      <c r="P186" s="457">
        <v>45000</v>
      </c>
      <c r="Q186" s="457">
        <f t="shared" si="178"/>
        <v>8550</v>
      </c>
      <c r="R186" s="457">
        <f t="shared" si="163"/>
        <v>53550</v>
      </c>
      <c r="S186" s="457">
        <f t="shared" si="164"/>
        <v>45000</v>
      </c>
      <c r="T186" s="457">
        <f t="shared" si="165"/>
        <v>53550</v>
      </c>
      <c r="U186" s="458" t="s">
        <v>382</v>
      </c>
      <c r="V186" s="459">
        <v>43400</v>
      </c>
      <c r="W186" s="459">
        <f t="shared" si="179"/>
        <v>8246</v>
      </c>
      <c r="X186" s="459">
        <f t="shared" si="157"/>
        <v>51646</v>
      </c>
      <c r="Y186" s="459">
        <f t="shared" si="158"/>
        <v>43400</v>
      </c>
      <c r="Z186" s="459">
        <f t="shared" si="159"/>
        <v>51646</v>
      </c>
      <c r="AA186" s="460">
        <f t="shared" si="175"/>
        <v>53312</v>
      </c>
      <c r="AB186" s="460">
        <f t="shared" si="166"/>
        <v>53312</v>
      </c>
      <c r="AC186" s="461">
        <f t="shared" si="176"/>
        <v>1560.6703687838763</v>
      </c>
      <c r="AD186" s="427">
        <f t="shared" si="167"/>
        <v>2.927427912634822E-2</v>
      </c>
      <c r="AE186" s="428"/>
      <c r="BH186" s="7">
        <v>63</v>
      </c>
      <c r="DB186" s="7" t="str">
        <f>VLOOKUP(D186,listaBolsa!$D$2:$BA$1248,1,0)</f>
        <v>Canastilla plástica 25 cm</v>
      </c>
      <c r="DC186" s="7">
        <f>VLOOKUP(D186,listaBolsa!$D$2:$BA$1248,2,0)</f>
        <v>0</v>
      </c>
      <c r="DD186" s="7" t="str">
        <f>VLOOKUP(D186,listaBolsa!$D$2:$BA$1248,10,0)</f>
        <v xml:space="preserve">JUNTOS DE LA MANO </v>
      </c>
      <c r="DE186" s="7">
        <f>VLOOKUP(D186,listaBolsa!$D$2:$BA$1248,14,0)</f>
        <v>46000</v>
      </c>
      <c r="DF186" s="7" t="str">
        <f>VLOOKUP(D186,listaBolsa!$D$2:$BA$1248,23,0)</f>
        <v>MYCBDE</v>
      </c>
      <c r="DG186" s="7">
        <f>VLOOKUP(D186,listaBolsa!$D$2:$BA$1248,29,0)</f>
        <v>53550</v>
      </c>
      <c r="DH186" s="7" t="str">
        <f>VLOOKUP(D186,listaBolsa!$D$2:$BA$1248,36,0)</f>
        <v>DAGROW</v>
      </c>
      <c r="DI186" s="7">
        <f>VLOOKUP(D186,listaBolsa!$D$2:$BA$1248,40,0)</f>
        <v>43400</v>
      </c>
      <c r="DJ186" s="252">
        <f>VLOOKUP(D186,listaBolsa!$D$2:$BA$1248,48,0)</f>
        <v>2.93E-2</v>
      </c>
      <c r="DK186" s="7" t="b">
        <f t="shared" si="155"/>
        <v>1</v>
      </c>
      <c r="DL186" s="7" t="b">
        <f t="shared" si="154"/>
        <v>0</v>
      </c>
      <c r="DM186" s="7" t="b">
        <f t="shared" si="168"/>
        <v>1</v>
      </c>
      <c r="DN186" s="7" t="b">
        <f t="shared" si="169"/>
        <v>1</v>
      </c>
      <c r="DO186" s="7" t="b">
        <f t="shared" si="170"/>
        <v>1</v>
      </c>
      <c r="DP186" s="7" t="b">
        <f t="shared" si="171"/>
        <v>0</v>
      </c>
      <c r="DQ186" s="7" t="b">
        <f t="shared" si="172"/>
        <v>1</v>
      </c>
      <c r="DR186" s="7" t="b">
        <f t="shared" si="173"/>
        <v>1</v>
      </c>
      <c r="DS186" s="7" t="b">
        <f t="shared" si="174"/>
        <v>0</v>
      </c>
    </row>
    <row r="187" spans="1:123" s="7" customFormat="1" ht="84">
      <c r="A187" s="7" t="s">
        <v>570</v>
      </c>
      <c r="B187" s="453">
        <v>173</v>
      </c>
      <c r="C187" s="642" t="s">
        <v>579</v>
      </c>
      <c r="D187" s="453" t="s">
        <v>787</v>
      </c>
      <c r="E187" s="453" t="s">
        <v>788</v>
      </c>
      <c r="F187" s="194" t="s">
        <v>568</v>
      </c>
      <c r="G187" s="453">
        <v>1</v>
      </c>
      <c r="H187" s="443" t="s">
        <v>192</v>
      </c>
      <c r="I187" s="454" t="s">
        <v>380</v>
      </c>
      <c r="J187" s="455">
        <v>148000</v>
      </c>
      <c r="K187" s="455">
        <f t="shared" si="177"/>
        <v>28120</v>
      </c>
      <c r="L187" s="455">
        <f t="shared" si="160"/>
        <v>176120</v>
      </c>
      <c r="M187" s="455">
        <f t="shared" si="161"/>
        <v>148000</v>
      </c>
      <c r="N187" s="455">
        <f t="shared" si="162"/>
        <v>176120</v>
      </c>
      <c r="O187" s="456" t="s">
        <v>230</v>
      </c>
      <c r="P187" s="457">
        <v>125966.39</v>
      </c>
      <c r="Q187" s="457">
        <f t="shared" si="178"/>
        <v>23933.614099999999</v>
      </c>
      <c r="R187" s="457">
        <f t="shared" si="163"/>
        <v>149900.00409999999</v>
      </c>
      <c r="S187" s="457">
        <f t="shared" si="164"/>
        <v>125966.39</v>
      </c>
      <c r="T187" s="457">
        <f t="shared" si="165"/>
        <v>149900.00409999999</v>
      </c>
      <c r="U187" s="458" t="s">
        <v>382</v>
      </c>
      <c r="V187" s="459">
        <v>138600</v>
      </c>
      <c r="W187" s="459">
        <f t="shared" si="179"/>
        <v>26334</v>
      </c>
      <c r="X187" s="459">
        <f t="shared" si="157"/>
        <v>164934</v>
      </c>
      <c r="Y187" s="459">
        <f t="shared" si="158"/>
        <v>138600</v>
      </c>
      <c r="Z187" s="459">
        <f t="shared" si="159"/>
        <v>164934</v>
      </c>
      <c r="AA187" s="460">
        <f t="shared" si="175"/>
        <v>163651.33470000001</v>
      </c>
      <c r="AB187" s="460">
        <f t="shared" si="166"/>
        <v>163651.33470000001</v>
      </c>
      <c r="AC187" s="461">
        <f t="shared" si="176"/>
        <v>13156.974156426408</v>
      </c>
      <c r="AD187" s="427">
        <f t="shared" si="167"/>
        <v>8.0396375504943607E-2</v>
      </c>
      <c r="AE187" s="428"/>
      <c r="BH187" s="7">
        <v>64</v>
      </c>
      <c r="DB187" s="7" t="str">
        <f>VLOOKUP(D187,listaBolsa!$D$2:$BA$1248,1,0)</f>
        <v>Canastilla plástica para compostaje con tapa</v>
      </c>
      <c r="DC187" s="7">
        <f>VLOOKUP(D187,listaBolsa!$D$2:$BA$1248,2,0)</f>
        <v>0</v>
      </c>
      <c r="DD187" s="7" t="str">
        <f>VLOOKUP(D187,listaBolsa!$D$2:$BA$1248,10,0)</f>
        <v xml:space="preserve">JUNTOS DE LA MANO </v>
      </c>
      <c r="DE187" s="7">
        <f>VLOOKUP(D187,listaBolsa!$D$2:$BA$1248,14,0)</f>
        <v>148000</v>
      </c>
      <c r="DF187" s="7" t="str">
        <f>VLOOKUP(D187,listaBolsa!$D$2:$BA$1248,23,0)</f>
        <v>MYCBDE</v>
      </c>
      <c r="DG187" s="7">
        <f>VLOOKUP(D187,listaBolsa!$D$2:$BA$1248,29,0)</f>
        <v>178500</v>
      </c>
      <c r="DH187" s="7" t="str">
        <f>VLOOKUP(D187,listaBolsa!$D$2:$BA$1248,36,0)</f>
        <v>DAGROW</v>
      </c>
      <c r="DI187" s="7">
        <f>VLOOKUP(D187,listaBolsa!$D$2:$BA$1248,40,0)</f>
        <v>138600</v>
      </c>
      <c r="DJ187" s="252">
        <f>VLOOKUP(D187,listaBolsa!$D$2:$BA$1248,48,0)</f>
        <v>4.1799999999999997E-2</v>
      </c>
      <c r="DK187" s="7" t="b">
        <f t="shared" si="155"/>
        <v>1</v>
      </c>
      <c r="DL187" s="7" t="b">
        <f t="shared" si="154"/>
        <v>0</v>
      </c>
      <c r="DM187" s="7" t="b">
        <f t="shared" si="168"/>
        <v>1</v>
      </c>
      <c r="DN187" s="7" t="b">
        <f t="shared" si="169"/>
        <v>1</v>
      </c>
      <c r="DO187" s="7" t="b">
        <f t="shared" si="170"/>
        <v>0</v>
      </c>
      <c r="DP187" s="7" t="b">
        <f t="shared" si="171"/>
        <v>0</v>
      </c>
      <c r="DQ187" s="7" t="b">
        <f t="shared" si="172"/>
        <v>1</v>
      </c>
      <c r="DR187" s="7" t="b">
        <f t="shared" si="173"/>
        <v>1</v>
      </c>
      <c r="DS187" s="7" t="b">
        <f t="shared" si="174"/>
        <v>0</v>
      </c>
    </row>
    <row r="188" spans="1:123" s="7" customFormat="1" ht="42">
      <c r="A188" s="7" t="s">
        <v>570</v>
      </c>
      <c r="B188" s="453">
        <v>174</v>
      </c>
      <c r="C188" s="642" t="s">
        <v>579</v>
      </c>
      <c r="D188" s="453" t="s">
        <v>790</v>
      </c>
      <c r="E188" s="453" t="s">
        <v>782</v>
      </c>
      <c r="F188" s="194" t="s">
        <v>568</v>
      </c>
      <c r="G188" s="453">
        <v>1</v>
      </c>
      <c r="H188" s="443" t="s">
        <v>192</v>
      </c>
      <c r="I188" s="454" t="s">
        <v>380</v>
      </c>
      <c r="J188" s="455">
        <v>37000</v>
      </c>
      <c r="K188" s="455">
        <f t="shared" si="177"/>
        <v>7030</v>
      </c>
      <c r="L188" s="455">
        <f t="shared" si="160"/>
        <v>44030</v>
      </c>
      <c r="M188" s="455">
        <f t="shared" si="161"/>
        <v>37000</v>
      </c>
      <c r="N188" s="455">
        <f t="shared" si="162"/>
        <v>44030</v>
      </c>
      <c r="O188" s="456" t="s">
        <v>381</v>
      </c>
      <c r="P188" s="457">
        <v>35000</v>
      </c>
      <c r="Q188" s="457">
        <f t="shared" si="178"/>
        <v>6650</v>
      </c>
      <c r="R188" s="457">
        <f t="shared" si="163"/>
        <v>41650</v>
      </c>
      <c r="S188" s="457">
        <f t="shared" si="164"/>
        <v>35000</v>
      </c>
      <c r="T188" s="457">
        <f t="shared" si="165"/>
        <v>41650</v>
      </c>
      <c r="U188" s="458" t="s">
        <v>382</v>
      </c>
      <c r="V188" s="459">
        <v>33600</v>
      </c>
      <c r="W188" s="459">
        <f t="shared" si="179"/>
        <v>6384</v>
      </c>
      <c r="X188" s="459">
        <f t="shared" si="157"/>
        <v>39984</v>
      </c>
      <c r="Y188" s="459">
        <f t="shared" si="158"/>
        <v>33600</v>
      </c>
      <c r="Z188" s="459">
        <f t="shared" si="159"/>
        <v>39984</v>
      </c>
      <c r="AA188" s="460">
        <f t="shared" si="175"/>
        <v>41888</v>
      </c>
      <c r="AB188" s="460">
        <f t="shared" si="166"/>
        <v>41888</v>
      </c>
      <c r="AC188" s="461">
        <f t="shared" si="176"/>
        <v>2033.4728913855724</v>
      </c>
      <c r="AD188" s="427">
        <f t="shared" si="167"/>
        <v>4.8545475825667789E-2</v>
      </c>
      <c r="AE188" s="428"/>
      <c r="BH188" s="7">
        <v>65</v>
      </c>
      <c r="DB188" s="7" t="str">
        <f>VLOOKUP(D188,listaBolsa!$D$2:$BA$1248,1,0)</f>
        <v>Estiba</v>
      </c>
      <c r="DC188" s="7">
        <f>VLOOKUP(D188,listaBolsa!$D$2:$BA$1248,2,0)</f>
        <v>0</v>
      </c>
      <c r="DD188" s="7" t="str">
        <f>VLOOKUP(D188,listaBolsa!$D$2:$BA$1248,10,0)</f>
        <v xml:space="preserve">JUNTOS DE LA MANO </v>
      </c>
      <c r="DE188" s="7">
        <f>VLOOKUP(D188,listaBolsa!$D$2:$BA$1248,14,0)</f>
        <v>37000</v>
      </c>
      <c r="DF188" s="7" t="str">
        <f>VLOOKUP(D188,listaBolsa!$D$2:$BA$1248,23,0)</f>
        <v>MYCBDE</v>
      </c>
      <c r="DG188" s="7">
        <f>VLOOKUP(D188,listaBolsa!$D$2:$BA$1248,29,0)</f>
        <v>41650</v>
      </c>
      <c r="DH188" s="7" t="str">
        <f>VLOOKUP(D188,listaBolsa!$D$2:$BA$1248,36,0)</f>
        <v>DAGROW</v>
      </c>
      <c r="DI188" s="7">
        <f>VLOOKUP(D188,listaBolsa!$D$2:$BA$1248,40,0)</f>
        <v>33600</v>
      </c>
      <c r="DJ188" s="252">
        <f>VLOOKUP(D188,listaBolsa!$D$2:$BA$1248,48,0)</f>
        <v>4.8500000000000001E-2</v>
      </c>
      <c r="DK188" s="7" t="b">
        <f t="shared" si="155"/>
        <v>1</v>
      </c>
      <c r="DL188" s="7" t="b">
        <f t="shared" si="154"/>
        <v>0</v>
      </c>
      <c r="DM188" s="7" t="b">
        <f t="shared" si="168"/>
        <v>1</v>
      </c>
      <c r="DN188" s="7" t="b">
        <f t="shared" si="169"/>
        <v>1</v>
      </c>
      <c r="DO188" s="7" t="b">
        <f t="shared" si="170"/>
        <v>1</v>
      </c>
      <c r="DP188" s="7" t="b">
        <f t="shared" si="171"/>
        <v>0</v>
      </c>
      <c r="DQ188" s="7" t="b">
        <f t="shared" si="172"/>
        <v>1</v>
      </c>
      <c r="DR188" s="7" t="b">
        <f t="shared" si="173"/>
        <v>1</v>
      </c>
      <c r="DS188" s="7" t="b">
        <f t="shared" si="174"/>
        <v>0</v>
      </c>
    </row>
    <row r="189" spans="1:123" s="7" customFormat="1" ht="42">
      <c r="A189" s="7" t="s">
        <v>570</v>
      </c>
      <c r="B189" s="453">
        <v>175</v>
      </c>
      <c r="C189" s="642" t="s">
        <v>579</v>
      </c>
      <c r="D189" s="453" t="s">
        <v>792</v>
      </c>
      <c r="E189" s="453" t="s">
        <v>793</v>
      </c>
      <c r="F189" s="194" t="s">
        <v>568</v>
      </c>
      <c r="G189" s="453">
        <v>1</v>
      </c>
      <c r="H189" s="443" t="s">
        <v>192</v>
      </c>
      <c r="I189" s="454" t="s">
        <v>794</v>
      </c>
      <c r="J189" s="455">
        <v>4789.9159663865548</v>
      </c>
      <c r="K189" s="455">
        <f t="shared" si="177"/>
        <v>910.0840336134454</v>
      </c>
      <c r="L189" s="455">
        <f t="shared" si="160"/>
        <v>5700</v>
      </c>
      <c r="M189" s="455">
        <f t="shared" si="161"/>
        <v>4789.9159663865548</v>
      </c>
      <c r="N189" s="455">
        <f t="shared" si="162"/>
        <v>5700</v>
      </c>
      <c r="O189" s="456" t="s">
        <v>795</v>
      </c>
      <c r="P189" s="457">
        <v>3613.4453781512611</v>
      </c>
      <c r="Q189" s="457">
        <f t="shared" si="178"/>
        <v>686.55462184873966</v>
      </c>
      <c r="R189" s="457">
        <f t="shared" si="163"/>
        <v>4300.0000000000009</v>
      </c>
      <c r="S189" s="457">
        <f t="shared" si="164"/>
        <v>3613.4453781512611</v>
      </c>
      <c r="T189" s="457">
        <f t="shared" si="165"/>
        <v>4300.0000000000009</v>
      </c>
      <c r="U189" s="458" t="s">
        <v>796</v>
      </c>
      <c r="V189" s="459">
        <v>4033.613445378151</v>
      </c>
      <c r="W189" s="459">
        <f t="shared" si="179"/>
        <v>766.38655462184875</v>
      </c>
      <c r="X189" s="459">
        <f t="shared" si="157"/>
        <v>4800</v>
      </c>
      <c r="Y189" s="459">
        <f t="shared" si="158"/>
        <v>4033.613445378151</v>
      </c>
      <c r="Z189" s="459">
        <f t="shared" si="159"/>
        <v>4800</v>
      </c>
      <c r="AA189" s="460">
        <f t="shared" si="175"/>
        <v>4933.333333333333</v>
      </c>
      <c r="AB189" s="460">
        <f t="shared" si="166"/>
        <v>4933.333333333333</v>
      </c>
      <c r="AC189" s="461">
        <f t="shared" si="176"/>
        <v>709.45988845976046</v>
      </c>
      <c r="AD189" s="427">
        <f t="shared" si="167"/>
        <v>0.14380943684995146</v>
      </c>
      <c r="AE189" s="428"/>
      <c r="BH189" s="7">
        <v>66</v>
      </c>
      <c r="DB189" s="7" t="str">
        <f>VLOOKUP(D189,listaBolsa!$D$2:$BA$1248,1,0)</f>
        <v>Bolsas compostables</v>
      </c>
      <c r="DC189" s="7">
        <f>VLOOKUP(D189,listaBolsa!$D$2:$BA$1248,2,0)</f>
        <v>0</v>
      </c>
      <c r="DD189" s="7" t="str">
        <f>VLOOKUP(D189,listaBolsa!$D$2:$BA$1248,10,0)</f>
        <v>LA TORTUGA Y LA LIEBRE</v>
      </c>
      <c r="DE189" s="7">
        <f>VLOOKUP(D189,listaBolsa!$D$2:$BA$1248,14,0)</f>
        <v>4789.92</v>
      </c>
      <c r="DF189" s="7" t="str">
        <f>VLOOKUP(D189,listaBolsa!$D$2:$BA$1248,23,0)</f>
        <v>VIEJO VERDE</v>
      </c>
      <c r="DG189" s="7">
        <f>VLOOKUP(D189,listaBolsa!$D$2:$BA$1248,29,0)</f>
        <v>4300</v>
      </c>
      <c r="DH189" s="7" t="str">
        <f>VLOOKUP(D189,listaBolsa!$D$2:$BA$1248,36,0)</f>
        <v>VERDE PLUMA</v>
      </c>
      <c r="DI189" s="7">
        <f>VLOOKUP(D189,listaBolsa!$D$2:$BA$1248,40,0)</f>
        <v>4033.61</v>
      </c>
      <c r="DJ189" s="252">
        <f>VLOOKUP(D189,listaBolsa!$D$2:$BA$1248,48,0)</f>
        <v>0.14380000000000001</v>
      </c>
      <c r="DK189" s="7" t="b">
        <f t="shared" si="155"/>
        <v>1</v>
      </c>
      <c r="DL189" s="7" t="b">
        <f t="shared" si="154"/>
        <v>0</v>
      </c>
      <c r="DM189" s="7" t="b">
        <f t="shared" si="168"/>
        <v>1</v>
      </c>
      <c r="DN189" s="7" t="b">
        <f t="shared" si="169"/>
        <v>0</v>
      </c>
      <c r="DO189" s="7" t="b">
        <f t="shared" si="170"/>
        <v>1</v>
      </c>
      <c r="DP189" s="7" t="b">
        <f t="shared" si="171"/>
        <v>0</v>
      </c>
      <c r="DQ189" s="7" t="b">
        <f t="shared" si="172"/>
        <v>1</v>
      </c>
      <c r="DR189" s="7" t="b">
        <f t="shared" si="173"/>
        <v>0</v>
      </c>
      <c r="DS189" s="7" t="b">
        <f t="shared" si="174"/>
        <v>0</v>
      </c>
    </row>
    <row r="190" spans="1:123" s="7" customFormat="1" ht="42">
      <c r="A190" s="7" t="s">
        <v>570</v>
      </c>
      <c r="B190" s="453">
        <v>176</v>
      </c>
      <c r="C190" s="642" t="s">
        <v>579</v>
      </c>
      <c r="D190" s="453" t="s">
        <v>798</v>
      </c>
      <c r="E190" s="453" t="s">
        <v>799</v>
      </c>
      <c r="F190" s="194" t="s">
        <v>568</v>
      </c>
      <c r="G190" s="453">
        <v>1</v>
      </c>
      <c r="H190" s="443" t="s">
        <v>192</v>
      </c>
      <c r="I190" s="454" t="s">
        <v>380</v>
      </c>
      <c r="J190" s="455">
        <v>138000</v>
      </c>
      <c r="K190" s="455">
        <f t="shared" si="177"/>
        <v>26220</v>
      </c>
      <c r="L190" s="455">
        <f t="shared" si="160"/>
        <v>164220</v>
      </c>
      <c r="M190" s="455">
        <f t="shared" si="161"/>
        <v>138000</v>
      </c>
      <c r="N190" s="455">
        <f t="shared" si="162"/>
        <v>164220</v>
      </c>
      <c r="O190" s="456" t="s">
        <v>230</v>
      </c>
      <c r="P190" s="457">
        <v>142773.10999999999</v>
      </c>
      <c r="Q190" s="457">
        <f t="shared" si="178"/>
        <v>27126.890899999999</v>
      </c>
      <c r="R190" s="457">
        <f t="shared" si="163"/>
        <v>169900.00089999998</v>
      </c>
      <c r="S190" s="457">
        <f t="shared" si="164"/>
        <v>142773.10999999999</v>
      </c>
      <c r="T190" s="457">
        <f t="shared" si="165"/>
        <v>169900.00089999998</v>
      </c>
      <c r="U190" s="458" t="s">
        <v>382</v>
      </c>
      <c r="V190" s="459">
        <v>117600</v>
      </c>
      <c r="W190" s="459">
        <f t="shared" si="179"/>
        <v>22344</v>
      </c>
      <c r="X190" s="459">
        <f t="shared" si="157"/>
        <v>139944</v>
      </c>
      <c r="Y190" s="459">
        <f t="shared" si="158"/>
        <v>117600</v>
      </c>
      <c r="Z190" s="459">
        <f t="shared" si="159"/>
        <v>139944</v>
      </c>
      <c r="AA190" s="460">
        <f t="shared" si="175"/>
        <v>158021.33363333333</v>
      </c>
      <c r="AB190" s="460">
        <f t="shared" si="166"/>
        <v>158021.33363333333</v>
      </c>
      <c r="AC190" s="461">
        <f t="shared" si="176"/>
        <v>15910.942650394207</v>
      </c>
      <c r="AD190" s="427">
        <f t="shared" si="167"/>
        <v>0.10068857340055964</v>
      </c>
      <c r="AE190" s="428"/>
      <c r="BH190" s="7">
        <v>67</v>
      </c>
      <c r="DB190" s="7" t="str">
        <f>VLOOKUP(D190,listaBolsa!$D$2:$BA$1248,1,0)</f>
        <v xml:space="preserve">Contenedores de compostaje - 30 litros </v>
      </c>
      <c r="DC190" s="7">
        <f>VLOOKUP(D190,listaBolsa!$D$2:$BA$1248,2,0)</f>
        <v>0</v>
      </c>
      <c r="DD190" s="7" t="str">
        <f>VLOOKUP(D190,listaBolsa!$D$2:$BA$1248,10,0)</f>
        <v xml:space="preserve">JUNTOS DE LA MANO </v>
      </c>
      <c r="DE190" s="7">
        <f>VLOOKUP(D190,listaBolsa!$D$2:$BA$1248,14,0)</f>
        <v>138000</v>
      </c>
      <c r="DF190" s="7" t="str">
        <f>VLOOKUP(D190,listaBolsa!$D$2:$BA$1248,23,0)</f>
        <v>MYCBDE</v>
      </c>
      <c r="DG190" s="7">
        <f>VLOOKUP(D190,listaBolsa!$D$2:$BA$1248,29,0)</f>
        <v>161840</v>
      </c>
      <c r="DH190" s="7" t="str">
        <f>VLOOKUP(D190,listaBolsa!$D$2:$BA$1248,36,0)</f>
        <v>DAGROW</v>
      </c>
      <c r="DI190" s="7">
        <f>VLOOKUP(D190,listaBolsa!$D$2:$BA$1248,40,0)</f>
        <v>117600</v>
      </c>
      <c r="DJ190" s="252">
        <f>VLOOKUP(D190,listaBolsa!$D$2:$BA$1248,48,0)</f>
        <v>8.6099999999999996E-2</v>
      </c>
      <c r="DK190" s="7" t="b">
        <f t="shared" si="155"/>
        <v>1</v>
      </c>
      <c r="DL190" s="7" t="b">
        <f t="shared" si="154"/>
        <v>0</v>
      </c>
      <c r="DM190" s="7" t="b">
        <f t="shared" si="168"/>
        <v>1</v>
      </c>
      <c r="DN190" s="7" t="b">
        <f t="shared" si="169"/>
        <v>1</v>
      </c>
      <c r="DO190" s="7" t="b">
        <f t="shared" si="170"/>
        <v>0</v>
      </c>
      <c r="DP190" s="7" t="b">
        <f t="shared" si="171"/>
        <v>0</v>
      </c>
      <c r="DQ190" s="7" t="b">
        <f t="shared" si="172"/>
        <v>1</v>
      </c>
      <c r="DR190" s="7" t="b">
        <f t="shared" si="173"/>
        <v>1</v>
      </c>
      <c r="DS190" s="7" t="b">
        <f t="shared" si="174"/>
        <v>0</v>
      </c>
    </row>
    <row r="191" spans="1:123" s="7" customFormat="1" ht="42">
      <c r="A191" s="7" t="s">
        <v>570</v>
      </c>
      <c r="B191" s="453">
        <v>177</v>
      </c>
      <c r="C191" s="642" t="s">
        <v>579</v>
      </c>
      <c r="D191" s="453" t="s">
        <v>801</v>
      </c>
      <c r="E191" s="453" t="s">
        <v>802</v>
      </c>
      <c r="F191" s="194" t="s">
        <v>568</v>
      </c>
      <c r="G191" s="453">
        <v>1</v>
      </c>
      <c r="H191" s="443" t="s">
        <v>192</v>
      </c>
      <c r="I191" s="454" t="s">
        <v>380</v>
      </c>
      <c r="J191" s="455">
        <v>42000</v>
      </c>
      <c r="K191" s="455"/>
      <c r="L191" s="455">
        <f t="shared" si="160"/>
        <v>42000</v>
      </c>
      <c r="M191" s="455">
        <f t="shared" si="161"/>
        <v>42000</v>
      </c>
      <c r="N191" s="455">
        <f t="shared" si="162"/>
        <v>42000</v>
      </c>
      <c r="O191" s="456" t="s">
        <v>382</v>
      </c>
      <c r="P191" s="457">
        <v>30000</v>
      </c>
      <c r="Q191" s="457"/>
      <c r="R191" s="457">
        <f t="shared" si="163"/>
        <v>30000</v>
      </c>
      <c r="S191" s="457">
        <f t="shared" si="164"/>
        <v>30000</v>
      </c>
      <c r="T191" s="457">
        <f t="shared" si="165"/>
        <v>30000</v>
      </c>
      <c r="U191" s="458" t="s">
        <v>381</v>
      </c>
      <c r="V191" s="459">
        <v>40000</v>
      </c>
      <c r="W191" s="459"/>
      <c r="X191" s="459">
        <f t="shared" si="157"/>
        <v>40000</v>
      </c>
      <c r="Y191" s="459">
        <f t="shared" si="158"/>
        <v>40000</v>
      </c>
      <c r="Z191" s="459">
        <f t="shared" si="159"/>
        <v>40000</v>
      </c>
      <c r="AA191" s="460">
        <f t="shared" si="175"/>
        <v>37333.333333333336</v>
      </c>
      <c r="AB191" s="460">
        <f t="shared" si="166"/>
        <v>37333.333333333336</v>
      </c>
      <c r="AC191" s="461">
        <f t="shared" si="176"/>
        <v>6429.1005073286306</v>
      </c>
      <c r="AD191" s="427">
        <f t="shared" si="167"/>
        <v>0.17220804930344544</v>
      </c>
      <c r="AE191" s="428"/>
      <c r="BH191" s="7">
        <v>68</v>
      </c>
      <c r="DB191" s="7" t="str">
        <f>VLOOKUP(D191,listaBolsa!$D$2:$BA$1248,1,0)</f>
        <v>Bulto de compost 35 kg</v>
      </c>
      <c r="DC191" s="7">
        <f>VLOOKUP(D191,listaBolsa!$D$2:$BA$1248,2,0)</f>
        <v>0</v>
      </c>
      <c r="DD191" s="7" t="str">
        <f>VLOOKUP(D191,listaBolsa!$D$2:$BA$1248,10,0)</f>
        <v xml:space="preserve">JUNTOS DE LA MANO </v>
      </c>
      <c r="DE191" s="7">
        <f>VLOOKUP(D191,listaBolsa!$D$2:$BA$1248,14,0)</f>
        <v>42000</v>
      </c>
      <c r="DF191" s="7" t="str">
        <f>VLOOKUP(D191,listaBolsa!$D$2:$BA$1248,23,0)</f>
        <v>DAGROW</v>
      </c>
      <c r="DG191" s="7">
        <f>VLOOKUP(D191,listaBolsa!$D$2:$BA$1248,29,0)</f>
        <v>30000</v>
      </c>
      <c r="DH191" s="7" t="str">
        <f>VLOOKUP(D191,listaBolsa!$D$2:$BA$1248,36,0)</f>
        <v>MYCBDE</v>
      </c>
      <c r="DI191" s="7">
        <f>VLOOKUP(D191,listaBolsa!$D$2:$BA$1248,40,0)</f>
        <v>40000</v>
      </c>
      <c r="DJ191" s="252">
        <f>VLOOKUP(D191,listaBolsa!$D$2:$BA$1248,48,0)</f>
        <v>0.17219999999999999</v>
      </c>
      <c r="DK191" s="7" t="b">
        <f t="shared" si="155"/>
        <v>1</v>
      </c>
      <c r="DL191" s="7" t="b">
        <f t="shared" si="154"/>
        <v>0</v>
      </c>
      <c r="DM191" s="7" t="b">
        <f t="shared" si="168"/>
        <v>1</v>
      </c>
      <c r="DN191" s="7" t="b">
        <f t="shared" si="169"/>
        <v>1</v>
      </c>
      <c r="DO191" s="7" t="b">
        <f t="shared" si="170"/>
        <v>1</v>
      </c>
      <c r="DP191" s="7" t="b">
        <f t="shared" si="171"/>
        <v>1</v>
      </c>
      <c r="DQ191" s="7" t="b">
        <f t="shared" si="172"/>
        <v>1</v>
      </c>
      <c r="DR191" s="7" t="b">
        <f t="shared" si="173"/>
        <v>1</v>
      </c>
      <c r="DS191" s="7" t="b">
        <f t="shared" si="174"/>
        <v>0</v>
      </c>
    </row>
    <row r="192" spans="1:123" s="7" customFormat="1" ht="42">
      <c r="A192" s="7" t="s">
        <v>570</v>
      </c>
      <c r="B192" s="453">
        <v>178</v>
      </c>
      <c r="C192" s="642" t="s">
        <v>579</v>
      </c>
      <c r="D192" s="453" t="s">
        <v>804</v>
      </c>
      <c r="E192" s="453" t="s">
        <v>805</v>
      </c>
      <c r="F192" s="194" t="s">
        <v>568</v>
      </c>
      <c r="G192" s="453">
        <v>1</v>
      </c>
      <c r="H192" s="443" t="s">
        <v>192</v>
      </c>
      <c r="I192" s="454" t="s">
        <v>380</v>
      </c>
      <c r="J192" s="455">
        <v>43000</v>
      </c>
      <c r="K192" s="455"/>
      <c r="L192" s="455">
        <f t="shared" si="160"/>
        <v>43000</v>
      </c>
      <c r="M192" s="455">
        <f t="shared" si="161"/>
        <v>43000</v>
      </c>
      <c r="N192" s="455">
        <f t="shared" si="162"/>
        <v>43000</v>
      </c>
      <c r="O192" s="456" t="s">
        <v>381</v>
      </c>
      <c r="P192" s="457">
        <v>42000</v>
      </c>
      <c r="Q192" s="457"/>
      <c r="R192" s="457">
        <f t="shared" si="163"/>
        <v>42000</v>
      </c>
      <c r="S192" s="457">
        <f t="shared" si="164"/>
        <v>42000</v>
      </c>
      <c r="T192" s="457">
        <f t="shared" si="165"/>
        <v>42000</v>
      </c>
      <c r="U192" s="458" t="s">
        <v>382</v>
      </c>
      <c r="V192" s="459">
        <v>40000</v>
      </c>
      <c r="W192" s="459"/>
      <c r="X192" s="459">
        <f t="shared" si="157"/>
        <v>40000</v>
      </c>
      <c r="Y192" s="459">
        <f t="shared" si="158"/>
        <v>40000</v>
      </c>
      <c r="Z192" s="459">
        <f t="shared" si="159"/>
        <v>40000</v>
      </c>
      <c r="AA192" s="460">
        <f t="shared" si="175"/>
        <v>41666.666666666664</v>
      </c>
      <c r="AB192" s="460">
        <f t="shared" si="166"/>
        <v>41666.666666666664</v>
      </c>
      <c r="AC192" s="461">
        <f t="shared" si="176"/>
        <v>1527.5252316519466</v>
      </c>
      <c r="AD192" s="427">
        <f t="shared" si="167"/>
        <v>3.6660605559646717E-2</v>
      </c>
      <c r="AE192" s="428"/>
      <c r="BH192" s="7">
        <v>69</v>
      </c>
      <c r="DB192" s="7" t="str">
        <f>VLOOKUP(D192,listaBolsa!$D$2:$BA$1248,1,0)</f>
        <v>Bulto de compost 50 kg</v>
      </c>
      <c r="DC192" s="7">
        <f>VLOOKUP(D192,listaBolsa!$D$2:$BA$1248,2,0)</f>
        <v>0</v>
      </c>
      <c r="DD192" s="7" t="str">
        <f>VLOOKUP(D192,listaBolsa!$D$2:$BA$1248,10,0)</f>
        <v xml:space="preserve">JUNTOS DE LA MANO </v>
      </c>
      <c r="DE192" s="7">
        <f>VLOOKUP(D192,listaBolsa!$D$2:$BA$1248,14,0)</f>
        <v>43000</v>
      </c>
      <c r="DF192" s="7" t="str">
        <f>VLOOKUP(D192,listaBolsa!$D$2:$BA$1248,23,0)</f>
        <v>MYCBDE</v>
      </c>
      <c r="DG192" s="7">
        <f>VLOOKUP(D192,listaBolsa!$D$2:$BA$1248,29,0)</f>
        <v>42000</v>
      </c>
      <c r="DH192" s="7" t="str">
        <f>VLOOKUP(D192,listaBolsa!$D$2:$BA$1248,36,0)</f>
        <v>DAGROW</v>
      </c>
      <c r="DI192" s="7">
        <f>VLOOKUP(D192,listaBolsa!$D$2:$BA$1248,40,0)</f>
        <v>40000</v>
      </c>
      <c r="DJ192" s="252">
        <f>VLOOKUP(D192,listaBolsa!$D$2:$BA$1248,48,0)</f>
        <v>3.6700000000000003E-2</v>
      </c>
      <c r="DK192" s="7" t="b">
        <f t="shared" si="155"/>
        <v>1</v>
      </c>
      <c r="DL192" s="7" t="b">
        <f t="shared" si="154"/>
        <v>0</v>
      </c>
      <c r="DM192" s="7" t="b">
        <f t="shared" si="168"/>
        <v>1</v>
      </c>
      <c r="DN192" s="7" t="b">
        <f t="shared" si="169"/>
        <v>1</v>
      </c>
      <c r="DO192" s="7" t="b">
        <f t="shared" si="170"/>
        <v>1</v>
      </c>
      <c r="DP192" s="7" t="b">
        <f t="shared" si="171"/>
        <v>1</v>
      </c>
      <c r="DQ192" s="7" t="b">
        <f t="shared" si="172"/>
        <v>1</v>
      </c>
      <c r="DR192" s="7" t="b">
        <f t="shared" si="173"/>
        <v>1</v>
      </c>
      <c r="DS192" s="7" t="b">
        <f t="shared" si="174"/>
        <v>0</v>
      </c>
    </row>
    <row r="193" spans="1:123" s="7" customFormat="1" ht="42">
      <c r="A193" s="7" t="s">
        <v>570</v>
      </c>
      <c r="B193" s="453">
        <v>179</v>
      </c>
      <c r="C193" s="642" t="s">
        <v>579</v>
      </c>
      <c r="D193" s="453" t="s">
        <v>807</v>
      </c>
      <c r="E193" s="453" t="s">
        <v>808</v>
      </c>
      <c r="F193" s="194" t="s">
        <v>568</v>
      </c>
      <c r="G193" s="453">
        <v>1</v>
      </c>
      <c r="H193" s="443" t="s">
        <v>192</v>
      </c>
      <c r="I193" s="454" t="s">
        <v>380</v>
      </c>
      <c r="J193" s="455">
        <v>9000</v>
      </c>
      <c r="K193" s="455">
        <f>J193*19%</f>
        <v>1710</v>
      </c>
      <c r="L193" s="455">
        <f t="shared" si="160"/>
        <v>10710</v>
      </c>
      <c r="M193" s="455">
        <f t="shared" si="161"/>
        <v>9000</v>
      </c>
      <c r="N193" s="455">
        <f t="shared" si="162"/>
        <v>10710</v>
      </c>
      <c r="O193" s="456" t="s">
        <v>381</v>
      </c>
      <c r="P193" s="457">
        <v>8000</v>
      </c>
      <c r="Q193" s="457">
        <f>P193*19%</f>
        <v>1520</v>
      </c>
      <c r="R193" s="457">
        <f t="shared" si="163"/>
        <v>9520</v>
      </c>
      <c r="S193" s="457">
        <f t="shared" si="164"/>
        <v>8000</v>
      </c>
      <c r="T193" s="457">
        <f t="shared" si="165"/>
        <v>9520</v>
      </c>
      <c r="U193" s="458" t="s">
        <v>382</v>
      </c>
      <c r="V193" s="459">
        <v>7140</v>
      </c>
      <c r="W193" s="459">
        <f>V193*19%</f>
        <v>1356.6</v>
      </c>
      <c r="X193" s="459">
        <f t="shared" si="157"/>
        <v>8496.6</v>
      </c>
      <c r="Y193" s="459">
        <f t="shared" si="158"/>
        <v>7140</v>
      </c>
      <c r="Z193" s="459">
        <f t="shared" si="159"/>
        <v>8496.6</v>
      </c>
      <c r="AA193" s="460">
        <f t="shared" si="175"/>
        <v>9575.5333333333328</v>
      </c>
      <c r="AB193" s="460">
        <f t="shared" si="166"/>
        <v>9575.5333333333328</v>
      </c>
      <c r="AC193" s="461">
        <f t="shared" si="176"/>
        <v>1107.7444891911371</v>
      </c>
      <c r="AD193" s="427">
        <f t="shared" si="167"/>
        <v>0.11568488674515645</v>
      </c>
      <c r="AE193" s="428"/>
      <c r="BH193" s="7">
        <v>70</v>
      </c>
      <c r="DB193" s="7" t="e">
        <f>VLOOKUP(D193,listaBolsa!$D$2:$BA$1248,1,0)</f>
        <v>#N/A</v>
      </c>
      <c r="DC193" s="7" t="e">
        <f>VLOOKUP(D193,listaBolsa!$D$2:$BA$1248,2,0)</f>
        <v>#N/A</v>
      </c>
      <c r="DD193" s="7" t="e">
        <f>VLOOKUP(D193,listaBolsa!$D$2:$BA$1248,10,0)</f>
        <v>#N/A</v>
      </c>
      <c r="DE193" s="7" t="e">
        <f>VLOOKUP(D193,listaBolsa!$D$2:$BA$1248,14,0)</f>
        <v>#N/A</v>
      </c>
      <c r="DF193" s="7" t="e">
        <f>VLOOKUP(D193,listaBolsa!$D$2:$BA$1248,23,0)</f>
        <v>#N/A</v>
      </c>
      <c r="DG193" s="7" t="e">
        <f>VLOOKUP(D193,listaBolsa!$D$2:$BA$1248,29,0)</f>
        <v>#N/A</v>
      </c>
      <c r="DH193" s="7" t="e">
        <f>VLOOKUP(D193,listaBolsa!$D$2:$BA$1248,36,0)</f>
        <v>#N/A</v>
      </c>
      <c r="DI193" s="7" t="e">
        <f>VLOOKUP(D193,listaBolsa!$D$2:$BA$1248,40,0)</f>
        <v>#N/A</v>
      </c>
      <c r="DJ193" s="252" t="e">
        <f>VLOOKUP(D193,listaBolsa!$D$2:$BA$1248,48,0)</f>
        <v>#N/A</v>
      </c>
      <c r="DK193" s="7" t="e">
        <f t="shared" si="155"/>
        <v>#N/A</v>
      </c>
      <c r="DL193" s="7" t="e">
        <f t="shared" si="154"/>
        <v>#N/A</v>
      </c>
      <c r="DM193" s="7" t="e">
        <f t="shared" si="168"/>
        <v>#N/A</v>
      </c>
      <c r="DN193" s="7" t="e">
        <f t="shared" si="169"/>
        <v>#N/A</v>
      </c>
      <c r="DO193" s="7" t="e">
        <f t="shared" si="170"/>
        <v>#N/A</v>
      </c>
      <c r="DP193" s="7" t="e">
        <f t="shared" si="171"/>
        <v>#N/A</v>
      </c>
      <c r="DQ193" s="7" t="e">
        <f t="shared" si="172"/>
        <v>#N/A</v>
      </c>
      <c r="DR193" s="7" t="e">
        <f t="shared" si="173"/>
        <v>#N/A</v>
      </c>
      <c r="DS193" s="7" t="e">
        <f t="shared" si="174"/>
        <v>#N/A</v>
      </c>
    </row>
    <row r="194" spans="1:123" s="7" customFormat="1" ht="42">
      <c r="A194" s="7" t="s">
        <v>570</v>
      </c>
      <c r="B194" s="453">
        <v>180</v>
      </c>
      <c r="C194" s="642" t="s">
        <v>579</v>
      </c>
      <c r="D194" s="453" t="s">
        <v>810</v>
      </c>
      <c r="E194" s="453" t="s">
        <v>811</v>
      </c>
      <c r="F194" s="194" t="s">
        <v>568</v>
      </c>
      <c r="G194" s="453">
        <v>1</v>
      </c>
      <c r="H194" s="443" t="s">
        <v>192</v>
      </c>
      <c r="I194" s="454" t="s">
        <v>380</v>
      </c>
      <c r="J194" s="455">
        <v>24000</v>
      </c>
      <c r="K194" s="455">
        <f>J194*19%</f>
        <v>4560</v>
      </c>
      <c r="L194" s="455">
        <f t="shared" si="160"/>
        <v>28560</v>
      </c>
      <c r="M194" s="455">
        <f t="shared" si="161"/>
        <v>24000</v>
      </c>
      <c r="N194" s="455">
        <f t="shared" si="162"/>
        <v>28560</v>
      </c>
      <c r="O194" s="456" t="s">
        <v>381</v>
      </c>
      <c r="P194" s="457">
        <v>23000</v>
      </c>
      <c r="Q194" s="457">
        <f>P194*19%</f>
        <v>4370</v>
      </c>
      <c r="R194" s="457">
        <f t="shared" si="163"/>
        <v>27370</v>
      </c>
      <c r="S194" s="457">
        <f t="shared" si="164"/>
        <v>23000</v>
      </c>
      <c r="T194" s="457">
        <f t="shared" si="165"/>
        <v>27370</v>
      </c>
      <c r="U194" s="458" t="s">
        <v>382</v>
      </c>
      <c r="V194" s="459">
        <v>16800</v>
      </c>
      <c r="W194" s="459">
        <f>V194*19%</f>
        <v>3192</v>
      </c>
      <c r="X194" s="459">
        <f t="shared" si="157"/>
        <v>19992</v>
      </c>
      <c r="Y194" s="459">
        <f t="shared" si="158"/>
        <v>16800</v>
      </c>
      <c r="Z194" s="459">
        <f t="shared" si="159"/>
        <v>19992</v>
      </c>
      <c r="AA194" s="460">
        <f t="shared" si="175"/>
        <v>25307.333333333332</v>
      </c>
      <c r="AB194" s="460">
        <f t="shared" si="166"/>
        <v>25307.333333333332</v>
      </c>
      <c r="AC194" s="461">
        <f t="shared" si="176"/>
        <v>4641.508519149068</v>
      </c>
      <c r="AD194" s="427">
        <f t="shared" si="167"/>
        <v>0.18340567368413904</v>
      </c>
      <c r="AE194" s="428"/>
      <c r="BH194" s="7">
        <v>71</v>
      </c>
      <c r="DB194" s="7" t="str">
        <f>VLOOKUP(D194,listaBolsa!$D$2:$BA$1248,1,0)</f>
        <v>Regadera Plástica 2 lt</v>
      </c>
      <c r="DC194" s="7">
        <f>VLOOKUP(D194,listaBolsa!$D$2:$BA$1248,2,0)</f>
        <v>0</v>
      </c>
      <c r="DD194" s="7" t="str">
        <f>VLOOKUP(D194,listaBolsa!$D$2:$BA$1248,10,0)</f>
        <v xml:space="preserve">JUNTOS DE LA MANO </v>
      </c>
      <c r="DE194" s="7">
        <f>VLOOKUP(D194,listaBolsa!$D$2:$BA$1248,14,0)</f>
        <v>24000</v>
      </c>
      <c r="DF194" s="7" t="str">
        <f>VLOOKUP(D194,listaBolsa!$D$2:$BA$1248,23,0)</f>
        <v>MYCBDE</v>
      </c>
      <c r="DG194" s="7">
        <f>VLOOKUP(D194,listaBolsa!$D$2:$BA$1248,29,0)</f>
        <v>27370</v>
      </c>
      <c r="DH194" s="7" t="str">
        <f>VLOOKUP(D194,listaBolsa!$D$2:$BA$1248,36,0)</f>
        <v>DAGROW</v>
      </c>
      <c r="DI194" s="7">
        <f>VLOOKUP(D194,listaBolsa!$D$2:$BA$1248,40,0)</f>
        <v>16800</v>
      </c>
      <c r="DJ194" s="252">
        <f>VLOOKUP(D194,listaBolsa!$D$2:$BA$1248,48,0)</f>
        <v>0.18340000000000001</v>
      </c>
      <c r="DK194" s="7" t="b">
        <f t="shared" si="155"/>
        <v>1</v>
      </c>
      <c r="DL194" s="7" t="b">
        <f t="shared" si="154"/>
        <v>0</v>
      </c>
      <c r="DM194" s="7" t="b">
        <f t="shared" si="168"/>
        <v>1</v>
      </c>
      <c r="DN194" s="7" t="b">
        <f t="shared" si="169"/>
        <v>1</v>
      </c>
      <c r="DO194" s="7" t="b">
        <f t="shared" si="170"/>
        <v>1</v>
      </c>
      <c r="DP194" s="7" t="b">
        <f t="shared" si="171"/>
        <v>0</v>
      </c>
      <c r="DQ194" s="7" t="b">
        <f t="shared" si="172"/>
        <v>1</v>
      </c>
      <c r="DR194" s="7" t="b">
        <f t="shared" si="173"/>
        <v>1</v>
      </c>
      <c r="DS194" s="7" t="b">
        <f t="shared" si="174"/>
        <v>0</v>
      </c>
    </row>
    <row r="195" spans="1:123" s="7" customFormat="1" ht="42">
      <c r="A195" s="7" t="s">
        <v>570</v>
      </c>
      <c r="B195" s="453">
        <v>181</v>
      </c>
      <c r="C195" s="642" t="s">
        <v>579</v>
      </c>
      <c r="D195" s="453" t="s">
        <v>813</v>
      </c>
      <c r="E195" s="453" t="s">
        <v>814</v>
      </c>
      <c r="F195" s="194" t="s">
        <v>568</v>
      </c>
      <c r="G195" s="453">
        <v>1</v>
      </c>
      <c r="H195" s="443" t="s">
        <v>192</v>
      </c>
      <c r="I195" s="454" t="s">
        <v>380</v>
      </c>
      <c r="J195" s="455">
        <v>57000</v>
      </c>
      <c r="K195" s="455">
        <f>J195*19%</f>
        <v>10830</v>
      </c>
      <c r="L195" s="455">
        <f t="shared" si="160"/>
        <v>67830</v>
      </c>
      <c r="M195" s="455">
        <f t="shared" si="161"/>
        <v>57000</v>
      </c>
      <c r="N195" s="455">
        <f t="shared" si="162"/>
        <v>67830</v>
      </c>
      <c r="O195" s="456" t="s">
        <v>1103</v>
      </c>
      <c r="P195" s="457">
        <v>45168.07</v>
      </c>
      <c r="Q195" s="457">
        <f>P195*19%</f>
        <v>8581.9333000000006</v>
      </c>
      <c r="R195" s="457">
        <f t="shared" si="163"/>
        <v>53750.003299999997</v>
      </c>
      <c r="S195" s="457">
        <f t="shared" si="164"/>
        <v>45168.07</v>
      </c>
      <c r="T195" s="457">
        <f t="shared" si="165"/>
        <v>53750.003299999997</v>
      </c>
      <c r="U195" s="458" t="s">
        <v>382</v>
      </c>
      <c r="V195" s="459">
        <v>56000</v>
      </c>
      <c r="W195" s="459">
        <f>V195*19%</f>
        <v>10640</v>
      </c>
      <c r="X195" s="459">
        <f t="shared" si="157"/>
        <v>66640</v>
      </c>
      <c r="Y195" s="459">
        <f t="shared" si="158"/>
        <v>56000</v>
      </c>
      <c r="Z195" s="459">
        <f t="shared" si="159"/>
        <v>66640</v>
      </c>
      <c r="AA195" s="460">
        <f t="shared" si="175"/>
        <v>62740.001099999994</v>
      </c>
      <c r="AB195" s="460">
        <f t="shared" si="166"/>
        <v>62740.001099999994</v>
      </c>
      <c r="AC195" s="461">
        <f t="shared" si="176"/>
        <v>7808.2693558179044</v>
      </c>
      <c r="AD195" s="427">
        <f t="shared" si="167"/>
        <v>0.1244544025967176</v>
      </c>
      <c r="AE195" s="428"/>
      <c r="BH195" s="7">
        <v>72</v>
      </c>
      <c r="DB195" s="7" t="str">
        <f>VLOOKUP(D195,listaBolsa!$D$2:$BA$1248,1,0)</f>
        <v>Tablas Burras</v>
      </c>
      <c r="DC195" s="7">
        <f>VLOOKUP(D195,listaBolsa!$D$2:$BA$1248,2,0)</f>
        <v>0</v>
      </c>
      <c r="DD195" s="7" t="str">
        <f>VLOOKUP(D195,listaBolsa!$D$2:$BA$1248,10,0)</f>
        <v xml:space="preserve">JUNTOS DE LA MANO </v>
      </c>
      <c r="DE195" s="7">
        <f>VLOOKUP(D195,listaBolsa!$D$2:$BA$1248,14,0)</f>
        <v>57000</v>
      </c>
      <c r="DF195" s="7" t="str">
        <f>VLOOKUP(D195,listaBolsa!$D$2:$BA$1248,23,0)</f>
        <v>MYCBDE</v>
      </c>
      <c r="DG195" s="7">
        <f>VLOOKUP(D195,listaBolsa!$D$2:$BA$1248,29,0)</f>
        <v>65450</v>
      </c>
      <c r="DH195" s="7" t="str">
        <f>VLOOKUP(D195,listaBolsa!$D$2:$BA$1248,36,0)</f>
        <v>DAGROW</v>
      </c>
      <c r="DI195" s="7">
        <f>VLOOKUP(D195,listaBolsa!$D$2:$BA$1248,40,0)</f>
        <v>56000</v>
      </c>
      <c r="DJ195" s="252">
        <f>VLOOKUP(D195,listaBolsa!$D$2:$BA$1248,48,0)</f>
        <v>1.7899999999999999E-2</v>
      </c>
      <c r="DK195" s="7" t="b">
        <f t="shared" si="155"/>
        <v>1</v>
      </c>
      <c r="DL195" s="7" t="b">
        <f t="shared" si="154"/>
        <v>0</v>
      </c>
      <c r="DM195" s="7" t="b">
        <f t="shared" si="168"/>
        <v>1</v>
      </c>
      <c r="DN195" s="7" t="b">
        <f t="shared" si="169"/>
        <v>1</v>
      </c>
      <c r="DO195" s="7" t="b">
        <f t="shared" si="170"/>
        <v>0</v>
      </c>
      <c r="DP195" s="7" t="b">
        <f t="shared" si="171"/>
        <v>0</v>
      </c>
      <c r="DQ195" s="7" t="b">
        <f t="shared" si="172"/>
        <v>1</v>
      </c>
      <c r="DR195" s="7" t="b">
        <f t="shared" si="173"/>
        <v>1</v>
      </c>
      <c r="DS195" s="7" t="b">
        <f t="shared" si="174"/>
        <v>0</v>
      </c>
    </row>
    <row r="196" spans="1:123" s="7" customFormat="1" ht="42">
      <c r="A196" s="7" t="s">
        <v>570</v>
      </c>
      <c r="B196" s="453">
        <v>182</v>
      </c>
      <c r="C196" s="642" t="s">
        <v>579</v>
      </c>
      <c r="D196" s="453" t="s">
        <v>816</v>
      </c>
      <c r="E196" s="453" t="s">
        <v>817</v>
      </c>
      <c r="F196" s="194" t="s">
        <v>568</v>
      </c>
      <c r="G196" s="453">
        <v>1</v>
      </c>
      <c r="H196" s="443" t="s">
        <v>192</v>
      </c>
      <c r="I196" s="454" t="s">
        <v>230</v>
      </c>
      <c r="J196" s="455">
        <v>56638.66</v>
      </c>
      <c r="K196" s="455">
        <f>J196*19%</f>
        <v>10761.3454</v>
      </c>
      <c r="L196" s="455">
        <f t="shared" si="160"/>
        <v>67400.005400000009</v>
      </c>
      <c r="M196" s="455">
        <f t="shared" si="161"/>
        <v>56638.66</v>
      </c>
      <c r="N196" s="455">
        <f t="shared" si="162"/>
        <v>67400.005400000009</v>
      </c>
      <c r="O196" s="456" t="s">
        <v>381</v>
      </c>
      <c r="P196" s="457">
        <v>73000</v>
      </c>
      <c r="Q196" s="457">
        <f>P196*19%</f>
        <v>13870</v>
      </c>
      <c r="R196" s="457">
        <f t="shared" si="163"/>
        <v>86870</v>
      </c>
      <c r="S196" s="457">
        <f t="shared" si="164"/>
        <v>73000</v>
      </c>
      <c r="T196" s="457">
        <f t="shared" si="165"/>
        <v>86870</v>
      </c>
      <c r="U196" s="458" t="s">
        <v>382</v>
      </c>
      <c r="V196" s="459">
        <v>70000</v>
      </c>
      <c r="W196" s="459">
        <f>V196*19%</f>
        <v>13300</v>
      </c>
      <c r="X196" s="459">
        <f t="shared" si="157"/>
        <v>83300</v>
      </c>
      <c r="Y196" s="459">
        <f t="shared" si="158"/>
        <v>70000</v>
      </c>
      <c r="Z196" s="459">
        <f t="shared" si="159"/>
        <v>83300</v>
      </c>
      <c r="AA196" s="460">
        <f t="shared" si="175"/>
        <v>79190.001800000013</v>
      </c>
      <c r="AB196" s="460">
        <f t="shared" si="166"/>
        <v>79190.001800000013</v>
      </c>
      <c r="AC196" s="461">
        <f t="shared" si="176"/>
        <v>10365.289978288463</v>
      </c>
      <c r="AD196" s="427">
        <f t="shared" si="167"/>
        <v>0.13089139717999679</v>
      </c>
      <c r="AE196" s="428"/>
      <c r="BH196" s="7">
        <v>73</v>
      </c>
      <c r="DB196" s="7" t="str">
        <f>VLOOKUP(D196,listaBolsa!$D$2:$BA$1248,1,0)</f>
        <v>Polisombra negra</v>
      </c>
      <c r="DC196" s="7">
        <f>VLOOKUP(D196,listaBolsa!$D$2:$BA$1248,2,0)</f>
        <v>0</v>
      </c>
      <c r="DD196" s="7" t="str">
        <f>VLOOKUP(D196,listaBolsa!$D$2:$BA$1248,10,0)</f>
        <v xml:space="preserve">JUNTOS DE LA MANO </v>
      </c>
      <c r="DE196" s="7">
        <f>VLOOKUP(D196,listaBolsa!$D$2:$BA$1248,14,0)</f>
        <v>69000</v>
      </c>
      <c r="DF196" s="7" t="str">
        <f>VLOOKUP(D196,listaBolsa!$D$2:$BA$1248,23,0)</f>
        <v>MYCBDE</v>
      </c>
      <c r="DG196" s="7">
        <f>VLOOKUP(D196,listaBolsa!$D$2:$BA$1248,29,0)</f>
        <v>80920</v>
      </c>
      <c r="DH196" s="7" t="str">
        <f>VLOOKUP(D196,listaBolsa!$D$2:$BA$1248,36,0)</f>
        <v>DAGROW</v>
      </c>
      <c r="DI196" s="7">
        <f>VLOOKUP(D196,listaBolsa!$D$2:$BA$1248,40,0)</f>
        <v>70000</v>
      </c>
      <c r="DJ196" s="252">
        <f>VLOOKUP(D196,listaBolsa!$D$2:$BA$1248,48,0)</f>
        <v>1.4500000000000001E-2</v>
      </c>
      <c r="DK196" s="7" t="b">
        <f t="shared" si="155"/>
        <v>1</v>
      </c>
      <c r="DL196" s="7" t="b">
        <f t="shared" si="154"/>
        <v>0</v>
      </c>
      <c r="DM196" s="7" t="b">
        <f t="shared" si="168"/>
        <v>0</v>
      </c>
      <c r="DN196" s="7" t="b">
        <f t="shared" si="169"/>
        <v>0</v>
      </c>
      <c r="DO196" s="7" t="b">
        <f t="shared" si="170"/>
        <v>1</v>
      </c>
      <c r="DP196" s="7" t="b">
        <f t="shared" si="171"/>
        <v>0</v>
      </c>
      <c r="DQ196" s="7" t="b">
        <f t="shared" si="172"/>
        <v>1</v>
      </c>
      <c r="DR196" s="7" t="b">
        <f t="shared" si="173"/>
        <v>1</v>
      </c>
      <c r="DS196" s="7" t="b">
        <f t="shared" si="174"/>
        <v>0</v>
      </c>
    </row>
    <row r="197" spans="1:123" s="7" customFormat="1" ht="42">
      <c r="A197" s="7" t="s">
        <v>570</v>
      </c>
      <c r="B197" s="453">
        <v>183</v>
      </c>
      <c r="C197" s="642" t="s">
        <v>579</v>
      </c>
      <c r="D197" s="453" t="s">
        <v>819</v>
      </c>
      <c r="E197" s="453" t="s">
        <v>820</v>
      </c>
      <c r="F197" s="194" t="s">
        <v>568</v>
      </c>
      <c r="G197" s="453">
        <v>1</v>
      </c>
      <c r="H197" s="443" t="s">
        <v>192</v>
      </c>
      <c r="I197" s="454" t="s">
        <v>381</v>
      </c>
      <c r="J197" s="455">
        <v>20000</v>
      </c>
      <c r="K197" s="455"/>
      <c r="L197" s="455">
        <f t="shared" si="160"/>
        <v>20000</v>
      </c>
      <c r="M197" s="455">
        <f t="shared" si="161"/>
        <v>20000</v>
      </c>
      <c r="N197" s="455">
        <f t="shared" si="162"/>
        <v>20000</v>
      </c>
      <c r="O197" s="456" t="s">
        <v>382</v>
      </c>
      <c r="P197" s="457">
        <v>20000</v>
      </c>
      <c r="Q197" s="457"/>
      <c r="R197" s="457">
        <f t="shared" si="163"/>
        <v>20000</v>
      </c>
      <c r="S197" s="457">
        <f t="shared" si="164"/>
        <v>20000</v>
      </c>
      <c r="T197" s="457">
        <f t="shared" si="165"/>
        <v>20000</v>
      </c>
      <c r="U197" s="458" t="s">
        <v>380</v>
      </c>
      <c r="V197" s="459">
        <v>22000</v>
      </c>
      <c r="W197" s="459"/>
      <c r="X197" s="459">
        <f t="shared" si="157"/>
        <v>22000</v>
      </c>
      <c r="Y197" s="459">
        <f t="shared" si="158"/>
        <v>22000</v>
      </c>
      <c r="Z197" s="459">
        <f t="shared" si="159"/>
        <v>22000</v>
      </c>
      <c r="AA197" s="460">
        <f t="shared" si="175"/>
        <v>20666.666666666668</v>
      </c>
      <c r="AB197" s="460">
        <f t="shared" si="166"/>
        <v>20666.666666666668</v>
      </c>
      <c r="AC197" s="461">
        <f t="shared" si="176"/>
        <v>1154.7005383792514</v>
      </c>
      <c r="AD197" s="427">
        <f t="shared" si="167"/>
        <v>5.5872606695770224E-2</v>
      </c>
      <c r="AE197" s="428"/>
      <c r="BH197" s="7">
        <v>74</v>
      </c>
      <c r="DB197" s="7" t="str">
        <f>VLOOKUP(D197,listaBolsa!$D$2:$BA$1248,1,0)</f>
        <v>Cascarilla quemada paquete por 4 kg</v>
      </c>
      <c r="DC197" s="7">
        <f>VLOOKUP(D197,listaBolsa!$D$2:$BA$1248,2,0)</f>
        <v>0</v>
      </c>
      <c r="DD197" s="7" t="str">
        <f>VLOOKUP(D197,listaBolsa!$D$2:$BA$1248,10,0)</f>
        <v>MYCBDE</v>
      </c>
      <c r="DE197" s="7">
        <f>VLOOKUP(D197,listaBolsa!$D$2:$BA$1248,14,0)</f>
        <v>20000</v>
      </c>
      <c r="DF197" s="7" t="str">
        <f>VLOOKUP(D197,listaBolsa!$D$2:$BA$1248,23,0)</f>
        <v>DAGROW</v>
      </c>
      <c r="DG197" s="7">
        <f>VLOOKUP(D197,listaBolsa!$D$2:$BA$1248,29,0)</f>
        <v>20000</v>
      </c>
      <c r="DH197" s="7" t="str">
        <f>VLOOKUP(D197,listaBolsa!$D$2:$BA$1248,36,0)</f>
        <v xml:space="preserve">JUNTOS DE LA MANO </v>
      </c>
      <c r="DI197" s="7">
        <f>VLOOKUP(D197,listaBolsa!$D$2:$BA$1248,40,0)</f>
        <v>22000</v>
      </c>
      <c r="DJ197" s="252">
        <f>VLOOKUP(D197,listaBolsa!$D$2:$BA$1248,48,0)</f>
        <v>5.5899999999999998E-2</v>
      </c>
      <c r="DK197" s="7" t="b">
        <f t="shared" si="155"/>
        <v>1</v>
      </c>
      <c r="DL197" s="7" t="b">
        <f t="shared" si="154"/>
        <v>0</v>
      </c>
      <c r="DM197" s="7" t="b">
        <f t="shared" si="168"/>
        <v>1</v>
      </c>
      <c r="DN197" s="7" t="b">
        <f t="shared" si="169"/>
        <v>1</v>
      </c>
      <c r="DO197" s="7" t="b">
        <f t="shared" si="170"/>
        <v>1</v>
      </c>
      <c r="DP197" s="7" t="b">
        <f t="shared" si="171"/>
        <v>1</v>
      </c>
      <c r="DQ197" s="7" t="b">
        <f t="shared" si="172"/>
        <v>1</v>
      </c>
      <c r="DR197" s="7" t="b">
        <f t="shared" si="173"/>
        <v>1</v>
      </c>
      <c r="DS197" s="7" t="b">
        <f t="shared" si="174"/>
        <v>0</v>
      </c>
    </row>
    <row r="198" spans="1:123" s="7" customFormat="1" ht="42">
      <c r="A198" s="7" t="s">
        <v>570</v>
      </c>
      <c r="B198" s="453">
        <v>184</v>
      </c>
      <c r="C198" s="642" t="s">
        <v>579</v>
      </c>
      <c r="D198" s="453" t="s">
        <v>742</v>
      </c>
      <c r="E198" s="453" t="s">
        <v>823</v>
      </c>
      <c r="F198" s="194" t="s">
        <v>568</v>
      </c>
      <c r="G198" s="453">
        <v>1</v>
      </c>
      <c r="H198" s="443" t="s">
        <v>192</v>
      </c>
      <c r="I198" s="454" t="s">
        <v>1092</v>
      </c>
      <c r="J198" s="455">
        <v>33613.449999999997</v>
      </c>
      <c r="K198" s="455">
        <f>J198*19%</f>
        <v>6386.5554999999995</v>
      </c>
      <c r="L198" s="455">
        <f t="shared" si="160"/>
        <v>40000.005499999999</v>
      </c>
      <c r="M198" s="455">
        <f t="shared" si="161"/>
        <v>33613.449999999997</v>
      </c>
      <c r="N198" s="455">
        <f t="shared" si="162"/>
        <v>40000.005499999999</v>
      </c>
      <c r="O198" s="456" t="s">
        <v>230</v>
      </c>
      <c r="P198" s="457">
        <v>29327.73</v>
      </c>
      <c r="Q198" s="457">
        <f>P198*19%</f>
        <v>5572.2686999999996</v>
      </c>
      <c r="R198" s="457">
        <f t="shared" si="163"/>
        <v>34899.998699999996</v>
      </c>
      <c r="S198" s="457">
        <f t="shared" si="164"/>
        <v>29327.73</v>
      </c>
      <c r="T198" s="457">
        <f t="shared" si="165"/>
        <v>34899.998699999996</v>
      </c>
      <c r="U198" s="458" t="s">
        <v>769</v>
      </c>
      <c r="V198" s="459">
        <v>31008.400000000001</v>
      </c>
      <c r="W198" s="459">
        <f>V198*19%</f>
        <v>5891.5960000000005</v>
      </c>
      <c r="X198" s="459">
        <f t="shared" si="157"/>
        <v>36899.995999999999</v>
      </c>
      <c r="Y198" s="459">
        <f t="shared" si="158"/>
        <v>31008.400000000001</v>
      </c>
      <c r="Z198" s="459">
        <f t="shared" si="159"/>
        <v>36899.995999999999</v>
      </c>
      <c r="AA198" s="460">
        <f t="shared" si="175"/>
        <v>37266.666733333332</v>
      </c>
      <c r="AB198" s="460">
        <f t="shared" si="166"/>
        <v>37266.666733333332</v>
      </c>
      <c r="AC198" s="461">
        <f t="shared" si="176"/>
        <v>2569.6989921047116</v>
      </c>
      <c r="AD198" s="427">
        <f t="shared" si="167"/>
        <v>6.8954355657632055E-2</v>
      </c>
      <c r="AE198" s="428"/>
      <c r="BH198" s="7">
        <v>75</v>
      </c>
      <c r="DB198" s="7" t="e">
        <f>VLOOKUP(#REF!,listaBolsa!$D$2:$BA$1248,1,0)</f>
        <v>#REF!</v>
      </c>
      <c r="DC198" s="7" t="e">
        <f>VLOOKUP(#REF!,listaBolsa!$D$2:$BA$1248,2,0)</f>
        <v>#REF!</v>
      </c>
      <c r="DD198" s="7" t="e">
        <f>VLOOKUP(#REF!,listaBolsa!$D$2:$BA$1248,10,0)</f>
        <v>#REF!</v>
      </c>
      <c r="DE198" s="7" t="e">
        <f>VLOOKUP(#REF!,listaBolsa!$D$2:$BA$1248,14,0)</f>
        <v>#REF!</v>
      </c>
      <c r="DF198" s="7" t="e">
        <f>VLOOKUP(#REF!,listaBolsa!$D$2:$BA$1248,23,0)</f>
        <v>#REF!</v>
      </c>
      <c r="DG198" s="7" t="e">
        <f>VLOOKUP(#REF!,listaBolsa!$D$2:$BA$1248,29,0)</f>
        <v>#REF!</v>
      </c>
      <c r="DH198" s="7" t="e">
        <f>VLOOKUP(#REF!,listaBolsa!$D$2:$BA$1248,36,0)</f>
        <v>#REF!</v>
      </c>
      <c r="DI198" s="7" t="e">
        <f>VLOOKUP(#REF!,listaBolsa!$D$2:$BA$1248,40,0)</f>
        <v>#REF!</v>
      </c>
      <c r="DJ198" s="252" t="e">
        <f>VLOOKUP(#REF!,listaBolsa!$D$2:$BA$1248,48,0)</f>
        <v>#REF!</v>
      </c>
      <c r="DK198" s="7" t="e">
        <f>DB198=#REF!</f>
        <v>#REF!</v>
      </c>
      <c r="DL198" s="7" t="e">
        <f t="shared" si="154"/>
        <v>#REF!</v>
      </c>
      <c r="DM198" s="7" t="e">
        <f t="shared" si="168"/>
        <v>#REF!</v>
      </c>
      <c r="DN198" s="7" t="e">
        <f t="shared" si="169"/>
        <v>#REF!</v>
      </c>
      <c r="DO198" s="7" t="e">
        <f t="shared" si="170"/>
        <v>#REF!</v>
      </c>
      <c r="DP198" s="7" t="e">
        <f t="shared" si="171"/>
        <v>#REF!</v>
      </c>
      <c r="DQ198" s="7" t="e">
        <f t="shared" si="172"/>
        <v>#REF!</v>
      </c>
      <c r="DR198" s="7" t="e">
        <f t="shared" si="173"/>
        <v>#REF!</v>
      </c>
      <c r="DS198" s="7" t="e">
        <f t="shared" si="174"/>
        <v>#REF!</v>
      </c>
    </row>
    <row r="199" spans="1:123" s="7" customFormat="1" ht="42">
      <c r="A199" s="7" t="s">
        <v>570</v>
      </c>
      <c r="B199" s="453">
        <v>185</v>
      </c>
      <c r="C199" s="642" t="s">
        <v>579</v>
      </c>
      <c r="D199" s="453" t="s">
        <v>825</v>
      </c>
      <c r="E199" s="453" t="s">
        <v>1105</v>
      </c>
      <c r="F199" s="194" t="s">
        <v>568</v>
      </c>
      <c r="G199" s="453">
        <v>1</v>
      </c>
      <c r="H199" s="443" t="s">
        <v>192</v>
      </c>
      <c r="I199" s="454" t="s">
        <v>1106</v>
      </c>
      <c r="J199" s="455">
        <v>248739.5</v>
      </c>
      <c r="K199" s="455">
        <f>J199*19%</f>
        <v>47260.504999999997</v>
      </c>
      <c r="L199" s="455">
        <f t="shared" si="160"/>
        <v>296000.005</v>
      </c>
      <c r="M199" s="455">
        <f t="shared" si="161"/>
        <v>248739.5</v>
      </c>
      <c r="N199" s="455">
        <f t="shared" si="162"/>
        <v>296000.005</v>
      </c>
      <c r="O199" s="456" t="s">
        <v>1107</v>
      </c>
      <c r="P199" s="457">
        <f>341900/1.19</f>
        <v>287310.92436974793</v>
      </c>
      <c r="Q199" s="457">
        <f>P199*19%</f>
        <v>54589.075630252104</v>
      </c>
      <c r="R199" s="457">
        <f t="shared" si="163"/>
        <v>341900</v>
      </c>
      <c r="S199" s="457">
        <f t="shared" si="164"/>
        <v>287310.92436974793</v>
      </c>
      <c r="T199" s="457">
        <f t="shared" si="165"/>
        <v>341900</v>
      </c>
      <c r="U199" s="458" t="s">
        <v>1108</v>
      </c>
      <c r="V199" s="459">
        <f>340000/1.19</f>
        <v>285714.28571428574</v>
      </c>
      <c r="W199" s="459">
        <f>V199*19%</f>
        <v>54285.71428571429</v>
      </c>
      <c r="X199" s="459">
        <f t="shared" si="157"/>
        <v>340000</v>
      </c>
      <c r="Y199" s="459">
        <f t="shared" si="158"/>
        <v>285714.28571428574</v>
      </c>
      <c r="Z199" s="459">
        <f t="shared" si="159"/>
        <v>340000</v>
      </c>
      <c r="AA199" s="460">
        <f t="shared" si="175"/>
        <v>325966.66833333333</v>
      </c>
      <c r="AB199" s="460">
        <f t="shared" si="166"/>
        <v>325966.66833333333</v>
      </c>
      <c r="AC199" s="461">
        <f t="shared" si="176"/>
        <v>25969.273834668697</v>
      </c>
      <c r="AD199" s="427">
        <f t="shared" si="167"/>
        <v>7.9668494841664397E-2</v>
      </c>
      <c r="AE199" s="428"/>
      <c r="BH199" s="7">
        <v>76</v>
      </c>
      <c r="DB199" s="7" t="str">
        <f>VLOOKUP(D199,listaBolsa!$D$2:$BA$1248,1,0)</f>
        <v>Carretilla</v>
      </c>
      <c r="DC199" s="7">
        <f>VLOOKUP(D199,listaBolsa!$D$2:$BA$1248,2,0)</f>
        <v>0</v>
      </c>
      <c r="DD199" s="7" t="str">
        <f>VLOOKUP(D199,listaBolsa!$D$2:$BA$1248,10,0)</f>
        <v xml:space="preserve">JUNTOS DE LA MANO </v>
      </c>
      <c r="DE199" s="7">
        <f>VLOOKUP(D199,listaBolsa!$D$2:$BA$1248,14,0)</f>
        <v>320000</v>
      </c>
      <c r="DF199" s="7" t="str">
        <f>VLOOKUP(D199,listaBolsa!$D$2:$BA$1248,23,0)</f>
        <v>MYCBDE</v>
      </c>
      <c r="DG199" s="7">
        <f>VLOOKUP(D199,listaBolsa!$D$2:$BA$1248,29,0)</f>
        <v>357000</v>
      </c>
      <c r="DH199" s="7" t="str">
        <f>VLOOKUP(D199,listaBolsa!$D$2:$BA$1248,36,0)</f>
        <v>DAGROW</v>
      </c>
      <c r="DI199" s="7">
        <f>VLOOKUP(D199,listaBolsa!$D$2:$BA$1248,40,0)</f>
        <v>354200</v>
      </c>
      <c r="DJ199" s="252">
        <f>VLOOKUP(D199,listaBolsa!$D$2:$BA$1248,48,0)</f>
        <v>8.4400000000000003E-2</v>
      </c>
      <c r="DK199" s="7" t="b">
        <f t="shared" ref="DK199:DK230" si="180">DB199=D199</f>
        <v>1</v>
      </c>
      <c r="DL199" s="7" t="b">
        <f t="shared" si="154"/>
        <v>0</v>
      </c>
      <c r="DM199" s="7" t="b">
        <f t="shared" si="168"/>
        <v>0</v>
      </c>
      <c r="DN199" s="7" t="b">
        <f t="shared" si="169"/>
        <v>0</v>
      </c>
      <c r="DO199" s="7" t="b">
        <f t="shared" si="170"/>
        <v>0</v>
      </c>
      <c r="DP199" s="7" t="b">
        <f t="shared" si="171"/>
        <v>0</v>
      </c>
      <c r="DQ199" s="7" t="b">
        <f t="shared" si="172"/>
        <v>0</v>
      </c>
      <c r="DR199" s="7" t="b">
        <f t="shared" si="173"/>
        <v>0</v>
      </c>
      <c r="DS199" s="7" t="b">
        <f t="shared" si="174"/>
        <v>0</v>
      </c>
    </row>
    <row r="200" spans="1:123" s="7" customFormat="1" ht="42">
      <c r="A200" s="7" t="s">
        <v>570</v>
      </c>
      <c r="B200" s="453">
        <v>186</v>
      </c>
      <c r="C200" s="642" t="s">
        <v>579</v>
      </c>
      <c r="D200" s="453" t="s">
        <v>828</v>
      </c>
      <c r="E200" s="453" t="s">
        <v>829</v>
      </c>
      <c r="F200" s="194" t="s">
        <v>568</v>
      </c>
      <c r="G200" s="453">
        <v>1</v>
      </c>
      <c r="H200" s="443" t="s">
        <v>192</v>
      </c>
      <c r="I200" s="454" t="s">
        <v>230</v>
      </c>
      <c r="J200" s="455">
        <v>20924.36974789916</v>
      </c>
      <c r="K200" s="455">
        <f>J200*19%</f>
        <v>3975.6302521008406</v>
      </c>
      <c r="L200" s="455">
        <f t="shared" si="160"/>
        <v>24900</v>
      </c>
      <c r="M200" s="455">
        <f t="shared" si="161"/>
        <v>20924.36974789916</v>
      </c>
      <c r="N200" s="455">
        <f t="shared" si="162"/>
        <v>24900</v>
      </c>
      <c r="O200" s="456" t="s">
        <v>356</v>
      </c>
      <c r="P200" s="457">
        <v>15126.050420168071</v>
      </c>
      <c r="Q200" s="457">
        <f>P200*19%</f>
        <v>2873.9495798319335</v>
      </c>
      <c r="R200" s="457">
        <f t="shared" si="163"/>
        <v>18000.000000000004</v>
      </c>
      <c r="S200" s="457">
        <f t="shared" si="164"/>
        <v>15126.050420168071</v>
      </c>
      <c r="T200" s="457">
        <f t="shared" si="165"/>
        <v>18000.000000000004</v>
      </c>
      <c r="U200" s="458" t="s">
        <v>830</v>
      </c>
      <c r="V200" s="459">
        <v>16862.18487394958</v>
      </c>
      <c r="W200" s="459">
        <f>V200*19%</f>
        <v>3203.8151260504201</v>
      </c>
      <c r="X200" s="459">
        <f t="shared" si="157"/>
        <v>20066</v>
      </c>
      <c r="Y200" s="459">
        <f t="shared" si="158"/>
        <v>16862.18487394958</v>
      </c>
      <c r="Z200" s="459">
        <f t="shared" si="159"/>
        <v>20066</v>
      </c>
      <c r="AA200" s="460">
        <f t="shared" si="175"/>
        <v>20988.666666666668</v>
      </c>
      <c r="AB200" s="460">
        <f t="shared" si="166"/>
        <v>20988.666666666668</v>
      </c>
      <c r="AC200" s="461">
        <f t="shared" si="176"/>
        <v>3541.3253639468617</v>
      </c>
      <c r="AD200" s="427">
        <f t="shared" si="167"/>
        <v>0.16872559940032056</v>
      </c>
      <c r="AE200" s="428"/>
      <c r="BH200" s="7">
        <v>77</v>
      </c>
      <c r="DB200" s="7" t="str">
        <f>VLOOKUP(D200,listaBolsa!$D$2:$BA$1248,1,0)</f>
        <v>Aspersora de 2 litros</v>
      </c>
      <c r="DC200" s="7">
        <f>VLOOKUP(D200,listaBolsa!$D$2:$BA$1248,2,0)</f>
        <v>0</v>
      </c>
      <c r="DD200" s="7" t="str">
        <f>VLOOKUP(D200,listaBolsa!$D$2:$BA$1248,10,0)</f>
        <v>HOMMECENTER</v>
      </c>
      <c r="DE200" s="7">
        <f>VLOOKUP(D200,listaBolsa!$D$2:$BA$1248,14,0)</f>
        <v>20924.37</v>
      </c>
      <c r="DF200" s="7" t="str">
        <f>VLOOKUP(D200,listaBolsa!$D$2:$BA$1248,23,0)</f>
        <v>SOLOENVASES</v>
      </c>
      <c r="DG200" s="7">
        <f>VLOOKUP(D200,listaBolsa!$D$2:$BA$1248,29,0)</f>
        <v>18000</v>
      </c>
      <c r="DH200" s="7" t="str">
        <f>VLOOKUP(D200,listaBolsa!$D$2:$BA$1248,36,0)</f>
        <v>AGROCOLOMBIA</v>
      </c>
      <c r="DI200" s="7">
        <f>VLOOKUP(D200,listaBolsa!$D$2:$BA$1248,40,0)</f>
        <v>16862.18</v>
      </c>
      <c r="DJ200" s="252">
        <f>VLOOKUP(D200,listaBolsa!$D$2:$BA$1248,48,0)</f>
        <v>0.16869999999999999</v>
      </c>
      <c r="DK200" s="7" t="b">
        <f t="shared" si="180"/>
        <v>1</v>
      </c>
      <c r="DL200" s="7" t="b">
        <f t="shared" si="154"/>
        <v>0</v>
      </c>
      <c r="DM200" s="7" t="b">
        <f t="shared" si="168"/>
        <v>0</v>
      </c>
      <c r="DN200" s="7" t="b">
        <f t="shared" si="169"/>
        <v>0</v>
      </c>
      <c r="DO200" s="7" t="b">
        <f t="shared" si="170"/>
        <v>1</v>
      </c>
      <c r="DP200" s="7" t="b">
        <f t="shared" si="171"/>
        <v>0</v>
      </c>
      <c r="DQ200" s="7" t="b">
        <f t="shared" si="172"/>
        <v>1</v>
      </c>
      <c r="DR200" s="7" t="b">
        <f t="shared" si="173"/>
        <v>0</v>
      </c>
      <c r="DS200" s="7" t="b">
        <f t="shared" si="174"/>
        <v>0</v>
      </c>
    </row>
    <row r="201" spans="1:123" s="7" customFormat="1" ht="42">
      <c r="A201" s="7" t="s">
        <v>570</v>
      </c>
      <c r="B201" s="453">
        <v>187</v>
      </c>
      <c r="C201" s="642" t="s">
        <v>579</v>
      </c>
      <c r="D201" s="453" t="s">
        <v>832</v>
      </c>
      <c r="E201" s="453" t="s">
        <v>833</v>
      </c>
      <c r="F201" s="194" t="s">
        <v>568</v>
      </c>
      <c r="G201" s="453">
        <v>1</v>
      </c>
      <c r="H201" s="443" t="s">
        <v>192</v>
      </c>
      <c r="I201" s="454" t="s">
        <v>834</v>
      </c>
      <c r="J201" s="455">
        <v>209011.76470588229</v>
      </c>
      <c r="K201" s="455">
        <f>J201*19%</f>
        <v>39712.235294117636</v>
      </c>
      <c r="L201" s="455">
        <f t="shared" si="160"/>
        <v>248723.99999999994</v>
      </c>
      <c r="M201" s="455">
        <f t="shared" si="161"/>
        <v>209011.76470588229</v>
      </c>
      <c r="N201" s="455">
        <f t="shared" si="162"/>
        <v>248723.99999999994</v>
      </c>
      <c r="O201" s="456" t="s">
        <v>695</v>
      </c>
      <c r="P201" s="457">
        <v>225966.38655462189</v>
      </c>
      <c r="Q201" s="457">
        <f>P201*19%</f>
        <v>42933.613445378156</v>
      </c>
      <c r="R201" s="457">
        <f t="shared" si="163"/>
        <v>268900.00000000006</v>
      </c>
      <c r="S201" s="457">
        <f t="shared" si="164"/>
        <v>225966.38655462189</v>
      </c>
      <c r="T201" s="457">
        <f t="shared" si="165"/>
        <v>268900.00000000006</v>
      </c>
      <c r="U201" s="458" t="s">
        <v>835</v>
      </c>
      <c r="V201" s="459">
        <v>210084.03361344541</v>
      </c>
      <c r="W201" s="459">
        <f>V201*19%</f>
        <v>39915.966386554632</v>
      </c>
      <c r="X201" s="459">
        <f t="shared" si="157"/>
        <v>250000.00000000006</v>
      </c>
      <c r="Y201" s="459">
        <f t="shared" si="158"/>
        <v>210084.03361344541</v>
      </c>
      <c r="Z201" s="459">
        <f t="shared" si="159"/>
        <v>250000.00000000006</v>
      </c>
      <c r="AA201" s="460">
        <f t="shared" si="175"/>
        <v>255874.66666666666</v>
      </c>
      <c r="AB201" s="460">
        <f t="shared" si="166"/>
        <v>255874.66666666666</v>
      </c>
      <c r="AC201" s="461">
        <f t="shared" si="176"/>
        <v>11298.29745286139</v>
      </c>
      <c r="AD201" s="427">
        <f t="shared" si="167"/>
        <v>4.4155592267287332E-2</v>
      </c>
      <c r="AE201" s="428"/>
      <c r="BH201" s="7">
        <v>78</v>
      </c>
      <c r="DB201" s="7" t="str">
        <f>VLOOKUP(D201,listaBolsa!$D$2:$BA$1248,1,0)</f>
        <v>Aspersora 20 litros</v>
      </c>
      <c r="DC201" s="7">
        <f>VLOOKUP(D201,listaBolsa!$D$2:$BA$1248,2,0)</f>
        <v>0</v>
      </c>
      <c r="DD201" s="7" t="str">
        <f>VLOOKUP(D201,listaBolsa!$D$2:$BA$1248,10,0)</f>
        <v>EVANS</v>
      </c>
      <c r="DE201" s="7">
        <f>VLOOKUP(D201,listaBolsa!$D$2:$BA$1248,14,0)</f>
        <v>209011.76</v>
      </c>
      <c r="DF201" s="7" t="str">
        <f>VLOOKUP(D201,listaBolsa!$D$2:$BA$1248,23,0)</f>
        <v>TIERRAGRO</v>
      </c>
      <c r="DG201" s="7">
        <f>VLOOKUP(D201,listaBolsa!$D$2:$BA$1248,29,0)</f>
        <v>268900</v>
      </c>
      <c r="DH201" s="7" t="str">
        <f>VLOOKUP(D201,listaBolsa!$D$2:$BA$1248,36,0)</f>
        <v>MAQUITEC</v>
      </c>
      <c r="DI201" s="7">
        <f>VLOOKUP(D201,listaBolsa!$D$2:$BA$1248,40,0)</f>
        <v>210084.03</v>
      </c>
      <c r="DJ201" s="252">
        <f>VLOOKUP(D201,listaBolsa!$D$2:$BA$1248,48,0)</f>
        <v>4.4200000000000003E-2</v>
      </c>
      <c r="DK201" s="7" t="b">
        <f t="shared" si="180"/>
        <v>1</v>
      </c>
      <c r="DL201" s="7" t="b">
        <f t="shared" si="154"/>
        <v>0</v>
      </c>
      <c r="DM201" s="7" t="b">
        <f t="shared" si="168"/>
        <v>1</v>
      </c>
      <c r="DN201" s="7" t="b">
        <f t="shared" si="169"/>
        <v>0</v>
      </c>
      <c r="DO201" s="7" t="b">
        <f t="shared" si="170"/>
        <v>1</v>
      </c>
      <c r="DP201" s="7" t="b">
        <f t="shared" si="171"/>
        <v>0</v>
      </c>
      <c r="DQ201" s="7" t="b">
        <f t="shared" si="172"/>
        <v>1</v>
      </c>
      <c r="DR201" s="7" t="b">
        <f t="shared" si="173"/>
        <v>0</v>
      </c>
      <c r="DS201" s="7" t="b">
        <f t="shared" si="174"/>
        <v>0</v>
      </c>
    </row>
    <row r="202" spans="1:123" s="7" customFormat="1" ht="84">
      <c r="A202" s="7" t="s">
        <v>570</v>
      </c>
      <c r="B202" s="453">
        <v>188</v>
      </c>
      <c r="C202" s="642" t="s">
        <v>579</v>
      </c>
      <c r="D202" s="453" t="s">
        <v>837</v>
      </c>
      <c r="E202" s="453" t="s">
        <v>838</v>
      </c>
      <c r="F202" s="194" t="s">
        <v>568</v>
      </c>
      <c r="G202" s="453">
        <v>1</v>
      </c>
      <c r="H202" s="443" t="s">
        <v>192</v>
      </c>
      <c r="I202" s="454" t="s">
        <v>380</v>
      </c>
      <c r="J202" s="455">
        <v>39000</v>
      </c>
      <c r="K202" s="455"/>
      <c r="L202" s="455">
        <f t="shared" si="160"/>
        <v>39000</v>
      </c>
      <c r="M202" s="455">
        <f t="shared" si="161"/>
        <v>39000</v>
      </c>
      <c r="N202" s="455">
        <f t="shared" si="162"/>
        <v>39000</v>
      </c>
      <c r="O202" s="456" t="s">
        <v>381</v>
      </c>
      <c r="P202" s="457">
        <v>38000</v>
      </c>
      <c r="Q202" s="457"/>
      <c r="R202" s="457">
        <f t="shared" si="163"/>
        <v>38000</v>
      </c>
      <c r="S202" s="457">
        <f t="shared" si="164"/>
        <v>38000</v>
      </c>
      <c r="T202" s="457">
        <f t="shared" si="165"/>
        <v>38000</v>
      </c>
      <c r="U202" s="458" t="s">
        <v>382</v>
      </c>
      <c r="V202" s="459">
        <v>41000</v>
      </c>
      <c r="W202" s="459"/>
      <c r="X202" s="459">
        <f t="shared" si="157"/>
        <v>41000</v>
      </c>
      <c r="Y202" s="459">
        <f t="shared" si="158"/>
        <v>41000</v>
      </c>
      <c r="Z202" s="459">
        <f t="shared" si="159"/>
        <v>41000</v>
      </c>
      <c r="AA202" s="460">
        <f t="shared" si="175"/>
        <v>39333.333333333336</v>
      </c>
      <c r="AB202" s="460">
        <f t="shared" si="166"/>
        <v>39333.333333333336</v>
      </c>
      <c r="AC202" s="461">
        <f t="shared" si="176"/>
        <v>1527.5252316519466</v>
      </c>
      <c r="AD202" s="427">
        <f t="shared" si="167"/>
        <v>3.8835387245388472E-2</v>
      </c>
      <c r="AE202" s="428"/>
      <c r="BH202" s="7">
        <v>79</v>
      </c>
      <c r="DB202" s="7" t="str">
        <f>VLOOKUP(D202,listaBolsa!$D$2:$BA$1248,1,0)</f>
        <v>Humus Liquido 1 lt</v>
      </c>
      <c r="DC202" s="7">
        <f>VLOOKUP(D202,listaBolsa!$D$2:$BA$1248,2,0)</f>
        <v>0</v>
      </c>
      <c r="DD202" s="7" t="str">
        <f>VLOOKUP(D202,listaBolsa!$D$2:$BA$1248,10,0)</f>
        <v xml:space="preserve">JUNTOS DE LA MANO </v>
      </c>
      <c r="DE202" s="7">
        <f>VLOOKUP(D202,listaBolsa!$D$2:$BA$1248,14,0)</f>
        <v>39000</v>
      </c>
      <c r="DF202" s="7" t="str">
        <f>VLOOKUP(D202,listaBolsa!$D$2:$BA$1248,23,0)</f>
        <v>MYCBDE</v>
      </c>
      <c r="DG202" s="7">
        <f>VLOOKUP(D202,listaBolsa!$D$2:$BA$1248,29,0)</f>
        <v>38000</v>
      </c>
      <c r="DH202" s="7" t="str">
        <f>VLOOKUP(D202,listaBolsa!$D$2:$BA$1248,36,0)</f>
        <v>DAGROW</v>
      </c>
      <c r="DI202" s="7">
        <f>VLOOKUP(D202,listaBolsa!$D$2:$BA$1248,40,0)</f>
        <v>41000</v>
      </c>
      <c r="DJ202" s="252">
        <f>VLOOKUP(D202,listaBolsa!$D$2:$BA$1248,48,0)</f>
        <v>3.8800000000000001E-2</v>
      </c>
      <c r="DK202" s="7" t="b">
        <f t="shared" si="180"/>
        <v>1</v>
      </c>
      <c r="DL202" s="7" t="b">
        <f t="shared" si="154"/>
        <v>0</v>
      </c>
      <c r="DM202" s="7" t="b">
        <f t="shared" si="168"/>
        <v>1</v>
      </c>
      <c r="DN202" s="7" t="b">
        <f t="shared" si="169"/>
        <v>1</v>
      </c>
      <c r="DO202" s="7" t="b">
        <f t="shared" si="170"/>
        <v>1</v>
      </c>
      <c r="DP202" s="7" t="b">
        <f t="shared" si="171"/>
        <v>1</v>
      </c>
      <c r="DQ202" s="7" t="b">
        <f t="shared" si="172"/>
        <v>1</v>
      </c>
      <c r="DR202" s="7" t="b">
        <f t="shared" si="173"/>
        <v>1</v>
      </c>
      <c r="DS202" s="7" t="b">
        <f t="shared" si="174"/>
        <v>0</v>
      </c>
    </row>
    <row r="203" spans="1:123" s="7" customFormat="1" ht="42">
      <c r="A203" s="7" t="s">
        <v>570</v>
      </c>
      <c r="B203" s="453">
        <v>189</v>
      </c>
      <c r="C203" s="642" t="s">
        <v>579</v>
      </c>
      <c r="D203" s="453" t="s">
        <v>840</v>
      </c>
      <c r="E203" s="453" t="s">
        <v>841</v>
      </c>
      <c r="F203" s="194" t="s">
        <v>568</v>
      </c>
      <c r="G203" s="453">
        <v>1</v>
      </c>
      <c r="H203" s="443" t="s">
        <v>192</v>
      </c>
      <c r="I203" s="454" t="s">
        <v>380</v>
      </c>
      <c r="J203" s="455">
        <v>39000</v>
      </c>
      <c r="K203" s="455"/>
      <c r="L203" s="455">
        <f t="shared" si="160"/>
        <v>39000</v>
      </c>
      <c r="M203" s="455">
        <f t="shared" si="161"/>
        <v>39000</v>
      </c>
      <c r="N203" s="455">
        <f t="shared" si="162"/>
        <v>39000</v>
      </c>
      <c r="O203" s="456" t="s">
        <v>381</v>
      </c>
      <c r="P203" s="457">
        <v>38000</v>
      </c>
      <c r="Q203" s="457"/>
      <c r="R203" s="457">
        <f t="shared" si="163"/>
        <v>38000</v>
      </c>
      <c r="S203" s="457">
        <f t="shared" si="164"/>
        <v>38000</v>
      </c>
      <c r="T203" s="457">
        <f t="shared" si="165"/>
        <v>38000</v>
      </c>
      <c r="U203" s="458" t="s">
        <v>382</v>
      </c>
      <c r="V203" s="459">
        <v>35000</v>
      </c>
      <c r="W203" s="459"/>
      <c r="X203" s="459">
        <f t="shared" si="157"/>
        <v>35000</v>
      </c>
      <c r="Y203" s="459">
        <f t="shared" si="158"/>
        <v>35000</v>
      </c>
      <c r="Z203" s="459">
        <f t="shared" si="159"/>
        <v>35000</v>
      </c>
      <c r="AA203" s="460">
        <f t="shared" si="175"/>
        <v>37333.333333333336</v>
      </c>
      <c r="AB203" s="460">
        <f t="shared" si="166"/>
        <v>37333.333333333336</v>
      </c>
      <c r="AC203" s="461">
        <f t="shared" si="176"/>
        <v>2081.6659994661327</v>
      </c>
      <c r="AD203" s="427">
        <f t="shared" si="167"/>
        <v>5.5758910699985696E-2</v>
      </c>
      <c r="AE203" s="428"/>
      <c r="BH203" s="7">
        <v>80</v>
      </c>
      <c r="DB203" s="7" t="str">
        <f>VLOOKUP(D203,listaBolsa!$D$2:$BA$1248,1,0)</f>
        <v>Hidroretenedor</v>
      </c>
      <c r="DC203" s="7">
        <f>VLOOKUP(D203,listaBolsa!$D$2:$BA$1248,2,0)</f>
        <v>0</v>
      </c>
      <c r="DD203" s="7" t="str">
        <f>VLOOKUP(D203,listaBolsa!$D$2:$BA$1248,10,0)</f>
        <v xml:space="preserve">JUNTOS DE LA MANO </v>
      </c>
      <c r="DE203" s="7">
        <f>VLOOKUP(D203,listaBolsa!$D$2:$BA$1248,14,0)</f>
        <v>39000</v>
      </c>
      <c r="DF203" s="7" t="str">
        <f>VLOOKUP(D203,listaBolsa!$D$2:$BA$1248,23,0)</f>
        <v>MYCBDE</v>
      </c>
      <c r="DG203" s="7">
        <f>VLOOKUP(D203,listaBolsa!$D$2:$BA$1248,29,0)</f>
        <v>38000</v>
      </c>
      <c r="DH203" s="7" t="str">
        <f>VLOOKUP(D203,listaBolsa!$D$2:$BA$1248,36,0)</f>
        <v>DAGROW</v>
      </c>
      <c r="DI203" s="7">
        <f>VLOOKUP(D203,listaBolsa!$D$2:$BA$1248,40,0)</f>
        <v>35000</v>
      </c>
      <c r="DJ203" s="252">
        <f>VLOOKUP(D203,listaBolsa!$D$2:$BA$1248,48,0)</f>
        <v>5.5800000000000002E-2</v>
      </c>
      <c r="DK203" s="7" t="b">
        <f t="shared" si="180"/>
        <v>1</v>
      </c>
      <c r="DL203" s="7" t="b">
        <f t="shared" si="154"/>
        <v>0</v>
      </c>
      <c r="DM203" s="7" t="b">
        <f t="shared" si="168"/>
        <v>1</v>
      </c>
      <c r="DN203" s="7" t="b">
        <f t="shared" si="169"/>
        <v>1</v>
      </c>
      <c r="DO203" s="7" t="b">
        <f t="shared" si="170"/>
        <v>1</v>
      </c>
      <c r="DP203" s="7" t="b">
        <f t="shared" si="171"/>
        <v>1</v>
      </c>
      <c r="DQ203" s="7" t="b">
        <f t="shared" si="172"/>
        <v>1</v>
      </c>
      <c r="DR203" s="7" t="b">
        <f t="shared" si="173"/>
        <v>1</v>
      </c>
      <c r="DS203" s="7" t="b">
        <f t="shared" si="174"/>
        <v>0</v>
      </c>
    </row>
    <row r="204" spans="1:123" s="7" customFormat="1" ht="84">
      <c r="A204" s="7" t="s">
        <v>570</v>
      </c>
      <c r="B204" s="453">
        <v>190</v>
      </c>
      <c r="C204" s="642" t="s">
        <v>579</v>
      </c>
      <c r="D204" s="453" t="s">
        <v>843</v>
      </c>
      <c r="E204" s="453" t="s">
        <v>844</v>
      </c>
      <c r="F204" s="194" t="s">
        <v>568</v>
      </c>
      <c r="G204" s="453">
        <v>1</v>
      </c>
      <c r="H204" s="443" t="s">
        <v>192</v>
      </c>
      <c r="I204" s="454" t="s">
        <v>380</v>
      </c>
      <c r="J204" s="455">
        <v>57000</v>
      </c>
      <c r="K204" s="455"/>
      <c r="L204" s="455">
        <f t="shared" si="160"/>
        <v>57000</v>
      </c>
      <c r="M204" s="455">
        <f t="shared" si="161"/>
        <v>57000</v>
      </c>
      <c r="N204" s="455">
        <f t="shared" si="162"/>
        <v>57000</v>
      </c>
      <c r="O204" s="456" t="s">
        <v>381</v>
      </c>
      <c r="P204" s="457">
        <v>55000</v>
      </c>
      <c r="Q204" s="457"/>
      <c r="R204" s="457">
        <f t="shared" si="163"/>
        <v>55000</v>
      </c>
      <c r="S204" s="457">
        <f t="shared" si="164"/>
        <v>55000</v>
      </c>
      <c r="T204" s="457">
        <f t="shared" si="165"/>
        <v>55000</v>
      </c>
      <c r="U204" s="458" t="s">
        <v>382</v>
      </c>
      <c r="V204" s="459">
        <v>52800</v>
      </c>
      <c r="W204" s="459"/>
      <c r="X204" s="459">
        <f t="shared" si="157"/>
        <v>52800</v>
      </c>
      <c r="Y204" s="459">
        <f t="shared" si="158"/>
        <v>52800</v>
      </c>
      <c r="Z204" s="459">
        <f t="shared" si="159"/>
        <v>52800</v>
      </c>
      <c r="AA204" s="460">
        <f t="shared" si="175"/>
        <v>54933.333333333336</v>
      </c>
      <c r="AB204" s="460">
        <f t="shared" si="166"/>
        <v>54933.333333333336</v>
      </c>
      <c r="AC204" s="461">
        <f t="shared" si="176"/>
        <v>2100.7935008784975</v>
      </c>
      <c r="AD204" s="427">
        <f t="shared" si="167"/>
        <v>3.8242600137351292E-2</v>
      </c>
      <c r="AE204" s="428"/>
      <c r="BH204" s="7">
        <v>81</v>
      </c>
      <c r="DB204" s="7" t="str">
        <f>VLOOKUP(D204,listaBolsa!$D$2:$BA$1248,1,0)</f>
        <v>Beauveria Bassiana x 250 gr</v>
      </c>
      <c r="DC204" s="7">
        <f>VLOOKUP(D204,listaBolsa!$D$2:$BA$1248,2,0)</f>
        <v>0</v>
      </c>
      <c r="DD204" s="7" t="str">
        <f>VLOOKUP(D204,listaBolsa!$D$2:$BA$1248,10,0)</f>
        <v xml:space="preserve">JUNTOS DE LA MANO </v>
      </c>
      <c r="DE204" s="7">
        <f>VLOOKUP(D204,listaBolsa!$D$2:$BA$1248,14,0)</f>
        <v>57000</v>
      </c>
      <c r="DF204" s="7" t="str">
        <f>VLOOKUP(D204,listaBolsa!$D$2:$BA$1248,23,0)</f>
        <v>MYCBDE</v>
      </c>
      <c r="DG204" s="7">
        <f>VLOOKUP(D204,listaBolsa!$D$2:$BA$1248,29,0)</f>
        <v>55000</v>
      </c>
      <c r="DH204" s="7" t="str">
        <f>VLOOKUP(D204,listaBolsa!$D$2:$BA$1248,36,0)</f>
        <v>DAGROW</v>
      </c>
      <c r="DI204" s="7">
        <f>VLOOKUP(D204,listaBolsa!$D$2:$BA$1248,40,0)</f>
        <v>52800</v>
      </c>
      <c r="DJ204" s="252">
        <f>VLOOKUP(D204,listaBolsa!$D$2:$BA$1248,48,0)</f>
        <v>3.8199999999999998E-2</v>
      </c>
      <c r="DK204" s="7" t="b">
        <f t="shared" si="180"/>
        <v>1</v>
      </c>
      <c r="DL204" s="7" t="e">
        <f>DC204=#REF!</f>
        <v>#REF!</v>
      </c>
      <c r="DM204" s="7" t="b">
        <f t="shared" si="168"/>
        <v>1</v>
      </c>
      <c r="DN204" s="7" t="b">
        <f t="shared" si="169"/>
        <v>1</v>
      </c>
      <c r="DO204" s="7" t="b">
        <f t="shared" si="170"/>
        <v>1</v>
      </c>
      <c r="DP204" s="7" t="b">
        <f t="shared" si="171"/>
        <v>1</v>
      </c>
      <c r="DQ204" s="7" t="b">
        <f t="shared" si="172"/>
        <v>1</v>
      </c>
      <c r="DR204" s="7" t="b">
        <f t="shared" si="173"/>
        <v>1</v>
      </c>
      <c r="DS204" s="7" t="b">
        <f t="shared" si="174"/>
        <v>0</v>
      </c>
    </row>
    <row r="205" spans="1:123" s="7" customFormat="1" ht="63">
      <c r="A205" s="7" t="s">
        <v>570</v>
      </c>
      <c r="B205" s="453">
        <v>191</v>
      </c>
      <c r="C205" s="642" t="s">
        <v>579</v>
      </c>
      <c r="D205" s="453" t="s">
        <v>846</v>
      </c>
      <c r="E205" s="453" t="s">
        <v>847</v>
      </c>
      <c r="F205" s="194" t="s">
        <v>568</v>
      </c>
      <c r="G205" s="453">
        <v>1</v>
      </c>
      <c r="H205" s="443" t="s">
        <v>192</v>
      </c>
      <c r="I205" s="454" t="s">
        <v>380</v>
      </c>
      <c r="J205" s="455">
        <v>94000</v>
      </c>
      <c r="K205" s="455"/>
      <c r="L205" s="455">
        <f t="shared" si="160"/>
        <v>94000</v>
      </c>
      <c r="M205" s="455">
        <f t="shared" si="161"/>
        <v>94000</v>
      </c>
      <c r="N205" s="455">
        <f t="shared" si="162"/>
        <v>94000</v>
      </c>
      <c r="O205" s="456" t="s">
        <v>381</v>
      </c>
      <c r="P205" s="457">
        <v>92000</v>
      </c>
      <c r="Q205" s="457"/>
      <c r="R205" s="457">
        <f t="shared" si="163"/>
        <v>92000</v>
      </c>
      <c r="S205" s="457">
        <f t="shared" si="164"/>
        <v>92000</v>
      </c>
      <c r="T205" s="457">
        <f t="shared" si="165"/>
        <v>92000</v>
      </c>
      <c r="U205" s="458" t="s">
        <v>1111</v>
      </c>
      <c r="V205" s="459">
        <v>120800</v>
      </c>
      <c r="W205" s="459"/>
      <c r="X205" s="459">
        <f t="shared" si="157"/>
        <v>120800</v>
      </c>
      <c r="Y205" s="459">
        <f t="shared" si="158"/>
        <v>120800</v>
      </c>
      <c r="Z205" s="459">
        <f t="shared" si="159"/>
        <v>120800</v>
      </c>
      <c r="AA205" s="460">
        <f t="shared" si="175"/>
        <v>102266.66666666667</v>
      </c>
      <c r="AB205" s="460">
        <f t="shared" si="166"/>
        <v>102266.66666666667</v>
      </c>
      <c r="AC205" s="461">
        <f t="shared" si="176"/>
        <v>16081.459303599719</v>
      </c>
      <c r="AD205" s="427">
        <f t="shared" si="167"/>
        <v>0.15725025394654221</v>
      </c>
      <c r="AE205" s="428"/>
      <c r="BH205" s="7">
        <v>82</v>
      </c>
      <c r="DB205" s="7" t="str">
        <f>VLOOKUP(D205,listaBolsa!$D$2:$BA$1248,1,0)</f>
        <v>Trichoderma 1 lt</v>
      </c>
      <c r="DC205" s="7">
        <f>VLOOKUP(D205,listaBolsa!$D$2:$BA$1248,2,0)</f>
        <v>0</v>
      </c>
      <c r="DD205" s="7" t="str">
        <f>VLOOKUP(D205,listaBolsa!$D$2:$BA$1248,10,0)</f>
        <v xml:space="preserve">JUNTOS DE LA MANO </v>
      </c>
      <c r="DE205" s="7">
        <f>VLOOKUP(D205,listaBolsa!$D$2:$BA$1248,14,0)</f>
        <v>94000</v>
      </c>
      <c r="DF205" s="7" t="str">
        <f>VLOOKUP(D205,listaBolsa!$D$2:$BA$1248,23,0)</f>
        <v>MYCBDE</v>
      </c>
      <c r="DG205" s="7">
        <f>VLOOKUP(D205,listaBolsa!$D$2:$BA$1248,29,0)</f>
        <v>92000</v>
      </c>
      <c r="DH205" s="7" t="str">
        <f>VLOOKUP(D205,listaBolsa!$D$2:$BA$1248,36,0)</f>
        <v>DAGROW</v>
      </c>
      <c r="DI205" s="7">
        <f>VLOOKUP(D205,listaBolsa!$D$2:$BA$1248,40,0)</f>
        <v>89600</v>
      </c>
      <c r="DJ205" s="252">
        <f>VLOOKUP(D205,listaBolsa!$D$2:$BA$1248,48,0)</f>
        <v>2.4E-2</v>
      </c>
      <c r="DK205" s="7" t="b">
        <f t="shared" si="180"/>
        <v>1</v>
      </c>
      <c r="DL205" s="7" t="b">
        <f t="shared" ref="DL205:DL236" si="181">DC205=E204</f>
        <v>0</v>
      </c>
      <c r="DM205" s="7" t="b">
        <f t="shared" si="168"/>
        <v>1</v>
      </c>
      <c r="DN205" s="7" t="b">
        <f t="shared" si="169"/>
        <v>1</v>
      </c>
      <c r="DO205" s="7" t="b">
        <f t="shared" si="170"/>
        <v>1</v>
      </c>
      <c r="DP205" s="7" t="b">
        <f t="shared" si="171"/>
        <v>1</v>
      </c>
      <c r="DQ205" s="7" t="b">
        <f t="shared" si="172"/>
        <v>0</v>
      </c>
      <c r="DR205" s="7" t="b">
        <f t="shared" si="173"/>
        <v>0</v>
      </c>
      <c r="DS205" s="7" t="b">
        <f t="shared" si="174"/>
        <v>0</v>
      </c>
    </row>
    <row r="206" spans="1:123" s="7" customFormat="1" ht="42">
      <c r="A206" s="7" t="s">
        <v>570</v>
      </c>
      <c r="B206" s="453">
        <v>192</v>
      </c>
      <c r="C206" s="642" t="s">
        <v>579</v>
      </c>
      <c r="D206" s="453" t="s">
        <v>849</v>
      </c>
      <c r="E206" s="453" t="s">
        <v>850</v>
      </c>
      <c r="F206" s="194" t="s">
        <v>568</v>
      </c>
      <c r="G206" s="453">
        <v>1</v>
      </c>
      <c r="H206" s="443" t="s">
        <v>192</v>
      </c>
      <c r="I206" s="454" t="s">
        <v>380</v>
      </c>
      <c r="J206" s="455">
        <v>75000</v>
      </c>
      <c r="K206" s="455">
        <f>J206*19%</f>
        <v>14250</v>
      </c>
      <c r="L206" s="455">
        <f t="shared" si="160"/>
        <v>89250</v>
      </c>
      <c r="M206" s="455">
        <f t="shared" si="161"/>
        <v>75000</v>
      </c>
      <c r="N206" s="455">
        <f t="shared" si="162"/>
        <v>89250</v>
      </c>
      <c r="O206" s="456" t="s">
        <v>381</v>
      </c>
      <c r="P206" s="457">
        <v>73000</v>
      </c>
      <c r="Q206" s="457">
        <f>P206*19%</f>
        <v>13870</v>
      </c>
      <c r="R206" s="457">
        <f t="shared" si="163"/>
        <v>86870</v>
      </c>
      <c r="S206" s="457">
        <f t="shared" si="164"/>
        <v>73000</v>
      </c>
      <c r="T206" s="457">
        <f t="shared" si="165"/>
        <v>86870</v>
      </c>
      <c r="U206" s="458" t="s">
        <v>382</v>
      </c>
      <c r="V206" s="459">
        <v>70000</v>
      </c>
      <c r="W206" s="459"/>
      <c r="X206" s="459">
        <f t="shared" si="157"/>
        <v>70000</v>
      </c>
      <c r="Y206" s="459">
        <f t="shared" si="158"/>
        <v>70000</v>
      </c>
      <c r="Z206" s="459">
        <f t="shared" si="159"/>
        <v>70000</v>
      </c>
      <c r="AA206" s="460">
        <f t="shared" si="175"/>
        <v>82040</v>
      </c>
      <c r="AB206" s="460">
        <f t="shared" si="166"/>
        <v>82040</v>
      </c>
      <c r="AC206" s="461">
        <f t="shared" si="176"/>
        <v>10494.631961150424</v>
      </c>
      <c r="AD206" s="427">
        <f t="shared" si="167"/>
        <v>0.12792091615249176</v>
      </c>
      <c r="AE206" s="428"/>
      <c r="BH206" s="7">
        <v>83</v>
      </c>
      <c r="DB206" s="7" t="str">
        <f>VLOOKUP(D206,listaBolsa!$D$2:$BA$1248,1,0)</f>
        <v>Termómetro de suelo</v>
      </c>
      <c r="DC206" s="7">
        <f>VLOOKUP(D206,listaBolsa!$D$2:$BA$1248,2,0)</f>
        <v>0</v>
      </c>
      <c r="DD206" s="7" t="str">
        <f>VLOOKUP(D206,listaBolsa!$D$2:$BA$1248,10,0)</f>
        <v xml:space="preserve">JUNTOS DE LA MANO </v>
      </c>
      <c r="DE206" s="7">
        <f>VLOOKUP(D206,listaBolsa!$D$2:$BA$1248,14,0)</f>
        <v>75000</v>
      </c>
      <c r="DF206" s="7" t="str">
        <f>VLOOKUP(D206,listaBolsa!$D$2:$BA$1248,23,0)</f>
        <v>MYCBDE</v>
      </c>
      <c r="DG206" s="7">
        <f>VLOOKUP(D206,listaBolsa!$D$2:$BA$1248,29,0)</f>
        <v>86870</v>
      </c>
      <c r="DH206" s="7" t="str">
        <f>VLOOKUP(D206,listaBolsa!$D$2:$BA$1248,36,0)</f>
        <v>DAGROW</v>
      </c>
      <c r="DI206" s="7">
        <f>VLOOKUP(D206,listaBolsa!$D$2:$BA$1248,40,0)</f>
        <v>70000</v>
      </c>
      <c r="DJ206" s="252">
        <f>VLOOKUP(D206,listaBolsa!$D$2:$BA$1248,48,0)</f>
        <v>0.12790000000000001</v>
      </c>
      <c r="DK206" s="7" t="b">
        <f t="shared" si="180"/>
        <v>1</v>
      </c>
      <c r="DL206" s="7" t="b">
        <f t="shared" si="181"/>
        <v>0</v>
      </c>
      <c r="DM206" s="7" t="b">
        <f t="shared" si="168"/>
        <v>1</v>
      </c>
      <c r="DN206" s="7" t="b">
        <f t="shared" si="169"/>
        <v>1</v>
      </c>
      <c r="DO206" s="7" t="b">
        <f t="shared" si="170"/>
        <v>1</v>
      </c>
      <c r="DP206" s="7" t="b">
        <f t="shared" si="171"/>
        <v>0</v>
      </c>
      <c r="DQ206" s="7" t="b">
        <f t="shared" si="172"/>
        <v>1</v>
      </c>
      <c r="DR206" s="7" t="b">
        <f t="shared" si="173"/>
        <v>1</v>
      </c>
      <c r="DS206" s="7" t="b">
        <f t="shared" si="174"/>
        <v>0</v>
      </c>
    </row>
    <row r="207" spans="1:123" s="7" customFormat="1" ht="63">
      <c r="A207" s="7" t="s">
        <v>570</v>
      </c>
      <c r="B207" s="453">
        <v>193</v>
      </c>
      <c r="C207" s="642" t="s">
        <v>579</v>
      </c>
      <c r="D207" s="453" t="s">
        <v>852</v>
      </c>
      <c r="E207" s="453" t="s">
        <v>853</v>
      </c>
      <c r="F207" s="194" t="s">
        <v>568</v>
      </c>
      <c r="G207" s="453">
        <v>1</v>
      </c>
      <c r="H207" s="443" t="s">
        <v>192</v>
      </c>
      <c r="I207" s="454" t="s">
        <v>380</v>
      </c>
      <c r="J207" s="455">
        <v>20000</v>
      </c>
      <c r="K207" s="455"/>
      <c r="L207" s="455">
        <f t="shared" si="160"/>
        <v>20000</v>
      </c>
      <c r="M207" s="455">
        <f t="shared" si="161"/>
        <v>20000</v>
      </c>
      <c r="N207" s="455">
        <f t="shared" si="162"/>
        <v>20000</v>
      </c>
      <c r="O207" s="456" t="s">
        <v>381</v>
      </c>
      <c r="P207" s="457">
        <v>18000</v>
      </c>
      <c r="Q207" s="457"/>
      <c r="R207" s="457">
        <f t="shared" si="163"/>
        <v>18000</v>
      </c>
      <c r="S207" s="457">
        <f t="shared" si="164"/>
        <v>18000</v>
      </c>
      <c r="T207" s="457">
        <f t="shared" si="165"/>
        <v>18000</v>
      </c>
      <c r="U207" s="458" t="s">
        <v>382</v>
      </c>
      <c r="V207" s="459">
        <v>17000</v>
      </c>
      <c r="W207" s="459"/>
      <c r="X207" s="459">
        <f t="shared" si="157"/>
        <v>17000</v>
      </c>
      <c r="Y207" s="459">
        <f t="shared" si="158"/>
        <v>17000</v>
      </c>
      <c r="Z207" s="459">
        <f t="shared" si="159"/>
        <v>17000</v>
      </c>
      <c r="AA207" s="460">
        <f t="shared" si="175"/>
        <v>18333.333333333332</v>
      </c>
      <c r="AB207" s="460">
        <f t="shared" si="166"/>
        <v>18333.333333333332</v>
      </c>
      <c r="AC207" s="461">
        <f t="shared" si="176"/>
        <v>1527.5252316519466</v>
      </c>
      <c r="AD207" s="427">
        <f t="shared" si="167"/>
        <v>8.3319558090106188E-2</v>
      </c>
      <c r="AE207" s="428"/>
      <c r="BH207" s="7">
        <v>84</v>
      </c>
      <c r="DB207" s="7" t="str">
        <f>VLOOKUP(D207,listaBolsa!$D$2:$BA$1248,1,0)</f>
        <v>Microorganismos eficientes 1 lt</v>
      </c>
      <c r="DC207" s="7">
        <f>VLOOKUP(D207,listaBolsa!$D$2:$BA$1248,2,0)</f>
        <v>0</v>
      </c>
      <c r="DD207" s="7" t="str">
        <f>VLOOKUP(D207,listaBolsa!$D$2:$BA$1248,10,0)</f>
        <v xml:space="preserve">JUNTOS DE LA MANO </v>
      </c>
      <c r="DE207" s="7">
        <f>VLOOKUP(D207,listaBolsa!$D$2:$BA$1248,14,0)</f>
        <v>20000</v>
      </c>
      <c r="DF207" s="7" t="str">
        <f>VLOOKUP(D207,listaBolsa!$D$2:$BA$1248,23,0)</f>
        <v>MYCBDE</v>
      </c>
      <c r="DG207" s="7">
        <f>VLOOKUP(D207,listaBolsa!$D$2:$BA$1248,29,0)</f>
        <v>18000</v>
      </c>
      <c r="DH207" s="7" t="str">
        <f>VLOOKUP(D207,listaBolsa!$D$2:$BA$1248,36,0)</f>
        <v>DAGROW</v>
      </c>
      <c r="DI207" s="7">
        <f>VLOOKUP(D207,listaBolsa!$D$2:$BA$1248,40,0)</f>
        <v>17000</v>
      </c>
      <c r="DJ207" s="252">
        <f>VLOOKUP(D207,listaBolsa!$D$2:$BA$1248,48,0)</f>
        <v>8.3299999999999999E-2</v>
      </c>
      <c r="DK207" s="7" t="b">
        <f t="shared" si="180"/>
        <v>1</v>
      </c>
      <c r="DL207" s="7" t="b">
        <f t="shared" si="181"/>
        <v>0</v>
      </c>
      <c r="DM207" s="7" t="b">
        <f t="shared" si="168"/>
        <v>1</v>
      </c>
      <c r="DN207" s="7" t="b">
        <f t="shared" si="169"/>
        <v>1</v>
      </c>
      <c r="DO207" s="7" t="b">
        <f t="shared" si="170"/>
        <v>1</v>
      </c>
      <c r="DP207" s="7" t="b">
        <f t="shared" si="171"/>
        <v>1</v>
      </c>
      <c r="DQ207" s="7" t="b">
        <f t="shared" si="172"/>
        <v>1</v>
      </c>
      <c r="DR207" s="7" t="b">
        <f t="shared" si="173"/>
        <v>1</v>
      </c>
      <c r="DS207" s="7" t="b">
        <f t="shared" si="174"/>
        <v>0</v>
      </c>
    </row>
    <row r="208" spans="1:123" s="7" customFormat="1" ht="42">
      <c r="A208" s="7" t="s">
        <v>570</v>
      </c>
      <c r="B208" s="453">
        <v>194</v>
      </c>
      <c r="C208" s="642" t="s">
        <v>579</v>
      </c>
      <c r="D208" s="453" t="s">
        <v>855</v>
      </c>
      <c r="E208" s="453" t="s">
        <v>856</v>
      </c>
      <c r="F208" s="194" t="s">
        <v>568</v>
      </c>
      <c r="G208" s="453">
        <v>1</v>
      </c>
      <c r="H208" s="443" t="s">
        <v>192</v>
      </c>
      <c r="I208" s="454" t="s">
        <v>328</v>
      </c>
      <c r="J208" s="455">
        <v>33613.445378151257</v>
      </c>
      <c r="K208" s="455">
        <f>J208*19%</f>
        <v>6386.5546218487389</v>
      </c>
      <c r="L208" s="455">
        <f t="shared" si="160"/>
        <v>39999.999999999993</v>
      </c>
      <c r="M208" s="455">
        <f t="shared" si="161"/>
        <v>33613.445378151257</v>
      </c>
      <c r="N208" s="455">
        <f t="shared" si="162"/>
        <v>39999.999999999993</v>
      </c>
      <c r="O208" s="456" t="s">
        <v>857</v>
      </c>
      <c r="P208" s="457">
        <v>26890.756302521011</v>
      </c>
      <c r="Q208" s="457">
        <f>P208*19%</f>
        <v>5109.2436974789925</v>
      </c>
      <c r="R208" s="457">
        <f t="shared" si="163"/>
        <v>32000.000000000004</v>
      </c>
      <c r="S208" s="457">
        <f t="shared" si="164"/>
        <v>26890.756302521011</v>
      </c>
      <c r="T208" s="457">
        <f t="shared" si="165"/>
        <v>32000.000000000004</v>
      </c>
      <c r="U208" s="458" t="s">
        <v>284</v>
      </c>
      <c r="V208" s="459">
        <v>30168.067226890758</v>
      </c>
      <c r="W208" s="459">
        <f>V208*19%</f>
        <v>5731.9327731092444</v>
      </c>
      <c r="X208" s="459">
        <f t="shared" si="157"/>
        <v>35900</v>
      </c>
      <c r="Y208" s="459">
        <f t="shared" si="158"/>
        <v>30168.067226890758</v>
      </c>
      <c r="Z208" s="459">
        <f t="shared" si="159"/>
        <v>35900</v>
      </c>
      <c r="AA208" s="460">
        <f t="shared" si="175"/>
        <v>35966.666666666664</v>
      </c>
      <c r="AB208" s="460">
        <f t="shared" si="166"/>
        <v>35966.666666666664</v>
      </c>
      <c r="AC208" s="461">
        <f t="shared" si="176"/>
        <v>4000.4166449675326</v>
      </c>
      <c r="AD208" s="427">
        <f t="shared" si="167"/>
        <v>0.11122567131513067</v>
      </c>
      <c r="AE208" s="428"/>
      <c r="BH208" s="7">
        <v>85</v>
      </c>
      <c r="DB208" s="7" t="str">
        <f>VLOOKUP(D208,listaBolsa!$D$2:$BA$1248,1,0)</f>
        <v>Aceite de neem 250 ml</v>
      </c>
      <c r="DC208" s="7">
        <f>VLOOKUP(D208,listaBolsa!$D$2:$BA$1248,2,0)</f>
        <v>0</v>
      </c>
      <c r="DD208" s="7" t="str">
        <f>VLOOKUP(D208,listaBolsa!$D$2:$BA$1248,10,0)</f>
        <v>LA CASA DEL CIENTIFICO</v>
      </c>
      <c r="DE208" s="7">
        <f>VLOOKUP(D208,listaBolsa!$D$2:$BA$1248,14,0)</f>
        <v>33613.449999999997</v>
      </c>
      <c r="DF208" s="7" t="str">
        <f>VLOOKUP(D208,listaBolsa!$D$2:$BA$1248,23,0)</f>
        <v>COLOMBIAN HAPPY</v>
      </c>
      <c r="DG208" s="7">
        <f>VLOOKUP(D208,listaBolsa!$D$2:$BA$1248,29,0)</f>
        <v>32000</v>
      </c>
      <c r="DH208" s="7" t="str">
        <f>VLOOKUP(D208,listaBolsa!$D$2:$BA$1248,36,0)</f>
        <v>HOMMECENTER</v>
      </c>
      <c r="DI208" s="7">
        <f>VLOOKUP(D208,listaBolsa!$D$2:$BA$1248,40,0)</f>
        <v>30168.07</v>
      </c>
      <c r="DJ208" s="252">
        <f>VLOOKUP(D208,listaBolsa!$D$2:$BA$1248,48,0)</f>
        <v>0.11119999999999999</v>
      </c>
      <c r="DK208" s="7" t="b">
        <f t="shared" si="180"/>
        <v>1</v>
      </c>
      <c r="DL208" s="7" t="b">
        <f t="shared" si="181"/>
        <v>0</v>
      </c>
      <c r="DM208" s="7" t="b">
        <f t="shared" si="168"/>
        <v>1</v>
      </c>
      <c r="DN208" s="7" t="b">
        <f t="shared" si="169"/>
        <v>0</v>
      </c>
      <c r="DO208" s="7" t="b">
        <f t="shared" si="170"/>
        <v>1</v>
      </c>
      <c r="DP208" s="7" t="b">
        <f t="shared" si="171"/>
        <v>0</v>
      </c>
      <c r="DQ208" s="7" t="b">
        <f t="shared" si="172"/>
        <v>1</v>
      </c>
      <c r="DR208" s="7" t="b">
        <f t="shared" si="173"/>
        <v>0</v>
      </c>
      <c r="DS208" s="7" t="b">
        <f t="shared" si="174"/>
        <v>0</v>
      </c>
    </row>
    <row r="209" spans="1:123" s="7" customFormat="1" ht="42">
      <c r="A209" s="7" t="s">
        <v>570</v>
      </c>
      <c r="B209" s="453">
        <v>195</v>
      </c>
      <c r="C209" s="642" t="s">
        <v>579</v>
      </c>
      <c r="D209" s="453" t="s">
        <v>859</v>
      </c>
      <c r="E209" s="453" t="s">
        <v>860</v>
      </c>
      <c r="F209" s="194" t="s">
        <v>568</v>
      </c>
      <c r="G209" s="453">
        <v>1</v>
      </c>
      <c r="H209" s="443" t="s">
        <v>192</v>
      </c>
      <c r="I209" s="454" t="s">
        <v>380</v>
      </c>
      <c r="J209" s="455">
        <v>42000</v>
      </c>
      <c r="K209" s="455"/>
      <c r="L209" s="455">
        <f t="shared" si="160"/>
        <v>42000</v>
      </c>
      <c r="M209" s="455">
        <f t="shared" si="161"/>
        <v>42000</v>
      </c>
      <c r="N209" s="455">
        <f t="shared" si="162"/>
        <v>42000</v>
      </c>
      <c r="O209" s="456" t="s">
        <v>381</v>
      </c>
      <c r="P209" s="457">
        <v>40000</v>
      </c>
      <c r="Q209" s="457"/>
      <c r="R209" s="457">
        <f t="shared" si="163"/>
        <v>40000</v>
      </c>
      <c r="S209" s="457">
        <f t="shared" si="164"/>
        <v>40000</v>
      </c>
      <c r="T209" s="457">
        <f t="shared" si="165"/>
        <v>40000</v>
      </c>
      <c r="U209" s="458" t="s">
        <v>382</v>
      </c>
      <c r="V209" s="459">
        <v>38000</v>
      </c>
      <c r="W209" s="459"/>
      <c r="X209" s="459">
        <f t="shared" ref="X209:X240" si="182">V209+W209</f>
        <v>38000</v>
      </c>
      <c r="Y209" s="459">
        <f t="shared" ref="Y209:Y240" si="183">IF(C209="","",(V209*G209))</f>
        <v>38000</v>
      </c>
      <c r="Z209" s="459">
        <f t="shared" ref="Z209:Z240" si="184">IF(C209="","",(X209*G209))</f>
        <v>38000</v>
      </c>
      <c r="AA209" s="460">
        <f t="shared" si="175"/>
        <v>40000</v>
      </c>
      <c r="AB209" s="460">
        <f t="shared" si="166"/>
        <v>40000</v>
      </c>
      <c r="AC209" s="461">
        <f t="shared" si="176"/>
        <v>2000</v>
      </c>
      <c r="AD209" s="427">
        <f t="shared" si="167"/>
        <v>0.05</v>
      </c>
      <c r="AE209" s="428"/>
      <c r="BH209" s="7">
        <v>86</v>
      </c>
      <c r="DB209" s="7" t="str">
        <f>VLOOKUP(D209,listaBolsa!$D$2:$BA$1248,1,0)</f>
        <v>Jabón potásico 1 lt</v>
      </c>
      <c r="DC209" s="7">
        <f>VLOOKUP(D209,listaBolsa!$D$2:$BA$1248,2,0)</f>
        <v>0</v>
      </c>
      <c r="DD209" s="7" t="str">
        <f>VLOOKUP(D209,listaBolsa!$D$2:$BA$1248,10,0)</f>
        <v xml:space="preserve">JUNTOS DE LA MANO </v>
      </c>
      <c r="DE209" s="7">
        <f>VLOOKUP(D209,listaBolsa!$D$2:$BA$1248,14,0)</f>
        <v>42000</v>
      </c>
      <c r="DF209" s="7" t="str">
        <f>VLOOKUP(D209,listaBolsa!$D$2:$BA$1248,23,0)</f>
        <v>MYCBDE</v>
      </c>
      <c r="DG209" s="7">
        <f>VLOOKUP(D209,listaBolsa!$D$2:$BA$1248,29,0)</f>
        <v>40000</v>
      </c>
      <c r="DH209" s="7" t="str">
        <f>VLOOKUP(D209,listaBolsa!$D$2:$BA$1248,36,0)</f>
        <v>DAGROW</v>
      </c>
      <c r="DI209" s="7">
        <f>VLOOKUP(D209,listaBolsa!$D$2:$BA$1248,40,0)</f>
        <v>38000</v>
      </c>
      <c r="DJ209" s="252">
        <f>VLOOKUP(D209,listaBolsa!$D$2:$BA$1248,48,0)</f>
        <v>0.05</v>
      </c>
      <c r="DK209" s="7" t="b">
        <f t="shared" si="180"/>
        <v>1</v>
      </c>
      <c r="DL209" s="7" t="b">
        <f t="shared" si="181"/>
        <v>0</v>
      </c>
      <c r="DM209" s="7" t="b">
        <f t="shared" si="168"/>
        <v>1</v>
      </c>
      <c r="DN209" s="7" t="b">
        <f t="shared" si="169"/>
        <v>1</v>
      </c>
      <c r="DO209" s="7" t="b">
        <f t="shared" si="170"/>
        <v>1</v>
      </c>
      <c r="DP209" s="7" t="b">
        <f t="shared" si="171"/>
        <v>1</v>
      </c>
      <c r="DQ209" s="7" t="b">
        <f t="shared" si="172"/>
        <v>1</v>
      </c>
      <c r="DR209" s="7" t="b">
        <f t="shared" si="173"/>
        <v>1</v>
      </c>
      <c r="DS209" s="7" t="b">
        <f t="shared" si="174"/>
        <v>1</v>
      </c>
    </row>
    <row r="210" spans="1:123" s="7" customFormat="1" ht="63">
      <c r="A210" s="7" t="s">
        <v>570</v>
      </c>
      <c r="B210" s="453">
        <v>196</v>
      </c>
      <c r="C210" s="642" t="s">
        <v>579</v>
      </c>
      <c r="D210" s="453" t="s">
        <v>862</v>
      </c>
      <c r="E210" s="453" t="s">
        <v>863</v>
      </c>
      <c r="F210" s="194" t="s">
        <v>568</v>
      </c>
      <c r="G210" s="453">
        <v>1</v>
      </c>
      <c r="H210" s="443" t="s">
        <v>192</v>
      </c>
      <c r="I210" s="454" t="s">
        <v>1112</v>
      </c>
      <c r="J210" s="455">
        <v>13109.24</v>
      </c>
      <c r="K210" s="455">
        <f>J210*19%</f>
        <v>2490.7556</v>
      </c>
      <c r="L210" s="455">
        <f t="shared" ref="L210:L241" si="185">J210+K210</f>
        <v>15599.9956</v>
      </c>
      <c r="M210" s="455">
        <f t="shared" ref="M210:M241" si="186">IF(C210="","",(J210*G210))</f>
        <v>13109.24</v>
      </c>
      <c r="N210" s="455">
        <f t="shared" ref="N210:N241" si="187">IF(C210="","",(L210*G210))</f>
        <v>15599.9956</v>
      </c>
      <c r="O210" s="456" t="s">
        <v>1113</v>
      </c>
      <c r="P210" s="457">
        <v>10084.030000000001</v>
      </c>
      <c r="Q210" s="457">
        <f>P210*19%</f>
        <v>1915.9657000000002</v>
      </c>
      <c r="R210" s="457">
        <f t="shared" ref="R210:R241" si="188">P210+Q210</f>
        <v>11999.995700000001</v>
      </c>
      <c r="S210" s="457">
        <f t="shared" ref="S210:S241" si="189">IF(C210="","",(P210*G210))</f>
        <v>10084.030000000001</v>
      </c>
      <c r="T210" s="457">
        <f t="shared" ref="T210:T241" si="190">IF(C210="","",(R210*G210))</f>
        <v>11999.995700000001</v>
      </c>
      <c r="U210" s="458" t="s">
        <v>1114</v>
      </c>
      <c r="V210" s="459">
        <v>10084.030000000001</v>
      </c>
      <c r="W210" s="459">
        <f>V210*19%</f>
        <v>1915.9657000000002</v>
      </c>
      <c r="X210" s="459">
        <f t="shared" si="182"/>
        <v>11999.995700000001</v>
      </c>
      <c r="Y210" s="459">
        <f t="shared" si="183"/>
        <v>10084.030000000001</v>
      </c>
      <c r="Z210" s="459">
        <f t="shared" si="184"/>
        <v>11999.995700000001</v>
      </c>
      <c r="AA210" s="460">
        <f t="shared" si="175"/>
        <v>13199.995666666668</v>
      </c>
      <c r="AB210" s="460">
        <f t="shared" ref="AB210:AB241" si="191">IF(C210="","",AA210*G210)</f>
        <v>13199.995666666668</v>
      </c>
      <c r="AC210" s="461">
        <f t="shared" si="176"/>
        <v>2078.4609113476299</v>
      </c>
      <c r="AD210" s="427">
        <f t="shared" ref="AD210:AD241" si="192">IF(C210="","",(AC210/AB210))</f>
        <v>0.15745921164173335</v>
      </c>
      <c r="AE210" s="428"/>
      <c r="BH210" s="7">
        <v>87</v>
      </c>
      <c r="DB210" s="7" t="str">
        <f>VLOOKUP(D210,listaBolsa!$D$2:$BA$1248,1,0)</f>
        <v>Bandejas de plántulación con cupula</v>
      </c>
      <c r="DC210" s="7">
        <f>VLOOKUP(D210,listaBolsa!$D$2:$BA$1248,2,0)</f>
        <v>0</v>
      </c>
      <c r="DD210" s="7" t="str">
        <f>VLOOKUP(D210,listaBolsa!$D$2:$BA$1248,10,0)</f>
        <v xml:space="preserve">JUNTOS DE LA MANO </v>
      </c>
      <c r="DE210" s="7">
        <f>VLOOKUP(D210,listaBolsa!$D$2:$BA$1248,14,0)</f>
        <v>60000</v>
      </c>
      <c r="DF210" s="7" t="str">
        <f>VLOOKUP(D210,listaBolsa!$D$2:$BA$1248,23,0)</f>
        <v>DAGROW</v>
      </c>
      <c r="DG210" s="7">
        <f>VLOOKUP(D210,listaBolsa!$D$2:$BA$1248,29,0)</f>
        <v>66640</v>
      </c>
      <c r="DH210" s="7" t="str">
        <f>VLOOKUP(D210,listaBolsa!$D$2:$BA$1248,36,0)</f>
        <v>MYCBDE</v>
      </c>
      <c r="DI210" s="7">
        <f>VLOOKUP(D210,listaBolsa!$D$2:$BA$1248,40,0)</f>
        <v>58000</v>
      </c>
      <c r="DJ210" s="252">
        <f>VLOOKUP(D210,listaBolsa!$D$2:$BA$1248,48,0)</f>
        <v>3.4500000000000003E-2</v>
      </c>
      <c r="DK210" s="7" t="b">
        <f t="shared" si="180"/>
        <v>1</v>
      </c>
      <c r="DL210" s="7" t="b">
        <f t="shared" si="181"/>
        <v>0</v>
      </c>
      <c r="DM210" s="7" t="b">
        <f t="shared" ref="DM210:DM241" si="193">DD210=I210</f>
        <v>0</v>
      </c>
      <c r="DN210" s="7" t="b">
        <f t="shared" ref="DN210:DN241" si="194">DE210=J210</f>
        <v>0</v>
      </c>
      <c r="DO210" s="7" t="b">
        <f t="shared" ref="DO210:DO241" si="195">DF210=O210</f>
        <v>0</v>
      </c>
      <c r="DP210" s="7" t="b">
        <f t="shared" ref="DP210:DP241" si="196">DG210=P210</f>
        <v>0</v>
      </c>
      <c r="DQ210" s="7" t="b">
        <f t="shared" ref="DQ210:DQ241" si="197">DH210=U210</f>
        <v>0</v>
      </c>
      <c r="DR210" s="7" t="b">
        <f t="shared" ref="DR210:DR241" si="198">DI210=V210</f>
        <v>0</v>
      </c>
      <c r="DS210" s="7" t="b">
        <f t="shared" ref="DS210:DS241" si="199">DJ210=AD210</f>
        <v>0</v>
      </c>
    </row>
    <row r="211" spans="1:123" s="7" customFormat="1" ht="84">
      <c r="A211" s="7" t="s">
        <v>570</v>
      </c>
      <c r="B211" s="453">
        <v>197</v>
      </c>
      <c r="C211" s="642" t="s">
        <v>579</v>
      </c>
      <c r="D211" s="453" t="s">
        <v>865</v>
      </c>
      <c r="E211" s="453" t="s">
        <v>866</v>
      </c>
      <c r="F211" s="194" t="s">
        <v>568</v>
      </c>
      <c r="G211" s="453">
        <v>1</v>
      </c>
      <c r="H211" s="443" t="s">
        <v>192</v>
      </c>
      <c r="I211" s="454" t="s">
        <v>380</v>
      </c>
      <c r="J211" s="455">
        <v>252000</v>
      </c>
      <c r="K211" s="455">
        <f>J211*19%</f>
        <v>47880</v>
      </c>
      <c r="L211" s="455">
        <f t="shared" si="185"/>
        <v>299880</v>
      </c>
      <c r="M211" s="455">
        <f t="shared" si="186"/>
        <v>252000</v>
      </c>
      <c r="N211" s="455">
        <f t="shared" si="187"/>
        <v>299880</v>
      </c>
      <c r="O211" s="456" t="s">
        <v>381</v>
      </c>
      <c r="P211" s="457">
        <v>250000</v>
      </c>
      <c r="Q211" s="457">
        <f>P211*19%</f>
        <v>47500</v>
      </c>
      <c r="R211" s="457">
        <f t="shared" si="188"/>
        <v>297500</v>
      </c>
      <c r="S211" s="457">
        <f t="shared" si="189"/>
        <v>250000</v>
      </c>
      <c r="T211" s="457">
        <f t="shared" si="190"/>
        <v>297500</v>
      </c>
      <c r="U211" s="458" t="s">
        <v>867</v>
      </c>
      <c r="V211" s="459">
        <v>288450</v>
      </c>
      <c r="W211" s="459">
        <f>V211*19%</f>
        <v>54805.5</v>
      </c>
      <c r="X211" s="459">
        <f t="shared" si="182"/>
        <v>343255.5</v>
      </c>
      <c r="Y211" s="459">
        <f t="shared" si="183"/>
        <v>288450</v>
      </c>
      <c r="Z211" s="459">
        <f t="shared" si="184"/>
        <v>343255.5</v>
      </c>
      <c r="AA211" s="460">
        <f t="shared" ref="AA211:AA242" si="200">IF(B211="","",AVERAGE(L211,R211,X211))</f>
        <v>313545.16666666669</v>
      </c>
      <c r="AB211" s="460">
        <f t="shared" si="191"/>
        <v>313545.16666666669</v>
      </c>
      <c r="AC211" s="461">
        <f t="shared" ref="AC211:AC242" si="201">IF(C211="","",STDEV(N211,T211,Z211))</f>
        <v>25757.407285736917</v>
      </c>
      <c r="AD211" s="427">
        <f t="shared" si="192"/>
        <v>8.2148953401408667E-2</v>
      </c>
      <c r="AE211" s="428"/>
      <c r="BH211" s="7">
        <v>88</v>
      </c>
      <c r="DB211" s="7" t="str">
        <f>VLOOKUP(D211,listaBolsa!$D$2:$BA$1248,1,0)</f>
        <v xml:space="preserve">Peat Most - Sustrato </v>
      </c>
      <c r="DC211" s="7">
        <f>VLOOKUP(D211,listaBolsa!$D$2:$BA$1248,2,0)</f>
        <v>0</v>
      </c>
      <c r="DD211" s="7" t="str">
        <f>VLOOKUP(D211,listaBolsa!$D$2:$BA$1248,10,0)</f>
        <v xml:space="preserve">JUNTOS DE LA MANO </v>
      </c>
      <c r="DE211" s="7">
        <f>VLOOKUP(D211,listaBolsa!$D$2:$BA$1248,14,0)</f>
        <v>252000</v>
      </c>
      <c r="DF211" s="7" t="str">
        <f>VLOOKUP(D211,listaBolsa!$D$2:$BA$1248,23,0)</f>
        <v>MYCBDE</v>
      </c>
      <c r="DG211" s="7">
        <f>VLOOKUP(D211,listaBolsa!$D$2:$BA$1248,29,0)</f>
        <v>297500</v>
      </c>
      <c r="DH211" s="7" t="str">
        <f>VLOOKUP(D211,listaBolsa!$D$2:$BA$1248,36,0)</f>
        <v>PAISAGRO</v>
      </c>
      <c r="DI211" s="7">
        <f>VLOOKUP(D211,listaBolsa!$D$2:$BA$1248,40,0)</f>
        <v>288450</v>
      </c>
      <c r="DJ211" s="252">
        <f>VLOOKUP(D211,listaBolsa!$D$2:$BA$1248,48,0)</f>
        <v>8.2100000000000006E-2</v>
      </c>
      <c r="DK211" s="7" t="b">
        <f t="shared" si="180"/>
        <v>1</v>
      </c>
      <c r="DL211" s="7" t="b">
        <f t="shared" si="181"/>
        <v>0</v>
      </c>
      <c r="DM211" s="7" t="b">
        <f t="shared" si="193"/>
        <v>1</v>
      </c>
      <c r="DN211" s="7" t="b">
        <f t="shared" si="194"/>
        <v>1</v>
      </c>
      <c r="DO211" s="7" t="b">
        <f t="shared" si="195"/>
        <v>1</v>
      </c>
      <c r="DP211" s="7" t="b">
        <f t="shared" si="196"/>
        <v>0</v>
      </c>
      <c r="DQ211" s="7" t="b">
        <f t="shared" si="197"/>
        <v>1</v>
      </c>
      <c r="DR211" s="7" t="b">
        <f t="shared" si="198"/>
        <v>1</v>
      </c>
      <c r="DS211" s="7" t="b">
        <f t="shared" si="199"/>
        <v>0</v>
      </c>
    </row>
    <row r="212" spans="1:123" s="7" customFormat="1" ht="84">
      <c r="A212" s="7" t="s">
        <v>570</v>
      </c>
      <c r="B212" s="453">
        <v>198</v>
      </c>
      <c r="C212" s="642" t="s">
        <v>579</v>
      </c>
      <c r="D212" s="453" t="s">
        <v>869</v>
      </c>
      <c r="E212" s="453" t="s">
        <v>866</v>
      </c>
      <c r="F212" s="194" t="s">
        <v>568</v>
      </c>
      <c r="G212" s="453">
        <v>1</v>
      </c>
      <c r="H212" s="443" t="s">
        <v>192</v>
      </c>
      <c r="I212" s="454" t="s">
        <v>380</v>
      </c>
      <c r="J212" s="455">
        <v>34000</v>
      </c>
      <c r="K212" s="455"/>
      <c r="L212" s="455">
        <f t="shared" si="185"/>
        <v>34000</v>
      </c>
      <c r="M212" s="455">
        <f t="shared" si="186"/>
        <v>34000</v>
      </c>
      <c r="N212" s="455">
        <f t="shared" si="187"/>
        <v>34000</v>
      </c>
      <c r="O212" s="456" t="s">
        <v>381</v>
      </c>
      <c r="P212" s="457">
        <v>32000</v>
      </c>
      <c r="Q212" s="457"/>
      <c r="R212" s="457">
        <f t="shared" si="188"/>
        <v>32000</v>
      </c>
      <c r="S212" s="457">
        <f t="shared" si="189"/>
        <v>32000</v>
      </c>
      <c r="T212" s="457">
        <f t="shared" si="190"/>
        <v>32000</v>
      </c>
      <c r="U212" s="458" t="s">
        <v>382</v>
      </c>
      <c r="V212" s="459">
        <v>30800</v>
      </c>
      <c r="W212" s="459"/>
      <c r="X212" s="459">
        <f t="shared" si="182"/>
        <v>30800</v>
      </c>
      <c r="Y212" s="459">
        <f t="shared" si="183"/>
        <v>30800</v>
      </c>
      <c r="Z212" s="459">
        <f t="shared" si="184"/>
        <v>30800</v>
      </c>
      <c r="AA212" s="460">
        <f t="shared" si="200"/>
        <v>32266.666666666668</v>
      </c>
      <c r="AB212" s="460">
        <f t="shared" si="191"/>
        <v>32266.666666666668</v>
      </c>
      <c r="AC212" s="461">
        <f t="shared" si="201"/>
        <v>1616.5807537309522</v>
      </c>
      <c r="AD212" s="427">
        <f t="shared" si="192"/>
        <v>5.0100643194141078E-2</v>
      </c>
      <c r="AE212" s="428"/>
      <c r="BH212" s="7">
        <v>89</v>
      </c>
      <c r="DB212" s="7" t="str">
        <f>VLOOKUP(D212,listaBolsa!$D$2:$BA$1248,1,0)</f>
        <v>Carbón activado 1 kg</v>
      </c>
      <c r="DC212" s="7">
        <f>VLOOKUP(D212,listaBolsa!$D$2:$BA$1248,2,0)</f>
        <v>0</v>
      </c>
      <c r="DD212" s="7" t="str">
        <f>VLOOKUP(D212,listaBolsa!$D$2:$BA$1248,10,0)</f>
        <v xml:space="preserve">JUNTOS DE LA MANO </v>
      </c>
      <c r="DE212" s="7">
        <f>VLOOKUP(D212,listaBolsa!$D$2:$BA$1248,14,0)</f>
        <v>34000</v>
      </c>
      <c r="DF212" s="7" t="str">
        <f>VLOOKUP(D212,listaBolsa!$D$2:$BA$1248,23,0)</f>
        <v>MYCBDE</v>
      </c>
      <c r="DG212" s="7">
        <f>VLOOKUP(D212,listaBolsa!$D$2:$BA$1248,29,0)</f>
        <v>32000</v>
      </c>
      <c r="DH212" s="7" t="str">
        <f>VLOOKUP(D212,listaBolsa!$D$2:$BA$1248,36,0)</f>
        <v>DAGROW</v>
      </c>
      <c r="DI212" s="7">
        <f>VLOOKUP(D212,listaBolsa!$D$2:$BA$1248,40,0)</f>
        <v>30800</v>
      </c>
      <c r="DJ212" s="252">
        <f>VLOOKUP(D212,listaBolsa!$D$2:$BA$1248,48,0)</f>
        <v>5.0099999999999999E-2</v>
      </c>
      <c r="DK212" s="7" t="b">
        <f t="shared" si="180"/>
        <v>1</v>
      </c>
      <c r="DL212" s="7" t="b">
        <f t="shared" si="181"/>
        <v>0</v>
      </c>
      <c r="DM212" s="7" t="b">
        <f t="shared" si="193"/>
        <v>1</v>
      </c>
      <c r="DN212" s="7" t="b">
        <f t="shared" si="194"/>
        <v>1</v>
      </c>
      <c r="DO212" s="7" t="b">
        <f t="shared" si="195"/>
        <v>1</v>
      </c>
      <c r="DP212" s="7" t="b">
        <f t="shared" si="196"/>
        <v>1</v>
      </c>
      <c r="DQ212" s="7" t="b">
        <f t="shared" si="197"/>
        <v>1</v>
      </c>
      <c r="DR212" s="7" t="b">
        <f t="shared" si="198"/>
        <v>1</v>
      </c>
      <c r="DS212" s="7" t="b">
        <f t="shared" si="199"/>
        <v>0</v>
      </c>
    </row>
    <row r="213" spans="1:123" s="7" customFormat="1" ht="63">
      <c r="A213" s="7" t="s">
        <v>570</v>
      </c>
      <c r="B213" s="453">
        <v>199</v>
      </c>
      <c r="C213" s="642" t="s">
        <v>579</v>
      </c>
      <c r="D213" s="453" t="s">
        <v>871</v>
      </c>
      <c r="E213" s="453" t="s">
        <v>872</v>
      </c>
      <c r="F213" s="194" t="s">
        <v>568</v>
      </c>
      <c r="G213" s="453">
        <v>1</v>
      </c>
      <c r="H213" s="443" t="s">
        <v>192</v>
      </c>
      <c r="I213" s="454" t="s">
        <v>380</v>
      </c>
      <c r="J213" s="455">
        <v>10000</v>
      </c>
      <c r="K213" s="455"/>
      <c r="L213" s="455">
        <f t="shared" si="185"/>
        <v>10000</v>
      </c>
      <c r="M213" s="455">
        <f t="shared" si="186"/>
        <v>10000</v>
      </c>
      <c r="N213" s="455">
        <f t="shared" si="187"/>
        <v>10000</v>
      </c>
      <c r="O213" s="456" t="s">
        <v>381</v>
      </c>
      <c r="P213" s="457">
        <v>9000</v>
      </c>
      <c r="Q213" s="457"/>
      <c r="R213" s="457">
        <f t="shared" si="188"/>
        <v>9000</v>
      </c>
      <c r="S213" s="457">
        <f t="shared" si="189"/>
        <v>9000</v>
      </c>
      <c r="T213" s="457">
        <f t="shared" si="190"/>
        <v>9000</v>
      </c>
      <c r="U213" s="458" t="s">
        <v>382</v>
      </c>
      <c r="V213" s="459">
        <v>10000</v>
      </c>
      <c r="W213" s="459"/>
      <c r="X213" s="459">
        <f t="shared" si="182"/>
        <v>10000</v>
      </c>
      <c r="Y213" s="459">
        <f t="shared" si="183"/>
        <v>10000</v>
      </c>
      <c r="Z213" s="459">
        <f t="shared" si="184"/>
        <v>10000</v>
      </c>
      <c r="AA213" s="460">
        <f t="shared" si="200"/>
        <v>9666.6666666666661</v>
      </c>
      <c r="AB213" s="460">
        <f t="shared" si="191"/>
        <v>9666.6666666666661</v>
      </c>
      <c r="AC213" s="461">
        <f t="shared" si="201"/>
        <v>577.35026918962569</v>
      </c>
      <c r="AD213" s="427">
        <f t="shared" si="192"/>
        <v>5.972588991616818E-2</v>
      </c>
      <c r="AE213" s="428"/>
      <c r="BH213" s="7">
        <v>90</v>
      </c>
      <c r="DB213" s="7" t="str">
        <f>VLOOKUP(D213,listaBolsa!$D$2:$BA$1248,1,0)</f>
        <v>Perlita 1 kl</v>
      </c>
      <c r="DC213" s="7">
        <f>VLOOKUP(D213,listaBolsa!$D$2:$BA$1248,2,0)</f>
        <v>0</v>
      </c>
      <c r="DD213" s="7" t="str">
        <f>VLOOKUP(D213,listaBolsa!$D$2:$BA$1248,10,0)</f>
        <v xml:space="preserve">JUNTOS DE LA MANO </v>
      </c>
      <c r="DE213" s="7">
        <f>VLOOKUP(D213,listaBolsa!$D$2:$BA$1248,14,0)</f>
        <v>10000</v>
      </c>
      <c r="DF213" s="7" t="str">
        <f>VLOOKUP(D213,listaBolsa!$D$2:$BA$1248,23,0)</f>
        <v>MYCBDE</v>
      </c>
      <c r="DG213" s="7">
        <f>VLOOKUP(D213,listaBolsa!$D$2:$BA$1248,29,0)</f>
        <v>9000</v>
      </c>
      <c r="DH213" s="7" t="str">
        <f>VLOOKUP(D213,listaBolsa!$D$2:$BA$1248,36,0)</f>
        <v>DAGROW</v>
      </c>
      <c r="DI213" s="7">
        <f>VLOOKUP(D213,listaBolsa!$D$2:$BA$1248,40,0)</f>
        <v>10000</v>
      </c>
      <c r="DJ213" s="252">
        <f>VLOOKUP(D213,listaBolsa!$D$2:$BA$1248,48,0)</f>
        <v>5.9700000000000003E-2</v>
      </c>
      <c r="DK213" s="7" t="b">
        <f t="shared" si="180"/>
        <v>1</v>
      </c>
      <c r="DL213" s="7" t="b">
        <f t="shared" si="181"/>
        <v>0</v>
      </c>
      <c r="DM213" s="7" t="b">
        <f t="shared" si="193"/>
        <v>1</v>
      </c>
      <c r="DN213" s="7" t="b">
        <f t="shared" si="194"/>
        <v>1</v>
      </c>
      <c r="DO213" s="7" t="b">
        <f t="shared" si="195"/>
        <v>1</v>
      </c>
      <c r="DP213" s="7" t="b">
        <f t="shared" si="196"/>
        <v>1</v>
      </c>
      <c r="DQ213" s="7" t="b">
        <f t="shared" si="197"/>
        <v>1</v>
      </c>
      <c r="DR213" s="7" t="b">
        <f t="shared" si="198"/>
        <v>1</v>
      </c>
      <c r="DS213" s="7" t="b">
        <f t="shared" si="199"/>
        <v>0</v>
      </c>
    </row>
    <row r="214" spans="1:123" s="7" customFormat="1" ht="42">
      <c r="A214" s="7" t="s">
        <v>570</v>
      </c>
      <c r="B214" s="453">
        <v>200</v>
      </c>
      <c r="C214" s="642" t="s">
        <v>579</v>
      </c>
      <c r="D214" s="453" t="s">
        <v>874</v>
      </c>
      <c r="E214" s="453" t="s">
        <v>875</v>
      </c>
      <c r="F214" s="194" t="s">
        <v>568</v>
      </c>
      <c r="G214" s="453">
        <v>1</v>
      </c>
      <c r="H214" s="443" t="s">
        <v>192</v>
      </c>
      <c r="I214" s="454" t="s">
        <v>380</v>
      </c>
      <c r="J214" s="455">
        <v>48000</v>
      </c>
      <c r="K214" s="455"/>
      <c r="L214" s="455">
        <f t="shared" si="185"/>
        <v>48000</v>
      </c>
      <c r="M214" s="455">
        <f t="shared" si="186"/>
        <v>48000</v>
      </c>
      <c r="N214" s="455">
        <f t="shared" si="187"/>
        <v>48000</v>
      </c>
      <c r="O214" s="456" t="s">
        <v>381</v>
      </c>
      <c r="P214" s="457">
        <v>46000</v>
      </c>
      <c r="Q214" s="457"/>
      <c r="R214" s="457">
        <f t="shared" si="188"/>
        <v>46000</v>
      </c>
      <c r="S214" s="457">
        <f t="shared" si="189"/>
        <v>46000</v>
      </c>
      <c r="T214" s="457">
        <f t="shared" si="190"/>
        <v>46000</v>
      </c>
      <c r="U214" s="458" t="s">
        <v>382</v>
      </c>
      <c r="V214" s="459">
        <v>44000</v>
      </c>
      <c r="W214" s="459"/>
      <c r="X214" s="459">
        <f t="shared" si="182"/>
        <v>44000</v>
      </c>
      <c r="Y214" s="459">
        <f t="shared" si="183"/>
        <v>44000</v>
      </c>
      <c r="Z214" s="459">
        <f t="shared" si="184"/>
        <v>44000</v>
      </c>
      <c r="AA214" s="460">
        <f t="shared" si="200"/>
        <v>46000</v>
      </c>
      <c r="AB214" s="460">
        <f t="shared" si="191"/>
        <v>46000</v>
      </c>
      <c r="AC214" s="461">
        <f t="shared" si="201"/>
        <v>2000</v>
      </c>
      <c r="AD214" s="427">
        <f t="shared" si="192"/>
        <v>4.3478260869565216E-2</v>
      </c>
      <c r="AE214" s="428"/>
      <c r="BH214" s="7">
        <v>91</v>
      </c>
      <c r="DB214" s="7" t="str">
        <f>VLOOKUP(D214,listaBolsa!$D$2:$BA$1248,1,0)</f>
        <v>Microorganismos Eficientes Em Compostaje X 4 Litros</v>
      </c>
      <c r="DC214" s="7">
        <f>VLOOKUP(D214,listaBolsa!$D$2:$BA$1248,2,0)</f>
        <v>0</v>
      </c>
      <c r="DD214" s="7" t="str">
        <f>VLOOKUP(D214,listaBolsa!$D$2:$BA$1248,10,0)</f>
        <v xml:space="preserve">JUNTOS DE LA MANO </v>
      </c>
      <c r="DE214" s="7">
        <f>VLOOKUP(D214,listaBolsa!$D$2:$BA$1248,14,0)</f>
        <v>48000</v>
      </c>
      <c r="DF214" s="7" t="str">
        <f>VLOOKUP(D214,listaBolsa!$D$2:$BA$1248,23,0)</f>
        <v>MYCBDE</v>
      </c>
      <c r="DG214" s="7">
        <f>VLOOKUP(D214,listaBolsa!$D$2:$BA$1248,29,0)</f>
        <v>46000</v>
      </c>
      <c r="DH214" s="7" t="str">
        <f>VLOOKUP(D214,listaBolsa!$D$2:$BA$1248,36,0)</f>
        <v>DAGROW</v>
      </c>
      <c r="DI214" s="7">
        <f>VLOOKUP(D214,listaBolsa!$D$2:$BA$1248,40,0)</f>
        <v>44000</v>
      </c>
      <c r="DJ214" s="252">
        <f>VLOOKUP(D214,listaBolsa!$D$2:$BA$1248,48,0)</f>
        <v>4.3499999999999997E-2</v>
      </c>
      <c r="DK214" s="7" t="b">
        <f t="shared" si="180"/>
        <v>1</v>
      </c>
      <c r="DL214" s="7" t="b">
        <f t="shared" si="181"/>
        <v>0</v>
      </c>
      <c r="DM214" s="7" t="b">
        <f t="shared" si="193"/>
        <v>1</v>
      </c>
      <c r="DN214" s="7" t="b">
        <f t="shared" si="194"/>
        <v>1</v>
      </c>
      <c r="DO214" s="7" t="b">
        <f t="shared" si="195"/>
        <v>1</v>
      </c>
      <c r="DP214" s="7" t="b">
        <f t="shared" si="196"/>
        <v>1</v>
      </c>
      <c r="DQ214" s="7" t="b">
        <f t="shared" si="197"/>
        <v>1</v>
      </c>
      <c r="DR214" s="7" t="b">
        <f t="shared" si="198"/>
        <v>1</v>
      </c>
      <c r="DS214" s="7" t="b">
        <f t="shared" si="199"/>
        <v>0</v>
      </c>
    </row>
    <row r="215" spans="1:123" s="7" customFormat="1" ht="42">
      <c r="A215" s="7" t="s">
        <v>570</v>
      </c>
      <c r="B215" s="453">
        <v>201</v>
      </c>
      <c r="C215" s="642" t="s">
        <v>579</v>
      </c>
      <c r="D215" s="453" t="s">
        <v>877</v>
      </c>
      <c r="E215" s="453" t="s">
        <v>878</v>
      </c>
      <c r="F215" s="194" t="s">
        <v>568</v>
      </c>
      <c r="G215" s="453">
        <v>1</v>
      </c>
      <c r="H215" s="443" t="s">
        <v>192</v>
      </c>
      <c r="I215" s="454" t="s">
        <v>380</v>
      </c>
      <c r="J215" s="455">
        <v>18000</v>
      </c>
      <c r="K215" s="455">
        <f>J215*19%</f>
        <v>3420</v>
      </c>
      <c r="L215" s="455">
        <f t="shared" si="185"/>
        <v>21420</v>
      </c>
      <c r="M215" s="455">
        <f t="shared" si="186"/>
        <v>18000</v>
      </c>
      <c r="N215" s="455">
        <f t="shared" si="187"/>
        <v>21420</v>
      </c>
      <c r="O215" s="456" t="s">
        <v>381</v>
      </c>
      <c r="P215" s="457">
        <v>16600</v>
      </c>
      <c r="Q215" s="457">
        <f>P215*19%</f>
        <v>3154</v>
      </c>
      <c r="R215" s="457">
        <f t="shared" si="188"/>
        <v>19754</v>
      </c>
      <c r="S215" s="457">
        <f t="shared" si="189"/>
        <v>16600</v>
      </c>
      <c r="T215" s="457">
        <f t="shared" si="190"/>
        <v>19754</v>
      </c>
      <c r="U215" s="458" t="s">
        <v>382</v>
      </c>
      <c r="V215" s="459">
        <v>16600</v>
      </c>
      <c r="W215" s="459">
        <f t="shared" ref="W215:W256" si="202">V215*19%</f>
        <v>3154</v>
      </c>
      <c r="X215" s="459">
        <f t="shared" si="182"/>
        <v>19754</v>
      </c>
      <c r="Y215" s="459">
        <f t="shared" si="183"/>
        <v>16600</v>
      </c>
      <c r="Z215" s="459">
        <f t="shared" si="184"/>
        <v>19754</v>
      </c>
      <c r="AA215" s="460">
        <f t="shared" si="200"/>
        <v>20309.333333333332</v>
      </c>
      <c r="AB215" s="460">
        <f t="shared" si="191"/>
        <v>20309.333333333332</v>
      </c>
      <c r="AC215" s="461">
        <f t="shared" si="201"/>
        <v>961.86554846991658</v>
      </c>
      <c r="AD215" s="427">
        <f t="shared" si="192"/>
        <v>4.7360764269461494E-2</v>
      </c>
      <c r="AE215" s="428"/>
      <c r="BH215" s="7">
        <v>92</v>
      </c>
      <c r="DB215" s="7" t="str">
        <f>VLOOKUP(D215,listaBolsa!$D$2:$BA$1248,1,0)</f>
        <v>Tubo PVC de 1/2,</v>
      </c>
      <c r="DC215" s="7">
        <f>VLOOKUP(D215,listaBolsa!$D$2:$BA$1248,2,0)</f>
        <v>0</v>
      </c>
      <c r="DD215" s="7" t="str">
        <f>VLOOKUP(D215,listaBolsa!$D$2:$BA$1248,10,0)</f>
        <v xml:space="preserve">JUNTOS DE LA MANO </v>
      </c>
      <c r="DE215" s="7">
        <f>VLOOKUP(D215,listaBolsa!$D$2:$BA$1248,14,0)</f>
        <v>18000</v>
      </c>
      <c r="DF215" s="7" t="str">
        <f>VLOOKUP(D215,listaBolsa!$D$2:$BA$1248,23,0)</f>
        <v>MYCBDE</v>
      </c>
      <c r="DG215" s="7">
        <f>VLOOKUP(D215,listaBolsa!$D$2:$BA$1248,29,0)</f>
        <v>19754</v>
      </c>
      <c r="DH215" s="7" t="str">
        <f>VLOOKUP(D215,listaBolsa!$D$2:$BA$1248,36,0)</f>
        <v>DAGROW</v>
      </c>
      <c r="DI215" s="7">
        <f>VLOOKUP(D215,listaBolsa!$D$2:$BA$1248,40,0)</f>
        <v>16600</v>
      </c>
      <c r="DJ215" s="252">
        <f>VLOOKUP(D215,listaBolsa!$D$2:$BA$1248,48,0)</f>
        <v>4.7399999999999998E-2</v>
      </c>
      <c r="DK215" s="7" t="b">
        <f t="shared" si="180"/>
        <v>1</v>
      </c>
      <c r="DL215" s="7" t="b">
        <f t="shared" si="181"/>
        <v>0</v>
      </c>
      <c r="DM215" s="7" t="b">
        <f t="shared" si="193"/>
        <v>1</v>
      </c>
      <c r="DN215" s="7" t="b">
        <f t="shared" si="194"/>
        <v>1</v>
      </c>
      <c r="DO215" s="7" t="b">
        <f t="shared" si="195"/>
        <v>1</v>
      </c>
      <c r="DP215" s="7" t="b">
        <f t="shared" si="196"/>
        <v>0</v>
      </c>
      <c r="DQ215" s="7" t="b">
        <f t="shared" si="197"/>
        <v>1</v>
      </c>
      <c r="DR215" s="7" t="b">
        <f t="shared" si="198"/>
        <v>1</v>
      </c>
      <c r="DS215" s="7" t="b">
        <f t="shared" si="199"/>
        <v>0</v>
      </c>
    </row>
    <row r="216" spans="1:123" s="7" customFormat="1" ht="42">
      <c r="A216" s="7" t="s">
        <v>570</v>
      </c>
      <c r="B216" s="453">
        <v>202</v>
      </c>
      <c r="C216" s="642" t="s">
        <v>579</v>
      </c>
      <c r="D216" s="453" t="s">
        <v>880</v>
      </c>
      <c r="E216" s="453" t="s">
        <v>881</v>
      </c>
      <c r="F216" s="194" t="s">
        <v>568</v>
      </c>
      <c r="G216" s="453">
        <v>1</v>
      </c>
      <c r="H216" s="443" t="s">
        <v>192</v>
      </c>
      <c r="I216" s="454" t="s">
        <v>380</v>
      </c>
      <c r="J216" s="455">
        <v>24000</v>
      </c>
      <c r="K216" s="455">
        <f>J216*19%</f>
        <v>4560</v>
      </c>
      <c r="L216" s="455">
        <f t="shared" si="185"/>
        <v>28560</v>
      </c>
      <c r="M216" s="455">
        <f t="shared" si="186"/>
        <v>24000</v>
      </c>
      <c r="N216" s="455">
        <f t="shared" si="187"/>
        <v>28560</v>
      </c>
      <c r="O216" s="456" t="s">
        <v>381</v>
      </c>
      <c r="P216" s="457">
        <v>23000</v>
      </c>
      <c r="Q216" s="457">
        <f>P216*19%</f>
        <v>4370</v>
      </c>
      <c r="R216" s="457">
        <f t="shared" si="188"/>
        <v>27370</v>
      </c>
      <c r="S216" s="457">
        <f t="shared" si="189"/>
        <v>23000</v>
      </c>
      <c r="T216" s="457">
        <f t="shared" si="190"/>
        <v>27370</v>
      </c>
      <c r="U216" s="458" t="s">
        <v>382</v>
      </c>
      <c r="V216" s="459">
        <v>22260</v>
      </c>
      <c r="W216" s="459">
        <f t="shared" si="202"/>
        <v>4229.3999999999996</v>
      </c>
      <c r="X216" s="459">
        <f t="shared" si="182"/>
        <v>26489.4</v>
      </c>
      <c r="Y216" s="459">
        <f t="shared" si="183"/>
        <v>22260</v>
      </c>
      <c r="Z216" s="459">
        <f t="shared" si="184"/>
        <v>26489.4</v>
      </c>
      <c r="AA216" s="460">
        <f t="shared" si="200"/>
        <v>27473.133333333331</v>
      </c>
      <c r="AB216" s="460">
        <f t="shared" si="191"/>
        <v>27473.133333333331</v>
      </c>
      <c r="AC216" s="461">
        <f t="shared" si="201"/>
        <v>1039.1455400151278</v>
      </c>
      <c r="AD216" s="427">
        <f t="shared" si="192"/>
        <v>3.7824063509870054E-2</v>
      </c>
      <c r="AE216" s="428"/>
      <c r="BH216" s="7">
        <v>93</v>
      </c>
      <c r="DB216" s="7" t="str">
        <f>VLOOKUP(D216,listaBolsa!$D$2:$BA$1248,1,0)</f>
        <v>Tubo PVC de 3/4</v>
      </c>
      <c r="DC216" s="7">
        <f>VLOOKUP(D216,listaBolsa!$D$2:$BA$1248,2,0)</f>
        <v>0</v>
      </c>
      <c r="DD216" s="7" t="str">
        <f>VLOOKUP(D216,listaBolsa!$D$2:$BA$1248,10,0)</f>
        <v xml:space="preserve">JUNTOS DE LA MANO </v>
      </c>
      <c r="DE216" s="7">
        <f>VLOOKUP(D216,listaBolsa!$D$2:$BA$1248,14,0)</f>
        <v>24000</v>
      </c>
      <c r="DF216" s="7" t="str">
        <f>VLOOKUP(D216,listaBolsa!$D$2:$BA$1248,23,0)</f>
        <v>MYCBDE</v>
      </c>
      <c r="DG216" s="7">
        <f>VLOOKUP(D216,listaBolsa!$D$2:$BA$1248,29,0)</f>
        <v>27370</v>
      </c>
      <c r="DH216" s="7" t="str">
        <f>VLOOKUP(D216,listaBolsa!$D$2:$BA$1248,36,0)</f>
        <v>DAGROW</v>
      </c>
      <c r="DI216" s="7">
        <f>VLOOKUP(D216,listaBolsa!$D$2:$BA$1248,40,0)</f>
        <v>22260</v>
      </c>
      <c r="DJ216" s="252">
        <f>VLOOKUP(D216,listaBolsa!$D$2:$BA$1248,48,0)</f>
        <v>3.78E-2</v>
      </c>
      <c r="DK216" s="7" t="b">
        <f t="shared" si="180"/>
        <v>1</v>
      </c>
      <c r="DL216" s="7" t="b">
        <f t="shared" si="181"/>
        <v>0</v>
      </c>
      <c r="DM216" s="7" t="b">
        <f t="shared" si="193"/>
        <v>1</v>
      </c>
      <c r="DN216" s="7" t="b">
        <f t="shared" si="194"/>
        <v>1</v>
      </c>
      <c r="DO216" s="7" t="b">
        <f t="shared" si="195"/>
        <v>1</v>
      </c>
      <c r="DP216" s="7" t="b">
        <f t="shared" si="196"/>
        <v>0</v>
      </c>
      <c r="DQ216" s="7" t="b">
        <f t="shared" si="197"/>
        <v>1</v>
      </c>
      <c r="DR216" s="7" t="b">
        <f t="shared" si="198"/>
        <v>1</v>
      </c>
      <c r="DS216" s="7" t="b">
        <f t="shared" si="199"/>
        <v>0</v>
      </c>
    </row>
    <row r="217" spans="1:123" s="7" customFormat="1" ht="42">
      <c r="A217" s="7" t="s">
        <v>570</v>
      </c>
      <c r="B217" s="453">
        <v>203</v>
      </c>
      <c r="C217" s="642" t="s">
        <v>579</v>
      </c>
      <c r="D217" s="453" t="s">
        <v>883</v>
      </c>
      <c r="E217" s="453" t="s">
        <v>884</v>
      </c>
      <c r="F217" s="194" t="s">
        <v>568</v>
      </c>
      <c r="G217" s="453">
        <v>1</v>
      </c>
      <c r="H217" s="443" t="s">
        <v>192</v>
      </c>
      <c r="I217" s="454" t="s">
        <v>380</v>
      </c>
      <c r="J217" s="455">
        <v>14000</v>
      </c>
      <c r="K217" s="455">
        <f>J217*19%</f>
        <v>2660</v>
      </c>
      <c r="L217" s="455">
        <f t="shared" si="185"/>
        <v>16660</v>
      </c>
      <c r="M217" s="455">
        <f t="shared" si="186"/>
        <v>14000</v>
      </c>
      <c r="N217" s="455">
        <f t="shared" si="187"/>
        <v>16660</v>
      </c>
      <c r="O217" s="456" t="s">
        <v>381</v>
      </c>
      <c r="P217" s="457">
        <v>12000</v>
      </c>
      <c r="Q217" s="457">
        <f>P217*19%</f>
        <v>2280</v>
      </c>
      <c r="R217" s="457">
        <f t="shared" si="188"/>
        <v>14280</v>
      </c>
      <c r="S217" s="457">
        <f t="shared" si="189"/>
        <v>12000</v>
      </c>
      <c r="T217" s="457">
        <f t="shared" si="190"/>
        <v>14280</v>
      </c>
      <c r="U217" s="458" t="s">
        <v>382</v>
      </c>
      <c r="V217" s="459">
        <v>10780</v>
      </c>
      <c r="W217" s="459">
        <f t="shared" si="202"/>
        <v>2048.1999999999998</v>
      </c>
      <c r="X217" s="459">
        <f t="shared" si="182"/>
        <v>12828.2</v>
      </c>
      <c r="Y217" s="459">
        <f t="shared" si="183"/>
        <v>10780</v>
      </c>
      <c r="Z217" s="459">
        <f t="shared" si="184"/>
        <v>12828.2</v>
      </c>
      <c r="AA217" s="460">
        <f t="shared" si="200"/>
        <v>14589.4</v>
      </c>
      <c r="AB217" s="460">
        <f t="shared" si="191"/>
        <v>14589.4</v>
      </c>
      <c r="AC217" s="461">
        <f t="shared" si="201"/>
        <v>1934.5462206936393</v>
      </c>
      <c r="AD217" s="427">
        <f t="shared" si="192"/>
        <v>0.13259943662478507</v>
      </c>
      <c r="AE217" s="428"/>
      <c r="BH217" s="7">
        <v>94</v>
      </c>
      <c r="DB217" s="7" t="str">
        <f>VLOOKUP(D217,listaBolsa!$D$2:$BA$1248,1,0)</f>
        <v>Tubo PVC 1 pulgada</v>
      </c>
      <c r="DC217" s="7">
        <f>VLOOKUP(D217,listaBolsa!$D$2:$BA$1248,2,0)</f>
        <v>0</v>
      </c>
      <c r="DD217" s="7" t="str">
        <f>VLOOKUP(D217,listaBolsa!$D$2:$BA$1248,10,0)</f>
        <v xml:space="preserve">JUNTOS DE LA MANO </v>
      </c>
      <c r="DE217" s="7">
        <f>VLOOKUP(D217,listaBolsa!$D$2:$BA$1248,14,0)</f>
        <v>14000</v>
      </c>
      <c r="DF217" s="7" t="str">
        <f>VLOOKUP(D217,listaBolsa!$D$2:$BA$1248,23,0)</f>
        <v>MYCBDE</v>
      </c>
      <c r="DG217" s="7">
        <f>VLOOKUP(D217,listaBolsa!$D$2:$BA$1248,29,0)</f>
        <v>14280</v>
      </c>
      <c r="DH217" s="7" t="str">
        <f>VLOOKUP(D217,listaBolsa!$D$2:$BA$1248,36,0)</f>
        <v>DAGROW</v>
      </c>
      <c r="DI217" s="7">
        <f>VLOOKUP(D217,listaBolsa!$D$2:$BA$1248,40,0)</f>
        <v>10780</v>
      </c>
      <c r="DJ217" s="252">
        <f>VLOOKUP(D217,listaBolsa!$D$2:$BA$1248,48,0)</f>
        <v>0.1326</v>
      </c>
      <c r="DK217" s="7" t="b">
        <f t="shared" si="180"/>
        <v>1</v>
      </c>
      <c r="DL217" s="7" t="b">
        <f t="shared" si="181"/>
        <v>0</v>
      </c>
      <c r="DM217" s="7" t="b">
        <f t="shared" si="193"/>
        <v>1</v>
      </c>
      <c r="DN217" s="7" t="b">
        <f t="shared" si="194"/>
        <v>1</v>
      </c>
      <c r="DO217" s="7" t="b">
        <f t="shared" si="195"/>
        <v>1</v>
      </c>
      <c r="DP217" s="7" t="b">
        <f t="shared" si="196"/>
        <v>0</v>
      </c>
      <c r="DQ217" s="7" t="b">
        <f t="shared" si="197"/>
        <v>1</v>
      </c>
      <c r="DR217" s="7" t="b">
        <f t="shared" si="198"/>
        <v>1</v>
      </c>
      <c r="DS217" s="7" t="b">
        <f t="shared" si="199"/>
        <v>0</v>
      </c>
    </row>
    <row r="218" spans="1:123" s="7" customFormat="1" ht="63">
      <c r="A218" s="7" t="s">
        <v>570</v>
      </c>
      <c r="B218" s="453">
        <v>204</v>
      </c>
      <c r="C218" s="642" t="s">
        <v>579</v>
      </c>
      <c r="D218" s="453" t="s">
        <v>886</v>
      </c>
      <c r="E218" s="453" t="s">
        <v>887</v>
      </c>
      <c r="F218" s="194" t="s">
        <v>568</v>
      </c>
      <c r="G218" s="453">
        <v>1</v>
      </c>
      <c r="H218" s="443" t="s">
        <v>192</v>
      </c>
      <c r="I218" s="454" t="s">
        <v>380</v>
      </c>
      <c r="J218" s="455">
        <v>20000</v>
      </c>
      <c r="K218" s="455"/>
      <c r="L218" s="455">
        <f t="shared" si="185"/>
        <v>20000</v>
      </c>
      <c r="M218" s="455">
        <f t="shared" si="186"/>
        <v>20000</v>
      </c>
      <c r="N218" s="455">
        <f t="shared" si="187"/>
        <v>20000</v>
      </c>
      <c r="O218" s="456" t="s">
        <v>381</v>
      </c>
      <c r="P218" s="457">
        <v>19300</v>
      </c>
      <c r="Q218" s="457"/>
      <c r="R218" s="457">
        <f t="shared" si="188"/>
        <v>19300</v>
      </c>
      <c r="S218" s="457">
        <f t="shared" si="189"/>
        <v>19300</v>
      </c>
      <c r="T218" s="457">
        <f t="shared" si="190"/>
        <v>19300</v>
      </c>
      <c r="U218" s="458" t="s">
        <v>263</v>
      </c>
      <c r="V218" s="459">
        <v>18403.361344537814</v>
      </c>
      <c r="W218" s="459">
        <f t="shared" si="202"/>
        <v>3496.6386554621849</v>
      </c>
      <c r="X218" s="459">
        <f t="shared" si="182"/>
        <v>21900</v>
      </c>
      <c r="Y218" s="459">
        <f t="shared" si="183"/>
        <v>18403.361344537814</v>
      </c>
      <c r="Z218" s="459">
        <f t="shared" si="184"/>
        <v>21900</v>
      </c>
      <c r="AA218" s="460">
        <f t="shared" si="200"/>
        <v>20400</v>
      </c>
      <c r="AB218" s="460">
        <f t="shared" si="191"/>
        <v>20400</v>
      </c>
      <c r="AC218" s="461">
        <f t="shared" si="201"/>
        <v>1345.3624047073711</v>
      </c>
      <c r="AD218" s="427">
        <f t="shared" si="192"/>
        <v>6.5949137485655451E-2</v>
      </c>
      <c r="AE218" s="428"/>
      <c r="BH218" s="7">
        <v>95</v>
      </c>
      <c r="DB218" s="7" t="str">
        <f>VLOOKUP(D218,listaBolsa!$D$2:$BA$1248,1,0)</f>
        <v xml:space="preserve">Tutores para plantas </v>
      </c>
      <c r="DC218" s="7">
        <f>VLOOKUP(D218,listaBolsa!$D$2:$BA$1248,2,0)</f>
        <v>0</v>
      </c>
      <c r="DD218" s="7" t="str">
        <f>VLOOKUP(D218,listaBolsa!$D$2:$BA$1248,10,0)</f>
        <v xml:space="preserve">JUNTOS DE LA MANO </v>
      </c>
      <c r="DE218" s="7">
        <f>VLOOKUP(D218,listaBolsa!$D$2:$BA$1248,14,0)</f>
        <v>20000</v>
      </c>
      <c r="DF218" s="7" t="str">
        <f>VLOOKUP(D218,listaBolsa!$D$2:$BA$1248,23,0)</f>
        <v>MYCBDE</v>
      </c>
      <c r="DG218" s="7">
        <f>VLOOKUP(D218,listaBolsa!$D$2:$BA$1248,29,0)</f>
        <v>19300</v>
      </c>
      <c r="DH218" s="7" t="str">
        <f>VLOOKUP(D218,listaBolsa!$D$2:$BA$1248,36,0)</f>
        <v>HOMCENTER</v>
      </c>
      <c r="DI218" s="7">
        <f>VLOOKUP(D218,listaBolsa!$D$2:$BA$1248,40,0)</f>
        <v>18403.36</v>
      </c>
      <c r="DJ218" s="252">
        <f>VLOOKUP(D218,listaBolsa!$D$2:$BA$1248,48,0)</f>
        <v>6.59E-2</v>
      </c>
      <c r="DK218" s="7" t="b">
        <f t="shared" si="180"/>
        <v>1</v>
      </c>
      <c r="DL218" s="7" t="b">
        <f t="shared" si="181"/>
        <v>0</v>
      </c>
      <c r="DM218" s="7" t="b">
        <f t="shared" si="193"/>
        <v>1</v>
      </c>
      <c r="DN218" s="7" t="b">
        <f t="shared" si="194"/>
        <v>1</v>
      </c>
      <c r="DO218" s="7" t="b">
        <f t="shared" si="195"/>
        <v>1</v>
      </c>
      <c r="DP218" s="7" t="b">
        <f t="shared" si="196"/>
        <v>1</v>
      </c>
      <c r="DQ218" s="7" t="b">
        <f t="shared" si="197"/>
        <v>1</v>
      </c>
      <c r="DR218" s="7" t="b">
        <f t="shared" si="198"/>
        <v>0</v>
      </c>
      <c r="DS218" s="7" t="b">
        <f t="shared" si="199"/>
        <v>0</v>
      </c>
    </row>
    <row r="219" spans="1:123" s="7" customFormat="1" ht="42">
      <c r="A219" s="7" t="s">
        <v>570</v>
      </c>
      <c r="B219" s="453">
        <v>205</v>
      </c>
      <c r="C219" s="642" t="s">
        <v>579</v>
      </c>
      <c r="D219" s="453" t="s">
        <v>889</v>
      </c>
      <c r="E219" s="453" t="s">
        <v>890</v>
      </c>
      <c r="F219" s="194" t="s">
        <v>568</v>
      </c>
      <c r="G219" s="453">
        <v>1</v>
      </c>
      <c r="H219" s="443" t="s">
        <v>192</v>
      </c>
      <c r="I219" s="454" t="s">
        <v>380</v>
      </c>
      <c r="J219" s="455">
        <v>24000</v>
      </c>
      <c r="K219" s="455">
        <f t="shared" ref="K219:K241" si="203">J219*19%</f>
        <v>4560</v>
      </c>
      <c r="L219" s="455">
        <f t="shared" si="185"/>
        <v>28560</v>
      </c>
      <c r="M219" s="455">
        <f t="shared" si="186"/>
        <v>24000</v>
      </c>
      <c r="N219" s="455">
        <f t="shared" si="187"/>
        <v>28560</v>
      </c>
      <c r="O219" s="456" t="s">
        <v>381</v>
      </c>
      <c r="P219" s="457">
        <v>23000</v>
      </c>
      <c r="Q219" s="457">
        <f t="shared" ref="Q219:Q231" si="204">P219*19%</f>
        <v>4370</v>
      </c>
      <c r="R219" s="457">
        <f t="shared" si="188"/>
        <v>27370</v>
      </c>
      <c r="S219" s="457">
        <f t="shared" si="189"/>
        <v>23000</v>
      </c>
      <c r="T219" s="457">
        <f t="shared" si="190"/>
        <v>27370</v>
      </c>
      <c r="U219" s="458" t="s">
        <v>382</v>
      </c>
      <c r="V219" s="459">
        <v>21000</v>
      </c>
      <c r="W219" s="459">
        <f t="shared" si="202"/>
        <v>3990</v>
      </c>
      <c r="X219" s="459">
        <f t="shared" si="182"/>
        <v>24990</v>
      </c>
      <c r="Y219" s="459">
        <f t="shared" si="183"/>
        <v>21000</v>
      </c>
      <c r="Z219" s="459">
        <f t="shared" si="184"/>
        <v>24990</v>
      </c>
      <c r="AA219" s="460">
        <f t="shared" si="200"/>
        <v>26973.333333333332</v>
      </c>
      <c r="AB219" s="460">
        <f t="shared" si="191"/>
        <v>26973.333333333332</v>
      </c>
      <c r="AC219" s="461">
        <f t="shared" si="201"/>
        <v>1817.7550256658164</v>
      </c>
      <c r="AD219" s="427">
        <f t="shared" si="192"/>
        <v>6.7390819043468234E-2</v>
      </c>
      <c r="AE219" s="428"/>
      <c r="BH219" s="7">
        <v>96</v>
      </c>
      <c r="DB219" s="7" t="str">
        <f>VLOOKUP(D219,listaBolsa!$D$2:$BA$1248,1,0)</f>
        <v>Pita  x 3.000 mts</v>
      </c>
      <c r="DC219" s="7">
        <f>VLOOKUP(D219,listaBolsa!$D$2:$BA$1248,2,0)</f>
        <v>0</v>
      </c>
      <c r="DD219" s="7" t="str">
        <f>VLOOKUP(D219,listaBolsa!$D$2:$BA$1248,10,0)</f>
        <v xml:space="preserve">JUNTOS DE LA MANO </v>
      </c>
      <c r="DE219" s="7">
        <f>VLOOKUP(D219,listaBolsa!$D$2:$BA$1248,14,0)</f>
        <v>24000</v>
      </c>
      <c r="DF219" s="7" t="str">
        <f>VLOOKUP(D219,listaBolsa!$D$2:$BA$1248,23,0)</f>
        <v>MYCBDE</v>
      </c>
      <c r="DG219" s="7">
        <f>VLOOKUP(D219,listaBolsa!$D$2:$BA$1248,29,0)</f>
        <v>27370</v>
      </c>
      <c r="DH219" s="7" t="str">
        <f>VLOOKUP(D219,listaBolsa!$D$2:$BA$1248,36,0)</f>
        <v>DAGROW</v>
      </c>
      <c r="DI219" s="7">
        <f>VLOOKUP(D219,listaBolsa!$D$2:$BA$1248,40,0)</f>
        <v>21000</v>
      </c>
      <c r="DJ219" s="252">
        <f>VLOOKUP(D219,listaBolsa!$D$2:$BA$1248,48,0)</f>
        <v>6.7400000000000002E-2</v>
      </c>
      <c r="DK219" s="7" t="b">
        <f t="shared" si="180"/>
        <v>1</v>
      </c>
      <c r="DL219" s="7" t="b">
        <f t="shared" si="181"/>
        <v>0</v>
      </c>
      <c r="DM219" s="7" t="b">
        <f t="shared" si="193"/>
        <v>1</v>
      </c>
      <c r="DN219" s="7" t="b">
        <f t="shared" si="194"/>
        <v>1</v>
      </c>
      <c r="DO219" s="7" t="b">
        <f t="shared" si="195"/>
        <v>1</v>
      </c>
      <c r="DP219" s="7" t="b">
        <f t="shared" si="196"/>
        <v>0</v>
      </c>
      <c r="DQ219" s="7" t="b">
        <f t="shared" si="197"/>
        <v>1</v>
      </c>
      <c r="DR219" s="7" t="b">
        <f t="shared" si="198"/>
        <v>1</v>
      </c>
      <c r="DS219" s="7" t="b">
        <f t="shared" si="199"/>
        <v>0</v>
      </c>
    </row>
    <row r="220" spans="1:123" s="7" customFormat="1" ht="43.15">
      <c r="A220" s="7" t="s">
        <v>570</v>
      </c>
      <c r="B220" s="453">
        <v>206</v>
      </c>
      <c r="C220" s="642" t="s">
        <v>579</v>
      </c>
      <c r="D220" s="453" t="s">
        <v>892</v>
      </c>
      <c r="E220" s="453" t="s">
        <v>893</v>
      </c>
      <c r="F220" s="194" t="s">
        <v>568</v>
      </c>
      <c r="G220" s="453">
        <v>1</v>
      </c>
      <c r="H220" s="443" t="s">
        <v>192</v>
      </c>
      <c r="I220" s="454" t="s">
        <v>351</v>
      </c>
      <c r="J220" s="455">
        <v>1298.319327731092</v>
      </c>
      <c r="K220" s="455">
        <f t="shared" si="203"/>
        <v>246.6806722689075</v>
      </c>
      <c r="L220" s="455">
        <f t="shared" si="185"/>
        <v>1544.9999999999995</v>
      </c>
      <c r="M220" s="455">
        <f t="shared" si="186"/>
        <v>1298.319327731092</v>
      </c>
      <c r="N220" s="455">
        <f t="shared" si="187"/>
        <v>1544.9999999999995</v>
      </c>
      <c r="O220" s="456" t="s">
        <v>313</v>
      </c>
      <c r="P220" s="457">
        <v>1680.672268907563</v>
      </c>
      <c r="Q220" s="457">
        <f t="shared" si="204"/>
        <v>319.32773109243698</v>
      </c>
      <c r="R220" s="457">
        <f t="shared" si="188"/>
        <v>2000</v>
      </c>
      <c r="S220" s="457">
        <f t="shared" si="189"/>
        <v>1680.672268907563</v>
      </c>
      <c r="T220" s="457">
        <f t="shared" si="190"/>
        <v>2000</v>
      </c>
      <c r="U220" s="458" t="s">
        <v>894</v>
      </c>
      <c r="V220" s="459">
        <v>1554.621848739496</v>
      </c>
      <c r="W220" s="459">
        <f t="shared" si="202"/>
        <v>295.37815126050424</v>
      </c>
      <c r="X220" s="459">
        <f t="shared" si="182"/>
        <v>1850.0000000000002</v>
      </c>
      <c r="Y220" s="459">
        <f t="shared" si="183"/>
        <v>1554.621848739496</v>
      </c>
      <c r="Z220" s="459">
        <f t="shared" si="184"/>
        <v>1850.0000000000002</v>
      </c>
      <c r="AA220" s="460">
        <f t="shared" si="200"/>
        <v>1798.3333333333333</v>
      </c>
      <c r="AB220" s="460">
        <f t="shared" si="191"/>
        <v>1798.3333333333333</v>
      </c>
      <c r="AC220" s="461">
        <f t="shared" si="201"/>
        <v>231.85843381971901</v>
      </c>
      <c r="AD220" s="427">
        <f t="shared" si="192"/>
        <v>0.12892962028900037</v>
      </c>
      <c r="AE220" s="428"/>
      <c r="BH220" s="7">
        <v>97</v>
      </c>
      <c r="DB220" s="7" t="str">
        <f>VLOOKUP(D220,listaBolsa!$D$2:$BA$1248,1,0)</f>
        <v xml:space="preserve">Envase de vidrio 30 ml </v>
      </c>
      <c r="DC220" s="7">
        <f>VLOOKUP(D220,listaBolsa!$D$2:$BA$1248,2,0)</f>
        <v>0</v>
      </c>
      <c r="DD220" s="7" t="str">
        <f>VLOOKUP(D220,listaBolsa!$D$2:$BA$1248,10,0)</f>
        <v>DUQUE SALDARRIAGA</v>
      </c>
      <c r="DE220" s="7">
        <f>VLOOKUP(D220,listaBolsa!$D$2:$BA$1248,14,0)</f>
        <v>1298.32</v>
      </c>
      <c r="DF220" s="7" t="str">
        <f>VLOOKUP(D220,listaBolsa!$D$2:$BA$1248,23,0)</f>
        <v>VELAS E INSUMOS LEON</v>
      </c>
      <c r="DG220" s="7">
        <f>VLOOKUP(D220,listaBolsa!$D$2:$BA$1248,29,0)</f>
        <v>2000</v>
      </c>
      <c r="DH220" s="7" t="str">
        <f>VLOOKUP(D220,listaBolsa!$D$2:$BA$1248,36,0)</f>
        <v>EL FRASQUERIO</v>
      </c>
      <c r="DI220" s="7">
        <f>VLOOKUP(D220,listaBolsa!$D$2:$BA$1248,40,0)</f>
        <v>1554.62</v>
      </c>
      <c r="DJ220" s="252">
        <f>VLOOKUP(D220,listaBolsa!$D$2:$BA$1248,48,0)</f>
        <v>0.12889999999999999</v>
      </c>
      <c r="DK220" s="7" t="b">
        <f t="shared" si="180"/>
        <v>1</v>
      </c>
      <c r="DL220" s="7" t="b">
        <f t="shared" si="181"/>
        <v>0</v>
      </c>
      <c r="DM220" s="7" t="b">
        <f t="shared" si="193"/>
        <v>1</v>
      </c>
      <c r="DN220" s="7" t="b">
        <f t="shared" si="194"/>
        <v>0</v>
      </c>
      <c r="DO220" s="7" t="b">
        <f t="shared" si="195"/>
        <v>1</v>
      </c>
      <c r="DP220" s="7" t="b">
        <f t="shared" si="196"/>
        <v>0</v>
      </c>
      <c r="DQ220" s="7" t="b">
        <f t="shared" si="197"/>
        <v>1</v>
      </c>
      <c r="DR220" s="7" t="b">
        <f t="shared" si="198"/>
        <v>0</v>
      </c>
      <c r="DS220" s="7" t="b">
        <f t="shared" si="199"/>
        <v>0</v>
      </c>
    </row>
    <row r="221" spans="1:123" s="7" customFormat="1" ht="42">
      <c r="A221" s="7" t="s">
        <v>570</v>
      </c>
      <c r="B221" s="453">
        <v>207</v>
      </c>
      <c r="C221" s="642" t="s">
        <v>579</v>
      </c>
      <c r="D221" s="453" t="s">
        <v>896</v>
      </c>
      <c r="E221" s="453" t="s">
        <v>897</v>
      </c>
      <c r="F221" s="194" t="s">
        <v>568</v>
      </c>
      <c r="G221" s="453">
        <v>1</v>
      </c>
      <c r="H221" s="443" t="s">
        <v>192</v>
      </c>
      <c r="I221" s="454" t="s">
        <v>380</v>
      </c>
      <c r="J221" s="455">
        <v>3550</v>
      </c>
      <c r="K221" s="455">
        <f t="shared" si="203"/>
        <v>674.5</v>
      </c>
      <c r="L221" s="455">
        <f t="shared" si="185"/>
        <v>4224.5</v>
      </c>
      <c r="M221" s="455">
        <f t="shared" si="186"/>
        <v>3550</v>
      </c>
      <c r="N221" s="455">
        <f t="shared" si="187"/>
        <v>4224.5</v>
      </c>
      <c r="O221" s="456" t="s">
        <v>381</v>
      </c>
      <c r="P221" s="457">
        <v>3400</v>
      </c>
      <c r="Q221" s="457">
        <f t="shared" si="204"/>
        <v>646</v>
      </c>
      <c r="R221" s="457">
        <f t="shared" si="188"/>
        <v>4046</v>
      </c>
      <c r="S221" s="457">
        <f t="shared" si="189"/>
        <v>3400</v>
      </c>
      <c r="T221" s="457">
        <f t="shared" si="190"/>
        <v>4046</v>
      </c>
      <c r="U221" s="458" t="s">
        <v>382</v>
      </c>
      <c r="V221" s="459">
        <v>3360</v>
      </c>
      <c r="W221" s="459">
        <f t="shared" si="202"/>
        <v>638.4</v>
      </c>
      <c r="X221" s="459">
        <f t="shared" si="182"/>
        <v>3998.4</v>
      </c>
      <c r="Y221" s="459">
        <f t="shared" si="183"/>
        <v>3360</v>
      </c>
      <c r="Z221" s="459">
        <f t="shared" si="184"/>
        <v>3998.4</v>
      </c>
      <c r="AA221" s="460">
        <f t="shared" si="200"/>
        <v>4089.6333333333332</v>
      </c>
      <c r="AB221" s="460">
        <f t="shared" si="191"/>
        <v>4089.6333333333332</v>
      </c>
      <c r="AC221" s="461">
        <f t="shared" si="201"/>
        <v>119.19816833044594</v>
      </c>
      <c r="AD221" s="427">
        <f t="shared" si="192"/>
        <v>2.9146419401196343E-2</v>
      </c>
      <c r="AE221" s="428"/>
      <c r="BH221" s="7">
        <v>98</v>
      </c>
      <c r="DB221" s="7" t="str">
        <f>VLOOKUP(D221,listaBolsa!$D$2:$BA$1248,1,0)</f>
        <v xml:space="preserve">Envase de vidrio 80 ml </v>
      </c>
      <c r="DC221" s="7">
        <f>VLOOKUP(D221,listaBolsa!$D$2:$BA$1248,2,0)</f>
        <v>0</v>
      </c>
      <c r="DD221" s="7" t="str">
        <f>VLOOKUP(D221,listaBolsa!$D$2:$BA$1248,10,0)</f>
        <v xml:space="preserve">JUNTOS DE LA MANO </v>
      </c>
      <c r="DE221" s="7">
        <f>VLOOKUP(D221,listaBolsa!$D$2:$BA$1248,14,0)</f>
        <v>3550</v>
      </c>
      <c r="DF221" s="7" t="str">
        <f>VLOOKUP(D221,listaBolsa!$D$2:$BA$1248,23,0)</f>
        <v>MYCBDE</v>
      </c>
      <c r="DG221" s="7">
        <f>VLOOKUP(D221,listaBolsa!$D$2:$BA$1248,29,0)</f>
        <v>4046</v>
      </c>
      <c r="DH221" s="7" t="str">
        <f>VLOOKUP(D221,listaBolsa!$D$2:$BA$1248,36,0)</f>
        <v>DAGROW</v>
      </c>
      <c r="DI221" s="7">
        <f>VLOOKUP(D221,listaBolsa!$D$2:$BA$1248,40,0)</f>
        <v>3360</v>
      </c>
      <c r="DJ221" s="252">
        <f>VLOOKUP(D221,listaBolsa!$D$2:$BA$1248,48,0)</f>
        <v>2.9100000000000001E-2</v>
      </c>
      <c r="DK221" s="7" t="b">
        <f t="shared" si="180"/>
        <v>1</v>
      </c>
      <c r="DL221" s="7" t="b">
        <f t="shared" si="181"/>
        <v>0</v>
      </c>
      <c r="DM221" s="7" t="b">
        <f t="shared" si="193"/>
        <v>1</v>
      </c>
      <c r="DN221" s="7" t="b">
        <f t="shared" si="194"/>
        <v>1</v>
      </c>
      <c r="DO221" s="7" t="b">
        <f t="shared" si="195"/>
        <v>1</v>
      </c>
      <c r="DP221" s="7" t="b">
        <f t="shared" si="196"/>
        <v>0</v>
      </c>
      <c r="DQ221" s="7" t="b">
        <f t="shared" si="197"/>
        <v>1</v>
      </c>
      <c r="DR221" s="7" t="b">
        <f t="shared" si="198"/>
        <v>1</v>
      </c>
      <c r="DS221" s="7" t="b">
        <f t="shared" si="199"/>
        <v>0</v>
      </c>
    </row>
    <row r="222" spans="1:123" s="7" customFormat="1" ht="42">
      <c r="A222" s="7" t="s">
        <v>570</v>
      </c>
      <c r="B222" s="453">
        <v>208</v>
      </c>
      <c r="C222" s="642" t="s">
        <v>579</v>
      </c>
      <c r="D222" s="453" t="s">
        <v>899</v>
      </c>
      <c r="E222" s="453" t="s">
        <v>900</v>
      </c>
      <c r="F222" s="194" t="s">
        <v>568</v>
      </c>
      <c r="G222" s="453">
        <v>1</v>
      </c>
      <c r="H222" s="443" t="s">
        <v>192</v>
      </c>
      <c r="I222" s="454" t="s">
        <v>380</v>
      </c>
      <c r="J222" s="455">
        <v>4200</v>
      </c>
      <c r="K222" s="455">
        <f t="shared" si="203"/>
        <v>798</v>
      </c>
      <c r="L222" s="455">
        <f t="shared" si="185"/>
        <v>4998</v>
      </c>
      <c r="M222" s="455">
        <f t="shared" si="186"/>
        <v>4200</v>
      </c>
      <c r="N222" s="455">
        <f t="shared" si="187"/>
        <v>4998</v>
      </c>
      <c r="O222" s="456" t="s">
        <v>381</v>
      </c>
      <c r="P222" s="457">
        <v>4000</v>
      </c>
      <c r="Q222" s="457">
        <f t="shared" si="204"/>
        <v>760</v>
      </c>
      <c r="R222" s="457">
        <f t="shared" si="188"/>
        <v>4760</v>
      </c>
      <c r="S222" s="457">
        <f t="shared" si="189"/>
        <v>4000</v>
      </c>
      <c r="T222" s="457">
        <f t="shared" si="190"/>
        <v>4760</v>
      </c>
      <c r="U222" s="458" t="s">
        <v>382</v>
      </c>
      <c r="V222" s="459">
        <v>4900</v>
      </c>
      <c r="W222" s="459">
        <f t="shared" si="202"/>
        <v>931</v>
      </c>
      <c r="X222" s="459">
        <f t="shared" si="182"/>
        <v>5831</v>
      </c>
      <c r="Y222" s="459">
        <f t="shared" si="183"/>
        <v>4900</v>
      </c>
      <c r="Z222" s="459">
        <f t="shared" si="184"/>
        <v>5831</v>
      </c>
      <c r="AA222" s="460">
        <f t="shared" si="200"/>
        <v>5196.333333333333</v>
      </c>
      <c r="AB222" s="460">
        <f t="shared" si="191"/>
        <v>5196.333333333333</v>
      </c>
      <c r="AC222" s="461">
        <f t="shared" si="201"/>
        <v>562.37205952406043</v>
      </c>
      <c r="AD222" s="427">
        <f t="shared" si="192"/>
        <v>0.10822478533402921</v>
      </c>
      <c r="AE222" s="428"/>
      <c r="BH222" s="7">
        <v>99</v>
      </c>
      <c r="DB222" s="7" t="str">
        <f>VLOOKUP(D222,listaBolsa!$D$2:$BA$1248,1,0)</f>
        <v xml:space="preserve">Envase de vidrio 100 ml </v>
      </c>
      <c r="DC222" s="7">
        <f>VLOOKUP(D222,listaBolsa!$D$2:$BA$1248,2,0)</f>
        <v>0</v>
      </c>
      <c r="DD222" s="7" t="str">
        <f>VLOOKUP(D222,listaBolsa!$D$2:$BA$1248,10,0)</f>
        <v xml:space="preserve">JUNTOS DE LA MANO </v>
      </c>
      <c r="DE222" s="7">
        <f>VLOOKUP(D222,listaBolsa!$D$2:$BA$1248,14,0)</f>
        <v>4200</v>
      </c>
      <c r="DF222" s="7" t="str">
        <f>VLOOKUP(D222,listaBolsa!$D$2:$BA$1248,23,0)</f>
        <v>MYCBDE</v>
      </c>
      <c r="DG222" s="7">
        <f>VLOOKUP(D222,listaBolsa!$D$2:$BA$1248,29,0)</f>
        <v>4760</v>
      </c>
      <c r="DH222" s="7" t="str">
        <f>VLOOKUP(D222,listaBolsa!$D$2:$BA$1248,36,0)</f>
        <v>DAGROW</v>
      </c>
      <c r="DI222" s="7">
        <f>VLOOKUP(D222,listaBolsa!$D$2:$BA$1248,40,0)</f>
        <v>4900</v>
      </c>
      <c r="DJ222" s="252">
        <f>VLOOKUP(D222,listaBolsa!$D$2:$BA$1248,48,0)</f>
        <v>0.1082</v>
      </c>
      <c r="DK222" s="7" t="b">
        <f t="shared" si="180"/>
        <v>1</v>
      </c>
      <c r="DL222" s="7" t="b">
        <f t="shared" si="181"/>
        <v>0</v>
      </c>
      <c r="DM222" s="7" t="b">
        <f t="shared" si="193"/>
        <v>1</v>
      </c>
      <c r="DN222" s="7" t="b">
        <f t="shared" si="194"/>
        <v>1</v>
      </c>
      <c r="DO222" s="7" t="b">
        <f t="shared" si="195"/>
        <v>1</v>
      </c>
      <c r="DP222" s="7" t="b">
        <f t="shared" si="196"/>
        <v>0</v>
      </c>
      <c r="DQ222" s="7" t="b">
        <f t="shared" si="197"/>
        <v>1</v>
      </c>
      <c r="DR222" s="7" t="b">
        <f t="shared" si="198"/>
        <v>1</v>
      </c>
      <c r="DS222" s="7" t="b">
        <f t="shared" si="199"/>
        <v>0</v>
      </c>
    </row>
    <row r="223" spans="1:123" s="7" customFormat="1" ht="42">
      <c r="A223" s="7" t="s">
        <v>570</v>
      </c>
      <c r="B223" s="453">
        <v>209</v>
      </c>
      <c r="C223" s="642" t="s">
        <v>579</v>
      </c>
      <c r="D223" s="453" t="s">
        <v>902</v>
      </c>
      <c r="E223" s="453" t="s">
        <v>903</v>
      </c>
      <c r="F223" s="194" t="s">
        <v>568</v>
      </c>
      <c r="G223" s="453">
        <v>1</v>
      </c>
      <c r="H223" s="443" t="s">
        <v>192</v>
      </c>
      <c r="I223" s="454" t="s">
        <v>380</v>
      </c>
      <c r="J223" s="455">
        <v>6000</v>
      </c>
      <c r="K223" s="455">
        <f t="shared" si="203"/>
        <v>1140</v>
      </c>
      <c r="L223" s="455">
        <f t="shared" si="185"/>
        <v>7140</v>
      </c>
      <c r="M223" s="455">
        <f t="shared" si="186"/>
        <v>6000</v>
      </c>
      <c r="N223" s="455">
        <f t="shared" si="187"/>
        <v>7140</v>
      </c>
      <c r="O223" s="456" t="s">
        <v>381</v>
      </c>
      <c r="P223" s="457">
        <v>5500</v>
      </c>
      <c r="Q223" s="457">
        <f t="shared" si="204"/>
        <v>1045</v>
      </c>
      <c r="R223" s="457">
        <f t="shared" si="188"/>
        <v>6545</v>
      </c>
      <c r="S223" s="457">
        <f t="shared" si="189"/>
        <v>5500</v>
      </c>
      <c r="T223" s="457">
        <f t="shared" si="190"/>
        <v>6545</v>
      </c>
      <c r="U223" s="458" t="s">
        <v>382</v>
      </c>
      <c r="V223" s="459">
        <v>5600</v>
      </c>
      <c r="W223" s="459">
        <f t="shared" si="202"/>
        <v>1064</v>
      </c>
      <c r="X223" s="459">
        <f t="shared" si="182"/>
        <v>6664</v>
      </c>
      <c r="Y223" s="459">
        <f t="shared" si="183"/>
        <v>5600</v>
      </c>
      <c r="Z223" s="459">
        <f t="shared" si="184"/>
        <v>6664</v>
      </c>
      <c r="AA223" s="460">
        <f t="shared" si="200"/>
        <v>6783</v>
      </c>
      <c r="AB223" s="460">
        <f t="shared" si="191"/>
        <v>6783</v>
      </c>
      <c r="AC223" s="461">
        <f t="shared" si="201"/>
        <v>314.84440601668626</v>
      </c>
      <c r="AD223" s="427">
        <f t="shared" si="192"/>
        <v>4.6416689667799833E-2</v>
      </c>
      <c r="AE223" s="428"/>
      <c r="BH223" s="7">
        <v>100</v>
      </c>
      <c r="DB223" s="7" t="str">
        <f>VLOOKUP(D223,listaBolsa!$D$2:$BA$1248,1,0)</f>
        <v xml:space="preserve">Envase de vidrio 150 ml </v>
      </c>
      <c r="DC223" s="7">
        <f>VLOOKUP(D223,listaBolsa!$D$2:$BA$1248,2,0)</f>
        <v>0</v>
      </c>
      <c r="DD223" s="7" t="str">
        <f>VLOOKUP(D223,listaBolsa!$D$2:$BA$1248,10,0)</f>
        <v xml:space="preserve">JUNTOS DE LA MANO </v>
      </c>
      <c r="DE223" s="7">
        <f>VLOOKUP(D223,listaBolsa!$D$2:$BA$1248,14,0)</f>
        <v>6000</v>
      </c>
      <c r="DF223" s="7" t="str">
        <f>VLOOKUP(D223,listaBolsa!$D$2:$BA$1248,23,0)</f>
        <v>MYCBDE</v>
      </c>
      <c r="DG223" s="7">
        <f>VLOOKUP(D223,listaBolsa!$D$2:$BA$1248,29,0)</f>
        <v>6545</v>
      </c>
      <c r="DH223" s="7" t="str">
        <f>VLOOKUP(D223,listaBolsa!$D$2:$BA$1248,36,0)</f>
        <v>DAGROW</v>
      </c>
      <c r="DI223" s="7">
        <f>VLOOKUP(D223,listaBolsa!$D$2:$BA$1248,40,0)</f>
        <v>5600</v>
      </c>
      <c r="DJ223" s="252">
        <f>VLOOKUP(D223,listaBolsa!$D$2:$BA$1248,48,0)</f>
        <v>4.6399999999999997E-2</v>
      </c>
      <c r="DK223" s="7" t="b">
        <f t="shared" si="180"/>
        <v>1</v>
      </c>
      <c r="DL223" s="7" t="b">
        <f t="shared" si="181"/>
        <v>0</v>
      </c>
      <c r="DM223" s="7" t="b">
        <f t="shared" si="193"/>
        <v>1</v>
      </c>
      <c r="DN223" s="7" t="b">
        <f t="shared" si="194"/>
        <v>1</v>
      </c>
      <c r="DO223" s="7" t="b">
        <f t="shared" si="195"/>
        <v>1</v>
      </c>
      <c r="DP223" s="7" t="b">
        <f t="shared" si="196"/>
        <v>0</v>
      </c>
      <c r="DQ223" s="7" t="b">
        <f t="shared" si="197"/>
        <v>1</v>
      </c>
      <c r="DR223" s="7" t="b">
        <f t="shared" si="198"/>
        <v>1</v>
      </c>
      <c r="DS223" s="7" t="b">
        <f t="shared" si="199"/>
        <v>0</v>
      </c>
    </row>
    <row r="224" spans="1:123" s="7" customFormat="1" ht="42">
      <c r="A224" s="7" t="s">
        <v>570</v>
      </c>
      <c r="B224" s="453">
        <v>210</v>
      </c>
      <c r="C224" s="642" t="s">
        <v>579</v>
      </c>
      <c r="D224" s="453" t="s">
        <v>905</v>
      </c>
      <c r="E224" s="453" t="s">
        <v>906</v>
      </c>
      <c r="F224" s="194" t="s">
        <v>568</v>
      </c>
      <c r="G224" s="453">
        <v>1</v>
      </c>
      <c r="H224" s="443" t="s">
        <v>192</v>
      </c>
      <c r="I224" s="454" t="s">
        <v>380</v>
      </c>
      <c r="J224" s="455">
        <v>8000</v>
      </c>
      <c r="K224" s="455">
        <f t="shared" si="203"/>
        <v>1520</v>
      </c>
      <c r="L224" s="455">
        <f t="shared" si="185"/>
        <v>9520</v>
      </c>
      <c r="M224" s="455">
        <f t="shared" si="186"/>
        <v>8000</v>
      </c>
      <c r="N224" s="455">
        <f t="shared" si="187"/>
        <v>9520</v>
      </c>
      <c r="O224" s="456" t="s">
        <v>381</v>
      </c>
      <c r="P224" s="457">
        <v>7500</v>
      </c>
      <c r="Q224" s="457">
        <f t="shared" si="204"/>
        <v>1425</v>
      </c>
      <c r="R224" s="457">
        <f t="shared" si="188"/>
        <v>8925</v>
      </c>
      <c r="S224" s="457">
        <f t="shared" si="189"/>
        <v>7500</v>
      </c>
      <c r="T224" s="457">
        <f t="shared" si="190"/>
        <v>8925</v>
      </c>
      <c r="U224" s="458" t="s">
        <v>382</v>
      </c>
      <c r="V224" s="459">
        <v>6720</v>
      </c>
      <c r="W224" s="459">
        <f t="shared" si="202"/>
        <v>1276.8</v>
      </c>
      <c r="X224" s="459">
        <f t="shared" si="182"/>
        <v>7996.8</v>
      </c>
      <c r="Y224" s="459">
        <f t="shared" si="183"/>
        <v>6720</v>
      </c>
      <c r="Z224" s="459">
        <f t="shared" si="184"/>
        <v>7996.8</v>
      </c>
      <c r="AA224" s="460">
        <f t="shared" si="200"/>
        <v>8813.9333333333325</v>
      </c>
      <c r="AB224" s="460">
        <f t="shared" si="191"/>
        <v>8813.9333333333325</v>
      </c>
      <c r="AC224" s="461">
        <f t="shared" si="201"/>
        <v>767.64992889554367</v>
      </c>
      <c r="AD224" s="427">
        <f t="shared" si="192"/>
        <v>8.7095045975940796E-2</v>
      </c>
      <c r="AE224" s="428"/>
      <c r="BH224" s="7">
        <v>101</v>
      </c>
      <c r="DB224" s="7" t="str">
        <f>VLOOKUP(D224,listaBolsa!$D$2:$BA$1248,1,0)</f>
        <v xml:space="preserve">Envase de vidrio 250 ml </v>
      </c>
      <c r="DC224" s="7">
        <f>VLOOKUP(D224,listaBolsa!$D$2:$BA$1248,2,0)</f>
        <v>0</v>
      </c>
      <c r="DD224" s="7" t="str">
        <f>VLOOKUP(D224,listaBolsa!$D$2:$BA$1248,10,0)</f>
        <v xml:space="preserve">JUNTOS DE LA MANO </v>
      </c>
      <c r="DE224" s="7">
        <f>VLOOKUP(D224,listaBolsa!$D$2:$BA$1248,14,0)</f>
        <v>8000</v>
      </c>
      <c r="DF224" s="7" t="str">
        <f>VLOOKUP(D224,listaBolsa!$D$2:$BA$1248,23,0)</f>
        <v>MYCBDE</v>
      </c>
      <c r="DG224" s="7">
        <f>VLOOKUP(D224,listaBolsa!$D$2:$BA$1248,29,0)</f>
        <v>8925</v>
      </c>
      <c r="DH224" s="7" t="str">
        <f>VLOOKUP(D224,listaBolsa!$D$2:$BA$1248,36,0)</f>
        <v>DAGROW</v>
      </c>
      <c r="DI224" s="7">
        <f>VLOOKUP(D224,listaBolsa!$D$2:$BA$1248,40,0)</f>
        <v>6720</v>
      </c>
      <c r="DJ224" s="252">
        <f>VLOOKUP(D224,listaBolsa!$D$2:$BA$1248,48,0)</f>
        <v>8.7099999999999997E-2</v>
      </c>
      <c r="DK224" s="7" t="b">
        <f t="shared" si="180"/>
        <v>1</v>
      </c>
      <c r="DL224" s="7" t="b">
        <f t="shared" si="181"/>
        <v>0</v>
      </c>
      <c r="DM224" s="7" t="b">
        <f t="shared" si="193"/>
        <v>1</v>
      </c>
      <c r="DN224" s="7" t="b">
        <f t="shared" si="194"/>
        <v>1</v>
      </c>
      <c r="DO224" s="7" t="b">
        <f t="shared" si="195"/>
        <v>1</v>
      </c>
      <c r="DP224" s="7" t="b">
        <f t="shared" si="196"/>
        <v>0</v>
      </c>
      <c r="DQ224" s="7" t="b">
        <f t="shared" si="197"/>
        <v>1</v>
      </c>
      <c r="DR224" s="7" t="b">
        <f t="shared" si="198"/>
        <v>1</v>
      </c>
      <c r="DS224" s="7" t="b">
        <f t="shared" si="199"/>
        <v>0</v>
      </c>
    </row>
    <row r="225" spans="1:123" s="7" customFormat="1" ht="42">
      <c r="A225" s="7" t="s">
        <v>570</v>
      </c>
      <c r="B225" s="453">
        <v>211</v>
      </c>
      <c r="C225" s="642" t="s">
        <v>579</v>
      </c>
      <c r="D225" s="453" t="s">
        <v>908</v>
      </c>
      <c r="E225" s="453" t="s">
        <v>909</v>
      </c>
      <c r="F225" s="194" t="s">
        <v>568</v>
      </c>
      <c r="G225" s="453">
        <v>1</v>
      </c>
      <c r="H225" s="443" t="s">
        <v>192</v>
      </c>
      <c r="I225" s="454" t="s">
        <v>380</v>
      </c>
      <c r="J225" s="455">
        <v>8000</v>
      </c>
      <c r="K225" s="455">
        <f t="shared" si="203"/>
        <v>1520</v>
      </c>
      <c r="L225" s="455">
        <f t="shared" si="185"/>
        <v>9520</v>
      </c>
      <c r="M225" s="455">
        <f t="shared" si="186"/>
        <v>8000</v>
      </c>
      <c r="N225" s="455">
        <f t="shared" si="187"/>
        <v>9520</v>
      </c>
      <c r="O225" s="456" t="s">
        <v>381</v>
      </c>
      <c r="P225" s="457">
        <v>7500</v>
      </c>
      <c r="Q225" s="457">
        <f t="shared" si="204"/>
        <v>1425</v>
      </c>
      <c r="R225" s="457">
        <f t="shared" si="188"/>
        <v>8925</v>
      </c>
      <c r="S225" s="457">
        <f t="shared" si="189"/>
        <v>7500</v>
      </c>
      <c r="T225" s="457">
        <f t="shared" si="190"/>
        <v>8925</v>
      </c>
      <c r="U225" s="458" t="s">
        <v>382</v>
      </c>
      <c r="V225" s="459">
        <v>7700</v>
      </c>
      <c r="W225" s="459">
        <f t="shared" si="202"/>
        <v>1463</v>
      </c>
      <c r="X225" s="459">
        <f t="shared" si="182"/>
        <v>9163</v>
      </c>
      <c r="Y225" s="459">
        <f t="shared" si="183"/>
        <v>7700</v>
      </c>
      <c r="Z225" s="459">
        <f t="shared" si="184"/>
        <v>9163</v>
      </c>
      <c r="AA225" s="460">
        <f t="shared" si="200"/>
        <v>9202.6666666666661</v>
      </c>
      <c r="AB225" s="460">
        <f t="shared" si="191"/>
        <v>9202.6666666666661</v>
      </c>
      <c r="AC225" s="461">
        <f t="shared" si="201"/>
        <v>299.47676593240641</v>
      </c>
      <c r="AD225" s="427">
        <f t="shared" si="192"/>
        <v>3.2542389807201512E-2</v>
      </c>
      <c r="AE225" s="428"/>
      <c r="BH225" s="7">
        <v>102</v>
      </c>
      <c r="DB225" s="7" t="str">
        <f>VLOOKUP(D225,listaBolsa!$D$2:$BA$1248,1,0)</f>
        <v xml:space="preserve">Envase de vidrio 350ml </v>
      </c>
      <c r="DC225" s="7">
        <f>VLOOKUP(D225,listaBolsa!$D$2:$BA$1248,2,0)</f>
        <v>0</v>
      </c>
      <c r="DD225" s="7" t="str">
        <f>VLOOKUP(D225,listaBolsa!$D$2:$BA$1248,10,0)</f>
        <v xml:space="preserve">JUNTOS DE LA MANO </v>
      </c>
      <c r="DE225" s="7">
        <f>VLOOKUP(D225,listaBolsa!$D$2:$BA$1248,14,0)</f>
        <v>8000</v>
      </c>
      <c r="DF225" s="7" t="str">
        <f>VLOOKUP(D225,listaBolsa!$D$2:$BA$1248,23,0)</f>
        <v>MYCBDE</v>
      </c>
      <c r="DG225" s="7">
        <f>VLOOKUP(D225,listaBolsa!$D$2:$BA$1248,29,0)</f>
        <v>8925</v>
      </c>
      <c r="DH225" s="7" t="str">
        <f>VLOOKUP(D225,listaBolsa!$D$2:$BA$1248,36,0)</f>
        <v>DAGROW</v>
      </c>
      <c r="DI225" s="7">
        <f>VLOOKUP(D225,listaBolsa!$D$2:$BA$1248,40,0)</f>
        <v>7700</v>
      </c>
      <c r="DJ225" s="252">
        <f>VLOOKUP(D225,listaBolsa!$D$2:$BA$1248,48,0)</f>
        <v>3.2500000000000001E-2</v>
      </c>
      <c r="DK225" s="7" t="b">
        <f t="shared" si="180"/>
        <v>1</v>
      </c>
      <c r="DL225" s="7" t="b">
        <f t="shared" si="181"/>
        <v>0</v>
      </c>
      <c r="DM225" s="7" t="b">
        <f t="shared" si="193"/>
        <v>1</v>
      </c>
      <c r="DN225" s="7" t="b">
        <f t="shared" si="194"/>
        <v>1</v>
      </c>
      <c r="DO225" s="7" t="b">
        <f t="shared" si="195"/>
        <v>1</v>
      </c>
      <c r="DP225" s="7" t="b">
        <f t="shared" si="196"/>
        <v>0</v>
      </c>
      <c r="DQ225" s="7" t="b">
        <f t="shared" si="197"/>
        <v>1</v>
      </c>
      <c r="DR225" s="7" t="b">
        <f t="shared" si="198"/>
        <v>1</v>
      </c>
      <c r="DS225" s="7" t="b">
        <f t="shared" si="199"/>
        <v>0</v>
      </c>
    </row>
    <row r="226" spans="1:123" s="7" customFormat="1" ht="42">
      <c r="A226" s="7" t="s">
        <v>570</v>
      </c>
      <c r="B226" s="453">
        <v>212</v>
      </c>
      <c r="C226" s="642" t="s">
        <v>579</v>
      </c>
      <c r="D226" s="453" t="s">
        <v>911</v>
      </c>
      <c r="E226" s="453" t="s">
        <v>912</v>
      </c>
      <c r="F226" s="194" t="s">
        <v>568</v>
      </c>
      <c r="G226" s="453">
        <v>1</v>
      </c>
      <c r="H226" s="443" t="s">
        <v>192</v>
      </c>
      <c r="I226" s="454" t="s">
        <v>380</v>
      </c>
      <c r="J226" s="455">
        <v>8000</v>
      </c>
      <c r="K226" s="455">
        <f t="shared" si="203"/>
        <v>1520</v>
      </c>
      <c r="L226" s="455">
        <f t="shared" si="185"/>
        <v>9520</v>
      </c>
      <c r="M226" s="455">
        <f t="shared" si="186"/>
        <v>8000</v>
      </c>
      <c r="N226" s="455">
        <f t="shared" si="187"/>
        <v>9520</v>
      </c>
      <c r="O226" s="456" t="s">
        <v>381</v>
      </c>
      <c r="P226" s="457">
        <v>7400</v>
      </c>
      <c r="Q226" s="457">
        <f t="shared" si="204"/>
        <v>1406</v>
      </c>
      <c r="R226" s="457">
        <f t="shared" si="188"/>
        <v>8806</v>
      </c>
      <c r="S226" s="457">
        <f t="shared" si="189"/>
        <v>7400</v>
      </c>
      <c r="T226" s="457">
        <f t="shared" si="190"/>
        <v>8806</v>
      </c>
      <c r="U226" s="458" t="s">
        <v>382</v>
      </c>
      <c r="V226" s="459">
        <v>7700</v>
      </c>
      <c r="W226" s="459">
        <f t="shared" si="202"/>
        <v>1463</v>
      </c>
      <c r="X226" s="459">
        <f t="shared" si="182"/>
        <v>9163</v>
      </c>
      <c r="Y226" s="459">
        <f t="shared" si="183"/>
        <v>7700</v>
      </c>
      <c r="Z226" s="459">
        <f t="shared" si="184"/>
        <v>9163</v>
      </c>
      <c r="AA226" s="460">
        <f t="shared" si="200"/>
        <v>9163</v>
      </c>
      <c r="AB226" s="460">
        <f t="shared" si="191"/>
        <v>9163</v>
      </c>
      <c r="AC226" s="461">
        <f t="shared" si="201"/>
        <v>357</v>
      </c>
      <c r="AD226" s="427">
        <f t="shared" si="192"/>
        <v>3.896103896103896E-2</v>
      </c>
      <c r="AE226" s="428"/>
      <c r="BH226" s="7">
        <v>103</v>
      </c>
      <c r="DB226" s="7" t="str">
        <f>VLOOKUP(D226,listaBolsa!$D$2:$BA$1248,1,0)</f>
        <v xml:space="preserve">Envase de vidrio 500 ml </v>
      </c>
      <c r="DC226" s="7">
        <f>VLOOKUP(D226,listaBolsa!$D$2:$BA$1248,2,0)</f>
        <v>0</v>
      </c>
      <c r="DD226" s="7" t="str">
        <f>VLOOKUP(D226,listaBolsa!$D$2:$BA$1248,10,0)</f>
        <v xml:space="preserve">JUNTOS DE LA MANO </v>
      </c>
      <c r="DE226" s="7">
        <f>VLOOKUP(D226,listaBolsa!$D$2:$BA$1248,14,0)</f>
        <v>8000</v>
      </c>
      <c r="DF226" s="7" t="str">
        <f>VLOOKUP(D226,listaBolsa!$D$2:$BA$1248,23,0)</f>
        <v>MYCBDE</v>
      </c>
      <c r="DG226" s="7">
        <f>VLOOKUP(D226,listaBolsa!$D$2:$BA$1248,29,0)</f>
        <v>8806</v>
      </c>
      <c r="DH226" s="7" t="str">
        <f>VLOOKUP(D226,listaBolsa!$D$2:$BA$1248,36,0)</f>
        <v>DAGROW</v>
      </c>
      <c r="DI226" s="7">
        <f>VLOOKUP(D226,listaBolsa!$D$2:$BA$1248,40,0)</f>
        <v>7700</v>
      </c>
      <c r="DJ226" s="252">
        <f>VLOOKUP(D226,listaBolsa!$D$2:$BA$1248,48,0)</f>
        <v>3.9E-2</v>
      </c>
      <c r="DK226" s="7" t="b">
        <f t="shared" si="180"/>
        <v>1</v>
      </c>
      <c r="DL226" s="7" t="b">
        <f t="shared" si="181"/>
        <v>0</v>
      </c>
      <c r="DM226" s="7" t="b">
        <f t="shared" si="193"/>
        <v>1</v>
      </c>
      <c r="DN226" s="7" t="b">
        <f t="shared" si="194"/>
        <v>1</v>
      </c>
      <c r="DO226" s="7" t="b">
        <f t="shared" si="195"/>
        <v>1</v>
      </c>
      <c r="DP226" s="7" t="b">
        <f t="shared" si="196"/>
        <v>0</v>
      </c>
      <c r="DQ226" s="7" t="b">
        <f t="shared" si="197"/>
        <v>1</v>
      </c>
      <c r="DR226" s="7" t="b">
        <f t="shared" si="198"/>
        <v>1</v>
      </c>
      <c r="DS226" s="7" t="b">
        <f t="shared" si="199"/>
        <v>0</v>
      </c>
    </row>
    <row r="227" spans="1:123" s="7" customFormat="1" ht="42">
      <c r="A227" s="7" t="s">
        <v>570</v>
      </c>
      <c r="B227" s="453">
        <v>213</v>
      </c>
      <c r="C227" s="642" t="s">
        <v>579</v>
      </c>
      <c r="D227" s="453" t="s">
        <v>914</v>
      </c>
      <c r="E227" s="453" t="s">
        <v>915</v>
      </c>
      <c r="F227" s="194" t="s">
        <v>568</v>
      </c>
      <c r="G227" s="453">
        <v>1</v>
      </c>
      <c r="H227" s="443" t="s">
        <v>192</v>
      </c>
      <c r="I227" s="454" t="s">
        <v>380</v>
      </c>
      <c r="J227" s="455">
        <v>4000</v>
      </c>
      <c r="K227" s="455">
        <f t="shared" si="203"/>
        <v>760</v>
      </c>
      <c r="L227" s="455">
        <f t="shared" si="185"/>
        <v>4760</v>
      </c>
      <c r="M227" s="455">
        <f t="shared" si="186"/>
        <v>4000</v>
      </c>
      <c r="N227" s="455">
        <f t="shared" si="187"/>
        <v>4760</v>
      </c>
      <c r="O227" s="456" t="s">
        <v>381</v>
      </c>
      <c r="P227" s="457">
        <v>3400</v>
      </c>
      <c r="Q227" s="457">
        <f t="shared" si="204"/>
        <v>646</v>
      </c>
      <c r="R227" s="457">
        <f t="shared" si="188"/>
        <v>4046</v>
      </c>
      <c r="S227" s="457">
        <f t="shared" si="189"/>
        <v>3400</v>
      </c>
      <c r="T227" s="457">
        <f t="shared" si="190"/>
        <v>4046</v>
      </c>
      <c r="U227" s="458" t="s">
        <v>382</v>
      </c>
      <c r="V227" s="459">
        <v>3080</v>
      </c>
      <c r="W227" s="459">
        <f t="shared" si="202"/>
        <v>585.20000000000005</v>
      </c>
      <c r="X227" s="459">
        <f t="shared" si="182"/>
        <v>3665.2</v>
      </c>
      <c r="Y227" s="459">
        <f t="shared" si="183"/>
        <v>3080</v>
      </c>
      <c r="Z227" s="459">
        <f t="shared" si="184"/>
        <v>3665.2</v>
      </c>
      <c r="AA227" s="460">
        <f t="shared" si="200"/>
        <v>4157.0666666666666</v>
      </c>
      <c r="AB227" s="460">
        <f t="shared" si="191"/>
        <v>4157.0666666666666</v>
      </c>
      <c r="AC227" s="461">
        <f t="shared" si="201"/>
        <v>555.78648178354388</v>
      </c>
      <c r="AD227" s="427">
        <f t="shared" si="192"/>
        <v>0.13369679303921289</v>
      </c>
      <c r="AE227" s="428"/>
      <c r="BH227" s="7">
        <v>104</v>
      </c>
      <c r="DB227" s="7" t="str">
        <f>VLOOKUP(D227,listaBolsa!$D$2:$BA$1248,1,0)</f>
        <v xml:space="preserve">Envase de plástico 1 litro </v>
      </c>
      <c r="DC227" s="7">
        <f>VLOOKUP(D227,listaBolsa!$D$2:$BA$1248,2,0)</f>
        <v>0</v>
      </c>
      <c r="DD227" s="7" t="str">
        <f>VLOOKUP(D227,listaBolsa!$D$2:$BA$1248,10,0)</f>
        <v xml:space="preserve">JUNTOS DE LA MANO </v>
      </c>
      <c r="DE227" s="7">
        <f>VLOOKUP(D227,listaBolsa!$D$2:$BA$1248,14,0)</f>
        <v>4000</v>
      </c>
      <c r="DF227" s="7" t="str">
        <f>VLOOKUP(D227,listaBolsa!$D$2:$BA$1248,23,0)</f>
        <v>MYCBDE</v>
      </c>
      <c r="DG227" s="7">
        <f>VLOOKUP(D227,listaBolsa!$D$2:$BA$1248,29,0)</f>
        <v>4046</v>
      </c>
      <c r="DH227" s="7" t="str">
        <f>VLOOKUP(D227,listaBolsa!$D$2:$BA$1248,36,0)</f>
        <v>DAGROW</v>
      </c>
      <c r="DI227" s="7">
        <f>VLOOKUP(D227,listaBolsa!$D$2:$BA$1248,40,0)</f>
        <v>3080</v>
      </c>
      <c r="DJ227" s="252">
        <f>VLOOKUP(D227,listaBolsa!$D$2:$BA$1248,48,0)</f>
        <v>0.13370000000000001</v>
      </c>
      <c r="DK227" s="7" t="b">
        <f t="shared" si="180"/>
        <v>1</v>
      </c>
      <c r="DL227" s="7" t="b">
        <f t="shared" si="181"/>
        <v>0</v>
      </c>
      <c r="DM227" s="7" t="b">
        <f t="shared" si="193"/>
        <v>1</v>
      </c>
      <c r="DN227" s="7" t="b">
        <f t="shared" si="194"/>
        <v>1</v>
      </c>
      <c r="DO227" s="7" t="b">
        <f t="shared" si="195"/>
        <v>1</v>
      </c>
      <c r="DP227" s="7" t="b">
        <f t="shared" si="196"/>
        <v>0</v>
      </c>
      <c r="DQ227" s="7" t="b">
        <f t="shared" si="197"/>
        <v>1</v>
      </c>
      <c r="DR227" s="7" t="b">
        <f t="shared" si="198"/>
        <v>1</v>
      </c>
      <c r="DS227" s="7" t="b">
        <f t="shared" si="199"/>
        <v>0</v>
      </c>
    </row>
    <row r="228" spans="1:123" s="7" customFormat="1" ht="42">
      <c r="A228" s="7" t="s">
        <v>570</v>
      </c>
      <c r="B228" s="453">
        <v>214</v>
      </c>
      <c r="C228" s="642" t="s">
        <v>579</v>
      </c>
      <c r="D228" s="453" t="s">
        <v>917</v>
      </c>
      <c r="E228" s="453" t="s">
        <v>918</v>
      </c>
      <c r="F228" s="194" t="s">
        <v>568</v>
      </c>
      <c r="G228" s="453">
        <v>1</v>
      </c>
      <c r="H228" s="443" t="s">
        <v>192</v>
      </c>
      <c r="I228" s="454" t="s">
        <v>380</v>
      </c>
      <c r="J228" s="455">
        <v>58000</v>
      </c>
      <c r="K228" s="455">
        <f t="shared" si="203"/>
        <v>11020</v>
      </c>
      <c r="L228" s="455">
        <f t="shared" si="185"/>
        <v>69020</v>
      </c>
      <c r="M228" s="455">
        <f t="shared" si="186"/>
        <v>58000</v>
      </c>
      <c r="N228" s="455">
        <f t="shared" si="187"/>
        <v>69020</v>
      </c>
      <c r="O228" s="456" t="s">
        <v>381</v>
      </c>
      <c r="P228" s="457">
        <v>56000</v>
      </c>
      <c r="Q228" s="457">
        <f t="shared" si="204"/>
        <v>10640</v>
      </c>
      <c r="R228" s="457">
        <f t="shared" si="188"/>
        <v>66640</v>
      </c>
      <c r="S228" s="457">
        <f t="shared" si="189"/>
        <v>56000</v>
      </c>
      <c r="T228" s="457">
        <f t="shared" si="190"/>
        <v>66640</v>
      </c>
      <c r="U228" s="458" t="s">
        <v>239</v>
      </c>
      <c r="V228" s="459">
        <v>71428.571428571435</v>
      </c>
      <c r="W228" s="459">
        <f t="shared" si="202"/>
        <v>13571.428571428572</v>
      </c>
      <c r="X228" s="459">
        <f t="shared" si="182"/>
        <v>85000</v>
      </c>
      <c r="Y228" s="459">
        <f t="shared" si="183"/>
        <v>71428.571428571435</v>
      </c>
      <c r="Z228" s="459">
        <f t="shared" si="184"/>
        <v>85000</v>
      </c>
      <c r="AA228" s="460">
        <f t="shared" si="200"/>
        <v>73553.333333333328</v>
      </c>
      <c r="AB228" s="460">
        <f t="shared" si="191"/>
        <v>73553.333333333328</v>
      </c>
      <c r="AC228" s="461">
        <f t="shared" si="201"/>
        <v>9984.2743017874363</v>
      </c>
      <c r="AD228" s="427">
        <f t="shared" si="192"/>
        <v>0.13574196911702308</v>
      </c>
      <c r="AE228" s="428"/>
      <c r="BH228" s="7">
        <v>105</v>
      </c>
      <c r="DB228" s="7" t="e">
        <f>VLOOKUP(D228,listaBolsa!$D$2:$BA$1248,1,0)</f>
        <v>#N/A</v>
      </c>
      <c r="DC228" s="7" t="e">
        <f>VLOOKUP(D228,listaBolsa!$D$2:$BA$1248,2,0)</f>
        <v>#N/A</v>
      </c>
      <c r="DD228" s="7" t="e">
        <f>VLOOKUP(D228,listaBolsa!$D$2:$BA$1248,10,0)</f>
        <v>#N/A</v>
      </c>
      <c r="DE228" s="7" t="e">
        <f>VLOOKUP(D228,listaBolsa!$D$2:$BA$1248,14,0)</f>
        <v>#N/A</v>
      </c>
      <c r="DF228" s="7" t="e">
        <f>VLOOKUP(D228,listaBolsa!$D$2:$BA$1248,23,0)</f>
        <v>#N/A</v>
      </c>
      <c r="DG228" s="7" t="e">
        <f>VLOOKUP(D228,listaBolsa!$D$2:$BA$1248,29,0)</f>
        <v>#N/A</v>
      </c>
      <c r="DH228" s="7" t="e">
        <f>VLOOKUP(D228,listaBolsa!$D$2:$BA$1248,36,0)</f>
        <v>#N/A</v>
      </c>
      <c r="DI228" s="7" t="e">
        <f>VLOOKUP(D228,listaBolsa!$D$2:$BA$1248,40,0)</f>
        <v>#N/A</v>
      </c>
      <c r="DJ228" s="252" t="e">
        <f>VLOOKUP(D228,listaBolsa!$D$2:$BA$1248,48,0)</f>
        <v>#N/A</v>
      </c>
      <c r="DK228" s="7" t="e">
        <f t="shared" si="180"/>
        <v>#N/A</v>
      </c>
      <c r="DL228" s="7" t="e">
        <f t="shared" si="181"/>
        <v>#N/A</v>
      </c>
      <c r="DM228" s="7" t="e">
        <f t="shared" si="193"/>
        <v>#N/A</v>
      </c>
      <c r="DN228" s="7" t="e">
        <f t="shared" si="194"/>
        <v>#N/A</v>
      </c>
      <c r="DO228" s="7" t="e">
        <f t="shared" si="195"/>
        <v>#N/A</v>
      </c>
      <c r="DP228" s="7" t="e">
        <f t="shared" si="196"/>
        <v>#N/A</v>
      </c>
      <c r="DQ228" s="7" t="e">
        <f t="shared" si="197"/>
        <v>#N/A</v>
      </c>
      <c r="DR228" s="7" t="e">
        <f t="shared" si="198"/>
        <v>#N/A</v>
      </c>
      <c r="DS228" s="7" t="e">
        <f t="shared" si="199"/>
        <v>#N/A</v>
      </c>
    </row>
    <row r="229" spans="1:123" s="7" customFormat="1" ht="42">
      <c r="A229" s="7" t="s">
        <v>570</v>
      </c>
      <c r="B229" s="453">
        <v>215</v>
      </c>
      <c r="C229" s="642" t="s">
        <v>579</v>
      </c>
      <c r="D229" s="453" t="s">
        <v>920</v>
      </c>
      <c r="E229" s="453" t="s">
        <v>921</v>
      </c>
      <c r="F229" s="194" t="s">
        <v>568</v>
      </c>
      <c r="G229" s="453">
        <v>1</v>
      </c>
      <c r="H229" s="443" t="s">
        <v>192</v>
      </c>
      <c r="I229" s="454" t="s">
        <v>1116</v>
      </c>
      <c r="J229" s="455">
        <v>92352.94</v>
      </c>
      <c r="K229" s="455">
        <f t="shared" si="203"/>
        <v>17547.0586</v>
      </c>
      <c r="L229" s="455">
        <f t="shared" si="185"/>
        <v>109899.99860000001</v>
      </c>
      <c r="M229" s="455">
        <f t="shared" si="186"/>
        <v>92352.94</v>
      </c>
      <c r="N229" s="455">
        <f t="shared" si="187"/>
        <v>109899.99860000001</v>
      </c>
      <c r="O229" s="456" t="s">
        <v>1117</v>
      </c>
      <c r="P229" s="457">
        <v>108403.36</v>
      </c>
      <c r="Q229" s="457">
        <f t="shared" si="204"/>
        <v>20596.6384</v>
      </c>
      <c r="R229" s="457">
        <f t="shared" si="188"/>
        <v>128999.9984</v>
      </c>
      <c r="S229" s="457">
        <f t="shared" si="189"/>
        <v>108403.36</v>
      </c>
      <c r="T229" s="457">
        <f t="shared" si="190"/>
        <v>128999.9984</v>
      </c>
      <c r="U229" s="458" t="s">
        <v>239</v>
      </c>
      <c r="V229" s="459">
        <v>117563.03</v>
      </c>
      <c r="W229" s="459">
        <f t="shared" si="202"/>
        <v>22336.975699999999</v>
      </c>
      <c r="X229" s="459">
        <f t="shared" si="182"/>
        <v>139900.00570000001</v>
      </c>
      <c r="Y229" s="459">
        <f t="shared" si="183"/>
        <v>117563.03</v>
      </c>
      <c r="Z229" s="459">
        <f t="shared" si="184"/>
        <v>139900.00570000001</v>
      </c>
      <c r="AA229" s="460">
        <f t="shared" si="200"/>
        <v>126266.66756666667</v>
      </c>
      <c r="AB229" s="460">
        <f t="shared" si="191"/>
        <v>126266.66756666667</v>
      </c>
      <c r="AC229" s="461">
        <f t="shared" si="201"/>
        <v>15185.632340582682</v>
      </c>
      <c r="AD229" s="427">
        <f t="shared" si="192"/>
        <v>0.12026635875667602</v>
      </c>
      <c r="AE229" s="428"/>
      <c r="BH229" s="7">
        <v>106</v>
      </c>
      <c r="DB229" s="7" t="str">
        <f>VLOOKUP(D229,listaBolsa!$D$2:$BA$1248,1,0)</f>
        <v>Básculas</v>
      </c>
      <c r="DC229" s="7">
        <f>VLOOKUP(D229,listaBolsa!$D$2:$BA$1248,2,0)</f>
        <v>0</v>
      </c>
      <c r="DD229" s="7" t="str">
        <f>VLOOKUP(D229,listaBolsa!$D$2:$BA$1248,10,0)</f>
        <v xml:space="preserve">JUNTOS DE LA MANO </v>
      </c>
      <c r="DE229" s="7">
        <f>VLOOKUP(D229,listaBolsa!$D$2:$BA$1248,14,0)</f>
        <v>190000</v>
      </c>
      <c r="DF229" s="7" t="str">
        <f>VLOOKUP(D229,listaBolsa!$D$2:$BA$1248,23,0)</f>
        <v>MYCBDE</v>
      </c>
      <c r="DG229" s="7">
        <f>VLOOKUP(D229,listaBolsa!$D$2:$BA$1248,29,0)</f>
        <v>223720</v>
      </c>
      <c r="DH229" s="7" t="str">
        <f>VLOOKUP(D229,listaBolsa!$D$2:$BA$1248,36,0)</f>
        <v>DAGROW</v>
      </c>
      <c r="DI229" s="7">
        <f>VLOOKUP(D229,listaBolsa!$D$2:$BA$1248,40,0)</f>
        <v>196000</v>
      </c>
      <c r="DJ229" s="252">
        <f>VLOOKUP(D229,listaBolsa!$D$2:$BA$1248,48,0)</f>
        <v>2.18E-2</v>
      </c>
      <c r="DK229" s="7" t="b">
        <f t="shared" si="180"/>
        <v>1</v>
      </c>
      <c r="DL229" s="7" t="b">
        <f t="shared" si="181"/>
        <v>0</v>
      </c>
      <c r="DM229" s="7" t="b">
        <f t="shared" si="193"/>
        <v>0</v>
      </c>
      <c r="DN229" s="7" t="b">
        <f t="shared" si="194"/>
        <v>0</v>
      </c>
      <c r="DO229" s="7" t="b">
        <f t="shared" si="195"/>
        <v>0</v>
      </c>
      <c r="DP229" s="7" t="b">
        <f t="shared" si="196"/>
        <v>0</v>
      </c>
      <c r="DQ229" s="7" t="b">
        <f t="shared" si="197"/>
        <v>0</v>
      </c>
      <c r="DR229" s="7" t="b">
        <f t="shared" si="198"/>
        <v>0</v>
      </c>
      <c r="DS229" s="7" t="b">
        <f t="shared" si="199"/>
        <v>0</v>
      </c>
    </row>
    <row r="230" spans="1:123" s="7" customFormat="1" ht="42">
      <c r="A230" s="7" t="s">
        <v>570</v>
      </c>
      <c r="B230" s="453">
        <v>216</v>
      </c>
      <c r="C230" s="642" t="s">
        <v>579</v>
      </c>
      <c r="D230" s="453" t="s">
        <v>923</v>
      </c>
      <c r="E230" s="453" t="s">
        <v>924</v>
      </c>
      <c r="F230" s="194" t="s">
        <v>568</v>
      </c>
      <c r="G230" s="453">
        <v>1</v>
      </c>
      <c r="H230" s="443" t="s">
        <v>192</v>
      </c>
      <c r="I230" s="454" t="s">
        <v>380</v>
      </c>
      <c r="J230" s="455">
        <v>12000</v>
      </c>
      <c r="K230" s="455">
        <f t="shared" si="203"/>
        <v>2280</v>
      </c>
      <c r="L230" s="455">
        <f t="shared" si="185"/>
        <v>14280</v>
      </c>
      <c r="M230" s="455">
        <f t="shared" si="186"/>
        <v>12000</v>
      </c>
      <c r="N230" s="455">
        <f t="shared" si="187"/>
        <v>14280</v>
      </c>
      <c r="O230" s="456" t="s">
        <v>381</v>
      </c>
      <c r="P230" s="457">
        <v>10000</v>
      </c>
      <c r="Q230" s="457">
        <f t="shared" si="204"/>
        <v>1900</v>
      </c>
      <c r="R230" s="457">
        <f t="shared" si="188"/>
        <v>11900</v>
      </c>
      <c r="S230" s="457">
        <f t="shared" si="189"/>
        <v>10000</v>
      </c>
      <c r="T230" s="457">
        <f t="shared" si="190"/>
        <v>11900</v>
      </c>
      <c r="U230" s="458" t="s">
        <v>382</v>
      </c>
      <c r="V230" s="459">
        <v>9800</v>
      </c>
      <c r="W230" s="459">
        <f t="shared" si="202"/>
        <v>1862</v>
      </c>
      <c r="X230" s="459">
        <f t="shared" si="182"/>
        <v>11662</v>
      </c>
      <c r="Y230" s="459">
        <f t="shared" si="183"/>
        <v>9800</v>
      </c>
      <c r="Z230" s="459">
        <f t="shared" si="184"/>
        <v>11662</v>
      </c>
      <c r="AA230" s="460">
        <f t="shared" si="200"/>
        <v>12614</v>
      </c>
      <c r="AB230" s="460">
        <f t="shared" si="191"/>
        <v>12614</v>
      </c>
      <c r="AC230" s="461">
        <f t="shared" si="201"/>
        <v>1447.6974822109762</v>
      </c>
      <c r="AD230" s="427">
        <f t="shared" si="192"/>
        <v>0.11476910434524942</v>
      </c>
      <c r="AE230" s="428"/>
      <c r="BH230" s="7">
        <v>107</v>
      </c>
      <c r="DB230" s="7" t="str">
        <f>VLOOKUP(D230,listaBolsa!$D$2:$BA$1248,1,0)</f>
        <v>Etiquetas 5x3 cm x 100 unid</v>
      </c>
      <c r="DC230" s="7">
        <f>VLOOKUP(D230,listaBolsa!$D$2:$BA$1248,2,0)</f>
        <v>0</v>
      </c>
      <c r="DD230" s="7" t="str">
        <f>VLOOKUP(D230,listaBolsa!$D$2:$BA$1248,10,0)</f>
        <v xml:space="preserve">JUNTOS DE LA MANO </v>
      </c>
      <c r="DE230" s="7">
        <f>VLOOKUP(D230,listaBolsa!$D$2:$BA$1248,14,0)</f>
        <v>12000</v>
      </c>
      <c r="DF230" s="7" t="str">
        <f>VLOOKUP(D230,listaBolsa!$D$2:$BA$1248,23,0)</f>
        <v>MYCBDE</v>
      </c>
      <c r="DG230" s="7">
        <f>VLOOKUP(D230,listaBolsa!$D$2:$BA$1248,29,0)</f>
        <v>11900</v>
      </c>
      <c r="DH230" s="7" t="str">
        <f>VLOOKUP(D230,listaBolsa!$D$2:$BA$1248,36,0)</f>
        <v>DAGROW</v>
      </c>
      <c r="DI230" s="7">
        <f>VLOOKUP(D230,listaBolsa!$D$2:$BA$1248,40,0)</f>
        <v>9800</v>
      </c>
      <c r="DJ230" s="252">
        <f>VLOOKUP(D230,listaBolsa!$D$2:$BA$1248,48,0)</f>
        <v>0.1148</v>
      </c>
      <c r="DK230" s="7" t="b">
        <f t="shared" si="180"/>
        <v>1</v>
      </c>
      <c r="DL230" s="7" t="b">
        <f t="shared" si="181"/>
        <v>0</v>
      </c>
      <c r="DM230" s="7" t="b">
        <f t="shared" si="193"/>
        <v>1</v>
      </c>
      <c r="DN230" s="7" t="b">
        <f t="shared" si="194"/>
        <v>1</v>
      </c>
      <c r="DO230" s="7" t="b">
        <f t="shared" si="195"/>
        <v>1</v>
      </c>
      <c r="DP230" s="7" t="b">
        <f t="shared" si="196"/>
        <v>0</v>
      </c>
      <c r="DQ230" s="7" t="b">
        <f t="shared" si="197"/>
        <v>1</v>
      </c>
      <c r="DR230" s="7" t="b">
        <f t="shared" si="198"/>
        <v>1</v>
      </c>
      <c r="DS230" s="7" t="b">
        <f t="shared" si="199"/>
        <v>0</v>
      </c>
    </row>
    <row r="231" spans="1:123" s="7" customFormat="1" ht="42">
      <c r="A231" s="7" t="s">
        <v>570</v>
      </c>
      <c r="B231" s="453">
        <v>217</v>
      </c>
      <c r="C231" s="642" t="s">
        <v>579</v>
      </c>
      <c r="D231" s="453" t="s">
        <v>926</v>
      </c>
      <c r="E231" s="453" t="s">
        <v>924</v>
      </c>
      <c r="F231" s="194" t="s">
        <v>568</v>
      </c>
      <c r="G231" s="453">
        <v>1</v>
      </c>
      <c r="H231" s="443" t="s">
        <v>192</v>
      </c>
      <c r="I231" s="454" t="s">
        <v>380</v>
      </c>
      <c r="J231" s="455">
        <v>30000</v>
      </c>
      <c r="K231" s="455">
        <f t="shared" si="203"/>
        <v>5700</v>
      </c>
      <c r="L231" s="455">
        <f t="shared" si="185"/>
        <v>35700</v>
      </c>
      <c r="M231" s="455">
        <f t="shared" si="186"/>
        <v>30000</v>
      </c>
      <c r="N231" s="455">
        <f t="shared" si="187"/>
        <v>35700</v>
      </c>
      <c r="O231" s="456" t="s">
        <v>381</v>
      </c>
      <c r="P231" s="457">
        <v>28000</v>
      </c>
      <c r="Q231" s="457">
        <f t="shared" si="204"/>
        <v>5320</v>
      </c>
      <c r="R231" s="457">
        <f t="shared" si="188"/>
        <v>33320</v>
      </c>
      <c r="S231" s="457">
        <f t="shared" si="189"/>
        <v>28000</v>
      </c>
      <c r="T231" s="457">
        <f t="shared" si="190"/>
        <v>33320</v>
      </c>
      <c r="U231" s="458" t="s">
        <v>382</v>
      </c>
      <c r="V231" s="459">
        <v>35000</v>
      </c>
      <c r="W231" s="459">
        <f t="shared" si="202"/>
        <v>6650</v>
      </c>
      <c r="X231" s="459">
        <f t="shared" si="182"/>
        <v>41650</v>
      </c>
      <c r="Y231" s="459">
        <f t="shared" si="183"/>
        <v>35000</v>
      </c>
      <c r="Z231" s="459">
        <f t="shared" si="184"/>
        <v>41650</v>
      </c>
      <c r="AA231" s="460">
        <f t="shared" si="200"/>
        <v>36890</v>
      </c>
      <c r="AB231" s="460">
        <f t="shared" si="191"/>
        <v>36890</v>
      </c>
      <c r="AC231" s="461">
        <f t="shared" si="201"/>
        <v>4290.6060178021471</v>
      </c>
      <c r="AD231" s="427">
        <f t="shared" si="192"/>
        <v>0.11630810566012868</v>
      </c>
      <c r="AE231" s="428"/>
      <c r="BH231" s="7">
        <v>108</v>
      </c>
      <c r="DB231" s="7" t="str">
        <f>VLOOKUP(D231,listaBolsa!$D$2:$BA$1248,1,0)</f>
        <v>Etiquetas 10x15 cm x 100 unid</v>
      </c>
      <c r="DC231" s="7">
        <f>VLOOKUP(D231,listaBolsa!$D$2:$BA$1248,2,0)</f>
        <v>0</v>
      </c>
      <c r="DD231" s="7" t="str">
        <f>VLOOKUP(D231,listaBolsa!$D$2:$BA$1248,10,0)</f>
        <v xml:space="preserve">JUNTOS DE LA MANO </v>
      </c>
      <c r="DE231" s="7">
        <f>VLOOKUP(D231,listaBolsa!$D$2:$BA$1248,14,0)</f>
        <v>30000</v>
      </c>
      <c r="DF231" s="7" t="str">
        <f>VLOOKUP(D231,listaBolsa!$D$2:$BA$1248,23,0)</f>
        <v>MYCBDE</v>
      </c>
      <c r="DG231" s="7">
        <f>VLOOKUP(D231,listaBolsa!$D$2:$BA$1248,29,0)</f>
        <v>33320</v>
      </c>
      <c r="DH231" s="7" t="str">
        <f>VLOOKUP(D231,listaBolsa!$D$2:$BA$1248,36,0)</f>
        <v>DAGROW</v>
      </c>
      <c r="DI231" s="7">
        <f>VLOOKUP(D231,listaBolsa!$D$2:$BA$1248,40,0)</f>
        <v>35000</v>
      </c>
      <c r="DJ231" s="252">
        <f>VLOOKUP(D231,listaBolsa!$D$2:$BA$1248,48,0)</f>
        <v>0.1163</v>
      </c>
      <c r="DK231" s="7" t="b">
        <f t="shared" ref="DK231:DK257" si="205">DB231=D231</f>
        <v>1</v>
      </c>
      <c r="DL231" s="7" t="b">
        <f t="shared" si="181"/>
        <v>0</v>
      </c>
      <c r="DM231" s="7" t="b">
        <f t="shared" si="193"/>
        <v>1</v>
      </c>
      <c r="DN231" s="7" t="b">
        <f t="shared" si="194"/>
        <v>1</v>
      </c>
      <c r="DO231" s="7" t="b">
        <f t="shared" si="195"/>
        <v>1</v>
      </c>
      <c r="DP231" s="7" t="b">
        <f t="shared" si="196"/>
        <v>0</v>
      </c>
      <c r="DQ231" s="7" t="b">
        <f t="shared" si="197"/>
        <v>1</v>
      </c>
      <c r="DR231" s="7" t="b">
        <f t="shared" si="198"/>
        <v>1</v>
      </c>
      <c r="DS231" s="7" t="b">
        <f t="shared" si="199"/>
        <v>0</v>
      </c>
    </row>
    <row r="232" spans="1:123" s="7" customFormat="1" ht="42">
      <c r="A232" s="7" t="s">
        <v>570</v>
      </c>
      <c r="B232" s="453">
        <v>218</v>
      </c>
      <c r="C232" s="642" t="s">
        <v>579</v>
      </c>
      <c r="D232" s="453" t="s">
        <v>928</v>
      </c>
      <c r="E232" s="453" t="s">
        <v>929</v>
      </c>
      <c r="F232" s="194" t="s">
        <v>568</v>
      </c>
      <c r="G232" s="453">
        <v>1</v>
      </c>
      <c r="H232" s="443" t="s">
        <v>192</v>
      </c>
      <c r="I232" s="454" t="s">
        <v>230</v>
      </c>
      <c r="J232" s="455">
        <v>176386.55</v>
      </c>
      <c r="K232" s="455">
        <f t="shared" si="203"/>
        <v>33513.444499999998</v>
      </c>
      <c r="L232" s="455">
        <f t="shared" si="185"/>
        <v>209899.99449999997</v>
      </c>
      <c r="M232" s="455">
        <f t="shared" si="186"/>
        <v>176386.55</v>
      </c>
      <c r="N232" s="455">
        <f t="shared" si="187"/>
        <v>209899.99449999997</v>
      </c>
      <c r="O232" s="456" t="s">
        <v>1118</v>
      </c>
      <c r="P232" s="457">
        <v>245190.76</v>
      </c>
      <c r="Q232" s="457"/>
      <c r="R232" s="457">
        <f t="shared" si="188"/>
        <v>245190.76</v>
      </c>
      <c r="S232" s="457">
        <f t="shared" si="189"/>
        <v>245190.76</v>
      </c>
      <c r="T232" s="457">
        <f t="shared" si="190"/>
        <v>245190.76</v>
      </c>
      <c r="U232" s="458" t="s">
        <v>769</v>
      </c>
      <c r="V232" s="459">
        <v>176386.55</v>
      </c>
      <c r="W232" s="459">
        <f t="shared" si="202"/>
        <v>33513.444499999998</v>
      </c>
      <c r="X232" s="459">
        <f t="shared" si="182"/>
        <v>209899.99449999997</v>
      </c>
      <c r="Y232" s="459">
        <f t="shared" si="183"/>
        <v>176386.55</v>
      </c>
      <c r="Z232" s="459">
        <f t="shared" si="184"/>
        <v>209899.99449999997</v>
      </c>
      <c r="AA232" s="460">
        <f t="shared" si="200"/>
        <v>221663.58299999998</v>
      </c>
      <c r="AB232" s="460">
        <f t="shared" si="191"/>
        <v>221663.58299999998</v>
      </c>
      <c r="AC232" s="461">
        <f t="shared" si="201"/>
        <v>20375.13296133298</v>
      </c>
      <c r="AD232" s="427">
        <f t="shared" si="192"/>
        <v>9.191917177181505E-2</v>
      </c>
      <c r="AE232" s="428"/>
      <c r="BH232" s="7">
        <v>109</v>
      </c>
      <c r="DB232" s="7" t="str">
        <f>VLOOKUP(D232,listaBolsa!$D$2:$BA$1248,1,0)</f>
        <v>Bolsa compostera impermeable</v>
      </c>
      <c r="DC232" s="7">
        <f>VLOOKUP(D232,listaBolsa!$D$2:$BA$1248,2,0)</f>
        <v>0</v>
      </c>
      <c r="DD232" s="7" t="str">
        <f>VLOOKUP(D232,listaBolsa!$D$2:$BA$1248,10,0)</f>
        <v xml:space="preserve">JUNTOS DE LA MANO </v>
      </c>
      <c r="DE232" s="7">
        <f>VLOOKUP(D232,listaBolsa!$D$2:$BA$1248,14,0)</f>
        <v>310000</v>
      </c>
      <c r="DF232" s="7" t="str">
        <f>VLOOKUP(D232,listaBolsa!$D$2:$BA$1248,23,0)</f>
        <v>MYCBDE</v>
      </c>
      <c r="DG232" s="7">
        <f>VLOOKUP(D232,listaBolsa!$D$2:$BA$1248,29,0)</f>
        <v>380800</v>
      </c>
      <c r="DH232" s="7" t="str">
        <f>VLOOKUP(D232,listaBolsa!$D$2:$BA$1248,36,0)</f>
        <v>DAGROW</v>
      </c>
      <c r="DI232" s="7">
        <f>VLOOKUP(D232,listaBolsa!$D$2:$BA$1248,40,0)</f>
        <v>308000</v>
      </c>
      <c r="DJ232" s="252">
        <f>VLOOKUP(D232,listaBolsa!$D$2:$BA$1248,48,0)</f>
        <v>2.06E-2</v>
      </c>
      <c r="DK232" s="7" t="b">
        <f t="shared" si="205"/>
        <v>1</v>
      </c>
      <c r="DL232" s="7" t="b">
        <f t="shared" si="181"/>
        <v>0</v>
      </c>
      <c r="DM232" s="7" t="b">
        <f t="shared" si="193"/>
        <v>0</v>
      </c>
      <c r="DN232" s="7" t="b">
        <f t="shared" si="194"/>
        <v>0</v>
      </c>
      <c r="DO232" s="7" t="b">
        <f t="shared" si="195"/>
        <v>0</v>
      </c>
      <c r="DP232" s="7" t="b">
        <f t="shared" si="196"/>
        <v>0</v>
      </c>
      <c r="DQ232" s="7" t="b">
        <f t="shared" si="197"/>
        <v>0</v>
      </c>
      <c r="DR232" s="7" t="b">
        <f t="shared" si="198"/>
        <v>0</v>
      </c>
      <c r="DS232" s="7" t="b">
        <f t="shared" si="199"/>
        <v>0</v>
      </c>
    </row>
    <row r="233" spans="1:123" s="7" customFormat="1" ht="84">
      <c r="A233" s="7" t="s">
        <v>570</v>
      </c>
      <c r="B233" s="453">
        <v>219</v>
      </c>
      <c r="C233" s="642" t="s">
        <v>579</v>
      </c>
      <c r="D233" s="453" t="s">
        <v>931</v>
      </c>
      <c r="E233" s="453" t="s">
        <v>932</v>
      </c>
      <c r="F233" s="194" t="s">
        <v>568</v>
      </c>
      <c r="G233" s="453">
        <v>1</v>
      </c>
      <c r="H233" s="443" t="s">
        <v>192</v>
      </c>
      <c r="I233" s="454" t="s">
        <v>933</v>
      </c>
      <c r="J233" s="455">
        <v>5042.0168067226896</v>
      </c>
      <c r="K233" s="455">
        <f t="shared" si="203"/>
        <v>957.98319327731099</v>
      </c>
      <c r="L233" s="455">
        <f t="shared" si="185"/>
        <v>6000.0000000000009</v>
      </c>
      <c r="M233" s="455">
        <f t="shared" si="186"/>
        <v>5042.0168067226896</v>
      </c>
      <c r="N233" s="455">
        <f t="shared" si="187"/>
        <v>6000.0000000000009</v>
      </c>
      <c r="O233" s="456" t="s">
        <v>934</v>
      </c>
      <c r="P233" s="457">
        <v>4705.8823529411766</v>
      </c>
      <c r="Q233" s="457">
        <f t="shared" ref="Q233:Q241" si="206">P233*19%</f>
        <v>894.11764705882354</v>
      </c>
      <c r="R233" s="457">
        <f t="shared" si="188"/>
        <v>5600</v>
      </c>
      <c r="S233" s="457">
        <f t="shared" si="189"/>
        <v>4705.8823529411766</v>
      </c>
      <c r="T233" s="457">
        <f t="shared" si="190"/>
        <v>5600</v>
      </c>
      <c r="U233" s="458" t="s">
        <v>935</v>
      </c>
      <c r="V233" s="459">
        <v>3512.6050420168071</v>
      </c>
      <c r="W233" s="459">
        <f t="shared" si="202"/>
        <v>667.39495798319342</v>
      </c>
      <c r="X233" s="459">
        <f t="shared" si="182"/>
        <v>4180.0000000000009</v>
      </c>
      <c r="Y233" s="459">
        <f t="shared" si="183"/>
        <v>3512.6050420168071</v>
      </c>
      <c r="Z233" s="459">
        <f t="shared" si="184"/>
        <v>4180.0000000000009</v>
      </c>
      <c r="AA233" s="460">
        <f t="shared" si="200"/>
        <v>5260</v>
      </c>
      <c r="AB233" s="460">
        <f t="shared" si="191"/>
        <v>5260</v>
      </c>
      <c r="AC233" s="461">
        <f t="shared" si="201"/>
        <v>956.45177609746747</v>
      </c>
      <c r="AD233" s="427">
        <f t="shared" si="192"/>
        <v>0.18183493842157175</v>
      </c>
      <c r="AE233" s="428"/>
      <c r="BH233" s="7">
        <v>110</v>
      </c>
      <c r="DB233" s="7" t="str">
        <f>VLOOKUP(D233,listaBolsa!$D$2:$BA$1248,1,0)</f>
        <v>Agua destilada 250 ml</v>
      </c>
      <c r="DC233" s="7">
        <f>VLOOKUP(D233,listaBolsa!$D$2:$BA$1248,2,0)</f>
        <v>0</v>
      </c>
      <c r="DD233" s="7" t="str">
        <f>VLOOKUP(D233,listaBolsa!$D$2:$BA$1248,10,0)</f>
        <v>MCKENNA GROUP</v>
      </c>
      <c r="DE233" s="7">
        <f>VLOOKUP(D233,listaBolsa!$D$2:$BA$1248,14,0)</f>
        <v>5042.0200000000004</v>
      </c>
      <c r="DF233" s="7" t="str">
        <f>VLOOKUP(D233,listaBolsa!$D$2:$BA$1248,23,0)</f>
        <v>CRUZ VERDE</v>
      </c>
      <c r="DG233" s="7">
        <f>VLOOKUP(D233,listaBolsa!$D$2:$BA$1248,29,0)</f>
        <v>5600</v>
      </c>
      <c r="DH233" s="7" t="str">
        <f>VLOOKUP(D233,listaBolsa!$D$2:$BA$1248,36,0)</f>
        <v>INCOMEDICA</v>
      </c>
      <c r="DI233" s="7">
        <f>VLOOKUP(D233,listaBolsa!$D$2:$BA$1248,40,0)</f>
        <v>3512.61</v>
      </c>
      <c r="DJ233" s="252">
        <f>VLOOKUP(D233,listaBolsa!$D$2:$BA$1248,48,0)</f>
        <v>0.18179999999999999</v>
      </c>
      <c r="DK233" s="7" t="b">
        <f t="shared" si="205"/>
        <v>1</v>
      </c>
      <c r="DL233" s="7" t="b">
        <f t="shared" si="181"/>
        <v>0</v>
      </c>
      <c r="DM233" s="7" t="b">
        <f t="shared" si="193"/>
        <v>1</v>
      </c>
      <c r="DN233" s="7" t="b">
        <f t="shared" si="194"/>
        <v>0</v>
      </c>
      <c r="DO233" s="7" t="b">
        <f t="shared" si="195"/>
        <v>1</v>
      </c>
      <c r="DP233" s="7" t="b">
        <f t="shared" si="196"/>
        <v>0</v>
      </c>
      <c r="DQ233" s="7" t="b">
        <f t="shared" si="197"/>
        <v>1</v>
      </c>
      <c r="DR233" s="7" t="b">
        <f t="shared" si="198"/>
        <v>0</v>
      </c>
      <c r="DS233" s="7" t="b">
        <f t="shared" si="199"/>
        <v>0</v>
      </c>
    </row>
    <row r="234" spans="1:123" s="7" customFormat="1" ht="63">
      <c r="A234" s="7" t="s">
        <v>570</v>
      </c>
      <c r="B234" s="453">
        <v>220</v>
      </c>
      <c r="C234" s="642" t="s">
        <v>579</v>
      </c>
      <c r="D234" s="453" t="s">
        <v>937</v>
      </c>
      <c r="E234" s="453" t="s">
        <v>938</v>
      </c>
      <c r="F234" s="194" t="s">
        <v>568</v>
      </c>
      <c r="G234" s="453">
        <v>1</v>
      </c>
      <c r="H234" s="443" t="s">
        <v>192</v>
      </c>
      <c r="I234" s="454" t="s">
        <v>328</v>
      </c>
      <c r="J234" s="455">
        <v>12605.042016806719</v>
      </c>
      <c r="K234" s="455">
        <f t="shared" si="203"/>
        <v>2394.9579831932765</v>
      </c>
      <c r="L234" s="455">
        <f t="shared" si="185"/>
        <v>14999.999999999996</v>
      </c>
      <c r="M234" s="455">
        <f t="shared" si="186"/>
        <v>12605.042016806719</v>
      </c>
      <c r="N234" s="455">
        <f t="shared" si="187"/>
        <v>14999.999999999996</v>
      </c>
      <c r="O234" s="456" t="s">
        <v>939</v>
      </c>
      <c r="P234" s="457">
        <v>9663.865546218487</v>
      </c>
      <c r="Q234" s="457">
        <f t="shared" si="206"/>
        <v>1836.1344537815125</v>
      </c>
      <c r="R234" s="457">
        <f t="shared" si="188"/>
        <v>11500</v>
      </c>
      <c r="S234" s="457">
        <f t="shared" si="189"/>
        <v>9663.865546218487</v>
      </c>
      <c r="T234" s="457">
        <f t="shared" si="190"/>
        <v>11500</v>
      </c>
      <c r="U234" s="458" t="s">
        <v>940</v>
      </c>
      <c r="V234" s="459">
        <v>9159.6638655462193</v>
      </c>
      <c r="W234" s="459">
        <f t="shared" si="202"/>
        <v>1740.3361344537816</v>
      </c>
      <c r="X234" s="459">
        <f t="shared" si="182"/>
        <v>10900</v>
      </c>
      <c r="Y234" s="459">
        <f t="shared" si="183"/>
        <v>9159.6638655462193</v>
      </c>
      <c r="Z234" s="459">
        <f t="shared" si="184"/>
        <v>10900</v>
      </c>
      <c r="AA234" s="460">
        <f t="shared" si="200"/>
        <v>12466.666666666666</v>
      </c>
      <c r="AB234" s="460">
        <f t="shared" si="191"/>
        <v>12466.666666666666</v>
      </c>
      <c r="AC234" s="461">
        <f t="shared" si="201"/>
        <v>2214.3471573656384</v>
      </c>
      <c r="AD234" s="427">
        <f t="shared" si="192"/>
        <v>0.17762142973521164</v>
      </c>
      <c r="AE234" s="428"/>
      <c r="BH234" s="7">
        <v>111</v>
      </c>
      <c r="DB234" s="7" t="str">
        <f>VLOOKUP(D234,listaBolsa!$D$2:$BA$1248,1,0)</f>
        <v>Alcohol etilico de grado alimienticio (70° a 96°) 1 litro</v>
      </c>
      <c r="DC234" s="7">
        <f>VLOOKUP(D234,listaBolsa!$D$2:$BA$1248,2,0)</f>
        <v>0</v>
      </c>
      <c r="DD234" s="7" t="str">
        <f>VLOOKUP(D234,listaBolsa!$D$2:$BA$1248,10,0)</f>
        <v>LA CASA DEL CIENTIFICO</v>
      </c>
      <c r="DE234" s="7">
        <f>VLOOKUP(D234,listaBolsa!$D$2:$BA$1248,14,0)</f>
        <v>12605.04</v>
      </c>
      <c r="DF234" s="7" t="str">
        <f>VLOOKUP(D234,listaBolsa!$D$2:$BA$1248,23,0)</f>
        <v>PROTOKIMICA</v>
      </c>
      <c r="DG234" s="7">
        <f>VLOOKUP(D234,listaBolsa!$D$2:$BA$1248,29,0)</f>
        <v>11500</v>
      </c>
      <c r="DH234" s="7" t="str">
        <f>VLOOKUP(D234,listaBolsa!$D$2:$BA$1248,36,0)</f>
        <v>PORQUIM INDUSTRIAL</v>
      </c>
      <c r="DI234" s="7">
        <f>VLOOKUP(D234,listaBolsa!$D$2:$BA$1248,40,0)</f>
        <v>9159.66</v>
      </c>
      <c r="DJ234" s="252">
        <f>VLOOKUP(D234,listaBolsa!$D$2:$BA$1248,48,0)</f>
        <v>0.17760000000000001</v>
      </c>
      <c r="DK234" s="7" t="b">
        <f t="shared" si="205"/>
        <v>1</v>
      </c>
      <c r="DL234" s="7" t="b">
        <f t="shared" si="181"/>
        <v>0</v>
      </c>
      <c r="DM234" s="7" t="b">
        <f t="shared" si="193"/>
        <v>1</v>
      </c>
      <c r="DN234" s="7" t="b">
        <f t="shared" si="194"/>
        <v>0</v>
      </c>
      <c r="DO234" s="7" t="b">
        <f t="shared" si="195"/>
        <v>1</v>
      </c>
      <c r="DP234" s="7" t="b">
        <f t="shared" si="196"/>
        <v>0</v>
      </c>
      <c r="DQ234" s="7" t="b">
        <f t="shared" si="197"/>
        <v>1</v>
      </c>
      <c r="DR234" s="7" t="b">
        <f t="shared" si="198"/>
        <v>0</v>
      </c>
      <c r="DS234" s="7" t="b">
        <f t="shared" si="199"/>
        <v>0</v>
      </c>
    </row>
    <row r="235" spans="1:123" s="7" customFormat="1" ht="42">
      <c r="A235" s="7" t="s">
        <v>570</v>
      </c>
      <c r="B235" s="453">
        <v>221</v>
      </c>
      <c r="C235" s="642" t="s">
        <v>579</v>
      </c>
      <c r="D235" s="453" t="s">
        <v>942</v>
      </c>
      <c r="E235" s="453" t="s">
        <v>943</v>
      </c>
      <c r="F235" s="194" t="s">
        <v>568</v>
      </c>
      <c r="G235" s="453">
        <v>1</v>
      </c>
      <c r="H235" s="443" t="s">
        <v>192</v>
      </c>
      <c r="I235" s="454" t="s">
        <v>934</v>
      </c>
      <c r="J235" s="455">
        <v>21050.42016806723</v>
      </c>
      <c r="K235" s="455">
        <f t="shared" si="203"/>
        <v>3999.5798319327737</v>
      </c>
      <c r="L235" s="455">
        <f t="shared" si="185"/>
        <v>25050.000000000004</v>
      </c>
      <c r="M235" s="455">
        <f t="shared" si="186"/>
        <v>21050.42016806723</v>
      </c>
      <c r="N235" s="455">
        <f t="shared" si="187"/>
        <v>25050.000000000004</v>
      </c>
      <c r="O235" s="456" t="s">
        <v>944</v>
      </c>
      <c r="P235" s="457">
        <v>18403.361344537811</v>
      </c>
      <c r="Q235" s="457">
        <f t="shared" si="206"/>
        <v>3496.638655462184</v>
      </c>
      <c r="R235" s="457">
        <f t="shared" si="188"/>
        <v>21899.999999999993</v>
      </c>
      <c r="S235" s="457">
        <f t="shared" si="189"/>
        <v>18403.361344537811</v>
      </c>
      <c r="T235" s="457">
        <f t="shared" si="190"/>
        <v>21899.999999999993</v>
      </c>
      <c r="U235" s="458" t="s">
        <v>945</v>
      </c>
      <c r="V235" s="459">
        <v>19075.63025210084</v>
      </c>
      <c r="W235" s="459">
        <f t="shared" si="202"/>
        <v>3624.3697478991598</v>
      </c>
      <c r="X235" s="459">
        <f t="shared" si="182"/>
        <v>22700</v>
      </c>
      <c r="Y235" s="459">
        <f t="shared" si="183"/>
        <v>19075.63025210084</v>
      </c>
      <c r="Z235" s="459">
        <f t="shared" si="184"/>
        <v>22700</v>
      </c>
      <c r="AA235" s="460">
        <f t="shared" si="200"/>
        <v>23216.666666666668</v>
      </c>
      <c r="AB235" s="460">
        <f t="shared" si="191"/>
        <v>23216.666666666668</v>
      </c>
      <c r="AC235" s="461">
        <f t="shared" si="201"/>
        <v>1637.3250542678902</v>
      </c>
      <c r="AD235" s="427">
        <f t="shared" si="192"/>
        <v>7.0523692215415226E-2</v>
      </c>
      <c r="AE235" s="428"/>
      <c r="BH235" s="7">
        <v>112</v>
      </c>
      <c r="DB235" s="7" t="str">
        <f>VLOOKUP(D235,listaBolsa!$D$2:$BA$1248,1,0)</f>
        <v>Aceite de almendras 500 ml</v>
      </c>
      <c r="DC235" s="7">
        <f>VLOOKUP(D235,listaBolsa!$D$2:$BA$1248,2,0)</f>
        <v>0</v>
      </c>
      <c r="DD235" s="7" t="str">
        <f>VLOOKUP(D235,listaBolsa!$D$2:$BA$1248,10,0)</f>
        <v>CRUZ VERDE</v>
      </c>
      <c r="DE235" s="7">
        <f>VLOOKUP(D235,listaBolsa!$D$2:$BA$1248,14,0)</f>
        <v>21050.42</v>
      </c>
      <c r="DF235" s="7" t="str">
        <f>VLOOKUP(D235,listaBolsa!$D$2:$BA$1248,23,0)</f>
        <v>KRIKA</v>
      </c>
      <c r="DG235" s="7">
        <f>VLOOKUP(D235,listaBolsa!$D$2:$BA$1248,29,0)</f>
        <v>21900</v>
      </c>
      <c r="DH235" s="7" t="str">
        <f>VLOOKUP(D235,listaBolsa!$D$2:$BA$1248,36,0)</f>
        <v>LA ECONOMIA</v>
      </c>
      <c r="DI235" s="7">
        <f>VLOOKUP(D235,listaBolsa!$D$2:$BA$1248,40,0)</f>
        <v>19075.63</v>
      </c>
      <c r="DJ235" s="252">
        <f>VLOOKUP(D235,listaBolsa!$D$2:$BA$1248,48,0)</f>
        <v>7.0499999999999993E-2</v>
      </c>
      <c r="DK235" s="7" t="b">
        <f t="shared" si="205"/>
        <v>1</v>
      </c>
      <c r="DL235" s="7" t="b">
        <f t="shared" si="181"/>
        <v>0</v>
      </c>
      <c r="DM235" s="7" t="b">
        <f t="shared" si="193"/>
        <v>1</v>
      </c>
      <c r="DN235" s="7" t="b">
        <f t="shared" si="194"/>
        <v>0</v>
      </c>
      <c r="DO235" s="7" t="b">
        <f t="shared" si="195"/>
        <v>1</v>
      </c>
      <c r="DP235" s="7" t="b">
        <f t="shared" si="196"/>
        <v>0</v>
      </c>
      <c r="DQ235" s="7" t="b">
        <f t="shared" si="197"/>
        <v>1</v>
      </c>
      <c r="DR235" s="7" t="b">
        <f t="shared" si="198"/>
        <v>0</v>
      </c>
      <c r="DS235" s="7" t="b">
        <f t="shared" si="199"/>
        <v>0</v>
      </c>
    </row>
    <row r="236" spans="1:123" s="7" customFormat="1" ht="42">
      <c r="A236" s="7" t="s">
        <v>570</v>
      </c>
      <c r="B236" s="453">
        <v>222</v>
      </c>
      <c r="C236" s="642" t="s">
        <v>579</v>
      </c>
      <c r="D236" s="453" t="s">
        <v>947</v>
      </c>
      <c r="E236" s="453" t="s">
        <v>948</v>
      </c>
      <c r="F236" s="194" t="s">
        <v>568</v>
      </c>
      <c r="G236" s="453">
        <v>1</v>
      </c>
      <c r="H236" s="443" t="s">
        <v>192</v>
      </c>
      <c r="I236" s="454" t="s">
        <v>949</v>
      </c>
      <c r="J236" s="455">
        <v>57143</v>
      </c>
      <c r="K236" s="455">
        <f t="shared" si="203"/>
        <v>10857.17</v>
      </c>
      <c r="L236" s="455">
        <f t="shared" si="185"/>
        <v>68000.17</v>
      </c>
      <c r="M236" s="455">
        <f t="shared" si="186"/>
        <v>57143</v>
      </c>
      <c r="N236" s="455">
        <f t="shared" si="187"/>
        <v>68000.17</v>
      </c>
      <c r="O236" s="456" t="s">
        <v>950</v>
      </c>
      <c r="P236" s="457">
        <v>47899</v>
      </c>
      <c r="Q236" s="457">
        <f t="shared" si="206"/>
        <v>9100.81</v>
      </c>
      <c r="R236" s="457">
        <f t="shared" si="188"/>
        <v>56999.81</v>
      </c>
      <c r="S236" s="457">
        <f t="shared" si="189"/>
        <v>47899</v>
      </c>
      <c r="T236" s="457">
        <f t="shared" si="190"/>
        <v>56999.81</v>
      </c>
      <c r="U236" s="458" t="s">
        <v>769</v>
      </c>
      <c r="V236" s="459">
        <v>46220</v>
      </c>
      <c r="W236" s="459">
        <f t="shared" si="202"/>
        <v>8781.7999999999993</v>
      </c>
      <c r="X236" s="459">
        <f t="shared" si="182"/>
        <v>55001.8</v>
      </c>
      <c r="Y236" s="459">
        <f t="shared" si="183"/>
        <v>46220</v>
      </c>
      <c r="Z236" s="459">
        <f t="shared" si="184"/>
        <v>55001.8</v>
      </c>
      <c r="AA236" s="460">
        <f t="shared" si="200"/>
        <v>60000.593333333331</v>
      </c>
      <c r="AB236" s="460">
        <f t="shared" si="191"/>
        <v>60000.593333333331</v>
      </c>
      <c r="AC236" s="461">
        <f t="shared" si="201"/>
        <v>6999.4950621050739</v>
      </c>
      <c r="AD236" s="427">
        <f t="shared" si="192"/>
        <v>0.11665709742601002</v>
      </c>
      <c r="AE236" s="428"/>
      <c r="BH236" s="7">
        <v>113</v>
      </c>
      <c r="DB236" s="7" t="e">
        <f>VLOOKUP(D236,listaBolsa!$D$2:$BA$1248,1,0)</f>
        <v>#N/A</v>
      </c>
      <c r="DC236" s="7" t="e">
        <f>VLOOKUP(D236,listaBolsa!$D$2:$BA$1248,2,0)</f>
        <v>#N/A</v>
      </c>
      <c r="DD236" s="7" t="e">
        <f>VLOOKUP(D236,listaBolsa!$D$2:$BA$1248,10,0)</f>
        <v>#N/A</v>
      </c>
      <c r="DE236" s="7" t="e">
        <f>VLOOKUP(D236,listaBolsa!$D$2:$BA$1248,14,0)</f>
        <v>#N/A</v>
      </c>
      <c r="DF236" s="7" t="e">
        <f>VLOOKUP(D236,listaBolsa!$D$2:$BA$1248,23,0)</f>
        <v>#N/A</v>
      </c>
      <c r="DG236" s="7" t="e">
        <f>VLOOKUP(D236,listaBolsa!$D$2:$BA$1248,29,0)</f>
        <v>#N/A</v>
      </c>
      <c r="DH236" s="7" t="e">
        <f>VLOOKUP(D236,listaBolsa!$D$2:$BA$1248,36,0)</f>
        <v>#N/A</v>
      </c>
      <c r="DI236" s="7" t="e">
        <f>VLOOKUP(D236,listaBolsa!$D$2:$BA$1248,40,0)</f>
        <v>#N/A</v>
      </c>
      <c r="DJ236" s="252" t="e">
        <f>VLOOKUP(D236,listaBolsa!$D$2:$BA$1248,48,0)</f>
        <v>#N/A</v>
      </c>
      <c r="DK236" s="7" t="e">
        <f t="shared" si="205"/>
        <v>#N/A</v>
      </c>
      <c r="DL236" s="7" t="e">
        <f t="shared" si="181"/>
        <v>#N/A</v>
      </c>
      <c r="DM236" s="7" t="e">
        <f t="shared" si="193"/>
        <v>#N/A</v>
      </c>
      <c r="DN236" s="7" t="e">
        <f t="shared" si="194"/>
        <v>#N/A</v>
      </c>
      <c r="DO236" s="7" t="e">
        <f t="shared" si="195"/>
        <v>#N/A</v>
      </c>
      <c r="DP236" s="7" t="e">
        <f t="shared" si="196"/>
        <v>#N/A</v>
      </c>
      <c r="DQ236" s="7" t="e">
        <f t="shared" si="197"/>
        <v>#N/A</v>
      </c>
      <c r="DR236" s="7" t="e">
        <f t="shared" si="198"/>
        <v>#N/A</v>
      </c>
      <c r="DS236" s="7" t="e">
        <f t="shared" si="199"/>
        <v>#N/A</v>
      </c>
    </row>
    <row r="237" spans="1:123" s="7" customFormat="1" ht="42">
      <c r="A237" s="7" t="s">
        <v>570</v>
      </c>
      <c r="B237" s="453">
        <v>223</v>
      </c>
      <c r="C237" s="642" t="s">
        <v>579</v>
      </c>
      <c r="D237" s="453" t="s">
        <v>952</v>
      </c>
      <c r="E237" s="453" t="s">
        <v>953</v>
      </c>
      <c r="F237" s="194" t="s">
        <v>568</v>
      </c>
      <c r="G237" s="453">
        <v>1</v>
      </c>
      <c r="H237" s="443" t="s">
        <v>192</v>
      </c>
      <c r="I237" s="454" t="s">
        <v>380</v>
      </c>
      <c r="J237" s="455">
        <v>42000</v>
      </c>
      <c r="K237" s="455">
        <f t="shared" si="203"/>
        <v>7980</v>
      </c>
      <c r="L237" s="455">
        <f t="shared" si="185"/>
        <v>49980</v>
      </c>
      <c r="M237" s="455">
        <f t="shared" si="186"/>
        <v>42000</v>
      </c>
      <c r="N237" s="455">
        <f t="shared" si="187"/>
        <v>49980</v>
      </c>
      <c r="O237" s="456" t="s">
        <v>381</v>
      </c>
      <c r="P237" s="457">
        <v>40000</v>
      </c>
      <c r="Q237" s="457">
        <f t="shared" si="206"/>
        <v>7600</v>
      </c>
      <c r="R237" s="457">
        <f t="shared" si="188"/>
        <v>47600</v>
      </c>
      <c r="S237" s="457">
        <f t="shared" si="189"/>
        <v>40000</v>
      </c>
      <c r="T237" s="457">
        <f t="shared" si="190"/>
        <v>47600</v>
      </c>
      <c r="U237" s="458" t="s">
        <v>382</v>
      </c>
      <c r="V237" s="459">
        <v>39200</v>
      </c>
      <c r="W237" s="459">
        <f t="shared" si="202"/>
        <v>7448</v>
      </c>
      <c r="X237" s="459">
        <f t="shared" si="182"/>
        <v>46648</v>
      </c>
      <c r="Y237" s="459">
        <f t="shared" si="183"/>
        <v>39200</v>
      </c>
      <c r="Z237" s="459">
        <f t="shared" si="184"/>
        <v>46648</v>
      </c>
      <c r="AA237" s="460">
        <f t="shared" si="200"/>
        <v>48076</v>
      </c>
      <c r="AB237" s="460">
        <f t="shared" si="191"/>
        <v>48076</v>
      </c>
      <c r="AC237" s="461">
        <f t="shared" si="201"/>
        <v>1716.2424071208588</v>
      </c>
      <c r="AD237" s="427">
        <f t="shared" si="192"/>
        <v>3.569852747984148E-2</v>
      </c>
      <c r="AE237" s="428"/>
      <c r="BH237" s="7">
        <v>114</v>
      </c>
      <c r="DB237" s="7" t="str">
        <f>VLOOKUP(D237,listaBolsa!$D$2:$BA$1248,1,0)</f>
        <v>Glicerina vegetal 500 ml</v>
      </c>
      <c r="DC237" s="7">
        <f>VLOOKUP(D237,listaBolsa!$D$2:$BA$1248,2,0)</f>
        <v>0</v>
      </c>
      <c r="DD237" s="7" t="str">
        <f>VLOOKUP(D237,listaBolsa!$D$2:$BA$1248,10,0)</f>
        <v xml:space="preserve">JUNTOS DE LA MANO </v>
      </c>
      <c r="DE237" s="7">
        <f>VLOOKUP(D237,listaBolsa!$D$2:$BA$1248,14,0)</f>
        <v>42000</v>
      </c>
      <c r="DF237" s="7" t="str">
        <f>VLOOKUP(D237,listaBolsa!$D$2:$BA$1248,23,0)</f>
        <v>MYCBDE</v>
      </c>
      <c r="DG237" s="7">
        <f>VLOOKUP(D237,listaBolsa!$D$2:$BA$1248,29,0)</f>
        <v>47600</v>
      </c>
      <c r="DH237" s="7" t="str">
        <f>VLOOKUP(D237,listaBolsa!$D$2:$BA$1248,36,0)</f>
        <v>DAGROW</v>
      </c>
      <c r="DI237" s="7">
        <f>VLOOKUP(D237,listaBolsa!$D$2:$BA$1248,40,0)</f>
        <v>39200</v>
      </c>
      <c r="DJ237" s="252">
        <f>VLOOKUP(D237,listaBolsa!$D$2:$BA$1248,48,0)</f>
        <v>3.5700000000000003E-2</v>
      </c>
      <c r="DK237" s="7" t="b">
        <f t="shared" si="205"/>
        <v>1</v>
      </c>
      <c r="DL237" s="7" t="b">
        <f t="shared" ref="DL237:DL256" si="207">DC237=E236</f>
        <v>0</v>
      </c>
      <c r="DM237" s="7" t="b">
        <f t="shared" si="193"/>
        <v>1</v>
      </c>
      <c r="DN237" s="7" t="b">
        <f t="shared" si="194"/>
        <v>1</v>
      </c>
      <c r="DO237" s="7" t="b">
        <f t="shared" si="195"/>
        <v>1</v>
      </c>
      <c r="DP237" s="7" t="b">
        <f t="shared" si="196"/>
        <v>0</v>
      </c>
      <c r="DQ237" s="7" t="b">
        <f t="shared" si="197"/>
        <v>1</v>
      </c>
      <c r="DR237" s="7" t="b">
        <f t="shared" si="198"/>
        <v>1</v>
      </c>
      <c r="DS237" s="7" t="b">
        <f t="shared" si="199"/>
        <v>0</v>
      </c>
    </row>
    <row r="238" spans="1:123" s="7" customFormat="1" ht="42">
      <c r="A238" s="7" t="s">
        <v>570</v>
      </c>
      <c r="B238" s="453">
        <v>224</v>
      </c>
      <c r="C238" s="642" t="s">
        <v>579</v>
      </c>
      <c r="D238" s="453" t="s">
        <v>955</v>
      </c>
      <c r="E238" s="453" t="s">
        <v>956</v>
      </c>
      <c r="F238" s="194" t="s">
        <v>568</v>
      </c>
      <c r="G238" s="453">
        <v>1</v>
      </c>
      <c r="H238" s="443" t="s">
        <v>192</v>
      </c>
      <c r="I238" s="454" t="s">
        <v>380</v>
      </c>
      <c r="J238" s="455">
        <v>6000</v>
      </c>
      <c r="K238" s="455">
        <f t="shared" si="203"/>
        <v>1140</v>
      </c>
      <c r="L238" s="455">
        <f t="shared" si="185"/>
        <v>7140</v>
      </c>
      <c r="M238" s="455">
        <f t="shared" si="186"/>
        <v>6000</v>
      </c>
      <c r="N238" s="455">
        <f t="shared" si="187"/>
        <v>7140</v>
      </c>
      <c r="O238" s="456" t="s">
        <v>381</v>
      </c>
      <c r="P238" s="457">
        <v>5500</v>
      </c>
      <c r="Q238" s="457">
        <f t="shared" si="206"/>
        <v>1045</v>
      </c>
      <c r="R238" s="457">
        <f t="shared" si="188"/>
        <v>6545</v>
      </c>
      <c r="S238" s="457">
        <f t="shared" si="189"/>
        <v>5500</v>
      </c>
      <c r="T238" s="457">
        <f t="shared" si="190"/>
        <v>6545</v>
      </c>
      <c r="U238" s="458" t="s">
        <v>382</v>
      </c>
      <c r="V238" s="459">
        <v>4900</v>
      </c>
      <c r="W238" s="459">
        <f t="shared" si="202"/>
        <v>931</v>
      </c>
      <c r="X238" s="459">
        <f t="shared" si="182"/>
        <v>5831</v>
      </c>
      <c r="Y238" s="459">
        <f t="shared" si="183"/>
        <v>4900</v>
      </c>
      <c r="Z238" s="459">
        <f t="shared" si="184"/>
        <v>5831</v>
      </c>
      <c r="AA238" s="460">
        <f t="shared" si="200"/>
        <v>6505.333333333333</v>
      </c>
      <c r="AB238" s="460">
        <f t="shared" si="191"/>
        <v>6505.333333333333</v>
      </c>
      <c r="AC238" s="461">
        <f t="shared" si="201"/>
        <v>655.40089512704617</v>
      </c>
      <c r="AD238" s="427">
        <f t="shared" si="192"/>
        <v>0.10074824171864821</v>
      </c>
      <c r="AE238" s="428"/>
      <c r="BH238" s="7">
        <v>115</v>
      </c>
      <c r="DB238" s="7" t="str">
        <f>VLOOKUP(D238,listaBolsa!$D$2:$BA$1248,1,0)</f>
        <v>Vinagre de manzana 500 ml</v>
      </c>
      <c r="DC238" s="7">
        <f>VLOOKUP(D238,listaBolsa!$D$2:$BA$1248,2,0)</f>
        <v>0</v>
      </c>
      <c r="DD238" s="7" t="str">
        <f>VLOOKUP(D238,listaBolsa!$D$2:$BA$1248,10,0)</f>
        <v xml:space="preserve">JUNTOS DE LA MANO </v>
      </c>
      <c r="DE238" s="7">
        <f>VLOOKUP(D238,listaBolsa!$D$2:$BA$1248,14,0)</f>
        <v>6000</v>
      </c>
      <c r="DF238" s="7" t="str">
        <f>VLOOKUP(D238,listaBolsa!$D$2:$BA$1248,23,0)</f>
        <v>MYCBDE</v>
      </c>
      <c r="DG238" s="7">
        <f>VLOOKUP(D238,listaBolsa!$D$2:$BA$1248,29,0)</f>
        <v>5500</v>
      </c>
      <c r="DH238" s="7" t="str">
        <f>VLOOKUP(D238,listaBolsa!$D$2:$BA$1248,36,0)</f>
        <v>DAGROW</v>
      </c>
      <c r="DI238" s="7">
        <f>VLOOKUP(D238,listaBolsa!$D$2:$BA$1248,40,0)</f>
        <v>4900</v>
      </c>
      <c r="DJ238" s="252">
        <f>VLOOKUP(D238,listaBolsa!$D$2:$BA$1248,48,0)</f>
        <v>0.1007</v>
      </c>
      <c r="DK238" s="7" t="b">
        <f t="shared" si="205"/>
        <v>1</v>
      </c>
      <c r="DL238" s="7" t="b">
        <f t="shared" si="207"/>
        <v>0</v>
      </c>
      <c r="DM238" s="7" t="b">
        <f t="shared" si="193"/>
        <v>1</v>
      </c>
      <c r="DN238" s="7" t="b">
        <f t="shared" si="194"/>
        <v>1</v>
      </c>
      <c r="DO238" s="7" t="b">
        <f t="shared" si="195"/>
        <v>1</v>
      </c>
      <c r="DP238" s="7" t="b">
        <f t="shared" si="196"/>
        <v>1</v>
      </c>
      <c r="DQ238" s="7" t="b">
        <f t="shared" si="197"/>
        <v>1</v>
      </c>
      <c r="DR238" s="7" t="b">
        <f t="shared" si="198"/>
        <v>1</v>
      </c>
      <c r="DS238" s="7" t="b">
        <f t="shared" si="199"/>
        <v>0</v>
      </c>
    </row>
    <row r="239" spans="1:123" s="7" customFormat="1" ht="42">
      <c r="A239" s="7" t="s">
        <v>570</v>
      </c>
      <c r="B239" s="453">
        <v>225</v>
      </c>
      <c r="C239" s="642" t="s">
        <v>579</v>
      </c>
      <c r="D239" s="453" t="s">
        <v>958</v>
      </c>
      <c r="E239" s="453" t="s">
        <v>959</v>
      </c>
      <c r="F239" s="194" t="s">
        <v>568</v>
      </c>
      <c r="G239" s="453">
        <v>1</v>
      </c>
      <c r="H239" s="443" t="s">
        <v>192</v>
      </c>
      <c r="I239" s="454" t="s">
        <v>960</v>
      </c>
      <c r="J239" s="455">
        <v>46190.739495798327</v>
      </c>
      <c r="K239" s="455">
        <f t="shared" si="203"/>
        <v>8776.2405042016817</v>
      </c>
      <c r="L239" s="455">
        <f t="shared" si="185"/>
        <v>54966.98000000001</v>
      </c>
      <c r="M239" s="455">
        <f t="shared" si="186"/>
        <v>46190.739495798327</v>
      </c>
      <c r="N239" s="455">
        <f t="shared" si="187"/>
        <v>54966.98000000001</v>
      </c>
      <c r="O239" s="456" t="s">
        <v>961</v>
      </c>
      <c r="P239" s="457">
        <v>36638.655462184877</v>
      </c>
      <c r="Q239" s="457">
        <f t="shared" si="206"/>
        <v>6961.3445378151264</v>
      </c>
      <c r="R239" s="457">
        <f t="shared" si="188"/>
        <v>43600</v>
      </c>
      <c r="S239" s="457">
        <f t="shared" si="189"/>
        <v>36638.655462184877</v>
      </c>
      <c r="T239" s="457">
        <f t="shared" si="190"/>
        <v>43600</v>
      </c>
      <c r="U239" s="458" t="s">
        <v>962</v>
      </c>
      <c r="V239" s="459">
        <v>45798.319327731093</v>
      </c>
      <c r="W239" s="459">
        <f t="shared" si="202"/>
        <v>8701.6806722689071</v>
      </c>
      <c r="X239" s="459">
        <f t="shared" si="182"/>
        <v>54500</v>
      </c>
      <c r="Y239" s="459">
        <f t="shared" si="183"/>
        <v>45798.319327731093</v>
      </c>
      <c r="Z239" s="459">
        <f t="shared" si="184"/>
        <v>54500</v>
      </c>
      <c r="AA239" s="460">
        <f t="shared" si="200"/>
        <v>51022.326666666668</v>
      </c>
      <c r="AB239" s="460">
        <f t="shared" si="191"/>
        <v>51022.326666666668</v>
      </c>
      <c r="AC239" s="461">
        <f t="shared" si="201"/>
        <v>6432.1627342701067</v>
      </c>
      <c r="AD239" s="427">
        <f t="shared" si="192"/>
        <v>0.12606564918710958</v>
      </c>
      <c r="AE239" s="428"/>
      <c r="BH239" s="7">
        <v>116</v>
      </c>
      <c r="DB239" s="7" t="str">
        <f>VLOOKUP(D239,listaBolsa!$D$2:$BA$1248,1,0)</f>
        <v>Vitamina E  100 capsulas blandas</v>
      </c>
      <c r="DC239" s="7">
        <f>VLOOKUP(D239,listaBolsa!$D$2:$BA$1248,2,0)</f>
        <v>0</v>
      </c>
      <c r="DD239" s="7" t="str">
        <f>VLOOKUP(D239,listaBolsa!$D$2:$BA$1248,10,0)</f>
        <v>IHERB</v>
      </c>
      <c r="DE239" s="7">
        <f>VLOOKUP(D239,listaBolsa!$D$2:$BA$1248,14,0)</f>
        <v>46190.74</v>
      </c>
      <c r="DF239" s="7" t="str">
        <f>VLOOKUP(D239,listaBolsa!$D$2:$BA$1248,23,0)</f>
        <v>LA REBAJA</v>
      </c>
      <c r="DG239" s="7">
        <f>VLOOKUP(D239,listaBolsa!$D$2:$BA$1248,29,0)</f>
        <v>43600</v>
      </c>
      <c r="DH239" s="7" t="str">
        <f>VLOOKUP(D239,listaBolsa!$D$2:$BA$1248,36,0)</f>
        <v>ALAMACEN MADEIRA</v>
      </c>
      <c r="DI239" s="7">
        <f>VLOOKUP(D239,listaBolsa!$D$2:$BA$1248,40,0)</f>
        <v>45798.32</v>
      </c>
      <c r="DJ239" s="252">
        <f>VLOOKUP(D239,listaBolsa!$D$2:$BA$1248,48,0)</f>
        <v>0.12609999999999999</v>
      </c>
      <c r="DK239" s="7" t="b">
        <f t="shared" si="205"/>
        <v>1</v>
      </c>
      <c r="DL239" s="7" t="b">
        <f t="shared" si="207"/>
        <v>0</v>
      </c>
      <c r="DM239" s="7" t="b">
        <f t="shared" si="193"/>
        <v>1</v>
      </c>
      <c r="DN239" s="7" t="b">
        <f t="shared" si="194"/>
        <v>0</v>
      </c>
      <c r="DO239" s="7" t="b">
        <f t="shared" si="195"/>
        <v>1</v>
      </c>
      <c r="DP239" s="7" t="b">
        <f t="shared" si="196"/>
        <v>0</v>
      </c>
      <c r="DQ239" s="7" t="b">
        <f t="shared" si="197"/>
        <v>1</v>
      </c>
      <c r="DR239" s="7" t="b">
        <f t="shared" si="198"/>
        <v>0</v>
      </c>
      <c r="DS239" s="7" t="b">
        <f t="shared" si="199"/>
        <v>0</v>
      </c>
    </row>
    <row r="240" spans="1:123" s="7" customFormat="1" ht="42">
      <c r="A240" s="7" t="s">
        <v>570</v>
      </c>
      <c r="B240" s="453">
        <v>226</v>
      </c>
      <c r="C240" s="642" t="s">
        <v>579</v>
      </c>
      <c r="D240" s="453" t="s">
        <v>964</v>
      </c>
      <c r="E240" s="453" t="s">
        <v>965</v>
      </c>
      <c r="F240" s="194" t="s">
        <v>568</v>
      </c>
      <c r="G240" s="453">
        <v>1</v>
      </c>
      <c r="H240" s="443" t="s">
        <v>192</v>
      </c>
      <c r="I240" s="454" t="s">
        <v>1119</v>
      </c>
      <c r="J240" s="455">
        <v>52301.68</v>
      </c>
      <c r="K240" s="455">
        <f t="shared" si="203"/>
        <v>9937.3191999999999</v>
      </c>
      <c r="L240" s="455">
        <f t="shared" si="185"/>
        <v>62238.999199999998</v>
      </c>
      <c r="M240" s="455">
        <f t="shared" si="186"/>
        <v>52301.68</v>
      </c>
      <c r="N240" s="455">
        <f t="shared" si="187"/>
        <v>62238.999199999998</v>
      </c>
      <c r="O240" s="456" t="s">
        <v>381</v>
      </c>
      <c r="P240" s="457">
        <v>74000</v>
      </c>
      <c r="Q240" s="457">
        <f t="shared" si="206"/>
        <v>14060</v>
      </c>
      <c r="R240" s="457">
        <f t="shared" si="188"/>
        <v>88060</v>
      </c>
      <c r="S240" s="457">
        <f t="shared" si="189"/>
        <v>74000</v>
      </c>
      <c r="T240" s="457">
        <f t="shared" si="190"/>
        <v>88060</v>
      </c>
      <c r="U240" s="458" t="s">
        <v>382</v>
      </c>
      <c r="V240" s="459">
        <v>63000</v>
      </c>
      <c r="W240" s="459">
        <f t="shared" si="202"/>
        <v>11970</v>
      </c>
      <c r="X240" s="459">
        <f t="shared" si="182"/>
        <v>74970</v>
      </c>
      <c r="Y240" s="459">
        <f t="shared" si="183"/>
        <v>63000</v>
      </c>
      <c r="Z240" s="459">
        <f t="shared" si="184"/>
        <v>74970</v>
      </c>
      <c r="AA240" s="460">
        <f t="shared" si="200"/>
        <v>75089.666400000002</v>
      </c>
      <c r="AB240" s="460">
        <f t="shared" si="191"/>
        <v>75089.666400000002</v>
      </c>
      <c r="AC240" s="461">
        <f t="shared" si="201"/>
        <v>12910.916335174228</v>
      </c>
      <c r="AD240" s="427">
        <f t="shared" si="192"/>
        <v>0.17193998793919568</v>
      </c>
      <c r="AE240" s="428"/>
      <c r="BH240" s="7">
        <v>117</v>
      </c>
      <c r="DB240" s="7" t="str">
        <f>VLOOKUP(D240,listaBolsa!$D$2:$BA$1248,1,0)</f>
        <v>Papel de filtro tipo laboratorio 11 cm</v>
      </c>
      <c r="DC240" s="7">
        <f>VLOOKUP(D240,listaBolsa!$D$2:$BA$1248,2,0)</f>
        <v>0</v>
      </c>
      <c r="DD240" s="7" t="str">
        <f>VLOOKUP(D240,listaBolsa!$D$2:$BA$1248,10,0)</f>
        <v xml:space="preserve">JUNTOS DE LA MANO </v>
      </c>
      <c r="DE240" s="7">
        <f>VLOOKUP(D240,listaBolsa!$D$2:$BA$1248,14,0)</f>
        <v>76000</v>
      </c>
      <c r="DF240" s="7" t="str">
        <f>VLOOKUP(D240,listaBolsa!$D$2:$BA$1248,23,0)</f>
        <v>MYCBDE</v>
      </c>
      <c r="DG240" s="7">
        <f>VLOOKUP(D240,listaBolsa!$D$2:$BA$1248,29,0)</f>
        <v>88060</v>
      </c>
      <c r="DH240" s="7" t="str">
        <f>VLOOKUP(D240,listaBolsa!$D$2:$BA$1248,36,0)</f>
        <v>DAGROW</v>
      </c>
      <c r="DI240" s="7">
        <f>VLOOKUP(D240,listaBolsa!$D$2:$BA$1248,40,0)</f>
        <v>63000</v>
      </c>
      <c r="DJ240" s="252">
        <f>VLOOKUP(D240,listaBolsa!$D$2:$BA$1248,48,0)</f>
        <v>9.8599999999999993E-2</v>
      </c>
      <c r="DK240" s="7" t="b">
        <f t="shared" si="205"/>
        <v>1</v>
      </c>
      <c r="DL240" s="7" t="b">
        <f t="shared" si="207"/>
        <v>0</v>
      </c>
      <c r="DM240" s="7" t="b">
        <f t="shared" si="193"/>
        <v>0</v>
      </c>
      <c r="DN240" s="7" t="b">
        <f t="shared" si="194"/>
        <v>0</v>
      </c>
      <c r="DO240" s="7" t="b">
        <f t="shared" si="195"/>
        <v>1</v>
      </c>
      <c r="DP240" s="7" t="b">
        <f t="shared" si="196"/>
        <v>0</v>
      </c>
      <c r="DQ240" s="7" t="b">
        <f t="shared" si="197"/>
        <v>1</v>
      </c>
      <c r="DR240" s="7" t="b">
        <f t="shared" si="198"/>
        <v>1</v>
      </c>
      <c r="DS240" s="7" t="b">
        <f t="shared" si="199"/>
        <v>0</v>
      </c>
    </row>
    <row r="241" spans="1:123" s="7" customFormat="1" ht="42">
      <c r="A241" s="7" t="s">
        <v>570</v>
      </c>
      <c r="B241" s="453">
        <v>227</v>
      </c>
      <c r="C241" s="642" t="s">
        <v>579</v>
      </c>
      <c r="D241" s="453" t="s">
        <v>967</v>
      </c>
      <c r="E241" s="453" t="s">
        <v>968</v>
      </c>
      <c r="F241" s="194" t="s">
        <v>568</v>
      </c>
      <c r="G241" s="453">
        <v>1</v>
      </c>
      <c r="H241" s="443" t="s">
        <v>192</v>
      </c>
      <c r="I241" s="454" t="s">
        <v>380</v>
      </c>
      <c r="J241" s="455">
        <v>25000</v>
      </c>
      <c r="K241" s="455">
        <f t="shared" si="203"/>
        <v>4750</v>
      </c>
      <c r="L241" s="455">
        <f t="shared" si="185"/>
        <v>29750</v>
      </c>
      <c r="M241" s="455">
        <f t="shared" si="186"/>
        <v>25000</v>
      </c>
      <c r="N241" s="455">
        <f t="shared" si="187"/>
        <v>29750</v>
      </c>
      <c r="O241" s="456" t="s">
        <v>381</v>
      </c>
      <c r="P241" s="457">
        <v>23000</v>
      </c>
      <c r="Q241" s="457">
        <f t="shared" si="206"/>
        <v>4370</v>
      </c>
      <c r="R241" s="457">
        <f t="shared" si="188"/>
        <v>27370</v>
      </c>
      <c r="S241" s="457">
        <f t="shared" si="189"/>
        <v>23000</v>
      </c>
      <c r="T241" s="457">
        <f t="shared" si="190"/>
        <v>27370</v>
      </c>
      <c r="U241" s="458" t="s">
        <v>382</v>
      </c>
      <c r="V241" s="459">
        <v>22000</v>
      </c>
      <c r="W241" s="459">
        <f t="shared" si="202"/>
        <v>4180</v>
      </c>
      <c r="X241" s="459">
        <f t="shared" ref="X241:X258" si="208">V241+W241</f>
        <v>26180</v>
      </c>
      <c r="Y241" s="459">
        <f t="shared" ref="Y241:Y258" si="209">IF(C241="","",(V241*G241))</f>
        <v>22000</v>
      </c>
      <c r="Z241" s="459">
        <f t="shared" ref="Z241:Z258" si="210">IF(C241="","",(X241*G241))</f>
        <v>26180</v>
      </c>
      <c r="AA241" s="460">
        <f t="shared" si="200"/>
        <v>27766.666666666668</v>
      </c>
      <c r="AB241" s="460">
        <f t="shared" si="191"/>
        <v>27766.666666666668</v>
      </c>
      <c r="AC241" s="461">
        <f t="shared" si="201"/>
        <v>1817.7550256658164</v>
      </c>
      <c r="AD241" s="427">
        <f t="shared" si="192"/>
        <v>6.5465367070797711E-2</v>
      </c>
      <c r="AE241" s="428"/>
      <c r="BH241" s="7">
        <v>118</v>
      </c>
      <c r="DB241" s="7" t="str">
        <f>VLOOKUP(D241,listaBolsa!$D$2:$BA$1248,1,0)</f>
        <v>tela de algodón crudo (mantequeras)  2 unidades</v>
      </c>
      <c r="DC241" s="7">
        <f>VLOOKUP(D241,listaBolsa!$D$2:$BA$1248,2,0)</f>
        <v>0</v>
      </c>
      <c r="DD241" s="7" t="str">
        <f>VLOOKUP(D241,listaBolsa!$D$2:$BA$1248,10,0)</f>
        <v xml:space="preserve">JUNTOS DE LA MANO </v>
      </c>
      <c r="DE241" s="7">
        <f>VLOOKUP(D241,listaBolsa!$D$2:$BA$1248,14,0)</f>
        <v>25000</v>
      </c>
      <c r="DF241" s="7" t="str">
        <f>VLOOKUP(D241,listaBolsa!$D$2:$BA$1248,23,0)</f>
        <v>MYCBDE</v>
      </c>
      <c r="DG241" s="7">
        <f>VLOOKUP(D241,listaBolsa!$D$2:$BA$1248,29,0)</f>
        <v>27370</v>
      </c>
      <c r="DH241" s="7" t="str">
        <f>VLOOKUP(D241,listaBolsa!$D$2:$BA$1248,36,0)</f>
        <v>DAGROW</v>
      </c>
      <c r="DI241" s="7">
        <f>VLOOKUP(D241,listaBolsa!$D$2:$BA$1248,40,0)</f>
        <v>22000</v>
      </c>
      <c r="DJ241" s="252">
        <f>VLOOKUP(D241,listaBolsa!$D$2:$BA$1248,48,0)</f>
        <v>6.5500000000000003E-2</v>
      </c>
      <c r="DK241" s="7" t="b">
        <f t="shared" si="205"/>
        <v>1</v>
      </c>
      <c r="DL241" s="7" t="b">
        <f t="shared" si="207"/>
        <v>0</v>
      </c>
      <c r="DM241" s="7" t="b">
        <f t="shared" si="193"/>
        <v>1</v>
      </c>
      <c r="DN241" s="7" t="b">
        <f t="shared" si="194"/>
        <v>1</v>
      </c>
      <c r="DO241" s="7" t="b">
        <f t="shared" si="195"/>
        <v>1</v>
      </c>
      <c r="DP241" s="7" t="b">
        <f t="shared" si="196"/>
        <v>0</v>
      </c>
      <c r="DQ241" s="7" t="b">
        <f t="shared" si="197"/>
        <v>1</v>
      </c>
      <c r="DR241" s="7" t="b">
        <f t="shared" si="198"/>
        <v>1</v>
      </c>
      <c r="DS241" s="7" t="b">
        <f t="shared" si="199"/>
        <v>0</v>
      </c>
    </row>
    <row r="242" spans="1:123" s="7" customFormat="1" ht="42">
      <c r="A242" s="7" t="s">
        <v>570</v>
      </c>
      <c r="B242" s="453">
        <v>228</v>
      </c>
      <c r="C242" s="642" t="s">
        <v>579</v>
      </c>
      <c r="D242" s="453" t="s">
        <v>970</v>
      </c>
      <c r="E242" s="453" t="s">
        <v>971</v>
      </c>
      <c r="F242" s="194" t="s">
        <v>568</v>
      </c>
      <c r="G242" s="453">
        <v>1</v>
      </c>
      <c r="H242" s="443" t="s">
        <v>192</v>
      </c>
      <c r="I242" s="454" t="s">
        <v>380</v>
      </c>
      <c r="J242" s="455">
        <v>58000</v>
      </c>
      <c r="K242" s="455"/>
      <c r="L242" s="455">
        <f t="shared" ref="L242:L259" si="211">J242+K242</f>
        <v>58000</v>
      </c>
      <c r="M242" s="455">
        <f t="shared" ref="M242:M258" si="212">IF(C242="","",(J242*G242))</f>
        <v>58000</v>
      </c>
      <c r="N242" s="455">
        <f t="shared" ref="N242:N258" si="213">IF(C242="","",(L242*G242))</f>
        <v>58000</v>
      </c>
      <c r="O242" s="456" t="s">
        <v>381</v>
      </c>
      <c r="P242" s="457">
        <v>56000</v>
      </c>
      <c r="Q242" s="457"/>
      <c r="R242" s="457">
        <f t="shared" ref="R242:R258" si="214">P242+Q242</f>
        <v>56000</v>
      </c>
      <c r="S242" s="457">
        <f t="shared" ref="S242:S258" si="215">IF(C242="","",(P242*G242))</f>
        <v>56000</v>
      </c>
      <c r="T242" s="457">
        <f t="shared" ref="T242:T258" si="216">IF(C242="","",(R242*G242))</f>
        <v>56000</v>
      </c>
      <c r="U242" s="458" t="s">
        <v>239</v>
      </c>
      <c r="V242" s="459">
        <v>71428.571428571435</v>
      </c>
      <c r="W242" s="459">
        <f t="shared" si="202"/>
        <v>13571.428571428572</v>
      </c>
      <c r="X242" s="459">
        <f t="shared" si="208"/>
        <v>85000</v>
      </c>
      <c r="Y242" s="459">
        <f t="shared" si="209"/>
        <v>71428.571428571435</v>
      </c>
      <c r="Z242" s="459">
        <f t="shared" si="210"/>
        <v>85000</v>
      </c>
      <c r="AA242" s="460">
        <f t="shared" si="200"/>
        <v>66333.333333333328</v>
      </c>
      <c r="AB242" s="460">
        <f t="shared" ref="AB242:AB258" si="217">IF(C242="","",AA242*G242)</f>
        <v>66333.333333333328</v>
      </c>
      <c r="AC242" s="461">
        <f t="shared" si="201"/>
        <v>16196.707484341779</v>
      </c>
      <c r="AD242" s="427">
        <f t="shared" ref="AD242:AD258" si="218">IF(C242="","",(AC242/AB242))</f>
        <v>0.24417146961319267</v>
      </c>
      <c r="AE242" s="428"/>
      <c r="BH242" s="7">
        <v>119</v>
      </c>
      <c r="DB242" s="7" t="str">
        <f>VLOOKUP(D242,listaBolsa!$D$2:$BA$1248,1,0)</f>
        <v>malla red deshidratador</v>
      </c>
      <c r="DC242" s="7">
        <f>VLOOKUP(D242,listaBolsa!$D$2:$BA$1248,2,0)</f>
        <v>0</v>
      </c>
      <c r="DD242" s="7" t="str">
        <f>VLOOKUP(D242,listaBolsa!$D$2:$BA$1248,10,0)</f>
        <v xml:space="preserve">JUNTOS DE LA MANO </v>
      </c>
      <c r="DE242" s="7">
        <f>VLOOKUP(D242,listaBolsa!$D$2:$BA$1248,14,0)</f>
        <v>58000</v>
      </c>
      <c r="DF242" s="7" t="str">
        <f>VLOOKUP(D242,listaBolsa!$D$2:$BA$1248,23,0)</f>
        <v>MYCBDE</v>
      </c>
      <c r="DG242" s="7">
        <f>VLOOKUP(D242,listaBolsa!$D$2:$BA$1248,29,0)</f>
        <v>56000</v>
      </c>
      <c r="DH242" s="7" t="str">
        <f>VLOOKUP(D242,listaBolsa!$D$2:$BA$1248,36,0)</f>
        <v>EXITO</v>
      </c>
      <c r="DI242" s="7">
        <f>VLOOKUP(D242,listaBolsa!$D$2:$BA$1248,40,0)</f>
        <v>71428.570000000007</v>
      </c>
      <c r="DJ242" s="252">
        <f>VLOOKUP(D242,listaBolsa!$D$2:$BA$1248,48,0)</f>
        <v>0.2442</v>
      </c>
      <c r="DK242" s="7" t="b">
        <f t="shared" si="205"/>
        <v>1</v>
      </c>
      <c r="DL242" s="7" t="b">
        <f t="shared" si="207"/>
        <v>0</v>
      </c>
      <c r="DM242" s="7" t="b">
        <f t="shared" ref="DM242:DM257" si="219">DD242=I242</f>
        <v>1</v>
      </c>
      <c r="DN242" s="7" t="b">
        <f t="shared" ref="DN242:DN257" si="220">DE242=J242</f>
        <v>1</v>
      </c>
      <c r="DO242" s="7" t="b">
        <f t="shared" ref="DO242:DO257" si="221">DF242=O242</f>
        <v>1</v>
      </c>
      <c r="DP242" s="7" t="b">
        <f t="shared" ref="DP242:DP257" si="222">DG242=P242</f>
        <v>1</v>
      </c>
      <c r="DQ242" s="7" t="b">
        <f t="shared" ref="DQ242:DQ257" si="223">DH242=U242</f>
        <v>1</v>
      </c>
      <c r="DR242" s="7" t="b">
        <f t="shared" ref="DR242:DR257" si="224">DI242=V242</f>
        <v>0</v>
      </c>
      <c r="DS242" s="7" t="b">
        <f t="shared" ref="DS242:DS257" si="225">DJ242=AD242</f>
        <v>0</v>
      </c>
    </row>
    <row r="243" spans="1:123" s="7" customFormat="1" ht="42">
      <c r="A243" s="7" t="s">
        <v>570</v>
      </c>
      <c r="B243" s="453">
        <v>229</v>
      </c>
      <c r="C243" s="642" t="s">
        <v>579</v>
      </c>
      <c r="D243" s="453" t="s">
        <v>973</v>
      </c>
      <c r="E243" s="453" t="s">
        <v>974</v>
      </c>
      <c r="F243" s="194" t="s">
        <v>568</v>
      </c>
      <c r="G243" s="453">
        <v>1</v>
      </c>
      <c r="H243" s="443" t="s">
        <v>192</v>
      </c>
      <c r="I243" s="454" t="s">
        <v>239</v>
      </c>
      <c r="J243" s="455">
        <v>350042.02</v>
      </c>
      <c r="K243" s="455">
        <f t="shared" ref="K243:K256" si="226">J243*19%</f>
        <v>66507.983800000002</v>
      </c>
      <c r="L243" s="455">
        <f t="shared" si="211"/>
        <v>416550.00380000001</v>
      </c>
      <c r="M243" s="455">
        <f t="shared" si="212"/>
        <v>350042.02</v>
      </c>
      <c r="N243" s="455">
        <f t="shared" si="213"/>
        <v>416550.00380000001</v>
      </c>
      <c r="O243" s="456" t="s">
        <v>769</v>
      </c>
      <c r="P243" s="457">
        <v>336050.42</v>
      </c>
      <c r="Q243" s="457">
        <f t="shared" ref="Q243:Q256" si="227">P243*19%</f>
        <v>63849.5798</v>
      </c>
      <c r="R243" s="457">
        <f t="shared" si="214"/>
        <v>399899.99979999999</v>
      </c>
      <c r="S243" s="457">
        <f t="shared" si="215"/>
        <v>336050.42</v>
      </c>
      <c r="T243" s="457">
        <f t="shared" si="216"/>
        <v>399899.99979999999</v>
      </c>
      <c r="U243" s="458" t="s">
        <v>1120</v>
      </c>
      <c r="V243" s="459">
        <v>344350.42</v>
      </c>
      <c r="W243" s="459">
        <f t="shared" si="202"/>
        <v>65426.5798</v>
      </c>
      <c r="X243" s="459">
        <f t="shared" si="208"/>
        <v>409776.99979999999</v>
      </c>
      <c r="Y243" s="459">
        <f t="shared" si="209"/>
        <v>344350.42</v>
      </c>
      <c r="Z243" s="459">
        <f t="shared" si="210"/>
        <v>409776.99979999999</v>
      </c>
      <c r="AA243" s="460">
        <f t="shared" ref="AA243:AA258" si="228">IF(B243="","",AVERAGE(L243,R243,X243))</f>
        <v>408742.33446666662</v>
      </c>
      <c r="AB243" s="460">
        <f t="shared" si="217"/>
        <v>408742.33446666662</v>
      </c>
      <c r="AC243" s="461">
        <f t="shared" ref="AC243:AC258" si="229">IF(C243="","",STDEV(N243,T243,Z243))</f>
        <v>8373.0853073407452</v>
      </c>
      <c r="AD243" s="427">
        <f t="shared" si="218"/>
        <v>2.0484996540096778E-2</v>
      </c>
      <c r="AE243" s="428"/>
      <c r="BH243" s="7">
        <v>120</v>
      </c>
      <c r="DB243" s="7" t="str">
        <f>VLOOKUP(D243,listaBolsa!$D$2:$BA$1248,1,0)</f>
        <v>Maquina Secadora Frutas Verduras </v>
      </c>
      <c r="DC243" s="7">
        <f>VLOOKUP(D243,listaBolsa!$D$2:$BA$1248,2,0)</f>
        <v>0</v>
      </c>
      <c r="DD243" s="7" t="str">
        <f>VLOOKUP(D243,listaBolsa!$D$2:$BA$1248,10,0)</f>
        <v xml:space="preserve">JUNTOS DE LA MANO </v>
      </c>
      <c r="DE243" s="7">
        <f>VLOOKUP(D243,listaBolsa!$D$2:$BA$1248,14,0)</f>
        <v>630000</v>
      </c>
      <c r="DF243" s="7" t="str">
        <f>VLOOKUP(D243,listaBolsa!$D$2:$BA$1248,23,0)</f>
        <v>MYCBDE</v>
      </c>
      <c r="DG243" s="7">
        <f>VLOOKUP(D243,listaBolsa!$D$2:$BA$1248,29,0)</f>
        <v>737800</v>
      </c>
      <c r="DH243" s="7" t="str">
        <f>VLOOKUP(D243,listaBolsa!$D$2:$BA$1248,36,0)</f>
        <v>DAGROW</v>
      </c>
      <c r="DI243" s="7">
        <f>VLOOKUP(D243,listaBolsa!$D$2:$BA$1248,40,0)</f>
        <v>595000</v>
      </c>
      <c r="DJ243" s="252">
        <f>VLOOKUP(D243,listaBolsa!$D$2:$BA$1248,48,0)</f>
        <v>2.93E-2</v>
      </c>
      <c r="DK243" s="7" t="b">
        <f t="shared" si="205"/>
        <v>1</v>
      </c>
      <c r="DL243" s="7" t="b">
        <f t="shared" si="207"/>
        <v>0</v>
      </c>
      <c r="DM243" s="7" t="b">
        <f t="shared" si="219"/>
        <v>0</v>
      </c>
      <c r="DN243" s="7" t="b">
        <f t="shared" si="220"/>
        <v>0</v>
      </c>
      <c r="DO243" s="7" t="b">
        <f t="shared" si="221"/>
        <v>0</v>
      </c>
      <c r="DP243" s="7" t="b">
        <f t="shared" si="222"/>
        <v>0</v>
      </c>
      <c r="DQ243" s="7" t="b">
        <f t="shared" si="223"/>
        <v>0</v>
      </c>
      <c r="DR243" s="7" t="b">
        <f t="shared" si="224"/>
        <v>0</v>
      </c>
      <c r="DS243" s="7" t="b">
        <f t="shared" si="225"/>
        <v>0</v>
      </c>
    </row>
    <row r="244" spans="1:123" s="7" customFormat="1" ht="42">
      <c r="A244" s="7" t="s">
        <v>570</v>
      </c>
      <c r="B244" s="453">
        <v>230</v>
      </c>
      <c r="C244" s="642" t="s">
        <v>579</v>
      </c>
      <c r="D244" s="453" t="s">
        <v>976</v>
      </c>
      <c r="E244" s="453" t="s">
        <v>977</v>
      </c>
      <c r="F244" s="194" t="s">
        <v>568</v>
      </c>
      <c r="G244" s="453">
        <v>1</v>
      </c>
      <c r="H244" s="443" t="s">
        <v>192</v>
      </c>
      <c r="I244" s="454" t="s">
        <v>239</v>
      </c>
      <c r="J244" s="455">
        <v>75362.179999999993</v>
      </c>
      <c r="K244" s="455">
        <f t="shared" si="226"/>
        <v>14318.814199999999</v>
      </c>
      <c r="L244" s="455">
        <f t="shared" si="211"/>
        <v>89680.994199999986</v>
      </c>
      <c r="M244" s="455">
        <f t="shared" si="212"/>
        <v>75362.179999999993</v>
      </c>
      <c r="N244" s="455">
        <f t="shared" si="213"/>
        <v>89680.994199999986</v>
      </c>
      <c r="O244" s="456" t="s">
        <v>769</v>
      </c>
      <c r="P244" s="457">
        <v>58739.5</v>
      </c>
      <c r="Q244" s="457">
        <f t="shared" si="227"/>
        <v>11160.505000000001</v>
      </c>
      <c r="R244" s="457">
        <f t="shared" si="214"/>
        <v>69900.005000000005</v>
      </c>
      <c r="S244" s="457">
        <f t="shared" si="215"/>
        <v>58739.5</v>
      </c>
      <c r="T244" s="457">
        <f t="shared" si="216"/>
        <v>69900.005000000005</v>
      </c>
      <c r="U244" s="458" t="s">
        <v>230</v>
      </c>
      <c r="V244" s="459">
        <v>58739.5</v>
      </c>
      <c r="W244" s="459">
        <f t="shared" si="202"/>
        <v>11160.505000000001</v>
      </c>
      <c r="X244" s="459">
        <f t="shared" si="208"/>
        <v>69900.005000000005</v>
      </c>
      <c r="Y244" s="459">
        <f t="shared" si="209"/>
        <v>58739.5</v>
      </c>
      <c r="Z244" s="459">
        <f t="shared" si="210"/>
        <v>69900.005000000005</v>
      </c>
      <c r="AA244" s="460">
        <f t="shared" si="228"/>
        <v>76493.668066666665</v>
      </c>
      <c r="AB244" s="460">
        <f t="shared" si="217"/>
        <v>76493.668066666665</v>
      </c>
      <c r="AC244" s="461">
        <f t="shared" si="229"/>
        <v>11420.559439457049</v>
      </c>
      <c r="AD244" s="427">
        <f t="shared" si="218"/>
        <v>0.14930071636130285</v>
      </c>
      <c r="AE244" s="428"/>
      <c r="BH244" s="7">
        <v>81</v>
      </c>
      <c r="DB244" s="7" t="str">
        <f>VLOOKUP(D244,listaBolsa!$D$2:$BA$1248,1,0)</f>
        <v>centrifugadora de vegetales</v>
      </c>
      <c r="DC244" s="7">
        <f>VLOOKUP(D244,listaBolsa!$D$2:$BA$1248,2,0)</f>
        <v>0</v>
      </c>
      <c r="DD244" s="7" t="str">
        <f>VLOOKUP(D244,listaBolsa!$D$2:$BA$1248,10,0)</f>
        <v xml:space="preserve">JUNTOS DE LA MANO </v>
      </c>
      <c r="DE244" s="7">
        <f>VLOOKUP(D244,listaBolsa!$D$2:$BA$1248,14,0)</f>
        <v>140000</v>
      </c>
      <c r="DF244" s="7" t="str">
        <f>VLOOKUP(D244,listaBolsa!$D$2:$BA$1248,23,0)</f>
        <v>MYCBDE</v>
      </c>
      <c r="DG244" s="7">
        <f>VLOOKUP(D244,listaBolsa!$D$2:$BA$1248,29,0)</f>
        <v>154700</v>
      </c>
      <c r="DH244" s="7" t="str">
        <f>VLOOKUP(D244,listaBolsa!$D$2:$BA$1248,36,0)</f>
        <v>DAGROW</v>
      </c>
      <c r="DI244" s="7">
        <f>VLOOKUP(D244,listaBolsa!$D$2:$BA$1248,40,0)</f>
        <v>120400</v>
      </c>
      <c r="DJ244" s="252">
        <f>VLOOKUP(D244,listaBolsa!$D$2:$BA$1248,48,0)</f>
        <v>7.5300000000000006E-2</v>
      </c>
      <c r="DK244" s="7" t="b">
        <f t="shared" si="205"/>
        <v>1</v>
      </c>
      <c r="DL244" s="7" t="b">
        <f t="shared" si="207"/>
        <v>0</v>
      </c>
      <c r="DM244" s="7" t="b">
        <f t="shared" si="219"/>
        <v>0</v>
      </c>
      <c r="DN244" s="7" t="b">
        <f t="shared" si="220"/>
        <v>0</v>
      </c>
      <c r="DO244" s="7" t="b">
        <f t="shared" si="221"/>
        <v>0</v>
      </c>
      <c r="DP244" s="7" t="b">
        <f t="shared" si="222"/>
        <v>0</v>
      </c>
      <c r="DQ244" s="7" t="b">
        <f t="shared" si="223"/>
        <v>0</v>
      </c>
      <c r="DR244" s="7" t="b">
        <f t="shared" si="224"/>
        <v>0</v>
      </c>
      <c r="DS244" s="7" t="b">
        <f t="shared" si="225"/>
        <v>0</v>
      </c>
    </row>
    <row r="245" spans="1:123" s="7" customFormat="1" ht="42">
      <c r="A245" s="7" t="s">
        <v>570</v>
      </c>
      <c r="B245" s="453">
        <v>231</v>
      </c>
      <c r="C245" s="642" t="s">
        <v>579</v>
      </c>
      <c r="D245" s="453" t="s">
        <v>979</v>
      </c>
      <c r="E245" s="453" t="s">
        <v>980</v>
      </c>
      <c r="F245" s="194" t="s">
        <v>568</v>
      </c>
      <c r="G245" s="453">
        <v>1</v>
      </c>
      <c r="H245" s="443" t="s">
        <v>192</v>
      </c>
      <c r="I245" s="454" t="s">
        <v>380</v>
      </c>
      <c r="J245" s="455">
        <v>60000</v>
      </c>
      <c r="K245" s="455">
        <f t="shared" si="226"/>
        <v>11400</v>
      </c>
      <c r="L245" s="455">
        <f t="shared" si="211"/>
        <v>71400</v>
      </c>
      <c r="M245" s="455">
        <f t="shared" si="212"/>
        <v>60000</v>
      </c>
      <c r="N245" s="455">
        <f t="shared" si="213"/>
        <v>71400</v>
      </c>
      <c r="O245" s="456" t="s">
        <v>381</v>
      </c>
      <c r="P245" s="457">
        <v>58000</v>
      </c>
      <c r="Q245" s="457">
        <f t="shared" si="227"/>
        <v>11020</v>
      </c>
      <c r="R245" s="457">
        <f t="shared" si="214"/>
        <v>69020</v>
      </c>
      <c r="S245" s="457">
        <f t="shared" si="215"/>
        <v>58000</v>
      </c>
      <c r="T245" s="457">
        <f t="shared" si="216"/>
        <v>69020</v>
      </c>
      <c r="U245" s="458" t="s">
        <v>382</v>
      </c>
      <c r="V245" s="459">
        <v>56000</v>
      </c>
      <c r="W245" s="459">
        <f t="shared" si="202"/>
        <v>10640</v>
      </c>
      <c r="X245" s="459">
        <f t="shared" si="208"/>
        <v>66640</v>
      </c>
      <c r="Y245" s="459">
        <f t="shared" si="209"/>
        <v>56000</v>
      </c>
      <c r="Z245" s="459">
        <f t="shared" si="210"/>
        <v>66640</v>
      </c>
      <c r="AA245" s="460">
        <f t="shared" si="228"/>
        <v>69020</v>
      </c>
      <c r="AB245" s="460">
        <f t="shared" si="217"/>
        <v>69020</v>
      </c>
      <c r="AC245" s="461">
        <f t="shared" si="229"/>
        <v>2380</v>
      </c>
      <c r="AD245" s="427">
        <f t="shared" si="218"/>
        <v>3.4482758620689655E-2</v>
      </c>
      <c r="AE245" s="428"/>
      <c r="BH245" s="7">
        <v>82</v>
      </c>
      <c r="DB245" s="7" t="str">
        <f>VLOOKUP(D245,listaBolsa!$D$2:$BA$1248,1,0)</f>
        <v>molino de granos o especias</v>
      </c>
      <c r="DC245" s="7">
        <f>VLOOKUP(D245,listaBolsa!$D$2:$BA$1248,2,0)</f>
        <v>0</v>
      </c>
      <c r="DD245" s="7" t="str">
        <f>VLOOKUP(D245,listaBolsa!$D$2:$BA$1248,10,0)</f>
        <v xml:space="preserve">JUNTOS DE LA MANO </v>
      </c>
      <c r="DE245" s="7">
        <f>VLOOKUP(D245,listaBolsa!$D$2:$BA$1248,14,0)</f>
        <v>60000</v>
      </c>
      <c r="DF245" s="7" t="str">
        <f>VLOOKUP(D245,listaBolsa!$D$2:$BA$1248,23,0)</f>
        <v>MYCBDE</v>
      </c>
      <c r="DG245" s="7">
        <f>VLOOKUP(D245,listaBolsa!$D$2:$BA$1248,29,0)</f>
        <v>69020</v>
      </c>
      <c r="DH245" s="7" t="str">
        <f>VLOOKUP(D245,listaBolsa!$D$2:$BA$1248,36,0)</f>
        <v>DAGROW</v>
      </c>
      <c r="DI245" s="7">
        <f>VLOOKUP(D245,listaBolsa!$D$2:$BA$1248,40,0)</f>
        <v>56000</v>
      </c>
      <c r="DJ245" s="252">
        <f>VLOOKUP(D245,listaBolsa!$D$2:$BA$1248,48,0)</f>
        <v>3.4500000000000003E-2</v>
      </c>
      <c r="DK245" s="7" t="b">
        <f t="shared" si="205"/>
        <v>1</v>
      </c>
      <c r="DL245" s="7" t="b">
        <f t="shared" si="207"/>
        <v>0</v>
      </c>
      <c r="DM245" s="7" t="b">
        <f t="shared" si="219"/>
        <v>1</v>
      </c>
      <c r="DN245" s="7" t="b">
        <f t="shared" si="220"/>
        <v>1</v>
      </c>
      <c r="DO245" s="7" t="b">
        <f t="shared" si="221"/>
        <v>1</v>
      </c>
      <c r="DP245" s="7" t="b">
        <f t="shared" si="222"/>
        <v>0</v>
      </c>
      <c r="DQ245" s="7" t="b">
        <f t="shared" si="223"/>
        <v>1</v>
      </c>
      <c r="DR245" s="7" t="b">
        <f t="shared" si="224"/>
        <v>1</v>
      </c>
      <c r="DS245" s="7" t="b">
        <f t="shared" si="225"/>
        <v>0</v>
      </c>
    </row>
    <row r="246" spans="1:123" s="7" customFormat="1" ht="105">
      <c r="A246" s="7" t="s">
        <v>570</v>
      </c>
      <c r="B246" s="453">
        <v>232</v>
      </c>
      <c r="C246" s="642" t="s">
        <v>579</v>
      </c>
      <c r="D246" s="453" t="s">
        <v>982</v>
      </c>
      <c r="E246" s="453" t="s">
        <v>983</v>
      </c>
      <c r="F246" s="194" t="s">
        <v>568</v>
      </c>
      <c r="G246" s="453">
        <v>1</v>
      </c>
      <c r="H246" s="443" t="s">
        <v>192</v>
      </c>
      <c r="I246" s="454" t="s">
        <v>239</v>
      </c>
      <c r="J246" s="455">
        <v>27310.92</v>
      </c>
      <c r="K246" s="455">
        <f t="shared" si="226"/>
        <v>5189.0747999999994</v>
      </c>
      <c r="L246" s="455">
        <f t="shared" si="211"/>
        <v>32499.994799999997</v>
      </c>
      <c r="M246" s="455">
        <f t="shared" si="212"/>
        <v>27310.92</v>
      </c>
      <c r="N246" s="455">
        <f t="shared" si="213"/>
        <v>32499.994799999997</v>
      </c>
      <c r="O246" s="456" t="s">
        <v>769</v>
      </c>
      <c r="P246" s="457">
        <v>33529.410000000003</v>
      </c>
      <c r="Q246" s="457">
        <f t="shared" si="227"/>
        <v>6370.5879000000004</v>
      </c>
      <c r="R246" s="457">
        <f t="shared" si="214"/>
        <v>39899.997900000002</v>
      </c>
      <c r="S246" s="457">
        <f t="shared" si="215"/>
        <v>33529.410000000003</v>
      </c>
      <c r="T246" s="457">
        <f t="shared" si="216"/>
        <v>39899.997900000002</v>
      </c>
      <c r="U246" s="458" t="s">
        <v>1121</v>
      </c>
      <c r="V246" s="459">
        <v>41932.769999999997</v>
      </c>
      <c r="W246" s="459">
        <f t="shared" si="202"/>
        <v>7967.2262999999994</v>
      </c>
      <c r="X246" s="459">
        <f t="shared" si="208"/>
        <v>49899.996299999999</v>
      </c>
      <c r="Y246" s="459">
        <f t="shared" si="209"/>
        <v>41932.769999999997</v>
      </c>
      <c r="Z246" s="459">
        <f t="shared" si="210"/>
        <v>49899.996299999999</v>
      </c>
      <c r="AA246" s="460">
        <f t="shared" si="228"/>
        <v>40766.663</v>
      </c>
      <c r="AB246" s="460">
        <f t="shared" si="217"/>
        <v>40766.663</v>
      </c>
      <c r="AC246" s="461">
        <f t="shared" si="229"/>
        <v>8732.3160929199767</v>
      </c>
      <c r="AD246" s="427">
        <f t="shared" si="218"/>
        <v>0.21420237641035217</v>
      </c>
      <c r="AE246" s="428"/>
      <c r="BH246" s="7">
        <v>83</v>
      </c>
      <c r="DB246" s="7" t="str">
        <f>VLOOKUP(D246,listaBolsa!$D$2:$BA$1248,1,0)</f>
        <v>termometro de sonda o infrarrojo</v>
      </c>
      <c r="DC246" s="7">
        <f>VLOOKUP(D246,listaBolsa!$D$2:$BA$1248,2,0)</f>
        <v>0</v>
      </c>
      <c r="DD246" s="7" t="str">
        <f>VLOOKUP(D246,listaBolsa!$D$2:$BA$1248,10,0)</f>
        <v xml:space="preserve">JUNTOS DE LA MANO </v>
      </c>
      <c r="DE246" s="7">
        <f>VLOOKUP(D246,listaBolsa!$D$2:$BA$1248,14,0)</f>
        <v>80000</v>
      </c>
      <c r="DF246" s="7" t="str">
        <f>VLOOKUP(D246,listaBolsa!$D$2:$BA$1248,23,0)</f>
        <v>MYCBDE</v>
      </c>
      <c r="DG246" s="7">
        <f>VLOOKUP(D246,listaBolsa!$D$2:$BA$1248,29,0)</f>
        <v>92820</v>
      </c>
      <c r="DH246" s="7" t="str">
        <f>VLOOKUP(D246,listaBolsa!$D$2:$BA$1248,36,0)</f>
        <v>DAGROW</v>
      </c>
      <c r="DI246" s="7">
        <f>VLOOKUP(D246,listaBolsa!$D$2:$BA$1248,40,0)</f>
        <v>77000</v>
      </c>
      <c r="DJ246" s="252">
        <f>VLOOKUP(D246,listaBolsa!$D$2:$BA$1248,48,0)</f>
        <v>1.95E-2</v>
      </c>
      <c r="DK246" s="7" t="b">
        <f t="shared" si="205"/>
        <v>1</v>
      </c>
      <c r="DL246" s="7" t="b">
        <f t="shared" si="207"/>
        <v>0</v>
      </c>
      <c r="DM246" s="7" t="b">
        <f t="shared" si="219"/>
        <v>0</v>
      </c>
      <c r="DN246" s="7" t="b">
        <f t="shared" si="220"/>
        <v>0</v>
      </c>
      <c r="DO246" s="7" t="b">
        <f t="shared" si="221"/>
        <v>0</v>
      </c>
      <c r="DP246" s="7" t="b">
        <f t="shared" si="222"/>
        <v>0</v>
      </c>
      <c r="DQ246" s="7" t="b">
        <f t="shared" si="223"/>
        <v>0</v>
      </c>
      <c r="DR246" s="7" t="b">
        <f t="shared" si="224"/>
        <v>0</v>
      </c>
      <c r="DS246" s="7" t="b">
        <f t="shared" si="225"/>
        <v>0</v>
      </c>
    </row>
    <row r="247" spans="1:123" s="7" customFormat="1" ht="42">
      <c r="A247" s="7" t="s">
        <v>570</v>
      </c>
      <c r="B247" s="453">
        <v>233</v>
      </c>
      <c r="C247" s="642" t="s">
        <v>579</v>
      </c>
      <c r="D247" s="453" t="s">
        <v>985</v>
      </c>
      <c r="E247" s="453" t="s">
        <v>986</v>
      </c>
      <c r="F247" s="194" t="s">
        <v>568</v>
      </c>
      <c r="G247" s="453">
        <v>1</v>
      </c>
      <c r="H247" s="443" t="s">
        <v>192</v>
      </c>
      <c r="I247" s="454" t="s">
        <v>987</v>
      </c>
      <c r="J247" s="455">
        <v>368894.11764705891</v>
      </c>
      <c r="K247" s="455">
        <f t="shared" si="226"/>
        <v>70089.882352941189</v>
      </c>
      <c r="L247" s="455">
        <f t="shared" si="211"/>
        <v>438984.00000000012</v>
      </c>
      <c r="M247" s="455">
        <f t="shared" si="212"/>
        <v>368894.11764705891</v>
      </c>
      <c r="N247" s="455">
        <f t="shared" si="213"/>
        <v>438984.00000000012</v>
      </c>
      <c r="O247" s="456" t="s">
        <v>380</v>
      </c>
      <c r="P247" s="457">
        <v>440000</v>
      </c>
      <c r="Q247" s="457">
        <f t="shared" si="227"/>
        <v>83600</v>
      </c>
      <c r="R247" s="457">
        <f t="shared" si="214"/>
        <v>523600</v>
      </c>
      <c r="S247" s="457">
        <f t="shared" si="215"/>
        <v>440000</v>
      </c>
      <c r="T247" s="457">
        <f t="shared" si="216"/>
        <v>523600</v>
      </c>
      <c r="U247" s="458" t="s">
        <v>381</v>
      </c>
      <c r="V247" s="459">
        <v>430000</v>
      </c>
      <c r="W247" s="459">
        <f t="shared" si="202"/>
        <v>81700</v>
      </c>
      <c r="X247" s="459">
        <f t="shared" si="208"/>
        <v>511700</v>
      </c>
      <c r="Y247" s="459">
        <f t="shared" si="209"/>
        <v>430000</v>
      </c>
      <c r="Z247" s="459">
        <f t="shared" si="210"/>
        <v>511700</v>
      </c>
      <c r="AA247" s="460">
        <f t="shared" si="228"/>
        <v>491428</v>
      </c>
      <c r="AB247" s="460">
        <f t="shared" si="217"/>
        <v>491428</v>
      </c>
      <c r="AC247" s="461">
        <f t="shared" si="229"/>
        <v>45805.920490696328</v>
      </c>
      <c r="AD247" s="427">
        <f t="shared" si="218"/>
        <v>9.3209830312266151E-2</v>
      </c>
      <c r="AE247" s="428"/>
      <c r="BH247" s="7">
        <v>84</v>
      </c>
      <c r="DB247" s="7" t="str">
        <f>VLOOKUP(D247,listaBolsa!$D$2:$BA$1248,1,0)</f>
        <v>alambique para aceites esenciales</v>
      </c>
      <c r="DC247" s="7">
        <f>VLOOKUP(D247,listaBolsa!$D$2:$BA$1248,2,0)</f>
        <v>0</v>
      </c>
      <c r="DD247" s="7" t="str">
        <f>VLOOKUP(D247,listaBolsa!$D$2:$BA$1248,10,0)</f>
        <v>ENCARGUELO</v>
      </c>
      <c r="DE247" s="7">
        <f>VLOOKUP(D247,listaBolsa!$D$2:$BA$1248,14,0)</f>
        <v>368894.12</v>
      </c>
      <c r="DF247" s="7" t="str">
        <f>VLOOKUP(D247,listaBolsa!$D$2:$BA$1248,23,0)</f>
        <v xml:space="preserve">JUNTOS DE LA MANO </v>
      </c>
      <c r="DG247" s="7">
        <f>VLOOKUP(D247,listaBolsa!$D$2:$BA$1248,29,0)</f>
        <v>523600</v>
      </c>
      <c r="DH247" s="7" t="str">
        <f>VLOOKUP(D247,listaBolsa!$D$2:$BA$1248,36,0)</f>
        <v>MYCBDE</v>
      </c>
      <c r="DI247" s="7">
        <f>VLOOKUP(D247,listaBolsa!$D$2:$BA$1248,40,0)</f>
        <v>430000</v>
      </c>
      <c r="DJ247" s="252">
        <f>VLOOKUP(D247,listaBolsa!$D$2:$BA$1248,48,0)</f>
        <v>9.3200000000000005E-2</v>
      </c>
      <c r="DK247" s="7" t="b">
        <f t="shared" si="205"/>
        <v>1</v>
      </c>
      <c r="DL247" s="7" t="b">
        <f t="shared" si="207"/>
        <v>0</v>
      </c>
      <c r="DM247" s="7" t="b">
        <f t="shared" si="219"/>
        <v>1</v>
      </c>
      <c r="DN247" s="7" t="b">
        <f t="shared" si="220"/>
        <v>0</v>
      </c>
      <c r="DO247" s="7" t="b">
        <f t="shared" si="221"/>
        <v>1</v>
      </c>
      <c r="DP247" s="7" t="b">
        <f t="shared" si="222"/>
        <v>0</v>
      </c>
      <c r="DQ247" s="7" t="b">
        <f t="shared" si="223"/>
        <v>1</v>
      </c>
      <c r="DR247" s="7" t="b">
        <f t="shared" si="224"/>
        <v>1</v>
      </c>
      <c r="DS247" s="7" t="b">
        <f t="shared" si="225"/>
        <v>0</v>
      </c>
    </row>
    <row r="248" spans="1:123" s="7" customFormat="1" ht="42">
      <c r="A248" s="7" t="s">
        <v>570</v>
      </c>
      <c r="B248" s="453">
        <v>234</v>
      </c>
      <c r="C248" s="642" t="s">
        <v>579</v>
      </c>
      <c r="D248" s="453" t="s">
        <v>989</v>
      </c>
      <c r="E248" s="453" t="s">
        <v>990</v>
      </c>
      <c r="F248" s="194" t="s">
        <v>568</v>
      </c>
      <c r="G248" s="453">
        <v>1</v>
      </c>
      <c r="H248" s="443" t="s">
        <v>192</v>
      </c>
      <c r="I248" s="454" t="s">
        <v>380</v>
      </c>
      <c r="J248" s="455">
        <v>45000</v>
      </c>
      <c r="K248" s="455">
        <f t="shared" si="226"/>
        <v>8550</v>
      </c>
      <c r="L248" s="455">
        <f t="shared" si="211"/>
        <v>53550</v>
      </c>
      <c r="M248" s="455">
        <f t="shared" si="212"/>
        <v>45000</v>
      </c>
      <c r="N248" s="455">
        <f t="shared" si="213"/>
        <v>53550</v>
      </c>
      <c r="O248" s="456" t="s">
        <v>381</v>
      </c>
      <c r="P248" s="457">
        <v>44000</v>
      </c>
      <c r="Q248" s="457">
        <f t="shared" si="227"/>
        <v>8360</v>
      </c>
      <c r="R248" s="457">
        <f t="shared" si="214"/>
        <v>52360</v>
      </c>
      <c r="S248" s="457">
        <f t="shared" si="215"/>
        <v>44000</v>
      </c>
      <c r="T248" s="457">
        <f t="shared" si="216"/>
        <v>52360</v>
      </c>
      <c r="U248" s="458" t="s">
        <v>382</v>
      </c>
      <c r="V248" s="459">
        <v>42000</v>
      </c>
      <c r="W248" s="459">
        <f t="shared" si="202"/>
        <v>7980</v>
      </c>
      <c r="X248" s="459">
        <f t="shared" si="208"/>
        <v>49980</v>
      </c>
      <c r="Y248" s="459">
        <f t="shared" si="209"/>
        <v>42000</v>
      </c>
      <c r="Z248" s="459">
        <f t="shared" si="210"/>
        <v>49980</v>
      </c>
      <c r="AA248" s="460">
        <f t="shared" si="228"/>
        <v>51963.333333333336</v>
      </c>
      <c r="AB248" s="460">
        <f t="shared" si="217"/>
        <v>51963.333333333336</v>
      </c>
      <c r="AC248" s="461">
        <f t="shared" si="229"/>
        <v>1817.7550256658167</v>
      </c>
      <c r="AD248" s="427">
        <f t="shared" si="218"/>
        <v>3.4981493854624734E-2</v>
      </c>
      <c r="AE248" s="428"/>
      <c r="BH248" s="7">
        <v>85</v>
      </c>
      <c r="DB248" s="7" t="str">
        <f>VLOOKUP(D248,listaBolsa!$D$2:$BA$1248,1,0)</f>
        <v>colador cónico</v>
      </c>
      <c r="DC248" s="7">
        <f>VLOOKUP(D248,listaBolsa!$D$2:$BA$1248,2,0)</f>
        <v>0</v>
      </c>
      <c r="DD248" s="7" t="str">
        <f>VLOOKUP(D248,listaBolsa!$D$2:$BA$1248,10,0)</f>
        <v xml:space="preserve">JUNTOS DE LA MANO </v>
      </c>
      <c r="DE248" s="7">
        <f>VLOOKUP(D248,listaBolsa!$D$2:$BA$1248,14,0)</f>
        <v>45000</v>
      </c>
      <c r="DF248" s="7" t="str">
        <f>VLOOKUP(D248,listaBolsa!$D$2:$BA$1248,23,0)</f>
        <v>MYCBDE</v>
      </c>
      <c r="DG248" s="7">
        <f>VLOOKUP(D248,listaBolsa!$D$2:$BA$1248,29,0)</f>
        <v>52360</v>
      </c>
      <c r="DH248" s="7" t="str">
        <f>VLOOKUP(D248,listaBolsa!$D$2:$BA$1248,36,0)</f>
        <v>DAGROW</v>
      </c>
      <c r="DI248" s="7">
        <f>VLOOKUP(D248,listaBolsa!$D$2:$BA$1248,40,0)</f>
        <v>42000</v>
      </c>
      <c r="DJ248" s="252">
        <f>VLOOKUP(D248,listaBolsa!$D$2:$BA$1248,48,0)</f>
        <v>3.5000000000000003E-2</v>
      </c>
      <c r="DK248" s="7" t="b">
        <f t="shared" si="205"/>
        <v>1</v>
      </c>
      <c r="DL248" s="7" t="b">
        <f t="shared" si="207"/>
        <v>0</v>
      </c>
      <c r="DM248" s="7" t="b">
        <f t="shared" si="219"/>
        <v>1</v>
      </c>
      <c r="DN248" s="7" t="b">
        <f t="shared" si="220"/>
        <v>1</v>
      </c>
      <c r="DO248" s="7" t="b">
        <f t="shared" si="221"/>
        <v>1</v>
      </c>
      <c r="DP248" s="7" t="b">
        <f t="shared" si="222"/>
        <v>0</v>
      </c>
      <c r="DQ248" s="7" t="b">
        <f t="shared" si="223"/>
        <v>1</v>
      </c>
      <c r="DR248" s="7" t="b">
        <f t="shared" si="224"/>
        <v>1</v>
      </c>
      <c r="DS248" s="7" t="b">
        <f t="shared" si="225"/>
        <v>0</v>
      </c>
    </row>
    <row r="249" spans="1:123" s="7" customFormat="1" ht="42">
      <c r="A249" s="7" t="s">
        <v>570</v>
      </c>
      <c r="B249" s="453">
        <v>235</v>
      </c>
      <c r="C249" s="642" t="s">
        <v>579</v>
      </c>
      <c r="D249" s="453" t="s">
        <v>992</v>
      </c>
      <c r="E249" s="453" t="s">
        <v>1122</v>
      </c>
      <c r="F249" s="194" t="s">
        <v>568</v>
      </c>
      <c r="G249" s="453">
        <v>1</v>
      </c>
      <c r="H249" s="443" t="s">
        <v>192</v>
      </c>
      <c r="I249" s="454" t="s">
        <v>230</v>
      </c>
      <c r="J249" s="455">
        <v>25126.05</v>
      </c>
      <c r="K249" s="455">
        <f t="shared" si="226"/>
        <v>4773.9494999999997</v>
      </c>
      <c r="L249" s="455">
        <f t="shared" si="211"/>
        <v>29899.999499999998</v>
      </c>
      <c r="M249" s="455">
        <f t="shared" si="212"/>
        <v>25126.05</v>
      </c>
      <c r="N249" s="455">
        <f t="shared" si="213"/>
        <v>29899.999499999998</v>
      </c>
      <c r="O249" s="456" t="s">
        <v>285</v>
      </c>
      <c r="P249" s="457">
        <v>25126.05</v>
      </c>
      <c r="Q249" s="457">
        <f t="shared" si="227"/>
        <v>4773.9494999999997</v>
      </c>
      <c r="R249" s="457">
        <f t="shared" si="214"/>
        <v>29899.999499999998</v>
      </c>
      <c r="S249" s="457">
        <f t="shared" si="215"/>
        <v>25126.05</v>
      </c>
      <c r="T249" s="457">
        <f t="shared" si="216"/>
        <v>29899.999499999998</v>
      </c>
      <c r="U249" s="458" t="s">
        <v>1123</v>
      </c>
      <c r="V249" s="459">
        <v>25201.68</v>
      </c>
      <c r="W249" s="459">
        <f t="shared" si="202"/>
        <v>4788.3191999999999</v>
      </c>
      <c r="X249" s="459">
        <f t="shared" si="208"/>
        <v>29989.999199999998</v>
      </c>
      <c r="Y249" s="459">
        <f t="shared" si="209"/>
        <v>25201.68</v>
      </c>
      <c r="Z249" s="459">
        <f t="shared" si="210"/>
        <v>29989.999199999998</v>
      </c>
      <c r="AA249" s="460">
        <f t="shared" si="228"/>
        <v>29929.999400000001</v>
      </c>
      <c r="AB249" s="460">
        <f t="shared" si="217"/>
        <v>29929.999400000001</v>
      </c>
      <c r="AC249" s="461">
        <f t="shared" si="229"/>
        <v>51.961351021985735</v>
      </c>
      <c r="AD249" s="427">
        <f t="shared" si="218"/>
        <v>1.7360959593599502E-3</v>
      </c>
      <c r="AE249" s="428"/>
      <c r="BH249" s="7">
        <v>86</v>
      </c>
      <c r="DB249" s="7" t="str">
        <f>VLOOKUP(D249,listaBolsa!$D$2:$BA$1248,1,0)</f>
        <v>frasco medidor de vidrio</v>
      </c>
      <c r="DC249" s="7">
        <f>VLOOKUP(D249,listaBolsa!$D$2:$BA$1248,2,0)</f>
        <v>0</v>
      </c>
      <c r="DD249" s="7" t="str">
        <f>VLOOKUP(D249,listaBolsa!$D$2:$BA$1248,10,0)</f>
        <v xml:space="preserve">JUNTOS DE LA MANO </v>
      </c>
      <c r="DE249" s="7">
        <f>VLOOKUP(D249,listaBolsa!$D$2:$BA$1248,14,0)</f>
        <v>86000</v>
      </c>
      <c r="DF249" s="7" t="str">
        <f>VLOOKUP(D249,listaBolsa!$D$2:$BA$1248,23,0)</f>
        <v>MYCBDE</v>
      </c>
      <c r="DG249" s="7">
        <f>VLOOKUP(D249,listaBolsa!$D$2:$BA$1248,29,0)</f>
        <v>101150</v>
      </c>
      <c r="DH249" s="7" t="str">
        <f>VLOOKUP(D249,listaBolsa!$D$2:$BA$1248,36,0)</f>
        <v>DAGROW</v>
      </c>
      <c r="DI249" s="7">
        <f>VLOOKUP(D249,listaBolsa!$D$2:$BA$1248,40,0)</f>
        <v>84000</v>
      </c>
      <c r="DJ249" s="252">
        <f>VLOOKUP(D249,listaBolsa!$D$2:$BA$1248,48,0)</f>
        <v>1.18E-2</v>
      </c>
      <c r="DK249" s="7" t="b">
        <f t="shared" si="205"/>
        <v>1</v>
      </c>
      <c r="DL249" s="7" t="b">
        <f t="shared" si="207"/>
        <v>0</v>
      </c>
      <c r="DM249" s="7" t="b">
        <f t="shared" si="219"/>
        <v>0</v>
      </c>
      <c r="DN249" s="7" t="b">
        <f t="shared" si="220"/>
        <v>0</v>
      </c>
      <c r="DO249" s="7" t="b">
        <f t="shared" si="221"/>
        <v>0</v>
      </c>
      <c r="DP249" s="7" t="b">
        <f t="shared" si="222"/>
        <v>0</v>
      </c>
      <c r="DQ249" s="7" t="b">
        <f t="shared" si="223"/>
        <v>0</v>
      </c>
      <c r="DR249" s="7" t="b">
        <f t="shared" si="224"/>
        <v>0</v>
      </c>
      <c r="DS249" s="7" t="b">
        <f t="shared" si="225"/>
        <v>0</v>
      </c>
    </row>
    <row r="250" spans="1:123" s="7" customFormat="1" ht="42">
      <c r="A250" s="7" t="s">
        <v>570</v>
      </c>
      <c r="B250" s="453">
        <v>236</v>
      </c>
      <c r="C250" s="642" t="s">
        <v>579</v>
      </c>
      <c r="D250" s="453" t="s">
        <v>995</v>
      </c>
      <c r="E250" s="453" t="s">
        <v>996</v>
      </c>
      <c r="F250" s="194" t="s">
        <v>568</v>
      </c>
      <c r="G250" s="453">
        <v>1</v>
      </c>
      <c r="H250" s="443" t="s">
        <v>192</v>
      </c>
      <c r="I250" s="454" t="s">
        <v>380</v>
      </c>
      <c r="J250" s="455">
        <v>4000</v>
      </c>
      <c r="K250" s="455">
        <f t="shared" si="226"/>
        <v>760</v>
      </c>
      <c r="L250" s="455">
        <f t="shared" si="211"/>
        <v>4760</v>
      </c>
      <c r="M250" s="455">
        <f t="shared" si="212"/>
        <v>4000</v>
      </c>
      <c r="N250" s="455">
        <f t="shared" si="213"/>
        <v>4760</v>
      </c>
      <c r="O250" s="456" t="s">
        <v>381</v>
      </c>
      <c r="P250" s="457">
        <v>3000</v>
      </c>
      <c r="Q250" s="457">
        <f t="shared" si="227"/>
        <v>570</v>
      </c>
      <c r="R250" s="457">
        <f t="shared" si="214"/>
        <v>3570</v>
      </c>
      <c r="S250" s="457">
        <f t="shared" si="215"/>
        <v>3000</v>
      </c>
      <c r="T250" s="457">
        <f t="shared" si="216"/>
        <v>3570</v>
      </c>
      <c r="U250" s="458" t="s">
        <v>382</v>
      </c>
      <c r="V250" s="459">
        <v>2800</v>
      </c>
      <c r="W250" s="459">
        <f t="shared" si="202"/>
        <v>532</v>
      </c>
      <c r="X250" s="459">
        <f t="shared" si="208"/>
        <v>3332</v>
      </c>
      <c r="Y250" s="459">
        <f t="shared" si="209"/>
        <v>2800</v>
      </c>
      <c r="Z250" s="459">
        <f t="shared" si="210"/>
        <v>3332</v>
      </c>
      <c r="AA250" s="460">
        <f t="shared" si="228"/>
        <v>3887.3333333333335</v>
      </c>
      <c r="AB250" s="460">
        <f t="shared" si="217"/>
        <v>3887.3333333333335</v>
      </c>
      <c r="AC250" s="461">
        <f t="shared" si="229"/>
        <v>765.062960372107</v>
      </c>
      <c r="AD250" s="427">
        <f t="shared" si="218"/>
        <v>0.19680919920393766</v>
      </c>
      <c r="AE250" s="428"/>
      <c r="BH250" s="7">
        <v>87</v>
      </c>
      <c r="DB250" s="7" t="str">
        <f>VLOOKUP(D250,listaBolsa!$D$2:$BA$1248,1,0)</f>
        <v>Frasco vidrio ambar 10 ml con tapa</v>
      </c>
      <c r="DC250" s="7">
        <f>VLOOKUP(D250,listaBolsa!$D$2:$BA$1248,2,0)</f>
        <v>0</v>
      </c>
      <c r="DD250" s="7" t="str">
        <f>VLOOKUP(D250,listaBolsa!$D$2:$BA$1248,10,0)</f>
        <v xml:space="preserve">JUNTOS DE LA MANO </v>
      </c>
      <c r="DE250" s="7">
        <f>VLOOKUP(D250,listaBolsa!$D$2:$BA$1248,14,0)</f>
        <v>4000</v>
      </c>
      <c r="DF250" s="7" t="str">
        <f>VLOOKUP(D250,listaBolsa!$D$2:$BA$1248,23,0)</f>
        <v>MYCBDE</v>
      </c>
      <c r="DG250" s="7">
        <f>VLOOKUP(D250,listaBolsa!$D$2:$BA$1248,29,0)</f>
        <v>3570</v>
      </c>
      <c r="DH250" s="7" t="str">
        <f>VLOOKUP(D250,listaBolsa!$D$2:$BA$1248,36,0)</f>
        <v>DAGROW</v>
      </c>
      <c r="DI250" s="7">
        <f>VLOOKUP(D250,listaBolsa!$D$2:$BA$1248,40,0)</f>
        <v>2800</v>
      </c>
      <c r="DJ250" s="252">
        <f>VLOOKUP(D250,listaBolsa!$D$2:$BA$1248,48,0)</f>
        <v>0.1968</v>
      </c>
      <c r="DK250" s="7" t="b">
        <f t="shared" si="205"/>
        <v>1</v>
      </c>
      <c r="DL250" s="7" t="b">
        <f t="shared" si="207"/>
        <v>0</v>
      </c>
      <c r="DM250" s="7" t="b">
        <f t="shared" si="219"/>
        <v>1</v>
      </c>
      <c r="DN250" s="7" t="b">
        <f t="shared" si="220"/>
        <v>1</v>
      </c>
      <c r="DO250" s="7" t="b">
        <f t="shared" si="221"/>
        <v>1</v>
      </c>
      <c r="DP250" s="7" t="b">
        <f t="shared" si="222"/>
        <v>0</v>
      </c>
      <c r="DQ250" s="7" t="b">
        <f t="shared" si="223"/>
        <v>1</v>
      </c>
      <c r="DR250" s="7" t="b">
        <f t="shared" si="224"/>
        <v>1</v>
      </c>
      <c r="DS250" s="7" t="b">
        <f t="shared" si="225"/>
        <v>0</v>
      </c>
    </row>
    <row r="251" spans="1:123" s="7" customFormat="1" ht="42">
      <c r="A251" s="7" t="s">
        <v>570</v>
      </c>
      <c r="B251" s="453">
        <v>237</v>
      </c>
      <c r="C251" s="642" t="s">
        <v>579</v>
      </c>
      <c r="D251" s="453" t="s">
        <v>998</v>
      </c>
      <c r="E251" s="453" t="s">
        <v>996</v>
      </c>
      <c r="F251" s="194" t="s">
        <v>568</v>
      </c>
      <c r="G251" s="453">
        <v>1</v>
      </c>
      <c r="H251" s="443" t="s">
        <v>192</v>
      </c>
      <c r="I251" s="454" t="s">
        <v>380</v>
      </c>
      <c r="J251" s="455">
        <v>4500</v>
      </c>
      <c r="K251" s="455">
        <f t="shared" si="226"/>
        <v>855</v>
      </c>
      <c r="L251" s="455">
        <f t="shared" si="211"/>
        <v>5355</v>
      </c>
      <c r="M251" s="455">
        <f t="shared" si="212"/>
        <v>4500</v>
      </c>
      <c r="N251" s="455">
        <f t="shared" si="213"/>
        <v>5355</v>
      </c>
      <c r="O251" s="456" t="s">
        <v>381</v>
      </c>
      <c r="P251" s="457">
        <v>4300</v>
      </c>
      <c r="Q251" s="457">
        <f t="shared" si="227"/>
        <v>817</v>
      </c>
      <c r="R251" s="457">
        <f t="shared" si="214"/>
        <v>5117</v>
      </c>
      <c r="S251" s="457">
        <f t="shared" si="215"/>
        <v>4300</v>
      </c>
      <c r="T251" s="457">
        <f t="shared" si="216"/>
        <v>5117</v>
      </c>
      <c r="U251" s="458" t="s">
        <v>382</v>
      </c>
      <c r="V251" s="459">
        <v>4200</v>
      </c>
      <c r="W251" s="459">
        <f t="shared" si="202"/>
        <v>798</v>
      </c>
      <c r="X251" s="459">
        <f t="shared" si="208"/>
        <v>4998</v>
      </c>
      <c r="Y251" s="459">
        <f t="shared" si="209"/>
        <v>4200</v>
      </c>
      <c r="Z251" s="459">
        <f t="shared" si="210"/>
        <v>4998</v>
      </c>
      <c r="AA251" s="460">
        <f t="shared" si="228"/>
        <v>5156.666666666667</v>
      </c>
      <c r="AB251" s="460">
        <f t="shared" si="217"/>
        <v>5156.666666666667</v>
      </c>
      <c r="AC251" s="461">
        <f t="shared" si="229"/>
        <v>181.77550256658165</v>
      </c>
      <c r="AD251" s="427">
        <f t="shared" si="218"/>
        <v>3.5250582268891072E-2</v>
      </c>
      <c r="AE251" s="428"/>
      <c r="BH251" s="7">
        <v>88</v>
      </c>
      <c r="DB251" s="7" t="str">
        <f>VLOOKUP(D251,listaBolsa!$D$2:$BA$1248,1,0)</f>
        <v>Frasco vidrio ambar 20 ml con tapa</v>
      </c>
      <c r="DC251" s="7">
        <f>VLOOKUP(D251,listaBolsa!$D$2:$BA$1248,2,0)</f>
        <v>0</v>
      </c>
      <c r="DD251" s="7" t="str">
        <f>VLOOKUP(D251,listaBolsa!$D$2:$BA$1248,10,0)</f>
        <v xml:space="preserve">JUNTOS DE LA MANO </v>
      </c>
      <c r="DE251" s="7">
        <f>VLOOKUP(D251,listaBolsa!$D$2:$BA$1248,14,0)</f>
        <v>4500</v>
      </c>
      <c r="DF251" s="7" t="str">
        <f>VLOOKUP(D251,listaBolsa!$D$2:$BA$1248,23,0)</f>
        <v>MYCBDE</v>
      </c>
      <c r="DG251" s="7">
        <f>VLOOKUP(D251,listaBolsa!$D$2:$BA$1248,29,0)</f>
        <v>5117</v>
      </c>
      <c r="DH251" s="7" t="str">
        <f>VLOOKUP(D251,listaBolsa!$D$2:$BA$1248,36,0)</f>
        <v>DAGROW</v>
      </c>
      <c r="DI251" s="7">
        <f>VLOOKUP(D251,listaBolsa!$D$2:$BA$1248,40,0)</f>
        <v>4200</v>
      </c>
      <c r="DJ251" s="252">
        <f>VLOOKUP(D251,listaBolsa!$D$2:$BA$1248,48,0)</f>
        <v>3.5299999999999998E-2</v>
      </c>
      <c r="DK251" s="7" t="b">
        <f t="shared" si="205"/>
        <v>1</v>
      </c>
      <c r="DL251" s="7" t="b">
        <f t="shared" si="207"/>
        <v>0</v>
      </c>
      <c r="DM251" s="7" t="b">
        <f t="shared" si="219"/>
        <v>1</v>
      </c>
      <c r="DN251" s="7" t="b">
        <f t="shared" si="220"/>
        <v>1</v>
      </c>
      <c r="DO251" s="7" t="b">
        <f t="shared" si="221"/>
        <v>1</v>
      </c>
      <c r="DP251" s="7" t="b">
        <f t="shared" si="222"/>
        <v>0</v>
      </c>
      <c r="DQ251" s="7" t="b">
        <f t="shared" si="223"/>
        <v>1</v>
      </c>
      <c r="DR251" s="7" t="b">
        <f t="shared" si="224"/>
        <v>1</v>
      </c>
      <c r="DS251" s="7" t="b">
        <f t="shared" si="225"/>
        <v>0</v>
      </c>
    </row>
    <row r="252" spans="1:123" s="7" customFormat="1" ht="42">
      <c r="A252" s="7" t="s">
        <v>570</v>
      </c>
      <c r="B252" s="453">
        <v>238</v>
      </c>
      <c r="C252" s="642" t="s">
        <v>579</v>
      </c>
      <c r="D252" s="453" t="s">
        <v>1000</v>
      </c>
      <c r="E252" s="453" t="s">
        <v>996</v>
      </c>
      <c r="F252" s="194" t="s">
        <v>568</v>
      </c>
      <c r="G252" s="453">
        <v>1</v>
      </c>
      <c r="H252" s="443" t="s">
        <v>192</v>
      </c>
      <c r="I252" s="454" t="s">
        <v>380</v>
      </c>
      <c r="J252" s="455">
        <v>6200</v>
      </c>
      <c r="K252" s="455">
        <f t="shared" si="226"/>
        <v>1178</v>
      </c>
      <c r="L252" s="455">
        <f t="shared" si="211"/>
        <v>7378</v>
      </c>
      <c r="M252" s="455">
        <f t="shared" si="212"/>
        <v>6200</v>
      </c>
      <c r="N252" s="455">
        <f t="shared" si="213"/>
        <v>7378</v>
      </c>
      <c r="O252" s="456" t="s">
        <v>382</v>
      </c>
      <c r="P252" s="457">
        <v>5600</v>
      </c>
      <c r="Q252" s="457">
        <f t="shared" si="227"/>
        <v>1064</v>
      </c>
      <c r="R252" s="457">
        <f t="shared" si="214"/>
        <v>6664</v>
      </c>
      <c r="S252" s="457">
        <f t="shared" si="215"/>
        <v>5600</v>
      </c>
      <c r="T252" s="457">
        <f t="shared" si="216"/>
        <v>6664</v>
      </c>
      <c r="U252" s="458" t="s">
        <v>381</v>
      </c>
      <c r="V252" s="459">
        <v>5500</v>
      </c>
      <c r="W252" s="459">
        <f t="shared" si="202"/>
        <v>1045</v>
      </c>
      <c r="X252" s="459">
        <f t="shared" si="208"/>
        <v>6545</v>
      </c>
      <c r="Y252" s="459">
        <f t="shared" si="209"/>
        <v>5500</v>
      </c>
      <c r="Z252" s="459">
        <f t="shared" si="210"/>
        <v>6545</v>
      </c>
      <c r="AA252" s="460">
        <f t="shared" si="228"/>
        <v>6862.333333333333</v>
      </c>
      <c r="AB252" s="460">
        <f t="shared" si="217"/>
        <v>6862.333333333333</v>
      </c>
      <c r="AC252" s="461">
        <f t="shared" si="229"/>
        <v>450.52672876682169</v>
      </c>
      <c r="AD252" s="427">
        <f t="shared" si="218"/>
        <v>6.565211960462744E-2</v>
      </c>
      <c r="AE252" s="428"/>
      <c r="BH252" s="7">
        <v>89</v>
      </c>
      <c r="DB252" s="7" t="str">
        <f>VLOOKUP(D252,listaBolsa!$D$2:$BA$1248,1,0)</f>
        <v>Frasco vidrio ambar 30 ml con tapa</v>
      </c>
      <c r="DC252" s="7">
        <f>VLOOKUP(D252,listaBolsa!$D$2:$BA$1248,2,0)</f>
        <v>0</v>
      </c>
      <c r="DD252" s="7" t="str">
        <f>VLOOKUP(D252,listaBolsa!$D$2:$BA$1248,10,0)</f>
        <v xml:space="preserve">JUNTOS DE LA MANO </v>
      </c>
      <c r="DE252" s="7">
        <f>VLOOKUP(D252,listaBolsa!$D$2:$BA$1248,14,0)</f>
        <v>6200</v>
      </c>
      <c r="DF252" s="7" t="str">
        <f>VLOOKUP(D252,listaBolsa!$D$2:$BA$1248,23,0)</f>
        <v>DAGROW</v>
      </c>
      <c r="DG252" s="7">
        <f>VLOOKUP(D252,listaBolsa!$D$2:$BA$1248,29,0)</f>
        <v>6664</v>
      </c>
      <c r="DH252" s="7" t="str">
        <f>VLOOKUP(D252,listaBolsa!$D$2:$BA$1248,36,0)</f>
        <v>MYCBDE</v>
      </c>
      <c r="DI252" s="7">
        <f>VLOOKUP(D252,listaBolsa!$D$2:$BA$1248,40,0)</f>
        <v>5500</v>
      </c>
      <c r="DJ252" s="252">
        <f>VLOOKUP(D252,listaBolsa!$D$2:$BA$1248,48,0)</f>
        <v>6.5699999999999995E-2</v>
      </c>
      <c r="DK252" s="7" t="b">
        <f t="shared" si="205"/>
        <v>1</v>
      </c>
      <c r="DL252" s="7" t="b">
        <f t="shared" si="207"/>
        <v>0</v>
      </c>
      <c r="DM252" s="7" t="b">
        <f t="shared" si="219"/>
        <v>1</v>
      </c>
      <c r="DN252" s="7" t="b">
        <f t="shared" si="220"/>
        <v>1</v>
      </c>
      <c r="DO252" s="7" t="b">
        <f t="shared" si="221"/>
        <v>1</v>
      </c>
      <c r="DP252" s="7" t="b">
        <f t="shared" si="222"/>
        <v>0</v>
      </c>
      <c r="DQ252" s="7" t="b">
        <f t="shared" si="223"/>
        <v>1</v>
      </c>
      <c r="DR252" s="7" t="b">
        <f t="shared" si="224"/>
        <v>1</v>
      </c>
      <c r="DS252" s="7" t="b">
        <f t="shared" si="225"/>
        <v>0</v>
      </c>
    </row>
    <row r="253" spans="1:123" s="7" customFormat="1" ht="42">
      <c r="A253" s="7" t="s">
        <v>570</v>
      </c>
      <c r="B253" s="453">
        <v>239</v>
      </c>
      <c r="C253" s="642" t="s">
        <v>579</v>
      </c>
      <c r="D253" s="453" t="s">
        <v>1002</v>
      </c>
      <c r="E253" s="453" t="s">
        <v>996</v>
      </c>
      <c r="F253" s="194" t="s">
        <v>568</v>
      </c>
      <c r="G253" s="453">
        <v>1</v>
      </c>
      <c r="H253" s="443" t="s">
        <v>192</v>
      </c>
      <c r="I253" s="454" t="s">
        <v>380</v>
      </c>
      <c r="J253" s="455">
        <v>10000</v>
      </c>
      <c r="K253" s="455">
        <f t="shared" si="226"/>
        <v>1900</v>
      </c>
      <c r="L253" s="455">
        <f t="shared" si="211"/>
        <v>11900</v>
      </c>
      <c r="M253" s="455">
        <f t="shared" si="212"/>
        <v>10000</v>
      </c>
      <c r="N253" s="455">
        <f t="shared" si="213"/>
        <v>11900</v>
      </c>
      <c r="O253" s="456" t="s">
        <v>381</v>
      </c>
      <c r="P253" s="457">
        <v>9200</v>
      </c>
      <c r="Q253" s="457">
        <f t="shared" si="227"/>
        <v>1748</v>
      </c>
      <c r="R253" s="457">
        <f t="shared" si="214"/>
        <v>10948</v>
      </c>
      <c r="S253" s="457">
        <f t="shared" si="215"/>
        <v>9200</v>
      </c>
      <c r="T253" s="457">
        <f t="shared" si="216"/>
        <v>10948</v>
      </c>
      <c r="U253" s="458" t="s">
        <v>382</v>
      </c>
      <c r="V253" s="459">
        <v>8400</v>
      </c>
      <c r="W253" s="459">
        <f t="shared" si="202"/>
        <v>1596</v>
      </c>
      <c r="X253" s="459">
        <f t="shared" si="208"/>
        <v>9996</v>
      </c>
      <c r="Y253" s="459">
        <f t="shared" si="209"/>
        <v>8400</v>
      </c>
      <c r="Z253" s="459">
        <f t="shared" si="210"/>
        <v>9996</v>
      </c>
      <c r="AA253" s="460">
        <f t="shared" si="228"/>
        <v>10948</v>
      </c>
      <c r="AB253" s="460">
        <f t="shared" si="217"/>
        <v>10948</v>
      </c>
      <c r="AC253" s="461">
        <f t="shared" si="229"/>
        <v>952</v>
      </c>
      <c r="AD253" s="427">
        <f t="shared" si="218"/>
        <v>8.6956521739130432E-2</v>
      </c>
      <c r="AE253" s="428"/>
      <c r="BH253" s="7">
        <v>90</v>
      </c>
      <c r="DB253" s="7" t="str">
        <f>VLOOKUP(D253,listaBolsa!$D$2:$BA$1248,1,0)</f>
        <v>Frasco vidrio ambar 50 ml con tapa</v>
      </c>
      <c r="DC253" s="7">
        <f>VLOOKUP(D253,listaBolsa!$D$2:$BA$1248,2,0)</f>
        <v>0</v>
      </c>
      <c r="DD253" s="7" t="str">
        <f>VLOOKUP(D253,listaBolsa!$D$2:$BA$1248,10,0)</f>
        <v xml:space="preserve">JUNTOS DE LA MANO </v>
      </c>
      <c r="DE253" s="7">
        <f>VLOOKUP(D253,listaBolsa!$D$2:$BA$1248,14,0)</f>
        <v>10000</v>
      </c>
      <c r="DF253" s="7" t="str">
        <f>VLOOKUP(D253,listaBolsa!$D$2:$BA$1248,23,0)</f>
        <v>MYCBDE</v>
      </c>
      <c r="DG253" s="7">
        <f>VLOOKUP(D253,listaBolsa!$D$2:$BA$1248,29,0)</f>
        <v>10948</v>
      </c>
      <c r="DH253" s="7" t="str">
        <f>VLOOKUP(D253,listaBolsa!$D$2:$BA$1248,36,0)</f>
        <v>DAGROW</v>
      </c>
      <c r="DI253" s="7">
        <f>VLOOKUP(D253,listaBolsa!$D$2:$BA$1248,40,0)</f>
        <v>8400</v>
      </c>
      <c r="DJ253" s="252">
        <f>VLOOKUP(D253,listaBolsa!$D$2:$BA$1248,48,0)</f>
        <v>8.6999999999999994E-2</v>
      </c>
      <c r="DK253" s="7" t="b">
        <f t="shared" si="205"/>
        <v>1</v>
      </c>
      <c r="DL253" s="7" t="b">
        <f t="shared" si="207"/>
        <v>0</v>
      </c>
      <c r="DM253" s="7" t="b">
        <f t="shared" si="219"/>
        <v>1</v>
      </c>
      <c r="DN253" s="7" t="b">
        <f t="shared" si="220"/>
        <v>1</v>
      </c>
      <c r="DO253" s="7" t="b">
        <f t="shared" si="221"/>
        <v>1</v>
      </c>
      <c r="DP253" s="7" t="b">
        <f t="shared" si="222"/>
        <v>0</v>
      </c>
      <c r="DQ253" s="7" t="b">
        <f t="shared" si="223"/>
        <v>1</v>
      </c>
      <c r="DR253" s="7" t="b">
        <f t="shared" si="224"/>
        <v>1</v>
      </c>
      <c r="DS253" s="7" t="b">
        <f t="shared" si="225"/>
        <v>0</v>
      </c>
    </row>
    <row r="254" spans="1:123" s="7" customFormat="1" ht="231">
      <c r="A254" s="7" t="s">
        <v>570</v>
      </c>
      <c r="B254" s="453">
        <v>240</v>
      </c>
      <c r="C254" s="642" t="s">
        <v>1004</v>
      </c>
      <c r="D254" s="453" t="s">
        <v>299</v>
      </c>
      <c r="E254" s="453" t="s">
        <v>1005</v>
      </c>
      <c r="F254" s="194" t="s">
        <v>191</v>
      </c>
      <c r="G254" s="453">
        <v>1</v>
      </c>
      <c r="H254" s="443" t="str">
        <f>IF(C254="","",IFERROR(VLOOKUP(D254,[1]Base_General!$D$1:$H$192,5,0),"Colocar Descripción explícita del ítem"))</f>
        <v>Alquiler</v>
      </c>
      <c r="I254" s="454" t="s">
        <v>515</v>
      </c>
      <c r="J254" s="455">
        <v>3150000</v>
      </c>
      <c r="K254" s="455">
        <f t="shared" si="226"/>
        <v>598500</v>
      </c>
      <c r="L254" s="455">
        <f t="shared" si="211"/>
        <v>3748500</v>
      </c>
      <c r="M254" s="455">
        <f t="shared" si="212"/>
        <v>3150000</v>
      </c>
      <c r="N254" s="455">
        <f t="shared" si="213"/>
        <v>3748500</v>
      </c>
      <c r="O254" s="456" t="s">
        <v>1006</v>
      </c>
      <c r="P254" s="457">
        <v>3200000</v>
      </c>
      <c r="Q254" s="457">
        <f t="shared" si="227"/>
        <v>608000</v>
      </c>
      <c r="R254" s="457">
        <f t="shared" si="214"/>
        <v>3808000</v>
      </c>
      <c r="S254" s="457">
        <f t="shared" si="215"/>
        <v>3200000</v>
      </c>
      <c r="T254" s="457">
        <f t="shared" si="216"/>
        <v>3808000</v>
      </c>
      <c r="U254" s="458" t="str">
        <f>IF(D254="","",VLOOKUP(D254,listaBolsa!$D$2:$BB$276,36,0))</f>
        <v>AMCI INGENIERIAS SAS</v>
      </c>
      <c r="V254" s="459">
        <f>IF(D254="","",VLOOKUP(D254,listaBolsa!$D$2:$BB$276,40,0))</f>
        <v>2865546.22</v>
      </c>
      <c r="W254" s="459">
        <f t="shared" si="202"/>
        <v>544453.7818</v>
      </c>
      <c r="X254" s="459">
        <f t="shared" si="208"/>
        <v>3410000.0018000002</v>
      </c>
      <c r="Y254" s="459">
        <f t="shared" si="209"/>
        <v>2865546.22</v>
      </c>
      <c r="Z254" s="459">
        <f t="shared" si="210"/>
        <v>3410000.0018000002</v>
      </c>
      <c r="AA254" s="460">
        <f t="shared" si="228"/>
        <v>3655500.0006000004</v>
      </c>
      <c r="AB254" s="460">
        <f t="shared" si="217"/>
        <v>3655500.0006000004</v>
      </c>
      <c r="AC254" s="461">
        <f t="shared" si="229"/>
        <v>214680.57564227824</v>
      </c>
      <c r="AD254" s="427">
        <f t="shared" si="218"/>
        <v>5.872810165696659E-2</v>
      </c>
      <c r="AE254" s="428"/>
      <c r="BH254" s="7">
        <v>91</v>
      </c>
      <c r="DB254" s="7" t="str">
        <f>VLOOKUP(D254,listaBolsa!$D$2:$BA$1248,1,0)</f>
        <v>Auditorio para 50 personas media jornada</v>
      </c>
      <c r="DC254" s="7" t="str">
        <f>VLOOKUP(D254,listaBolsa!$D$2:$BA$1248,2,0)</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DD254" s="7" t="str">
        <f>VLOOKUP(D254,listaBolsa!$D$2:$BA$1248,10,0)</f>
        <v>D&amp;R PRODUCCIONES SAS</v>
      </c>
      <c r="DE254" s="7">
        <f>VLOOKUP(D254,listaBolsa!$D$2:$BA$1248,14,0)</f>
        <v>3150000</v>
      </c>
      <c r="DF254" s="7" t="str">
        <f>VLOOKUP(D254,listaBolsa!$D$2:$BA$1248,23,0)</f>
        <v>EFECTO MASIVO</v>
      </c>
      <c r="DG254" s="7">
        <f>VLOOKUP(D254,listaBolsa!$D$2:$BA$1248,29,0)</f>
        <v>3808000</v>
      </c>
      <c r="DH254" s="7" t="str">
        <f>VLOOKUP(D254,listaBolsa!$D$2:$BA$1248,36,0)</f>
        <v>AMCI INGENIERIAS SAS</v>
      </c>
      <c r="DI254" s="7">
        <f>VLOOKUP(D254,listaBolsa!$D$2:$BA$1248,40,0)</f>
        <v>2865546.22</v>
      </c>
      <c r="DJ254" s="252">
        <f>VLOOKUP(D254,listaBolsa!$D$2:$BA$1248,48,0)</f>
        <v>5.872810165696659E-2</v>
      </c>
      <c r="DK254" s="7" t="b">
        <f t="shared" si="205"/>
        <v>1</v>
      </c>
      <c r="DL254" s="7" t="b">
        <f t="shared" si="207"/>
        <v>0</v>
      </c>
      <c r="DM254" s="7" t="b">
        <f t="shared" si="219"/>
        <v>1</v>
      </c>
      <c r="DN254" s="7" t="b">
        <f t="shared" si="220"/>
        <v>1</v>
      </c>
      <c r="DO254" s="7" t="b">
        <f t="shared" si="221"/>
        <v>1</v>
      </c>
      <c r="DP254" s="7" t="b">
        <f t="shared" si="222"/>
        <v>0</v>
      </c>
      <c r="DQ254" s="7" t="b">
        <f t="shared" si="223"/>
        <v>1</v>
      </c>
      <c r="DR254" s="7" t="b">
        <f t="shared" si="224"/>
        <v>1</v>
      </c>
      <c r="DS254" s="7" t="b">
        <f t="shared" si="225"/>
        <v>1</v>
      </c>
    </row>
    <row r="255" spans="1:123" s="7" customFormat="1" ht="100.9" customHeight="1">
      <c r="A255" s="7" t="s">
        <v>570</v>
      </c>
      <c r="B255" s="453">
        <v>241</v>
      </c>
      <c r="C255" s="642" t="s">
        <v>1008</v>
      </c>
      <c r="D255" s="453" t="s">
        <v>1009</v>
      </c>
      <c r="E255" s="453" t="s">
        <v>1010</v>
      </c>
      <c r="F255" s="194" t="s">
        <v>1011</v>
      </c>
      <c r="G255" s="453">
        <v>50</v>
      </c>
      <c r="H255" s="443" t="s">
        <v>209</v>
      </c>
      <c r="I255" s="454" t="str">
        <f>IF(D255="","",VLOOKUP(D255,listaBolsa!$D$2:$W$276,10,0))</f>
        <v>INVERSIONES BECORATI E Y O SAS</v>
      </c>
      <c r="J255" s="455">
        <f>IF(D255="","",VLOOKUP(D255,listaBolsa!$D$2:$W$276,14,0))</f>
        <v>37000</v>
      </c>
      <c r="K255" s="455">
        <f t="shared" si="226"/>
        <v>7030</v>
      </c>
      <c r="L255" s="455">
        <f t="shared" si="211"/>
        <v>44030</v>
      </c>
      <c r="M255" s="455">
        <f t="shared" si="212"/>
        <v>1850000</v>
      </c>
      <c r="N255" s="455">
        <f t="shared" si="213"/>
        <v>2201500</v>
      </c>
      <c r="O255" s="456" t="str">
        <f>IF(D255="","",VLOOKUP(D255,listaBolsa!$D$2:$AZ$276,23,0))</f>
        <v>Catering Depot</v>
      </c>
      <c r="P255" s="457">
        <f>IF(D255="","",VLOOKUP(D255,listaBolsa!$D$2:$AZ$276,27,0))</f>
        <v>45000</v>
      </c>
      <c r="Q255" s="457">
        <f t="shared" si="227"/>
        <v>8550</v>
      </c>
      <c r="R255" s="457">
        <f t="shared" si="214"/>
        <v>53550</v>
      </c>
      <c r="S255" s="457">
        <f t="shared" si="215"/>
        <v>2250000</v>
      </c>
      <c r="T255" s="457">
        <f t="shared" si="216"/>
        <v>2677500</v>
      </c>
      <c r="U255" s="458" t="str">
        <f>IF(D255="","",VLOOKUP(D255,listaBolsa!$D$2:$BB$276,36,0))</f>
        <v>D&amp;R PRODUCCIONES SAS</v>
      </c>
      <c r="V255" s="459">
        <f>IF(D255="","",VLOOKUP(D255,listaBolsa!$D$2:$BB$276,40,0))</f>
        <v>31512</v>
      </c>
      <c r="W255" s="459">
        <f t="shared" si="202"/>
        <v>5987.28</v>
      </c>
      <c r="X255" s="459">
        <f t="shared" si="208"/>
        <v>37499.279999999999</v>
      </c>
      <c r="Y255" s="459">
        <f t="shared" si="209"/>
        <v>1575600</v>
      </c>
      <c r="Z255" s="459">
        <f t="shared" si="210"/>
        <v>1874964</v>
      </c>
      <c r="AA255" s="460">
        <f t="shared" si="228"/>
        <v>45026.426666666666</v>
      </c>
      <c r="AB255" s="460">
        <f t="shared" si="217"/>
        <v>2251321.3333333335</v>
      </c>
      <c r="AC255" s="461">
        <f t="shared" si="229"/>
        <v>403581.01016441919</v>
      </c>
      <c r="AD255" s="427">
        <f t="shared" si="218"/>
        <v>0.17926406336978662</v>
      </c>
      <c r="AE255" s="428"/>
      <c r="BH255" s="7">
        <v>92</v>
      </c>
      <c r="DB255" s="7" t="str">
        <f>VLOOKUP(D255,listaBolsa!$D$2:$BA$1248,1,0)</f>
        <v>Almuerzo Tipo 1</v>
      </c>
      <c r="DC255" s="7" t="str">
        <f>VLOOKUP(D255,listaBolsa!$D$2:$BA$1248,2,0)</f>
        <v>Entrada, sopa o porción de fruta, 2 carnes (130 gr. c/u) + 1 carbohidrato 100 gramos + 1 ensalada 100 gramos + 1 acompañamiento 50 gramos postre 50 gramos + bebida 250 ml.Servicio de samovares y servido en cerámica</v>
      </c>
      <c r="DD255" s="7" t="str">
        <f>VLOOKUP(D255,listaBolsa!$D$2:$BA$1248,10,0)</f>
        <v>INVERSIONES BECORATI E Y O SAS</v>
      </c>
      <c r="DE255" s="7">
        <f>VLOOKUP(D255,listaBolsa!$D$2:$BA$1248,14,0)</f>
        <v>37000</v>
      </c>
      <c r="DF255" s="7" t="str">
        <f>VLOOKUP(D255,listaBolsa!$D$2:$BA$1248,23,0)</f>
        <v>Catering Depot</v>
      </c>
      <c r="DG255" s="7">
        <f>VLOOKUP(D255,listaBolsa!$D$2:$BA$1248,29,0)</f>
        <v>48600</v>
      </c>
      <c r="DH255" s="7" t="str">
        <f>VLOOKUP(D255,listaBolsa!$D$2:$BA$1248,36,0)</f>
        <v>D&amp;R PRODUCCIONES SAS</v>
      </c>
      <c r="DI255" s="7">
        <f>VLOOKUP(D255,listaBolsa!$D$2:$BA$1248,40,0)</f>
        <v>31512</v>
      </c>
      <c r="DJ255" s="252">
        <f>VLOOKUP(D255,listaBolsa!$D$2:$BA$1248,48,0)</f>
        <v>0.17926406336978706</v>
      </c>
      <c r="DK255" s="7" t="b">
        <f t="shared" si="205"/>
        <v>1</v>
      </c>
      <c r="DL255" s="7" t="b">
        <f t="shared" si="207"/>
        <v>0</v>
      </c>
      <c r="DM255" s="7" t="b">
        <f t="shared" si="219"/>
        <v>1</v>
      </c>
      <c r="DN255" s="7" t="b">
        <f t="shared" si="220"/>
        <v>1</v>
      </c>
      <c r="DO255" s="7" t="b">
        <f t="shared" si="221"/>
        <v>1</v>
      </c>
      <c r="DP255" s="7" t="b">
        <f t="shared" si="222"/>
        <v>0</v>
      </c>
      <c r="DQ255" s="7" t="b">
        <f t="shared" si="223"/>
        <v>1</v>
      </c>
      <c r="DR255" s="7" t="b">
        <f t="shared" si="224"/>
        <v>1</v>
      </c>
      <c r="DS255" s="7" t="b">
        <f t="shared" si="225"/>
        <v>1</v>
      </c>
    </row>
    <row r="256" spans="1:123" s="7" customFormat="1" ht="100.9" customHeight="1">
      <c r="A256" s="7" t="s">
        <v>570</v>
      </c>
      <c r="B256" s="453">
        <v>242</v>
      </c>
      <c r="C256" s="642" t="s">
        <v>1008</v>
      </c>
      <c r="D256" s="453" t="s">
        <v>1013</v>
      </c>
      <c r="E256" s="453" t="s">
        <v>1014</v>
      </c>
      <c r="F256" s="194" t="s">
        <v>1011</v>
      </c>
      <c r="G256" s="453">
        <v>20</v>
      </c>
      <c r="H256" s="443" t="s">
        <v>209</v>
      </c>
      <c r="I256" s="454" t="str">
        <f>IF(D256="","",VLOOKUP(D256,listaBolsa!$D$2:$W$276,10,0))</f>
        <v>INVERSIONES BECORATI E Y O SAS</v>
      </c>
      <c r="J256" s="455">
        <f>IF(D256="","",VLOOKUP(D256,listaBolsa!$D$2:$W$276,14,0))</f>
        <v>34000</v>
      </c>
      <c r="K256" s="455">
        <f t="shared" si="226"/>
        <v>6460</v>
      </c>
      <c r="L256" s="455">
        <f t="shared" si="211"/>
        <v>40460</v>
      </c>
      <c r="M256" s="455">
        <f t="shared" si="212"/>
        <v>680000</v>
      </c>
      <c r="N256" s="455">
        <f t="shared" si="213"/>
        <v>809200</v>
      </c>
      <c r="O256" s="456" t="str">
        <f>IF(D256="","",VLOOKUP(D256,listaBolsa!$D$2:$AZ$276,23,0))</f>
        <v>Catering Depot</v>
      </c>
      <c r="P256" s="457">
        <f>IF(D256="","",VLOOKUP(D256,listaBolsa!$D$2:$AZ$276,27,0))</f>
        <v>45000</v>
      </c>
      <c r="Q256" s="457">
        <f t="shared" si="227"/>
        <v>8550</v>
      </c>
      <c r="R256" s="457">
        <f t="shared" si="214"/>
        <v>53550</v>
      </c>
      <c r="S256" s="457">
        <f t="shared" si="215"/>
        <v>900000</v>
      </c>
      <c r="T256" s="457">
        <f t="shared" si="216"/>
        <v>1071000</v>
      </c>
      <c r="U256" s="458" t="str">
        <f>IF(D256="","",VLOOKUP(D256,listaBolsa!$D$2:$BB$276,36,0))</f>
        <v>D&amp;R PRODUCCIONES SAS</v>
      </c>
      <c r="V256" s="459">
        <f>IF(D256="","",VLOOKUP(D256,listaBolsa!$D$2:$BB$276,40,0))</f>
        <v>33445</v>
      </c>
      <c r="W256" s="459">
        <f t="shared" si="202"/>
        <v>6354.55</v>
      </c>
      <c r="X256" s="459">
        <f t="shared" si="208"/>
        <v>39799.550000000003</v>
      </c>
      <c r="Y256" s="459">
        <f t="shared" si="209"/>
        <v>668900</v>
      </c>
      <c r="Z256" s="459">
        <f t="shared" si="210"/>
        <v>795991</v>
      </c>
      <c r="AA256" s="460">
        <f t="shared" si="228"/>
        <v>44603.183333333327</v>
      </c>
      <c r="AB256" s="460">
        <f t="shared" si="217"/>
        <v>892063.66666666651</v>
      </c>
      <c r="AC256" s="461">
        <f t="shared" si="229"/>
        <v>155104.08750362851</v>
      </c>
      <c r="AD256" s="427">
        <f t="shared" si="218"/>
        <v>0.17387109608801674</v>
      </c>
      <c r="AE256" s="428"/>
      <c r="BH256" s="7">
        <v>93</v>
      </c>
      <c r="DB256" s="7" t="str">
        <f>VLOOKUP(D256,listaBolsa!$D$2:$BA$1248,1,0)</f>
        <v>Almuerzo Tipo 4 -Vegetariano</v>
      </c>
      <c r="DC256" s="7" t="str">
        <f>VLOOKUP(D256,listaBolsa!$D$2:$BA$1248,2,0)</f>
        <v>Entrada, sopa o porción de fruta, Proteína vegetal + 1 carbohidrato 100 gramos + 1 ensalada 100 gramos + 1 acompañamiento 50 gramos + postre 50 gramos + bebida 250 ml. Servicio de samovares y servido en cerámica</v>
      </c>
      <c r="DD256" s="7" t="str">
        <f>VLOOKUP(D256,listaBolsa!$D$2:$BA$1248,10,0)</f>
        <v>INVERSIONES BECORATI E Y O SAS</v>
      </c>
      <c r="DE256" s="7">
        <f>VLOOKUP(D256,listaBolsa!$D$2:$BA$1248,14,0)</f>
        <v>34000</v>
      </c>
      <c r="DF256" s="7" t="str">
        <f>VLOOKUP(D256,listaBolsa!$D$2:$BA$1248,23,0)</f>
        <v>Catering Depot</v>
      </c>
      <c r="DG256" s="7">
        <f>VLOOKUP(D256,listaBolsa!$D$2:$BA$1248,29,0)</f>
        <v>48600</v>
      </c>
      <c r="DH256" s="7" t="str">
        <f>VLOOKUP(D256,listaBolsa!$D$2:$BA$1248,36,0)</f>
        <v>D&amp;R PRODUCCIONES SAS</v>
      </c>
      <c r="DI256" s="7">
        <f>VLOOKUP(D256,listaBolsa!$D$2:$BA$1248,40,0)</f>
        <v>33445</v>
      </c>
      <c r="DJ256" s="252">
        <f>VLOOKUP(D256,listaBolsa!$D$2:$BA$1248,48,0)</f>
        <v>0.17387109608801679</v>
      </c>
      <c r="DK256" s="7" t="b">
        <f t="shared" si="205"/>
        <v>1</v>
      </c>
      <c r="DL256" s="7" t="b">
        <f t="shared" si="207"/>
        <v>0</v>
      </c>
      <c r="DM256" s="7" t="b">
        <f t="shared" si="219"/>
        <v>1</v>
      </c>
      <c r="DN256" s="7" t="b">
        <f t="shared" si="220"/>
        <v>1</v>
      </c>
      <c r="DO256" s="7" t="b">
        <f t="shared" si="221"/>
        <v>1</v>
      </c>
      <c r="DP256" s="7" t="b">
        <f t="shared" si="222"/>
        <v>0</v>
      </c>
      <c r="DQ256" s="7" t="b">
        <f t="shared" si="223"/>
        <v>1</v>
      </c>
      <c r="DR256" s="7" t="b">
        <f t="shared" si="224"/>
        <v>1</v>
      </c>
      <c r="DS256" s="7" t="b">
        <f t="shared" si="225"/>
        <v>1</v>
      </c>
    </row>
    <row r="257" spans="1:123" s="7" customFormat="1" ht="100.9" customHeight="1">
      <c r="A257" s="7" t="s">
        <v>570</v>
      </c>
      <c r="B257" s="453">
        <v>243</v>
      </c>
      <c r="C257" s="642" t="s">
        <v>579</v>
      </c>
      <c r="D257" s="453" t="s">
        <v>874</v>
      </c>
      <c r="E257" s="453" t="s">
        <v>875</v>
      </c>
      <c r="F257" s="194" t="s">
        <v>568</v>
      </c>
      <c r="G257" s="453">
        <v>1</v>
      </c>
      <c r="H257" s="443" t="s">
        <v>1016</v>
      </c>
      <c r="I257" s="454" t="s">
        <v>380</v>
      </c>
      <c r="J257" s="455">
        <v>48000</v>
      </c>
      <c r="K257" s="455"/>
      <c r="L257" s="455">
        <f t="shared" si="211"/>
        <v>48000</v>
      </c>
      <c r="M257" s="455">
        <f t="shared" si="212"/>
        <v>48000</v>
      </c>
      <c r="N257" s="455">
        <f t="shared" si="213"/>
        <v>48000</v>
      </c>
      <c r="O257" s="456" t="s">
        <v>381</v>
      </c>
      <c r="P257" s="457">
        <v>46000</v>
      </c>
      <c r="Q257" s="457"/>
      <c r="R257" s="457">
        <f t="shared" si="214"/>
        <v>46000</v>
      </c>
      <c r="S257" s="457">
        <f t="shared" si="215"/>
        <v>46000</v>
      </c>
      <c r="T257" s="457">
        <f t="shared" si="216"/>
        <v>46000</v>
      </c>
      <c r="U257" s="458" t="s">
        <v>382</v>
      </c>
      <c r="V257" s="459">
        <v>44000</v>
      </c>
      <c r="W257" s="459"/>
      <c r="X257" s="459">
        <f t="shared" si="208"/>
        <v>44000</v>
      </c>
      <c r="Y257" s="459">
        <f t="shared" si="209"/>
        <v>44000</v>
      </c>
      <c r="Z257" s="459">
        <f t="shared" si="210"/>
        <v>44000</v>
      </c>
      <c r="AA257" s="460">
        <f t="shared" si="228"/>
        <v>46000</v>
      </c>
      <c r="AB257" s="460">
        <f t="shared" si="217"/>
        <v>46000</v>
      </c>
      <c r="AC257" s="461">
        <f t="shared" si="229"/>
        <v>2000</v>
      </c>
      <c r="AD257" s="427">
        <f t="shared" si="218"/>
        <v>4.3478260869565216E-2</v>
      </c>
      <c r="AE257" s="428"/>
      <c r="BH257" s="7">
        <v>95</v>
      </c>
      <c r="DB257" s="7" t="str">
        <f>VLOOKUP(D257,listaBolsa!$D$2:$BA$1248,1,0)</f>
        <v>Microorganismos Eficientes Em Compostaje X 4 Litros</v>
      </c>
      <c r="DC257" s="7">
        <f>VLOOKUP(D257,listaBolsa!$D$2:$BA$1248,2,0)</f>
        <v>0</v>
      </c>
      <c r="DD257" s="7" t="str">
        <f>VLOOKUP(D257,listaBolsa!$D$2:$BA$1248,10,0)</f>
        <v xml:space="preserve">JUNTOS DE LA MANO </v>
      </c>
      <c r="DE257" s="7">
        <f>VLOOKUP(D257,listaBolsa!$D$2:$BA$1248,14,0)</f>
        <v>48000</v>
      </c>
      <c r="DF257" s="7" t="str">
        <f>VLOOKUP(D257,listaBolsa!$D$2:$BA$1248,23,0)</f>
        <v>MYCBDE</v>
      </c>
      <c r="DG257" s="7">
        <f>VLOOKUP(D257,listaBolsa!$D$2:$BA$1248,29,0)</f>
        <v>46000</v>
      </c>
      <c r="DH257" s="7" t="str">
        <f>VLOOKUP(D257,listaBolsa!$D$2:$BA$1248,36,0)</f>
        <v>DAGROW</v>
      </c>
      <c r="DI257" s="7">
        <f>VLOOKUP(D257,listaBolsa!$D$2:$BA$1248,40,0)</f>
        <v>44000</v>
      </c>
      <c r="DJ257" s="252">
        <f>VLOOKUP(D257,listaBolsa!$D$2:$BA$1248,48,0)</f>
        <v>4.3499999999999997E-2</v>
      </c>
      <c r="DK257" s="7" t="b">
        <f t="shared" si="205"/>
        <v>1</v>
      </c>
      <c r="DL257" s="7" t="e">
        <f>DC257=#REF!</f>
        <v>#REF!</v>
      </c>
      <c r="DM257" s="7" t="b">
        <f t="shared" si="219"/>
        <v>1</v>
      </c>
      <c r="DN257" s="7" t="b">
        <f t="shared" si="220"/>
        <v>1</v>
      </c>
      <c r="DO257" s="7" t="b">
        <f t="shared" si="221"/>
        <v>1</v>
      </c>
      <c r="DP257" s="7" t="b">
        <f t="shared" si="222"/>
        <v>1</v>
      </c>
      <c r="DQ257" s="7" t="b">
        <f t="shared" si="223"/>
        <v>1</v>
      </c>
      <c r="DR257" s="7" t="b">
        <f t="shared" si="224"/>
        <v>1</v>
      </c>
      <c r="DS257" s="7" t="b">
        <f t="shared" si="225"/>
        <v>0</v>
      </c>
    </row>
    <row r="258" spans="1:123" s="7" customFormat="1" ht="235.9" customHeight="1">
      <c r="A258" s="7" t="s">
        <v>570</v>
      </c>
      <c r="B258" s="453">
        <v>244</v>
      </c>
      <c r="C258" s="642" t="s">
        <v>579</v>
      </c>
      <c r="D258" s="453" t="s">
        <v>1018</v>
      </c>
      <c r="E258" s="453" t="s">
        <v>1019</v>
      </c>
      <c r="F258" s="194" t="s">
        <v>27</v>
      </c>
      <c r="G258" s="453">
        <v>1</v>
      </c>
      <c r="H258" s="443" t="s">
        <v>1016</v>
      </c>
      <c r="I258" s="454" t="s">
        <v>1020</v>
      </c>
      <c r="J258" s="455">
        <v>2600000</v>
      </c>
      <c r="K258" s="455">
        <f>J258*19%</f>
        <v>494000</v>
      </c>
      <c r="L258" s="455">
        <f t="shared" si="211"/>
        <v>3094000</v>
      </c>
      <c r="M258" s="455">
        <f t="shared" si="212"/>
        <v>2600000</v>
      </c>
      <c r="N258" s="455">
        <f t="shared" si="213"/>
        <v>3094000</v>
      </c>
      <c r="O258" s="456" t="s">
        <v>1021</v>
      </c>
      <c r="P258" s="457">
        <v>2576500</v>
      </c>
      <c r="Q258" s="457">
        <f>P258*19%</f>
        <v>489535</v>
      </c>
      <c r="R258" s="457">
        <f t="shared" si="214"/>
        <v>3066035</v>
      </c>
      <c r="S258" s="457">
        <f t="shared" si="215"/>
        <v>2576500</v>
      </c>
      <c r="T258" s="457">
        <f t="shared" si="216"/>
        <v>3066035</v>
      </c>
      <c r="U258" s="458" t="s">
        <v>1022</v>
      </c>
      <c r="V258" s="459">
        <v>2589000</v>
      </c>
      <c r="W258" s="459">
        <f>V258*19%</f>
        <v>491910</v>
      </c>
      <c r="X258" s="459">
        <f t="shared" si="208"/>
        <v>3080910</v>
      </c>
      <c r="Y258" s="459">
        <f t="shared" si="209"/>
        <v>2589000</v>
      </c>
      <c r="Z258" s="459">
        <f t="shared" si="210"/>
        <v>3080910</v>
      </c>
      <c r="AA258" s="460">
        <f t="shared" si="228"/>
        <v>3080315</v>
      </c>
      <c r="AB258" s="460">
        <f t="shared" si="217"/>
        <v>3080315</v>
      </c>
      <c r="AC258" s="461">
        <f t="shared" si="229"/>
        <v>13991.991459402769</v>
      </c>
      <c r="AD258" s="427">
        <f t="shared" si="218"/>
        <v>4.5423898073420309E-3</v>
      </c>
      <c r="AE258" s="428"/>
      <c r="DJ258" s="252"/>
    </row>
    <row r="259" spans="1:123" s="503" customFormat="1" ht="98.45" customHeight="1">
      <c r="A259" s="503" t="s">
        <v>570</v>
      </c>
      <c r="B259" s="75"/>
      <c r="C259" s="538"/>
      <c r="D259" s="75"/>
      <c r="E259" s="75"/>
      <c r="F259" s="504"/>
      <c r="G259" s="75"/>
      <c r="H259" s="505"/>
      <c r="I259" s="106"/>
      <c r="J259" s="450"/>
      <c r="K259" s="450">
        <f>J259*19%</f>
        <v>0</v>
      </c>
      <c r="L259" s="450">
        <f t="shared" si="211"/>
        <v>0</v>
      </c>
      <c r="M259" s="450"/>
      <c r="N259" s="450"/>
      <c r="O259" s="108"/>
      <c r="P259" s="451"/>
      <c r="Q259" s="451"/>
      <c r="R259" s="451"/>
      <c r="S259" s="451"/>
      <c r="T259" s="451"/>
      <c r="U259" s="97"/>
      <c r="V259" s="452"/>
      <c r="W259" s="452"/>
      <c r="X259" s="452"/>
      <c r="Y259" s="452"/>
      <c r="Z259" s="452"/>
      <c r="AA259" s="506"/>
      <c r="AB259" s="506"/>
      <c r="AC259" s="507"/>
      <c r="AD259" s="508"/>
      <c r="AE259" s="6"/>
      <c r="DJ259" s="509"/>
    </row>
    <row r="260" spans="1:123" ht="42">
      <c r="V260" s="477"/>
      <c r="W260" s="477"/>
      <c r="X260" s="477"/>
      <c r="Y260" s="477"/>
      <c r="Z260" s="478" t="s">
        <v>1133</v>
      </c>
      <c r="AA260" s="478">
        <f>SUM(AA114:AA258)</f>
        <v>14867684.444892718</v>
      </c>
      <c r="AB260" s="478">
        <f>SUM(AB114:AB258)</f>
        <v>22524559.269892719</v>
      </c>
      <c r="AC260" s="477"/>
    </row>
    <row r="261" spans="1:123" s="7" customFormat="1" ht="23.45">
      <c r="Z261" s="539" t="s">
        <v>1134</v>
      </c>
      <c r="AA261" s="539"/>
      <c r="AB261" s="510">
        <f>SUM(AB260+AB111)</f>
        <v>217735290.46826354</v>
      </c>
      <c r="DJ261" s="252"/>
    </row>
    <row r="262" spans="1:123">
      <c r="M262" s="70"/>
      <c r="N262" s="70"/>
      <c r="P262" s="248"/>
      <c r="Q262" s="248"/>
      <c r="V262" s="248"/>
      <c r="W262" s="248"/>
      <c r="AB262" s="477"/>
    </row>
    <row r="263" spans="1:123" s="7" customFormat="1">
      <c r="B263" s="540" t="s">
        <v>16</v>
      </c>
      <c r="C263" s="540"/>
      <c r="D263" s="540"/>
      <c r="E263" s="540"/>
      <c r="F263" s="540"/>
      <c r="G263" s="540"/>
      <c r="H263" s="540"/>
      <c r="I263" s="540"/>
      <c r="J263" s="540"/>
      <c r="K263" s="540"/>
      <c r="L263" s="540"/>
      <c r="M263" s="70"/>
      <c r="N263" s="70"/>
      <c r="O263" s="3"/>
      <c r="P263" s="3"/>
      <c r="Q263" s="3"/>
      <c r="R263" s="3"/>
      <c r="S263" s="3"/>
      <c r="T263" s="3"/>
      <c r="U263" s="3"/>
      <c r="V263" s="3"/>
      <c r="W263" s="3"/>
      <c r="X263" s="3"/>
      <c r="Y263" s="3"/>
      <c r="Z263" s="3"/>
      <c r="AA263" s="3"/>
      <c r="AB263" s="477"/>
      <c r="AC263" s="3"/>
      <c r="AD263" s="3"/>
      <c r="AE263" s="3"/>
      <c r="AF263" s="3"/>
      <c r="AG263" s="3"/>
      <c r="DJ263" s="252"/>
    </row>
    <row r="264" spans="1:123" s="10" customFormat="1" ht="117">
      <c r="B264" s="80" t="s">
        <v>23</v>
      </c>
      <c r="C264" s="80" t="s">
        <v>24</v>
      </c>
      <c r="D264" s="80" t="s">
        <v>1024</v>
      </c>
      <c r="E264" s="80" t="s">
        <v>1025</v>
      </c>
      <c r="F264" s="80" t="s">
        <v>27</v>
      </c>
      <c r="G264" s="80" t="s">
        <v>28</v>
      </c>
      <c r="H264" s="209" t="s">
        <v>52</v>
      </c>
      <c r="I264" s="81" t="s">
        <v>50</v>
      </c>
      <c r="J264" s="81" t="s">
        <v>1026</v>
      </c>
      <c r="K264" s="81" t="s">
        <v>1027</v>
      </c>
      <c r="L264" s="356" t="s">
        <v>46</v>
      </c>
      <c r="M264" s="70"/>
      <c r="N264" s="70"/>
      <c r="O264" s="70"/>
      <c r="P264" s="70"/>
      <c r="Q264" s="70"/>
      <c r="R264" s="70"/>
      <c r="S264" s="70"/>
      <c r="T264" s="70"/>
      <c r="U264" s="544" t="s">
        <v>57</v>
      </c>
      <c r="V264" s="545"/>
      <c r="W264" s="545"/>
      <c r="X264" s="545"/>
      <c r="Y264" s="545"/>
      <c r="Z264" s="546"/>
      <c r="AA264" s="547" t="s">
        <v>58</v>
      </c>
      <c r="AB264" s="549">
        <f>SUM(AB261,K271)</f>
        <v>393535320.46826351</v>
      </c>
      <c r="AF264" s="13"/>
      <c r="AS264" s="7"/>
      <c r="DJ264" s="252"/>
    </row>
    <row r="265" spans="1:123" s="479" customFormat="1" ht="203.45" customHeight="1">
      <c r="B265" s="480">
        <v>1</v>
      </c>
      <c r="C265" s="481" t="s">
        <v>1029</v>
      </c>
      <c r="D265" s="480" t="s">
        <v>1030</v>
      </c>
      <c r="E265" s="480" t="s">
        <v>1031</v>
      </c>
      <c r="F265" s="481" t="s">
        <v>1032</v>
      </c>
      <c r="G265" s="482">
        <v>1</v>
      </c>
      <c r="H265" s="82">
        <v>8</v>
      </c>
      <c r="I265" s="483">
        <v>5860001</v>
      </c>
      <c r="J265" s="483">
        <f>I265*H265*G265</f>
        <v>46880008</v>
      </c>
      <c r="K265" s="483">
        <f>J265</f>
        <v>46880008</v>
      </c>
      <c r="L265" s="480"/>
      <c r="M265" s="484"/>
      <c r="N265" s="484"/>
      <c r="O265" s="484"/>
      <c r="P265" s="484"/>
      <c r="Q265" s="484"/>
      <c r="R265" s="484"/>
      <c r="S265" s="484"/>
      <c r="T265" s="484"/>
      <c r="U265" s="541" t="s">
        <v>1135</v>
      </c>
      <c r="V265" s="542"/>
      <c r="W265" s="542"/>
      <c r="X265" s="542"/>
      <c r="Y265" s="542"/>
      <c r="Z265" s="543"/>
      <c r="AA265" s="548"/>
      <c r="AB265" s="550"/>
      <c r="AF265" s="485"/>
      <c r="AS265" s="479">
        <v>1</v>
      </c>
      <c r="DJ265" s="486"/>
    </row>
    <row r="266" spans="1:123" s="479" customFormat="1" ht="203.45" customHeight="1">
      <c r="B266" s="480">
        <v>2</v>
      </c>
      <c r="C266" s="481" t="s">
        <v>173</v>
      </c>
      <c r="D266" s="480" t="s">
        <v>1034</v>
      </c>
      <c r="E266" s="480" t="s">
        <v>1035</v>
      </c>
      <c r="F266" s="481" t="s">
        <v>1032</v>
      </c>
      <c r="G266" s="482">
        <v>1</v>
      </c>
      <c r="H266" s="82">
        <v>7</v>
      </c>
      <c r="I266" s="483">
        <v>5860001</v>
      </c>
      <c r="J266" s="483">
        <f>I266*H266</f>
        <v>41020007</v>
      </c>
      <c r="K266" s="483">
        <f>J266</f>
        <v>41020007</v>
      </c>
      <c r="L266" s="480"/>
      <c r="M266" s="484"/>
      <c r="N266" s="484"/>
      <c r="O266" s="484"/>
      <c r="P266" s="484"/>
      <c r="Q266" s="484"/>
      <c r="R266" s="484"/>
      <c r="S266" s="484"/>
      <c r="T266" s="484"/>
      <c r="U266" s="484"/>
      <c r="V266" s="484"/>
      <c r="W266" s="484"/>
      <c r="AS266" s="479">
        <v>2</v>
      </c>
      <c r="DJ266" s="486"/>
    </row>
    <row r="267" spans="1:123" s="479" customFormat="1" ht="56.45" customHeight="1">
      <c r="B267" s="480"/>
      <c r="C267" s="481"/>
      <c r="D267" s="487"/>
      <c r="E267" s="487"/>
      <c r="F267" s="488"/>
      <c r="G267" s="489"/>
      <c r="H267" s="230"/>
      <c r="I267" s="499" t="s">
        <v>1036</v>
      </c>
      <c r="J267" s="483">
        <f>SUM(J265:J266)</f>
        <v>87900015</v>
      </c>
      <c r="K267" s="483"/>
      <c r="L267" s="490"/>
      <c r="M267" s="491"/>
      <c r="N267" s="491"/>
      <c r="O267" s="491"/>
      <c r="P267" s="491"/>
      <c r="Q267" s="484"/>
      <c r="R267" s="484"/>
      <c r="S267" s="484"/>
      <c r="T267" s="484"/>
      <c r="U267" s="484"/>
      <c r="V267" s="484"/>
      <c r="W267" s="484"/>
      <c r="DJ267" s="486"/>
    </row>
    <row r="268" spans="1:123" s="479" customFormat="1" ht="271.89999999999998" customHeight="1">
      <c r="B268" s="480">
        <v>3</v>
      </c>
      <c r="C268" s="481" t="s">
        <v>1037</v>
      </c>
      <c r="D268" s="480" t="s">
        <v>1038</v>
      </c>
      <c r="E268" s="480" t="s">
        <v>1039</v>
      </c>
      <c r="F268" s="481" t="s">
        <v>1032</v>
      </c>
      <c r="G268" s="482">
        <v>1</v>
      </c>
      <c r="H268" s="82">
        <v>8</v>
      </c>
      <c r="I268" s="483">
        <v>5860001</v>
      </c>
      <c r="J268" s="483">
        <f>I268*H268*G268</f>
        <v>46880008</v>
      </c>
      <c r="K268" s="483">
        <f t="shared" ref="K268:K269" si="230">J268</f>
        <v>46880008</v>
      </c>
      <c r="L268" s="480"/>
      <c r="M268" s="484"/>
      <c r="N268" s="484"/>
      <c r="O268" s="484"/>
      <c r="P268" s="484"/>
      <c r="Q268" s="484"/>
      <c r="R268" s="484"/>
      <c r="S268" s="484"/>
      <c r="T268" s="484"/>
      <c r="U268" s="484"/>
      <c r="V268" s="484"/>
      <c r="W268" s="484"/>
      <c r="DJ268" s="486"/>
    </row>
    <row r="269" spans="1:123" s="479" customFormat="1" ht="271.89999999999998" customHeight="1">
      <c r="B269" s="492">
        <v>4</v>
      </c>
      <c r="C269" s="493" t="s">
        <v>1037</v>
      </c>
      <c r="D269" s="492" t="s">
        <v>1040</v>
      </c>
      <c r="E269" s="492" t="s">
        <v>1041</v>
      </c>
      <c r="F269" s="493" t="s">
        <v>1032</v>
      </c>
      <c r="G269" s="494">
        <v>1</v>
      </c>
      <c r="H269" s="495">
        <v>7</v>
      </c>
      <c r="I269" s="483">
        <v>5860001</v>
      </c>
      <c r="J269" s="483">
        <f>I269*H269*G269</f>
        <v>41020007</v>
      </c>
      <c r="K269" s="483">
        <f t="shared" si="230"/>
        <v>41020007</v>
      </c>
      <c r="L269" s="480"/>
      <c r="M269" s="484"/>
      <c r="N269" s="484"/>
      <c r="O269" s="484"/>
      <c r="P269" s="484"/>
      <c r="Q269" s="484"/>
      <c r="R269" s="484"/>
      <c r="S269" s="484"/>
      <c r="T269" s="484"/>
      <c r="U269" s="484"/>
      <c r="V269" s="484"/>
      <c r="W269" s="484"/>
      <c r="DJ269" s="486"/>
    </row>
    <row r="270" spans="1:123" s="7" customFormat="1" ht="42">
      <c r="B270" s="496"/>
      <c r="C270" s="497"/>
      <c r="D270" s="496"/>
      <c r="E270" s="496"/>
      <c r="F270" s="497"/>
      <c r="G270" s="498"/>
      <c r="H270" s="223"/>
      <c r="I270" s="499" t="s">
        <v>1042</v>
      </c>
      <c r="J270" s="500">
        <f>SUM(J268:J269)</f>
        <v>87900015</v>
      </c>
      <c r="K270" s="500"/>
      <c r="L270" s="226"/>
      <c r="M270"/>
      <c r="N270"/>
      <c r="O270" s="70"/>
      <c r="P270" s="70"/>
      <c r="Q270" s="70"/>
      <c r="R270" s="70"/>
      <c r="S270" s="70"/>
      <c r="T270" s="70"/>
      <c r="U270" s="70"/>
      <c r="V270" s="70"/>
      <c r="W270" s="70"/>
      <c r="DJ270" s="252"/>
    </row>
    <row r="271" spans="1:123" s="7" customFormat="1" ht="42">
      <c r="B271"/>
      <c r="C271"/>
      <c r="D271"/>
      <c r="E271"/>
      <c r="F271"/>
      <c r="G271"/>
      <c r="H271"/>
      <c r="I271"/>
      <c r="J271" s="501" t="s">
        <v>164</v>
      </c>
      <c r="K271" s="502">
        <f>SUM(K265:K269)</f>
        <v>175800030</v>
      </c>
      <c r="L271" s="70"/>
      <c r="M271" s="70"/>
      <c r="DJ271" s="252"/>
    </row>
    <row r="272" spans="1:123">
      <c r="M272" s="70"/>
      <c r="N272" s="70"/>
    </row>
    <row r="273" spans="2:19">
      <c r="B273"/>
      <c r="C273"/>
      <c r="M273" s="70"/>
      <c r="N273" s="70"/>
    </row>
    <row r="274" spans="2:19">
      <c r="M274" s="70"/>
      <c r="N274" s="70"/>
      <c r="Q274" s="113"/>
      <c r="R274" s="113"/>
      <c r="S274" s="113"/>
    </row>
    <row r="275" spans="2:19">
      <c r="B275"/>
      <c r="C275"/>
      <c r="M275" s="70"/>
      <c r="N275" s="70"/>
    </row>
    <row r="277" spans="2:19">
      <c r="O277" s="3" t="s">
        <v>1044</v>
      </c>
    </row>
  </sheetData>
  <sheetProtection algorithmName="SHA-512" hashValue="t24UT0nv0SqXB8iXSyscObIZnv4phiR7v0gOy47SdBIfxLPWQEUHFL70+oMU+7lwX8hp/vi2eaMa89s72UC3Yg==" saltValue="Llv62DIltuO/4Up1j4xySg==" spinCount="100000" sheet="1" objects="1" scenarios="1"/>
  <autoFilter ref="B11:DV261" xr:uid="{00000000-0001-0000-0500-000000000000}">
    <sortState xmlns:xlrd2="http://schemas.microsoft.com/office/spreadsheetml/2017/richdata2" ref="B12:DV261">
      <sortCondition ref="B11:B261"/>
    </sortState>
  </autoFilter>
  <mergeCells count="21">
    <mergeCell ref="AB264:AB265"/>
    <mergeCell ref="B3:N3"/>
    <mergeCell ref="F4:I4"/>
    <mergeCell ref="J4:N4"/>
    <mergeCell ref="E5:H5"/>
    <mergeCell ref="E6:N6"/>
    <mergeCell ref="O3:Z6"/>
    <mergeCell ref="AA3:AB3"/>
    <mergeCell ref="AA4:AB4"/>
    <mergeCell ref="AA5:AB5"/>
    <mergeCell ref="AA6:AB6"/>
    <mergeCell ref="I9:N9"/>
    <mergeCell ref="O9:T9"/>
    <mergeCell ref="U9:Z9"/>
    <mergeCell ref="AA9:AD9"/>
    <mergeCell ref="B4:C6"/>
    <mergeCell ref="Z261:AA261"/>
    <mergeCell ref="B263:L263"/>
    <mergeCell ref="U265:Z265"/>
    <mergeCell ref="U264:Z264"/>
    <mergeCell ref="AA264:AA265"/>
  </mergeCells>
  <conditionalFormatting sqref="AD12:AD259">
    <cfRule type="cellIs" dxfId="10" priority="8" stopIfTrue="1" operator="greaterThan">
      <formula>0.2</formula>
    </cfRule>
  </conditionalFormatting>
  <conditionalFormatting sqref="D113 D259">
    <cfRule type="duplicateValues" dxfId="9" priority="7"/>
  </conditionalFormatting>
  <dataValidations count="2">
    <dataValidation type="list" allowBlank="1" showInputMessage="1" showErrorMessage="1" sqref="F255:F257" xr:uid="{3D77B879-CA58-47E1-AC45-D6C21250A505}">
      <formula1>"Bolsa,Nuevo Elemento"</formula1>
    </dataValidation>
    <dataValidation type="list" allowBlank="1" showInputMessage="1" showErrorMessage="1" sqref="H12:H118 H120:H257" xr:uid="{5F41D554-A39C-4AE4-9ED7-FFED000D3EF0}">
      <formula1>"Compra,Alquiler,PrestaciónServicio"</formula1>
    </dataValidation>
  </dataValidations>
  <pageMargins left="0.25" right="0.25" top="0.75" bottom="0.75" header="0.3" footer="0.3"/>
  <pageSetup paperSize="3" scale="10" orientation="landscape" r:id="rId1"/>
  <rowBreaks count="1" manualBreakCount="1">
    <brk id="116" min="1" max="31" man="1"/>
  </rowBreaks>
  <colBreaks count="3" manualBreakCount="3">
    <brk id="4" max="290" man="1"/>
    <brk id="14" max="1048575" man="1"/>
    <brk id="26" max="290" man="1"/>
  </col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A287"/>
  <sheetViews>
    <sheetView topLeftCell="A36" zoomScale="70" zoomScaleNormal="70" workbookViewId="0">
      <selection activeCell="L37" sqref="L37"/>
    </sheetView>
  </sheetViews>
  <sheetFormatPr defaultColWidth="9.28515625" defaultRowHeight="14.45"/>
  <cols>
    <col min="1" max="1" width="9.28515625" style="87" customWidth="1"/>
    <col min="2" max="2" width="9.28515625" style="87" bestFit="1" customWidth="1"/>
    <col min="3" max="3" width="58.7109375" style="87" customWidth="1"/>
    <col min="4" max="4" width="72" style="87" customWidth="1"/>
    <col min="5" max="5" width="15.28515625" style="87" customWidth="1"/>
    <col min="6" max="6" width="18.7109375" style="511" customWidth="1"/>
    <col min="7" max="7" width="25.28515625" style="511" customWidth="1"/>
    <col min="8" max="8" width="27.28515625" style="518" customWidth="1"/>
    <col min="9" max="9" width="34.28515625" style="518" customWidth="1"/>
    <col min="10" max="10" width="31" style="87" customWidth="1"/>
    <col min="11" max="11" width="17.28515625" style="87" customWidth="1"/>
    <col min="12" max="12" width="17.28515625" style="528" customWidth="1"/>
    <col min="13" max="13" width="17.7109375" style="528" customWidth="1"/>
    <col min="14" max="14" width="19.28515625" style="528" customWidth="1"/>
    <col min="15" max="16" width="9.28515625" style="87" customWidth="1"/>
    <col min="17" max="16384" width="9.28515625" style="87"/>
  </cols>
  <sheetData>
    <row r="2" spans="1:53" ht="29.1" customHeight="1">
      <c r="F2" s="511" t="s">
        <v>1136</v>
      </c>
      <c r="G2" s="511">
        <f>G8-Estudio_Mercado_VF!AC6</f>
        <v>-200153990.06445858</v>
      </c>
    </row>
    <row r="6" spans="1:53" s="1" customFormat="1" ht="47.65" customHeight="1">
      <c r="B6" s="613"/>
      <c r="C6" s="622"/>
      <c r="D6" s="618" t="s">
        <v>1137</v>
      </c>
      <c r="E6" s="619"/>
      <c r="F6" s="619"/>
      <c r="G6" s="619"/>
      <c r="H6" s="619"/>
      <c r="I6" s="620"/>
      <c r="J6" s="83"/>
      <c r="L6" s="529"/>
      <c r="M6" s="529"/>
      <c r="N6" s="529"/>
    </row>
    <row r="7" spans="1:53" s="2" customFormat="1" ht="23.65" customHeight="1">
      <c r="B7" s="625"/>
      <c r="C7" s="626"/>
      <c r="D7" s="17" t="s">
        <v>15</v>
      </c>
      <c r="E7" s="555">
        <f>[2]Tres_Proveedores_VF!D6</f>
        <v>0</v>
      </c>
      <c r="F7" s="619"/>
      <c r="G7" s="619"/>
      <c r="H7" s="619"/>
      <c r="I7" s="620"/>
      <c r="J7" s="84"/>
      <c r="L7" s="530"/>
      <c r="M7" s="530"/>
      <c r="N7" s="530"/>
    </row>
    <row r="8" spans="1:53" s="86" customFormat="1" ht="23.1" customHeight="1">
      <c r="B8" s="617" t="s">
        <v>1138</v>
      </c>
      <c r="C8" s="621"/>
      <c r="D8" s="621"/>
      <c r="E8" s="622"/>
      <c r="F8" s="512" t="s">
        <v>1139</v>
      </c>
      <c r="G8" s="513">
        <f>SUM(G11:G33)+SUM(G271:G276)</f>
        <v>193381330.40380493</v>
      </c>
      <c r="H8" s="519" t="s">
        <v>1140</v>
      </c>
      <c r="I8" s="520">
        <f>SUM(I11:I33)</f>
        <v>0</v>
      </c>
      <c r="J8" s="85"/>
      <c r="L8" s="531"/>
      <c r="M8" s="531"/>
      <c r="N8" s="531"/>
    </row>
    <row r="9" spans="1:53" ht="18" customHeight="1">
      <c r="B9" s="607" t="s">
        <v>1141</v>
      </c>
      <c r="C9" s="607" t="s">
        <v>1142</v>
      </c>
      <c r="D9" s="607" t="s">
        <v>178</v>
      </c>
      <c r="E9" s="607" t="s">
        <v>1143</v>
      </c>
      <c r="F9" s="611" t="s">
        <v>1144</v>
      </c>
      <c r="G9" s="644"/>
      <c r="H9" s="615" t="s">
        <v>1145</v>
      </c>
      <c r="I9" s="645"/>
      <c r="J9" s="616" t="s">
        <v>1146</v>
      </c>
      <c r="K9" s="619"/>
      <c r="L9" s="619"/>
      <c r="M9" s="619"/>
      <c r="N9" s="620"/>
    </row>
    <row r="10" spans="1:53" ht="90" customHeight="1">
      <c r="B10" s="630"/>
      <c r="C10" s="630"/>
      <c r="D10" s="630"/>
      <c r="E10" s="630"/>
      <c r="F10" s="514" t="s">
        <v>1147</v>
      </c>
      <c r="G10" s="514" t="s">
        <v>1148</v>
      </c>
      <c r="H10" s="521" t="s">
        <v>1147</v>
      </c>
      <c r="I10" s="521" t="s">
        <v>1149</v>
      </c>
      <c r="J10" s="88" t="s">
        <v>1150</v>
      </c>
      <c r="K10" s="88" t="s">
        <v>1147</v>
      </c>
      <c r="L10" s="532" t="s">
        <v>1151</v>
      </c>
      <c r="M10" s="532" t="s">
        <v>1149</v>
      </c>
      <c r="N10" s="532" t="s">
        <v>1152</v>
      </c>
    </row>
    <row r="11" spans="1:53" ht="20.25" customHeight="1">
      <c r="A11" s="87" t="s">
        <v>1153</v>
      </c>
      <c r="B11" s="90">
        <v>1</v>
      </c>
      <c r="C11" s="90" t="str">
        <f>IF(Estudio_Mercado_VF!D12="","",Estudio_Mercado_VF!D12)</f>
        <v>Refrigerio Tipo 1</v>
      </c>
      <c r="D11" s="91" t="str">
        <f>IF(Estudio_Mercado_VF!E12="","",Estudio_Mercado_VF!E12)</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1" s="89">
        <f>IF(Estudio_Mercado_VF!G12="","",Estudio_Mercado_VF!G12)</f>
        <v>400</v>
      </c>
      <c r="F11" s="515">
        <f>IF(Estudio_Mercado_VF!AA12="","",Estudio_Mercado_VF!AA12)</f>
        <v>13135.02901234568</v>
      </c>
      <c r="G11" s="515">
        <f>IF(Estudio_Mercado_VF!AA12="","",Estudio_Mercado_VF!AB12)</f>
        <v>5254011.6049382724</v>
      </c>
      <c r="H11" s="522"/>
      <c r="I11" s="523">
        <f>H11*E11</f>
        <v>0</v>
      </c>
      <c r="J11" s="92"/>
      <c r="K11" s="93" t="str">
        <f t="shared" ref="K11" si="0">IF(H11&lt;&gt;0,IF(J11="Ofertable",IF(AND(F11&gt;=H11,H11&lt;&gt;0),"Cumple","No cumple"),IF(J11="No Ofertable",IF(F11=H11,"Cumple","No cumple"),"")),"Valor vacío")</f>
        <v>Valor vacío</v>
      </c>
      <c r="L11" s="533">
        <f t="shared" ref="L11" si="1">F11-H11</f>
        <v>13135.02901234568</v>
      </c>
      <c r="M11" s="533" t="str">
        <f>IF(H11="","",IF(G11&gt;=I11,"Cumple","No cumple"))</f>
        <v/>
      </c>
      <c r="N11" s="533">
        <f t="shared" ref="N11" si="2">G11-I11</f>
        <v>5254011.6049382724</v>
      </c>
      <c r="BA11" s="87">
        <v>1</v>
      </c>
    </row>
    <row r="12" spans="1:53" ht="20.25" customHeight="1">
      <c r="A12" s="87" t="s">
        <v>1153</v>
      </c>
      <c r="B12" s="90">
        <v>2</v>
      </c>
      <c r="C12" s="90" t="str">
        <f>IF(Estudio_Mercado_VF!D13="","",Estudio_Mercado_VF!D13)</f>
        <v>Bolsas negras</v>
      </c>
      <c r="D12" s="91" t="str">
        <f>IF(Estudio_Mercado_VF!E13="","",Estudio_Mercado_VF!E13)</f>
        <v xml:space="preserve">BOLSA NEGRA 60 X 80 PAQ. X 50 UND, disposicion de residuos </v>
      </c>
      <c r="E12" s="89">
        <f>IF(Estudio_Mercado_VF!G13="","",Estudio_Mercado_VF!G13)</f>
        <v>1</v>
      </c>
      <c r="F12" s="515">
        <f>IF(Estudio_Mercado_VF!AA13="","",Estudio_Mercado_VF!AA13)</f>
        <v>17659.333333333332</v>
      </c>
      <c r="G12" s="515">
        <f>IF(Estudio_Mercado_VF!AA13="","",Estudio_Mercado_VF!AB13)</f>
        <v>17659.333333333332</v>
      </c>
      <c r="H12" s="522"/>
      <c r="I12" s="523"/>
      <c r="J12" s="92"/>
      <c r="K12" s="93" t="str">
        <f t="shared" ref="K12:K75" si="3">IF(H12&lt;&gt;0,IF(J12="Ofertable",IF(AND(F12&gt;=H12,H12&lt;&gt;0),"Cumple","No cumple"),IF(J12="No Ofertable",IF(F12=H12,"Cumple","No cumple"),"")),"Valor vacío")</f>
        <v>Valor vacío</v>
      </c>
      <c r="L12" s="533">
        <f t="shared" ref="L12:L75" si="4">F12-H12</f>
        <v>17659.333333333332</v>
      </c>
      <c r="M12" s="533" t="str">
        <f t="shared" ref="M12:M75" si="5">IF(H12="","",IF(G12&gt;=I12,"Cumple","No cumple"))</f>
        <v/>
      </c>
      <c r="N12" s="533">
        <f t="shared" ref="N12:N75" si="6">G12-I12</f>
        <v>17659.333333333332</v>
      </c>
      <c r="BA12" s="87">
        <v>2</v>
      </c>
    </row>
    <row r="13" spans="1:53">
      <c r="A13" s="87" t="s">
        <v>1153</v>
      </c>
      <c r="B13" s="90">
        <v>3</v>
      </c>
      <c r="C13" s="90" t="str">
        <f>IF(Estudio_Mercado_VF!D14="","",Estudio_Mercado_VF!D14)</f>
        <v xml:space="preserve">Bolsas blancas </v>
      </c>
      <c r="D13" s="91" t="str">
        <f>IF(Estudio_Mercado_VF!E14="","",Estudio_Mercado_VF!E14)</f>
        <v xml:space="preserve">BOLSA BLANCA 60 X 80 PAQ. X 50 UND, disposicion de residuos </v>
      </c>
      <c r="E13" s="89">
        <f>IF(Estudio_Mercado_VF!G14="","",Estudio_Mercado_VF!G14)</f>
        <v>1</v>
      </c>
      <c r="F13" s="515">
        <f>IF(Estudio_Mercado_VF!AA14="","",Estudio_Mercado_VF!AA14)</f>
        <v>18370</v>
      </c>
      <c r="G13" s="515">
        <f>IF(Estudio_Mercado_VF!AA14="","",Estudio_Mercado_VF!AB14)</f>
        <v>18370</v>
      </c>
      <c r="H13" s="522"/>
      <c r="I13" s="523"/>
      <c r="J13" s="92"/>
      <c r="K13" s="93" t="str">
        <f t="shared" si="3"/>
        <v>Valor vacío</v>
      </c>
      <c r="L13" s="533">
        <f t="shared" si="4"/>
        <v>18370</v>
      </c>
      <c r="M13" s="533" t="str">
        <f t="shared" si="5"/>
        <v/>
      </c>
      <c r="N13" s="533">
        <f t="shared" si="6"/>
        <v>18370</v>
      </c>
      <c r="BA13" s="87">
        <v>3</v>
      </c>
    </row>
    <row r="14" spans="1:53">
      <c r="A14" s="87" t="s">
        <v>1153</v>
      </c>
      <c r="B14" s="90">
        <v>4</v>
      </c>
      <c r="C14" s="90" t="str">
        <f>IF(Estudio_Mercado_VF!D15="","",Estudio_Mercado_VF!D15)</f>
        <v xml:space="preserve">Bolsas verdes </v>
      </c>
      <c r="D14" s="91" t="str">
        <f>IF(Estudio_Mercado_VF!E15="","",Estudio_Mercado_VF!E15)</f>
        <v xml:space="preserve">BOLSA VERDE 60 X 80 PAQ. X 50 UND, disposicion de residuos </v>
      </c>
      <c r="E14" s="89">
        <f>IF(Estudio_Mercado_VF!G15="","",Estudio_Mercado_VF!G15)</f>
        <v>1</v>
      </c>
      <c r="F14" s="515">
        <f>IF(Estudio_Mercado_VF!AA15="","",Estudio_Mercado_VF!AA15)</f>
        <v>18370</v>
      </c>
      <c r="G14" s="515">
        <f>IF(Estudio_Mercado_VF!AA15="","",Estudio_Mercado_VF!AB15)</f>
        <v>18370</v>
      </c>
      <c r="H14" s="522"/>
      <c r="I14" s="523"/>
      <c r="J14" s="92"/>
      <c r="K14" s="93" t="str">
        <f t="shared" si="3"/>
        <v>Valor vacío</v>
      </c>
      <c r="L14" s="533">
        <f t="shared" si="4"/>
        <v>18370</v>
      </c>
      <c r="M14" s="533" t="str">
        <f t="shared" si="5"/>
        <v/>
      </c>
      <c r="N14" s="533">
        <f t="shared" si="6"/>
        <v>18370</v>
      </c>
      <c r="BA14" s="87">
        <v>4</v>
      </c>
    </row>
    <row r="15" spans="1:53" ht="409.6">
      <c r="A15" s="87" t="s">
        <v>1153</v>
      </c>
      <c r="B15" s="90">
        <v>5</v>
      </c>
      <c r="C15" s="90" t="str">
        <f>IF(Estudio_Mercado_VF!D16="","",Estudio_Mercado_VF!D16)</f>
        <v>Servicio de transporte zona Rural de la localidad de Suba para  40 personas por jornada</v>
      </c>
      <c r="D15" s="91" t="str">
        <f>IF(Estudio_Mercado_VF!E16="","",Estudio_Mercado_VF!E16)</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15" s="89">
        <f>IF(Estudio_Mercado_VF!G16="","",Estudio_Mercado_VF!G16)</f>
        <v>5</v>
      </c>
      <c r="F15" s="515">
        <f>IF(Estudio_Mercado_VF!AA16="","",Estudio_Mercado_VF!AA16)</f>
        <v>820000</v>
      </c>
      <c r="G15" s="515">
        <f>IF(Estudio_Mercado_VF!AA16="","",Estudio_Mercado_VF!AB16)</f>
        <v>820000</v>
      </c>
      <c r="H15" s="522"/>
      <c r="I15" s="523"/>
      <c r="J15" s="92"/>
      <c r="K15" s="93" t="str">
        <f t="shared" si="3"/>
        <v>Valor vacío</v>
      </c>
      <c r="L15" s="533">
        <f t="shared" si="4"/>
        <v>820000</v>
      </c>
      <c r="M15" s="533" t="str">
        <f t="shared" si="5"/>
        <v/>
      </c>
      <c r="N15" s="533">
        <f t="shared" si="6"/>
        <v>820000</v>
      </c>
      <c r="BA15" s="87">
        <v>5</v>
      </c>
    </row>
    <row r="16" spans="1:53" ht="409.6">
      <c r="A16" s="87" t="s">
        <v>1153</v>
      </c>
      <c r="B16" s="90">
        <v>6</v>
      </c>
      <c r="C16" s="90" t="str">
        <f>IF(Estudio_Mercado_VF!D17="","",Estudio_Mercado_VF!D17)</f>
        <v>Servicio de transporte zona Rural de la localidad de Suba para  10 personas por trayecto</v>
      </c>
      <c r="D16" s="91" t="str">
        <f>IF(Estudio_Mercado_VF!E17="","",Estudio_Mercado_VF!E17)</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16" s="89">
        <f>IF(Estudio_Mercado_VF!G17="","",Estudio_Mercado_VF!G17)</f>
        <v>5</v>
      </c>
      <c r="F16" s="515">
        <f>IF(Estudio_Mercado_VF!AA17="","",Estudio_Mercado_VF!AA17)</f>
        <v>404600</v>
      </c>
      <c r="G16" s="515">
        <f>IF(Estudio_Mercado_VF!AA17="","",Estudio_Mercado_VF!AB17)</f>
        <v>2023000</v>
      </c>
      <c r="H16" s="522"/>
      <c r="I16" s="523"/>
      <c r="J16" s="92"/>
      <c r="K16" s="93" t="str">
        <f t="shared" si="3"/>
        <v>Valor vacío</v>
      </c>
      <c r="L16" s="533">
        <f t="shared" si="4"/>
        <v>404600</v>
      </c>
      <c r="M16" s="533" t="str">
        <f t="shared" si="5"/>
        <v/>
      </c>
      <c r="N16" s="533">
        <f t="shared" si="6"/>
        <v>2023000</v>
      </c>
      <c r="BA16" s="87">
        <v>6</v>
      </c>
    </row>
    <row r="17" spans="1:53" ht="43.5" customHeight="1">
      <c r="A17" s="87" t="s">
        <v>1153</v>
      </c>
      <c r="B17" s="90">
        <v>7</v>
      </c>
      <c r="C17" s="90" t="str">
        <f>IF(Estudio_Mercado_VF!D18="","",Estudio_Mercado_VF!D18)</f>
        <v>Tallerista</v>
      </c>
      <c r="D17" s="91" t="str">
        <f>IF(Estudio_Mercado_VF!E18="","",Estudio_Mercado_VF!E18)</f>
        <v>Tallerista (Por cada sesión) durante 4 horas, profesional como ingeniero/a ambiental, administrador ambiental, licenciado ambiental en educación ambiental, biólogo, ecólogo y/o carreras afines, servicio quedebe incluir el desplazamiento del tallerista</v>
      </c>
      <c r="E17" s="89">
        <f>IF(Estudio_Mercado_VF!G18="","",Estudio_Mercado_VF!G18)</f>
        <v>5</v>
      </c>
      <c r="F17" s="515">
        <f>IF(Estudio_Mercado_VF!AA18="","",Estudio_Mercado_VF!AA18)</f>
        <v>844900</v>
      </c>
      <c r="G17" s="515">
        <f>IF(Estudio_Mercado_VF!AA18="","",Estudio_Mercado_VF!AB18)</f>
        <v>4224500</v>
      </c>
      <c r="H17" s="522"/>
      <c r="I17" s="523"/>
      <c r="J17" s="92"/>
      <c r="K17" s="93" t="str">
        <f t="shared" si="3"/>
        <v>Valor vacío</v>
      </c>
      <c r="L17" s="533">
        <f t="shared" si="4"/>
        <v>844900</v>
      </c>
      <c r="M17" s="533" t="str">
        <f t="shared" si="5"/>
        <v/>
      </c>
      <c r="N17" s="533">
        <f t="shared" si="6"/>
        <v>4224500</v>
      </c>
      <c r="BA17" s="87">
        <v>7</v>
      </c>
    </row>
    <row r="18" spans="1:53" ht="100.9">
      <c r="A18" s="87" t="s">
        <v>1153</v>
      </c>
      <c r="B18" s="90">
        <v>8</v>
      </c>
      <c r="C18" s="90" t="str">
        <f>IF(Estudio_Mercado_VF!D19="","",Estudio_Mercado_VF!D19)</f>
        <v>Agendas con esfero</v>
      </c>
      <c r="D18" s="91" t="str">
        <f>IF(Estudio_Mercado_VF!E19="","",Estudio_Mercado_VF!E19)</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E18" s="89">
        <f>IF(Estudio_Mercado_VF!G19="","",Estudio_Mercado_VF!G19)</f>
        <v>50</v>
      </c>
      <c r="F18" s="515">
        <f>IF(Estudio_Mercado_VF!AA19="","",Estudio_Mercado_VF!AA19)</f>
        <v>31646.666666666668</v>
      </c>
      <c r="G18" s="515">
        <f>IF(Estudio_Mercado_VF!AA19="","",Estudio_Mercado_VF!AB19)</f>
        <v>1582333.3333333335</v>
      </c>
      <c r="H18" s="522"/>
      <c r="I18" s="523"/>
      <c r="J18" s="92"/>
      <c r="K18" s="93" t="str">
        <f t="shared" si="3"/>
        <v>Valor vacío</v>
      </c>
      <c r="L18" s="533">
        <f t="shared" si="4"/>
        <v>31646.666666666668</v>
      </c>
      <c r="M18" s="533" t="str">
        <f t="shared" si="5"/>
        <v/>
      </c>
      <c r="N18" s="533">
        <f t="shared" si="6"/>
        <v>1582333.3333333335</v>
      </c>
      <c r="BA18" s="87">
        <v>8</v>
      </c>
    </row>
    <row r="19" spans="1:53" ht="28.9">
      <c r="A19" s="87" t="s">
        <v>1153</v>
      </c>
      <c r="B19" s="90">
        <v>9</v>
      </c>
      <c r="C19" s="90" t="str">
        <f>IF(Estudio_Mercado_VF!D20="","",Estudio_Mercado_VF!D20)</f>
        <v>Camiseta t-shirt o Camiseta blanca</v>
      </c>
      <c r="D19" s="91" t="str">
        <f>IF(Estudio_Mercado_VF!E20="","",Estudio_Mercado_VF!E20)</f>
        <v>100% en algodón de 185 gr. cuello redondo y/o en v, de diferentes tallas, marcadas en screen 4 tintas. fabricación y materiales nacionales</v>
      </c>
      <c r="E19" s="89">
        <f>IF(Estudio_Mercado_VF!G20="","",Estudio_Mercado_VF!G20)</f>
        <v>50</v>
      </c>
      <c r="F19" s="515">
        <f>IF(Estudio_Mercado_VF!AA20="","",Estudio_Mercado_VF!AA20)</f>
        <v>26583.333333333332</v>
      </c>
      <c r="G19" s="515">
        <f>IF(Estudio_Mercado_VF!AA20="","",Estudio_Mercado_VF!AB20)</f>
        <v>1329166.6666666665</v>
      </c>
      <c r="H19" s="522"/>
      <c r="I19" s="523"/>
      <c r="J19" s="92"/>
      <c r="K19" s="93" t="str">
        <f t="shared" si="3"/>
        <v>Valor vacío</v>
      </c>
      <c r="L19" s="533">
        <f t="shared" si="4"/>
        <v>26583.333333333332</v>
      </c>
      <c r="M19" s="533" t="str">
        <f t="shared" si="5"/>
        <v/>
      </c>
      <c r="N19" s="533">
        <f t="shared" si="6"/>
        <v>1329166.6666666665</v>
      </c>
      <c r="BA19" s="87">
        <v>9</v>
      </c>
    </row>
    <row r="20" spans="1:53">
      <c r="A20" s="87" t="s">
        <v>1153</v>
      </c>
      <c r="B20" s="90">
        <v>10</v>
      </c>
      <c r="C20" s="90" t="str">
        <f>IF(Estudio_Mercado_VF!D21="","",Estudio_Mercado_VF!D21)</f>
        <v>Codos</v>
      </c>
      <c r="D20" s="91" t="str">
        <f>IF(Estudio_Mercado_VF!E21="","",Estudio_Mercado_VF!E21)</f>
        <v xml:space="preserve">Codos PVC de 3” (Pulgadas) </v>
      </c>
      <c r="E20" s="89">
        <f>IF(Estudio_Mercado_VF!G21="","",Estudio_Mercado_VF!G21)</f>
        <v>24</v>
      </c>
      <c r="F20" s="515">
        <f>IF(Estudio_Mercado_VF!AA21="","",Estudio_Mercado_VF!AA21)</f>
        <v>5841.3371333333334</v>
      </c>
      <c r="G20" s="515">
        <f>IF(Estudio_Mercado_VF!AA21="","",Estudio_Mercado_VF!AB21)</f>
        <v>140192.0912</v>
      </c>
      <c r="H20" s="522"/>
      <c r="I20" s="523"/>
      <c r="J20" s="92"/>
      <c r="K20" s="93" t="str">
        <f t="shared" si="3"/>
        <v>Valor vacío</v>
      </c>
      <c r="L20" s="533">
        <f t="shared" si="4"/>
        <v>5841.3371333333334</v>
      </c>
      <c r="M20" s="533" t="str">
        <f t="shared" si="5"/>
        <v/>
      </c>
      <c r="N20" s="533">
        <f t="shared" si="6"/>
        <v>140192.0912</v>
      </c>
      <c r="BA20" s="87">
        <v>10</v>
      </c>
    </row>
    <row r="21" spans="1:53">
      <c r="A21" s="87" t="s">
        <v>1153</v>
      </c>
      <c r="B21" s="90">
        <v>11</v>
      </c>
      <c r="C21" s="90" t="str">
        <f>IF(Estudio_Mercado_VF!D22="","",Estudio_Mercado_VF!D22)</f>
        <v>Tubos PVC</v>
      </c>
      <c r="D21" s="91" t="str">
        <f>IF(Estudio_Mercado_VF!E22="","",Estudio_Mercado_VF!E22)</f>
        <v xml:space="preserve">Metro de tubo PVC de 3” (Pulgadas) liviano </v>
      </c>
      <c r="E21" s="89">
        <f>IF(Estudio_Mercado_VF!G22="","",Estudio_Mercado_VF!G22)</f>
        <v>1</v>
      </c>
      <c r="F21" s="515">
        <f>IF(Estudio_Mercado_VF!AA22="","",Estudio_Mercado_VF!AA22)</f>
        <v>34625.707666666669</v>
      </c>
      <c r="G21" s="515">
        <f>IF(Estudio_Mercado_VF!AA22="","",Estudio_Mercado_VF!AB22)</f>
        <v>34625.707666666669</v>
      </c>
      <c r="H21" s="522"/>
      <c r="I21" s="523"/>
      <c r="J21" s="92"/>
      <c r="K21" s="93" t="str">
        <f t="shared" si="3"/>
        <v>Valor vacío</v>
      </c>
      <c r="L21" s="533">
        <f t="shared" si="4"/>
        <v>34625.707666666669</v>
      </c>
      <c r="M21" s="533" t="str">
        <f t="shared" si="5"/>
        <v/>
      </c>
      <c r="N21" s="533">
        <f t="shared" si="6"/>
        <v>34625.707666666669</v>
      </c>
      <c r="BA21" s="87">
        <v>11</v>
      </c>
    </row>
    <row r="22" spans="1:53">
      <c r="A22" s="87" t="s">
        <v>1153</v>
      </c>
      <c r="B22" s="90">
        <v>12</v>
      </c>
      <c r="C22" s="90" t="str">
        <f>IF(Estudio_Mercado_VF!D23="","",Estudio_Mercado_VF!D23)</f>
        <v>Pegamento</v>
      </c>
      <c r="D22" s="91" t="str">
        <f>IF(Estudio_Mercado_VF!E23="","",Estudio_Mercado_VF!E23)</f>
        <v>Pegamento o soldadura de tubo PVC y plásticos  de 473 cm3 de 1/8 de galón</v>
      </c>
      <c r="E22" s="89">
        <f>IF(Estudio_Mercado_VF!G23="","",Estudio_Mercado_VF!G23)</f>
        <v>10</v>
      </c>
      <c r="F22" s="515">
        <f>IF(Estudio_Mercado_VF!AA23="","",Estudio_Mercado_VF!AA23)</f>
        <v>56290.333333333336</v>
      </c>
      <c r="G22" s="515">
        <f>IF(Estudio_Mercado_VF!AA23="","",Estudio_Mercado_VF!AB23)</f>
        <v>562903.33333333337</v>
      </c>
      <c r="H22" s="522"/>
      <c r="I22" s="523"/>
      <c r="J22" s="92"/>
      <c r="K22" s="93" t="str">
        <f t="shared" si="3"/>
        <v>Valor vacío</v>
      </c>
      <c r="L22" s="533">
        <f t="shared" si="4"/>
        <v>56290.333333333336</v>
      </c>
      <c r="M22" s="533" t="str">
        <f t="shared" si="5"/>
        <v/>
      </c>
      <c r="N22" s="533">
        <f t="shared" si="6"/>
        <v>562903.33333333337</v>
      </c>
      <c r="BA22" s="87">
        <v>12</v>
      </c>
    </row>
    <row r="23" spans="1:53" ht="86.45">
      <c r="A23" s="87" t="s">
        <v>1153</v>
      </c>
      <c r="B23" s="90">
        <v>13</v>
      </c>
      <c r="C23" s="90" t="str">
        <f>IF(Estudio_Mercado_VF!D24="","",Estudio_Mercado_VF!D24)</f>
        <v>Bisturí mediano</v>
      </c>
      <c r="D23" s="91" t="str">
        <f>IF(Estudio_Mercado_VF!E24="","",Estudio_Mercado_VF!E24)</f>
        <v>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v>
      </c>
      <c r="E23" s="89">
        <f>IF(Estudio_Mercado_VF!G24="","",Estudio_Mercado_VF!G24)</f>
        <v>25</v>
      </c>
      <c r="F23" s="515">
        <f>IF(Estudio_Mercado_VF!AA24="","",Estudio_Mercado_VF!AA24)</f>
        <v>10568.333333333334</v>
      </c>
      <c r="G23" s="515">
        <f>IF(Estudio_Mercado_VF!AA24="","",Estudio_Mercado_VF!AB24)</f>
        <v>264208.33333333337</v>
      </c>
      <c r="H23" s="522"/>
      <c r="I23" s="523"/>
      <c r="J23" s="92"/>
      <c r="K23" s="93" t="str">
        <f t="shared" si="3"/>
        <v>Valor vacío</v>
      </c>
      <c r="L23" s="533">
        <f t="shared" si="4"/>
        <v>10568.333333333334</v>
      </c>
      <c r="M23" s="533" t="str">
        <f t="shared" si="5"/>
        <v/>
      </c>
      <c r="N23" s="533">
        <f t="shared" si="6"/>
        <v>264208.33333333337</v>
      </c>
      <c r="BA23" s="87">
        <v>13</v>
      </c>
    </row>
    <row r="24" spans="1:53" ht="28.9">
      <c r="A24" s="87" t="s">
        <v>1153</v>
      </c>
      <c r="B24" s="90">
        <v>14</v>
      </c>
      <c r="C24" s="90" t="str">
        <f>IF(Estudio_Mercado_VF!D25="","",Estudio_Mercado_VF!D25)</f>
        <v>Amarres plásticos</v>
      </c>
      <c r="D24" s="91" t="str">
        <f>IF(Estudio_Mercado_VF!E25="","",Estudio_Mercado_VF!E25)</f>
        <v>Paquetes de veinticinco (25) unidades de amarres plásticos de 40 cm de largo y de ancho de 4.5 mm</v>
      </c>
      <c r="E24" s="89">
        <f>IF(Estudio_Mercado_VF!G25="","",Estudio_Mercado_VF!G25)</f>
        <v>3</v>
      </c>
      <c r="F24" s="515">
        <f>IF(Estudio_Mercado_VF!AA25="","",Estudio_Mercado_VF!AA25)</f>
        <v>8686.6666666666661</v>
      </c>
      <c r="G24" s="515">
        <f>IF(Estudio_Mercado_VF!AA25="","",Estudio_Mercado_VF!AB25)</f>
        <v>26060</v>
      </c>
      <c r="H24" s="522"/>
      <c r="I24" s="523"/>
      <c r="J24" s="92"/>
      <c r="K24" s="93" t="str">
        <f t="shared" si="3"/>
        <v>Valor vacío</v>
      </c>
      <c r="L24" s="533">
        <f t="shared" si="4"/>
        <v>8686.6666666666661</v>
      </c>
      <c r="M24" s="533" t="str">
        <f t="shared" si="5"/>
        <v/>
      </c>
      <c r="N24" s="533">
        <f t="shared" si="6"/>
        <v>26060</v>
      </c>
      <c r="BA24" s="87">
        <v>14</v>
      </c>
    </row>
    <row r="25" spans="1:53">
      <c r="A25" s="87" t="s">
        <v>1153</v>
      </c>
      <c r="B25" s="90">
        <v>15</v>
      </c>
      <c r="C25" s="90" t="str">
        <f>IF(Estudio_Mercado_VF!D26="","",Estudio_Mercado_VF!D26)</f>
        <v>Alambre</v>
      </c>
      <c r="D25" s="91" t="str">
        <f>IF(Estudio_Mercado_VF!E26="","",Estudio_Mercado_VF!E26)</f>
        <v>Kilo de alambre dulce</v>
      </c>
      <c r="E25" s="89">
        <f>IF(Estudio_Mercado_VF!G26="","",Estudio_Mercado_VF!G26)</f>
        <v>2</v>
      </c>
      <c r="F25" s="515">
        <f>IF(Estudio_Mercado_VF!AA26="","",Estudio_Mercado_VF!AA26)</f>
        <v>21420</v>
      </c>
      <c r="G25" s="515">
        <f>IF(Estudio_Mercado_VF!AA26="","",Estudio_Mercado_VF!AB26)</f>
        <v>42840</v>
      </c>
      <c r="H25" s="522"/>
      <c r="I25" s="523"/>
      <c r="J25" s="92"/>
      <c r="K25" s="93" t="str">
        <f t="shared" si="3"/>
        <v>Valor vacío</v>
      </c>
      <c r="L25" s="533">
        <f t="shared" si="4"/>
        <v>21420</v>
      </c>
      <c r="M25" s="533" t="str">
        <f t="shared" si="5"/>
        <v/>
      </c>
      <c r="N25" s="533">
        <f t="shared" si="6"/>
        <v>42840</v>
      </c>
      <c r="BA25" s="87">
        <v>15</v>
      </c>
    </row>
    <row r="26" spans="1:53">
      <c r="A26" s="87" t="s">
        <v>1153</v>
      </c>
      <c r="B26" s="90">
        <v>16</v>
      </c>
      <c r="C26" s="90" t="str">
        <f>IF(Estudio_Mercado_VF!D27="","",Estudio_Mercado_VF!D27)</f>
        <v>Silicona ácida</v>
      </c>
      <c r="D26" s="91" t="str">
        <f>IF(Estudio_Mercado_VF!E27="","",Estudio_Mercado_VF!E27)</f>
        <v>Frascos de silicona ácida de 200 ml c/u</v>
      </c>
      <c r="E26" s="89">
        <f>IF(Estudio_Mercado_VF!G27="","",Estudio_Mercado_VF!G27)</f>
        <v>4</v>
      </c>
      <c r="F26" s="515">
        <f>IF(Estudio_Mercado_VF!AA27="","",Estudio_Mercado_VF!AA27)</f>
        <v>28163.333333333332</v>
      </c>
      <c r="G26" s="515">
        <f>IF(Estudio_Mercado_VF!AA27="","",Estudio_Mercado_VF!AB27)</f>
        <v>112653.33333333333</v>
      </c>
      <c r="H26" s="522"/>
      <c r="I26" s="523"/>
      <c r="J26" s="92"/>
      <c r="K26" s="93" t="str">
        <f t="shared" si="3"/>
        <v>Valor vacío</v>
      </c>
      <c r="L26" s="533">
        <f t="shared" si="4"/>
        <v>28163.333333333332</v>
      </c>
      <c r="M26" s="533" t="str">
        <f t="shared" si="5"/>
        <v/>
      </c>
      <c r="N26" s="533">
        <f t="shared" si="6"/>
        <v>112653.33333333333</v>
      </c>
      <c r="BA26" s="87">
        <v>16</v>
      </c>
    </row>
    <row r="27" spans="1:53">
      <c r="A27" s="87" t="s">
        <v>1153</v>
      </c>
      <c r="B27" s="90">
        <v>17</v>
      </c>
      <c r="C27" s="90" t="str">
        <f>IF(Estudio_Mercado_VF!D28="","",Estudio_Mercado_VF!D28)</f>
        <v>Zuncho plástico</v>
      </c>
      <c r="D27" s="91" t="str">
        <f>IF(Estudio_Mercado_VF!E28="","",Estudio_Mercado_VF!E28)</f>
        <v xml:space="preserve">Rollo de zuncho plástico de 1/2" de 100 m </v>
      </c>
      <c r="E27" s="89">
        <f>IF(Estudio_Mercado_VF!G28="","",Estudio_Mercado_VF!G28)</f>
        <v>1</v>
      </c>
      <c r="F27" s="515">
        <f>IF(Estudio_Mercado_VF!AA28="","",Estudio_Mercado_VF!AA28)</f>
        <v>48043.333333333336</v>
      </c>
      <c r="G27" s="515">
        <f>IF(Estudio_Mercado_VF!AA28="","",Estudio_Mercado_VF!AB28)</f>
        <v>48043.333333333336</v>
      </c>
      <c r="H27" s="522"/>
      <c r="I27" s="523"/>
      <c r="J27" s="92"/>
      <c r="K27" s="93" t="str">
        <f t="shared" si="3"/>
        <v>Valor vacío</v>
      </c>
      <c r="L27" s="533">
        <f t="shared" si="4"/>
        <v>48043.333333333336</v>
      </c>
      <c r="M27" s="533" t="str">
        <f t="shared" si="5"/>
        <v/>
      </c>
      <c r="N27" s="533">
        <f t="shared" si="6"/>
        <v>48043.333333333336</v>
      </c>
      <c r="BA27" s="87">
        <v>17</v>
      </c>
    </row>
    <row r="28" spans="1:53" ht="28.9">
      <c r="A28" s="87" t="s">
        <v>1153</v>
      </c>
      <c r="B28" s="90">
        <v>18</v>
      </c>
      <c r="C28" s="90" t="str">
        <f>IF(Estudio_Mercado_VF!D29="","",Estudio_Mercado_VF!D29)</f>
        <v>Grapas</v>
      </c>
      <c r="D28" s="91" t="str">
        <f>IF(Estudio_Mercado_VF!E29="","",Estudio_Mercado_VF!E29)</f>
        <v>Paquete por diez (10) unidades de grapas metálicas de 1/2 " que funcionen como abrazadera</v>
      </c>
      <c r="E28" s="89">
        <f>IF(Estudio_Mercado_VF!G29="","",Estudio_Mercado_VF!G29)</f>
        <v>10</v>
      </c>
      <c r="F28" s="515">
        <f>IF(Estudio_Mercado_VF!AA29="","",Estudio_Mercado_VF!AA29)</f>
        <v>173</v>
      </c>
      <c r="G28" s="515">
        <f>IF(Estudio_Mercado_VF!AA29="","",Estudio_Mercado_VF!AB29)</f>
        <v>1730</v>
      </c>
      <c r="H28" s="522"/>
      <c r="I28" s="523"/>
      <c r="J28" s="92"/>
      <c r="K28" s="93" t="str">
        <f t="shared" si="3"/>
        <v>Valor vacío</v>
      </c>
      <c r="L28" s="533">
        <f t="shared" si="4"/>
        <v>173</v>
      </c>
      <c r="M28" s="533" t="str">
        <f t="shared" si="5"/>
        <v/>
      </c>
      <c r="N28" s="533">
        <f t="shared" si="6"/>
        <v>1730</v>
      </c>
      <c r="BA28" s="87">
        <v>18</v>
      </c>
    </row>
    <row r="29" spans="1:53" ht="72">
      <c r="A29" s="87" t="s">
        <v>1153</v>
      </c>
      <c r="B29" s="90">
        <v>19</v>
      </c>
      <c r="C29" s="90" t="str">
        <f>IF(Estudio_Mercado_VF!D30="","",Estudio_Mercado_VF!D30)</f>
        <v>Pintura acrílica base (fondo)</v>
      </c>
      <c r="D29" s="91" t="str">
        <f>IF(Estudio_Mercado_VF!E30="","",Estudio_Mercado_VF!E30)</f>
        <v>Pintura acrílica color blanco o gris ecológica para fondear superficies ,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29" s="89">
        <f>IF(Estudio_Mercado_VF!G30="","",Estudio_Mercado_VF!G30)</f>
        <v>1</v>
      </c>
      <c r="F29" s="515">
        <f>IF(Estudio_Mercado_VF!AA30="","",Estudio_Mercado_VF!AA30)</f>
        <v>219700</v>
      </c>
      <c r="G29" s="515">
        <f>IF(Estudio_Mercado_VF!AA30="","",Estudio_Mercado_VF!AB30)</f>
        <v>219700</v>
      </c>
      <c r="H29" s="522"/>
      <c r="I29" s="523"/>
      <c r="J29" s="92"/>
      <c r="K29" s="93" t="str">
        <f t="shared" si="3"/>
        <v>Valor vacío</v>
      </c>
      <c r="L29" s="533">
        <f t="shared" si="4"/>
        <v>219700</v>
      </c>
      <c r="M29" s="533" t="str">
        <f t="shared" si="5"/>
        <v/>
      </c>
      <c r="N29" s="533">
        <f t="shared" si="6"/>
        <v>219700</v>
      </c>
      <c r="BA29" s="87">
        <v>19</v>
      </c>
    </row>
    <row r="30" spans="1:53" ht="57.6">
      <c r="A30" s="87" t="s">
        <v>1153</v>
      </c>
      <c r="B30" s="90">
        <v>20</v>
      </c>
      <c r="C30" s="90" t="str">
        <f>IF(Estudio_Mercado_VF!D31="","",Estudio_Mercado_VF!D31)</f>
        <v>Pintura acrílica amarilla</v>
      </c>
      <c r="D30" s="91" t="str">
        <f>IF(Estudio_Mercado_VF!E31="","",Estudio_Mercado_VF!E31)</f>
        <v>Pintura acrílica color amarillo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30" s="89">
        <f>IF(Estudio_Mercado_VF!G31="","",Estudio_Mercado_VF!G31)</f>
        <v>1</v>
      </c>
      <c r="F30" s="515">
        <f>IF(Estudio_Mercado_VF!AA31="","",Estudio_Mercado_VF!AA31)</f>
        <v>210233.33333333334</v>
      </c>
      <c r="G30" s="515">
        <f>IF(Estudio_Mercado_VF!AA31="","",Estudio_Mercado_VF!AB31)</f>
        <v>210233.33333333334</v>
      </c>
      <c r="H30" s="522"/>
      <c r="I30" s="523"/>
      <c r="J30" s="92"/>
      <c r="K30" s="93" t="str">
        <f t="shared" si="3"/>
        <v>Valor vacío</v>
      </c>
      <c r="L30" s="533">
        <f t="shared" si="4"/>
        <v>210233.33333333334</v>
      </c>
      <c r="M30" s="533" t="str">
        <f t="shared" si="5"/>
        <v/>
      </c>
      <c r="N30" s="533">
        <f t="shared" si="6"/>
        <v>210233.33333333334</v>
      </c>
      <c r="BA30" s="87">
        <v>20</v>
      </c>
    </row>
    <row r="31" spans="1:53" ht="57.6">
      <c r="A31" s="87" t="s">
        <v>1153</v>
      </c>
      <c r="B31" s="90">
        <v>21</v>
      </c>
      <c r="C31" s="90" t="str">
        <f>IF(Estudio_Mercado_VF!D32="","",Estudio_Mercado_VF!D32)</f>
        <v>Pintura acrílica azul</v>
      </c>
      <c r="D31" s="91" t="str">
        <f>IF(Estudio_Mercado_VF!E32="","",Estudio_Mercado_VF!E32)</f>
        <v>Pintura acrílica color azul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31" s="89">
        <f>IF(Estudio_Mercado_VF!G32="","",Estudio_Mercado_VF!G32)</f>
        <v>1</v>
      </c>
      <c r="F31" s="515">
        <f>IF(Estudio_Mercado_VF!AA32="","",Estudio_Mercado_VF!AA32)</f>
        <v>210233.33333333334</v>
      </c>
      <c r="G31" s="515">
        <f>IF(Estudio_Mercado_VF!AA32="","",Estudio_Mercado_VF!AB32)</f>
        <v>210233.33333333334</v>
      </c>
      <c r="H31" s="522"/>
      <c r="I31" s="523"/>
      <c r="J31" s="92"/>
      <c r="K31" s="93" t="str">
        <f t="shared" si="3"/>
        <v>Valor vacío</v>
      </c>
      <c r="L31" s="533">
        <f t="shared" si="4"/>
        <v>210233.33333333334</v>
      </c>
      <c r="M31" s="533" t="str">
        <f t="shared" si="5"/>
        <v/>
      </c>
      <c r="N31" s="533">
        <f t="shared" si="6"/>
        <v>210233.33333333334</v>
      </c>
      <c r="BA31" s="87">
        <v>21</v>
      </c>
    </row>
    <row r="32" spans="1:53" ht="57.6">
      <c r="A32" s="87" t="s">
        <v>1153</v>
      </c>
      <c r="B32" s="90">
        <v>22</v>
      </c>
      <c r="C32" s="90" t="str">
        <f>IF(Estudio_Mercado_VF!D33="","",Estudio_Mercado_VF!D33)</f>
        <v>Pintura acrílica roja</v>
      </c>
      <c r="D32" s="91" t="str">
        <f>IF(Estudio_Mercado_VF!E33="","",Estudio_Mercado_VF!E33)</f>
        <v>Pintura acrílica color roja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32" s="89">
        <f>IF(Estudio_Mercado_VF!G33="","",Estudio_Mercado_VF!G33)</f>
        <v>1</v>
      </c>
      <c r="F32" s="515">
        <f>IF(Estudio_Mercado_VF!AA33="","",Estudio_Mercado_VF!AA33)</f>
        <v>210233.33333333334</v>
      </c>
      <c r="G32" s="515">
        <f>IF(Estudio_Mercado_VF!AA33="","",Estudio_Mercado_VF!AB33)</f>
        <v>210233.33333333334</v>
      </c>
      <c r="H32" s="522"/>
      <c r="I32" s="523"/>
      <c r="J32" s="92"/>
      <c r="K32" s="93" t="str">
        <f t="shared" si="3"/>
        <v>Valor vacío</v>
      </c>
      <c r="L32" s="533">
        <f t="shared" si="4"/>
        <v>210233.33333333334</v>
      </c>
      <c r="M32" s="533" t="str">
        <f t="shared" si="5"/>
        <v/>
      </c>
      <c r="N32" s="533">
        <f t="shared" si="6"/>
        <v>210233.33333333334</v>
      </c>
      <c r="BA32" s="87">
        <v>22</v>
      </c>
    </row>
    <row r="33" spans="1:53" ht="57.6">
      <c r="A33" s="87" t="s">
        <v>1153</v>
      </c>
      <c r="B33" s="90">
        <v>23</v>
      </c>
      <c r="C33" s="90" t="str">
        <f>IF(Estudio_Mercado_VF!D34="","",Estudio_Mercado_VF!D34)</f>
        <v>Pintura acrílica negra</v>
      </c>
      <c r="D33" s="91" t="str">
        <f>IF(Estudio_Mercado_VF!E34="","",Estudio_Mercado_VF!E34)</f>
        <v xml:space="preserve">Pintura acrílica color negra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v>
      </c>
      <c r="E33" s="89">
        <f>IF(Estudio_Mercado_VF!G34="","",Estudio_Mercado_VF!G34)</f>
        <v>1</v>
      </c>
      <c r="F33" s="515">
        <f>IF(Estudio_Mercado_VF!AA34="","",Estudio_Mercado_VF!AA34)</f>
        <v>210233.33333333334</v>
      </c>
      <c r="G33" s="515">
        <f>IF(Estudio_Mercado_VF!AA34="","",Estudio_Mercado_VF!AB34)</f>
        <v>210233.33333333334</v>
      </c>
      <c r="H33" s="522"/>
      <c r="I33" s="523"/>
      <c r="J33" s="92"/>
      <c r="K33" s="93" t="str">
        <f t="shared" si="3"/>
        <v>Valor vacío</v>
      </c>
      <c r="L33" s="533">
        <f t="shared" si="4"/>
        <v>210233.33333333334</v>
      </c>
      <c r="M33" s="533" t="str">
        <f t="shared" si="5"/>
        <v/>
      </c>
      <c r="N33" s="533">
        <f t="shared" si="6"/>
        <v>210233.33333333334</v>
      </c>
      <c r="BA33" s="87">
        <v>23</v>
      </c>
    </row>
    <row r="34" spans="1:53">
      <c r="A34" s="87" t="s">
        <v>1153</v>
      </c>
      <c r="B34" s="90">
        <v>24</v>
      </c>
      <c r="C34" s="90" t="str">
        <f>IF(Estudio_Mercado_VF!D35="","",Estudio_Mercado_VF!D35)</f>
        <v>Rodillos</v>
      </c>
      <c r="D34" s="91" t="str">
        <f>IF(Estudio_Mercado_VF!E35="","",Estudio_Mercado_VF!E35)</f>
        <v>Rodillos de 3” (Pulgadas)</v>
      </c>
      <c r="E34" s="89">
        <f>IF(Estudio_Mercado_VF!G35="","",Estudio_Mercado_VF!G35)</f>
        <v>3</v>
      </c>
      <c r="F34" s="515">
        <f>IF(Estudio_Mercado_VF!AA35="","",Estudio_Mercado_VF!AA35)</f>
        <v>15866.666666666666</v>
      </c>
      <c r="G34" s="515">
        <f>IF(Estudio_Mercado_VF!AA35="","",Estudio_Mercado_VF!AB35)</f>
        <v>47600</v>
      </c>
      <c r="H34" s="522"/>
      <c r="I34" s="523"/>
      <c r="J34" s="92"/>
      <c r="K34" s="93" t="str">
        <f t="shared" si="3"/>
        <v>Valor vacío</v>
      </c>
      <c r="L34" s="533">
        <f t="shared" si="4"/>
        <v>15866.666666666666</v>
      </c>
      <c r="M34" s="533" t="str">
        <f t="shared" si="5"/>
        <v/>
      </c>
      <c r="N34" s="533">
        <f t="shared" si="6"/>
        <v>47600</v>
      </c>
    </row>
    <row r="35" spans="1:53">
      <c r="A35" s="87" t="s">
        <v>1153</v>
      </c>
      <c r="B35" s="90">
        <v>25</v>
      </c>
      <c r="C35" s="90" t="str">
        <f>IF(Estudio_Mercado_VF!D36="","",Estudio_Mercado_VF!D36)</f>
        <v>Brochas</v>
      </c>
      <c r="D35" s="91" t="str">
        <f>IF(Estudio_Mercado_VF!E36="","",Estudio_Mercado_VF!E36)</f>
        <v>Brochas de 1” (Pulgada)</v>
      </c>
      <c r="E35" s="89">
        <f>IF(Estudio_Mercado_VF!G36="","",Estudio_Mercado_VF!G36)</f>
        <v>6</v>
      </c>
      <c r="F35" s="515">
        <f>IF(Estudio_Mercado_VF!AA36="","",Estudio_Mercado_VF!AA36)</f>
        <v>4655</v>
      </c>
      <c r="G35" s="515">
        <f>IF(Estudio_Mercado_VF!AA36="","",Estudio_Mercado_VF!AB36)</f>
        <v>27930</v>
      </c>
      <c r="H35" s="522"/>
      <c r="I35" s="523"/>
      <c r="J35" s="92"/>
      <c r="K35" s="93" t="str">
        <f t="shared" si="3"/>
        <v>Valor vacío</v>
      </c>
      <c r="L35" s="533">
        <f t="shared" si="4"/>
        <v>4655</v>
      </c>
      <c r="M35" s="533" t="str">
        <f t="shared" si="5"/>
        <v/>
      </c>
      <c r="N35" s="533">
        <f t="shared" si="6"/>
        <v>27930</v>
      </c>
    </row>
    <row r="36" spans="1:53">
      <c r="A36" s="87" t="s">
        <v>1153</v>
      </c>
      <c r="B36" s="90">
        <v>26</v>
      </c>
      <c r="C36" s="90" t="str">
        <f>IF(Estudio_Mercado_VF!D37="","",Estudio_Mercado_VF!D37)</f>
        <v>Brochas</v>
      </c>
      <c r="D36" s="91" t="str">
        <f>IF(Estudio_Mercado_VF!E37="","",Estudio_Mercado_VF!E37)</f>
        <v>Brochas de 5 ” (Pulgadas)</v>
      </c>
      <c r="E36" s="89">
        <f>IF(Estudio_Mercado_VF!G37="","",Estudio_Mercado_VF!G37)</f>
        <v>4</v>
      </c>
      <c r="F36" s="515">
        <f>IF(Estudio_Mercado_VF!AA37="","",Estudio_Mercado_VF!AA37)</f>
        <v>12317</v>
      </c>
      <c r="G36" s="515">
        <f>IF(Estudio_Mercado_VF!AA37="","",Estudio_Mercado_VF!AB37)</f>
        <v>49268</v>
      </c>
      <c r="H36" s="522"/>
      <c r="I36" s="523"/>
      <c r="J36" s="92"/>
      <c r="K36" s="93" t="str">
        <f t="shared" si="3"/>
        <v>Valor vacío</v>
      </c>
      <c r="L36" s="533">
        <f t="shared" si="4"/>
        <v>12317</v>
      </c>
      <c r="M36" s="533" t="str">
        <f t="shared" si="5"/>
        <v/>
      </c>
      <c r="N36" s="533">
        <f t="shared" si="6"/>
        <v>49268</v>
      </c>
    </row>
    <row r="37" spans="1:53" ht="187.15">
      <c r="A37" s="87" t="s">
        <v>1153</v>
      </c>
      <c r="B37" s="90">
        <v>27</v>
      </c>
      <c r="C37" s="90" t="str">
        <f>IF(Estudio_Mercado_VF!D38="","",Estudio_Mercado_VF!D38)</f>
        <v>Refrigerio Tipo 1</v>
      </c>
      <c r="D37" s="91" t="str">
        <f>IF(Estudio_Mercado_VF!E38="","",Estudio_Mercado_VF!E38)</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37" s="89">
        <f>IF(Estudio_Mercado_VF!G38="","",Estudio_Mercado_VF!G38)</f>
        <v>580</v>
      </c>
      <c r="F37" s="515">
        <f>IF(Estudio_Mercado_VF!AA38="","",Estudio_Mercado_VF!AA38)</f>
        <v>13135.02901234568</v>
      </c>
      <c r="G37" s="515">
        <f>IF(Estudio_Mercado_VF!AA38="","",Estudio_Mercado_VF!AB38)</f>
        <v>7618316.8271604944</v>
      </c>
      <c r="H37" s="522"/>
      <c r="I37" s="523"/>
      <c r="J37" s="92"/>
      <c r="K37" s="93" t="str">
        <f t="shared" si="3"/>
        <v>Valor vacío</v>
      </c>
      <c r="L37" s="533">
        <f t="shared" si="4"/>
        <v>13135.02901234568</v>
      </c>
      <c r="M37" s="533" t="str">
        <f t="shared" si="5"/>
        <v/>
      </c>
      <c r="N37" s="533">
        <f t="shared" si="6"/>
        <v>7618316.8271604944</v>
      </c>
    </row>
    <row r="38" spans="1:53">
      <c r="A38" s="87" t="s">
        <v>1153</v>
      </c>
      <c r="B38" s="90">
        <v>28</v>
      </c>
      <c r="C38" s="90" t="str">
        <f>IF(Estudio_Mercado_VF!D39="","",Estudio_Mercado_VF!D39)</f>
        <v>Bolsas negras</v>
      </c>
      <c r="D38" s="91" t="str">
        <f>IF(Estudio_Mercado_VF!E39="","",Estudio_Mercado_VF!E39)</f>
        <v xml:space="preserve">BOLSA NEGRA 60 X 80 PAQ. X 50 UND, disposicion de residuos </v>
      </c>
      <c r="E38" s="89">
        <f>IF(Estudio_Mercado_VF!G39="","",Estudio_Mercado_VF!G39)</f>
        <v>1</v>
      </c>
      <c r="F38" s="515">
        <f>IF(Estudio_Mercado_VF!AA39="","",Estudio_Mercado_VF!AA39)</f>
        <v>17659.333333333332</v>
      </c>
      <c r="G38" s="515">
        <f>IF(Estudio_Mercado_VF!AA39="","",Estudio_Mercado_VF!AB39)</f>
        <v>17659.333333333332</v>
      </c>
      <c r="H38" s="522"/>
      <c r="I38" s="523"/>
      <c r="J38" s="92"/>
      <c r="K38" s="93" t="str">
        <f t="shared" si="3"/>
        <v>Valor vacío</v>
      </c>
      <c r="L38" s="533">
        <f t="shared" si="4"/>
        <v>17659.333333333332</v>
      </c>
      <c r="M38" s="533" t="str">
        <f t="shared" si="5"/>
        <v/>
      </c>
      <c r="N38" s="533">
        <f t="shared" si="6"/>
        <v>17659.333333333332</v>
      </c>
    </row>
    <row r="39" spans="1:53">
      <c r="A39" s="87" t="s">
        <v>1153</v>
      </c>
      <c r="B39" s="90">
        <v>29</v>
      </c>
      <c r="C39" s="90" t="str">
        <f>IF(Estudio_Mercado_VF!D40="","",Estudio_Mercado_VF!D40)</f>
        <v xml:space="preserve">Bolsas blancas </v>
      </c>
      <c r="D39" s="91" t="str">
        <f>IF(Estudio_Mercado_VF!E40="","",Estudio_Mercado_VF!E40)</f>
        <v xml:space="preserve">BOLSA BLANCA 60 X 80 PAQ. X 50 UND, disposicion de residuos </v>
      </c>
      <c r="E39" s="89">
        <f>IF(Estudio_Mercado_VF!G40="","",Estudio_Mercado_VF!G40)</f>
        <v>1</v>
      </c>
      <c r="F39" s="515">
        <f>IF(Estudio_Mercado_VF!AA40="","",Estudio_Mercado_VF!AA40)</f>
        <v>18370</v>
      </c>
      <c r="G39" s="515">
        <f>IF(Estudio_Mercado_VF!AA40="","",Estudio_Mercado_VF!AB40)</f>
        <v>18370</v>
      </c>
      <c r="H39" s="522"/>
      <c r="I39" s="523"/>
      <c r="J39" s="92"/>
      <c r="K39" s="93" t="str">
        <f t="shared" si="3"/>
        <v>Valor vacío</v>
      </c>
      <c r="L39" s="533">
        <f t="shared" si="4"/>
        <v>18370</v>
      </c>
      <c r="M39" s="533" t="str">
        <f t="shared" si="5"/>
        <v/>
      </c>
      <c r="N39" s="533">
        <f t="shared" si="6"/>
        <v>18370</v>
      </c>
    </row>
    <row r="40" spans="1:53">
      <c r="A40" s="87" t="s">
        <v>1153</v>
      </c>
      <c r="B40" s="90">
        <v>30</v>
      </c>
      <c r="C40" s="90" t="str">
        <f>IF(Estudio_Mercado_VF!D41="","",Estudio_Mercado_VF!D41)</f>
        <v xml:space="preserve">Bolsas verdes </v>
      </c>
      <c r="D40" s="91" t="str">
        <f>IF(Estudio_Mercado_VF!E41="","",Estudio_Mercado_VF!E41)</f>
        <v xml:space="preserve">BOLSA VERDE 60 X 80 PAQ. X 50 UND, disposicion de residuos </v>
      </c>
      <c r="E40" s="89">
        <f>IF(Estudio_Mercado_VF!G41="","",Estudio_Mercado_VF!G41)</f>
        <v>1</v>
      </c>
      <c r="F40" s="515">
        <f>IF(Estudio_Mercado_VF!AA41="","",Estudio_Mercado_VF!AA41)</f>
        <v>18370</v>
      </c>
      <c r="G40" s="515">
        <f>IF(Estudio_Mercado_VF!AA41="","",Estudio_Mercado_VF!AB41)</f>
        <v>18370</v>
      </c>
      <c r="H40" s="522"/>
      <c r="I40" s="523"/>
      <c r="J40" s="92"/>
      <c r="K40" s="93" t="str">
        <f t="shared" si="3"/>
        <v>Valor vacío</v>
      </c>
      <c r="L40" s="533">
        <f t="shared" si="4"/>
        <v>18370</v>
      </c>
      <c r="M40" s="533" t="str">
        <f t="shared" si="5"/>
        <v/>
      </c>
      <c r="N40" s="533">
        <f t="shared" si="6"/>
        <v>18370</v>
      </c>
    </row>
    <row r="41" spans="1:53" ht="28.9">
      <c r="A41" s="87" t="s">
        <v>1153</v>
      </c>
      <c r="B41" s="90">
        <v>31</v>
      </c>
      <c r="C41" s="90" t="str">
        <f>IF(Estudio_Mercado_VF!D42="","",Estudio_Mercado_VF!D42)</f>
        <v>Camiseta t-shirt o Camiseta blanca</v>
      </c>
      <c r="D41" s="91" t="str">
        <f>IF(Estudio_Mercado_VF!E42="","",Estudio_Mercado_VF!E42)</f>
        <v>100% en algodón de 185 gr. cuello redondo y/o en v, de diferentes tallas, marcadas en screen 4 tintas. fabricación y materiales nacionales</v>
      </c>
      <c r="E41" s="89">
        <f>IF(Estudio_Mercado_VF!G42="","",Estudio_Mercado_VF!G42)</f>
        <v>50</v>
      </c>
      <c r="F41" s="515">
        <f>IF(Estudio_Mercado_VF!AA42="","",Estudio_Mercado_VF!AA42)</f>
        <v>26583.333333333332</v>
      </c>
      <c r="G41" s="515">
        <f>IF(Estudio_Mercado_VF!AA42="","",Estudio_Mercado_VF!AB42)</f>
        <v>1329166.6666666665</v>
      </c>
      <c r="H41" s="522"/>
      <c r="I41" s="523"/>
      <c r="J41" s="92"/>
      <c r="K41" s="93" t="str">
        <f t="shared" si="3"/>
        <v>Valor vacío</v>
      </c>
      <c r="L41" s="533">
        <f t="shared" si="4"/>
        <v>26583.333333333332</v>
      </c>
      <c r="M41" s="533" t="str">
        <f t="shared" si="5"/>
        <v/>
      </c>
      <c r="N41" s="533">
        <f t="shared" si="6"/>
        <v>1329166.6666666665</v>
      </c>
    </row>
    <row r="42" spans="1:53" ht="409.6">
      <c r="A42" s="87" t="s">
        <v>1153</v>
      </c>
      <c r="B42" s="90">
        <v>32</v>
      </c>
      <c r="C42" s="90" t="str">
        <f>IF(Estudio_Mercado_VF!D43="","",Estudio_Mercado_VF!D43)</f>
        <v>Servicio de transporte zona Rural de la localidad de Suba para  40 personas por jornada</v>
      </c>
      <c r="D42" s="91" t="str">
        <f>IF(Estudio_Mercado_VF!E43="","",Estudio_Mercado_VF!E43)</f>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42" s="89">
        <f>IF(Estudio_Mercado_VF!G43="","",Estudio_Mercado_VF!G43)</f>
        <v>8</v>
      </c>
      <c r="F42" s="515">
        <f>IF(Estudio_Mercado_VF!AA43="","",Estudio_Mercado_VF!AA43)</f>
        <v>820000</v>
      </c>
      <c r="G42" s="515">
        <f>IF(Estudio_Mercado_VF!AA43="","",Estudio_Mercado_VF!AB43)</f>
        <v>6560000</v>
      </c>
      <c r="H42" s="522"/>
      <c r="I42" s="523"/>
      <c r="J42" s="92"/>
      <c r="K42" s="93" t="str">
        <f t="shared" si="3"/>
        <v>Valor vacío</v>
      </c>
      <c r="L42" s="533">
        <f t="shared" si="4"/>
        <v>820000</v>
      </c>
      <c r="M42" s="533" t="str">
        <f t="shared" si="5"/>
        <v/>
      </c>
      <c r="N42" s="533">
        <f t="shared" si="6"/>
        <v>6560000</v>
      </c>
    </row>
    <row r="43" spans="1:53" ht="409.6">
      <c r="A43" s="87" t="s">
        <v>1153</v>
      </c>
      <c r="B43" s="90">
        <v>33</v>
      </c>
      <c r="C43" s="90" t="str">
        <f>IF(Estudio_Mercado_VF!D44="","",Estudio_Mercado_VF!D44)</f>
        <v>Servicio de transporte zona Rural de la localidad de Suba para  10 personas por trayecto</v>
      </c>
      <c r="D43" s="91" t="str">
        <f>IF(Estudio_Mercado_VF!E44="","",Estudio_Mercado_VF!E44)</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43" s="89">
        <f>IF(Estudio_Mercado_VF!G44="","",Estudio_Mercado_VF!G44)</f>
        <v>8</v>
      </c>
      <c r="F43" s="515">
        <f>IF(Estudio_Mercado_VF!AA44="","",Estudio_Mercado_VF!AA44)</f>
        <v>404600</v>
      </c>
      <c r="G43" s="515">
        <f>IF(Estudio_Mercado_VF!AA44="","",Estudio_Mercado_VF!AB44)</f>
        <v>3236800</v>
      </c>
      <c r="H43" s="522"/>
      <c r="I43" s="523"/>
      <c r="J43" s="92"/>
      <c r="K43" s="93" t="str">
        <f t="shared" si="3"/>
        <v>Valor vacío</v>
      </c>
      <c r="L43" s="533">
        <f t="shared" si="4"/>
        <v>404600</v>
      </c>
      <c r="M43" s="533" t="str">
        <f t="shared" si="5"/>
        <v/>
      </c>
      <c r="N43" s="533">
        <f t="shared" si="6"/>
        <v>3236800</v>
      </c>
    </row>
    <row r="44" spans="1:53" ht="144">
      <c r="A44" s="87" t="s">
        <v>1153</v>
      </c>
      <c r="B44" s="90">
        <v>34</v>
      </c>
      <c r="C44" s="90" t="str">
        <f>IF(Estudio_Mercado_VF!D45="","",Estudio_Mercado_VF!D45)</f>
        <v>Auditorio para 50 personas media jornada</v>
      </c>
      <c r="D44" s="91" t="str">
        <f>IF(Estudio_Mercado_VF!E45="","",Estudio_Mercado_VF!E45)</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E44" s="89">
        <f>IF(Estudio_Mercado_VF!G45="","",Estudio_Mercado_VF!G45)</f>
        <v>9</v>
      </c>
      <c r="F44" s="515">
        <f>IF(Estudio_Mercado_VF!AA45="","",Estudio_Mercado_VF!AA45)</f>
        <v>3655500.0006000004</v>
      </c>
      <c r="G44" s="515">
        <f>IF(Estudio_Mercado_VF!AA45="","",Estudio_Mercado_VF!AB45)</f>
        <v>32899500.005400002</v>
      </c>
      <c r="H44" s="522"/>
      <c r="I44" s="523"/>
      <c r="J44" s="92"/>
      <c r="K44" s="93" t="str">
        <f t="shared" si="3"/>
        <v>Valor vacío</v>
      </c>
      <c r="L44" s="533">
        <f t="shared" si="4"/>
        <v>3655500.0006000004</v>
      </c>
      <c r="M44" s="533" t="str">
        <f t="shared" si="5"/>
        <v/>
      </c>
      <c r="N44" s="533">
        <f t="shared" si="6"/>
        <v>32899500.005400002</v>
      </c>
    </row>
    <row r="45" spans="1:53" ht="43.15">
      <c r="A45" s="87" t="s">
        <v>1153</v>
      </c>
      <c r="B45" s="90">
        <v>35</v>
      </c>
      <c r="C45" s="90" t="str">
        <f>IF(Estudio_Mercado_VF!D46="","",Estudio_Mercado_VF!D46)</f>
        <v>Alquiler Carpa Pagoda 4 x 4</v>
      </c>
      <c r="D45" s="91" t="str">
        <f>IF(Estudio_Mercado_VF!E46="","",Estudio_Mercado_VF!E46)</f>
        <v>CARPA PAGODA DE 4X4 CON LATERALES  INCLUYE INSTALACIÓN, TRASPORTE Y ENTREGA EN EL LUGAR REQUERIDO, MONTAJE Y DESMONTAJE DE LA MISMA (JORNADA POR EVENTO O DÍA)</v>
      </c>
      <c r="E45" s="89">
        <f>IF(Estudio_Mercado_VF!G46="","",Estudio_Mercado_VF!G46)</f>
        <v>20</v>
      </c>
      <c r="F45" s="515">
        <f>IF(Estudio_Mercado_VF!AA46="","",Estudio_Mercado_VF!AA46)</f>
        <v>531759</v>
      </c>
      <c r="G45" s="515">
        <f>IF(Estudio_Mercado_VF!AA46="","",Estudio_Mercado_VF!AB46)</f>
        <v>10635180</v>
      </c>
      <c r="H45" s="522"/>
      <c r="I45" s="523"/>
      <c r="J45" s="92"/>
      <c r="K45" s="93" t="str">
        <f t="shared" si="3"/>
        <v>Valor vacío</v>
      </c>
      <c r="L45" s="533">
        <f t="shared" si="4"/>
        <v>531759</v>
      </c>
      <c r="M45" s="533" t="str">
        <f t="shared" si="5"/>
        <v/>
      </c>
      <c r="N45" s="533">
        <f t="shared" si="6"/>
        <v>10635180</v>
      </c>
    </row>
    <row r="46" spans="1:53">
      <c r="A46" s="87" t="s">
        <v>1153</v>
      </c>
      <c r="B46" s="90">
        <v>36</v>
      </c>
      <c r="C46" s="90" t="str">
        <f>IF(Estudio_Mercado_VF!D47="","",Estudio_Mercado_VF!D47)</f>
        <v>Sillas</v>
      </c>
      <c r="D46" s="91" t="str">
        <f>IF(Estudio_Mercado_VF!E47="","",Estudio_Mercado_VF!E47)</f>
        <v>Alquiler de sillas plásticas para uso de los participantes</v>
      </c>
      <c r="E46" s="89">
        <f>IF(Estudio_Mercado_VF!G47="","",Estudio_Mercado_VF!G47)</f>
        <v>80</v>
      </c>
      <c r="F46" s="515">
        <f>IF(Estudio_Mercado_VF!AA47="","",Estudio_Mercado_VF!AA47)</f>
        <v>3887.3333333333335</v>
      </c>
      <c r="G46" s="515">
        <f>IF(Estudio_Mercado_VF!AA47="","",Estudio_Mercado_VF!AB47)</f>
        <v>310986.66666666669</v>
      </c>
      <c r="H46" s="522"/>
      <c r="I46" s="523"/>
      <c r="J46" s="92"/>
      <c r="K46" s="93" t="str">
        <f t="shared" si="3"/>
        <v>Valor vacío</v>
      </c>
      <c r="L46" s="533">
        <f t="shared" si="4"/>
        <v>3887.3333333333335</v>
      </c>
      <c r="M46" s="533" t="str">
        <f t="shared" si="5"/>
        <v/>
      </c>
      <c r="N46" s="533">
        <f t="shared" si="6"/>
        <v>310986.66666666669</v>
      </c>
    </row>
    <row r="47" spans="1:53" ht="28.9">
      <c r="A47" s="87" t="s">
        <v>1153</v>
      </c>
      <c r="B47" s="90">
        <v>37</v>
      </c>
      <c r="C47" s="90" t="str">
        <f>IF(Estudio_Mercado_VF!D48="","",Estudio_Mercado_VF!D48)</f>
        <v>Mesas cuadradas</v>
      </c>
      <c r="D47" s="91" t="str">
        <f>IF(Estudio_Mercado_VF!E48="","",Estudio_Mercado_VF!E48)</f>
        <v>Alquiler de Mesas plásticas blancas, cuadrada de 75 cms de largo X 75 cms de ancho X 70,5 cms de alto Incluye transporte, instalación y entrega en el lugar requerido.</v>
      </c>
      <c r="E47" s="89">
        <f>IF(Estudio_Mercado_VF!G48="","",Estudio_Mercado_VF!G48)</f>
        <v>40</v>
      </c>
      <c r="F47" s="515">
        <f>IF(Estudio_Mercado_VF!AA48="","",Estudio_Mercado_VF!AA48)</f>
        <v>11423.16</v>
      </c>
      <c r="G47" s="515">
        <f>IF(Estudio_Mercado_VF!AA48="","",Estudio_Mercado_VF!AB48)</f>
        <v>456926.4</v>
      </c>
      <c r="H47" s="522"/>
      <c r="I47" s="523"/>
      <c r="J47" s="92"/>
      <c r="K47" s="93" t="str">
        <f t="shared" si="3"/>
        <v>Valor vacío</v>
      </c>
      <c r="L47" s="533">
        <f t="shared" si="4"/>
        <v>11423.16</v>
      </c>
      <c r="M47" s="533" t="str">
        <f t="shared" si="5"/>
        <v/>
      </c>
      <c r="N47" s="533">
        <f t="shared" si="6"/>
        <v>456926.4</v>
      </c>
    </row>
    <row r="48" spans="1:53" ht="144">
      <c r="A48" s="87" t="s">
        <v>1153</v>
      </c>
      <c r="B48" s="90">
        <v>38</v>
      </c>
      <c r="C48" s="90" t="str">
        <f>IF(Estudio_Mercado_VF!D49="","",Estudio_Mercado_VF!D49)</f>
        <v>Auditorio para 50 personas media jornada</v>
      </c>
      <c r="D48" s="91" t="str">
        <f>IF(Estudio_Mercado_VF!E49="","",Estudio_Mercado_VF!E49)</f>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
      <c r="E48" s="89">
        <f>IF(Estudio_Mercado_VF!G49="","",Estudio_Mercado_VF!G49)</f>
        <v>12</v>
      </c>
      <c r="F48" s="515">
        <f>IF(Estudio_Mercado_VF!AA49="","",Estudio_Mercado_VF!AA49)</f>
        <v>3655500.0006000004</v>
      </c>
      <c r="G48" s="515">
        <f>IF(Estudio_Mercado_VF!AA49="","",Estudio_Mercado_VF!AB49)</f>
        <v>43866000.007200003</v>
      </c>
      <c r="H48" s="522"/>
      <c r="I48" s="523"/>
      <c r="J48" s="92"/>
      <c r="K48" s="93" t="str">
        <f t="shared" si="3"/>
        <v>Valor vacío</v>
      </c>
      <c r="L48" s="533">
        <f t="shared" si="4"/>
        <v>3655500.0006000004</v>
      </c>
      <c r="M48" s="533" t="str">
        <f t="shared" si="5"/>
        <v/>
      </c>
      <c r="N48" s="533">
        <f t="shared" si="6"/>
        <v>43866000.007200003</v>
      </c>
    </row>
    <row r="49" spans="1:14" ht="28.9">
      <c r="A49" s="87" t="s">
        <v>1153</v>
      </c>
      <c r="B49" s="90">
        <v>39</v>
      </c>
      <c r="C49" s="90" t="str">
        <f>IF(Estudio_Mercado_VF!D50="","",Estudio_Mercado_VF!D50)</f>
        <v>Moldes</v>
      </c>
      <c r="D49" s="91" t="str">
        <f>IF(Estudio_Mercado_VF!E50="","",Estudio_Mercado_VF!E50)</f>
        <v>Moldes reutilizables como medias esferas de poliestireno expandido de 30 cm para utilizar para dar forma a la lámpara</v>
      </c>
      <c r="E49" s="89">
        <f>IF(Estudio_Mercado_VF!G50="","",Estudio_Mercado_VF!G50)</f>
        <v>27</v>
      </c>
      <c r="F49" s="515">
        <f>IF(Estudio_Mercado_VF!AA50="","",Estudio_Mercado_VF!AA50)</f>
        <v>20406.666666666668</v>
      </c>
      <c r="G49" s="515">
        <f>IF(Estudio_Mercado_VF!AA50="","",Estudio_Mercado_VF!AB50)</f>
        <v>550980</v>
      </c>
      <c r="H49" s="522"/>
      <c r="I49" s="523"/>
      <c r="J49" s="92"/>
      <c r="K49" s="93" t="str">
        <f t="shared" si="3"/>
        <v>Valor vacío</v>
      </c>
      <c r="L49" s="533">
        <f t="shared" si="4"/>
        <v>20406.666666666668</v>
      </c>
      <c r="M49" s="533" t="str">
        <f t="shared" si="5"/>
        <v/>
      </c>
      <c r="N49" s="533">
        <f t="shared" si="6"/>
        <v>550980</v>
      </c>
    </row>
    <row r="50" spans="1:14">
      <c r="A50" s="87" t="s">
        <v>1153</v>
      </c>
      <c r="B50" s="90">
        <v>40</v>
      </c>
      <c r="C50" s="90" t="str">
        <f>IF(Estudio_Mercado_VF!D51="","",Estudio_Mercado_VF!D51)</f>
        <v>Desmoldante</v>
      </c>
      <c r="D50" s="91" t="str">
        <f>IF(Estudio_Mercado_VF!E51="","",Estudio_Mercado_VF!E51)</f>
        <v xml:space="preserve">Aceite vegetal que funciona como desmoldante de 50 ml </v>
      </c>
      <c r="E50" s="89">
        <f>IF(Estudio_Mercado_VF!G51="","",Estudio_Mercado_VF!G51)</f>
        <v>1</v>
      </c>
      <c r="F50" s="515">
        <f>IF(Estudio_Mercado_VF!AA51="","",Estudio_Mercado_VF!AA51)</f>
        <v>23287.666666666668</v>
      </c>
      <c r="G50" s="515">
        <f>IF(Estudio_Mercado_VF!AA51="","",Estudio_Mercado_VF!AB51)</f>
        <v>23287.666666666668</v>
      </c>
      <c r="H50" s="522"/>
      <c r="I50" s="523"/>
      <c r="J50" s="92"/>
      <c r="K50" s="93" t="str">
        <f t="shared" si="3"/>
        <v>Valor vacío</v>
      </c>
      <c r="L50" s="533">
        <f t="shared" si="4"/>
        <v>23287.666666666668</v>
      </c>
      <c r="M50" s="533" t="str">
        <f t="shared" si="5"/>
        <v/>
      </c>
      <c r="N50" s="533">
        <f t="shared" si="6"/>
        <v>23287.666666666668</v>
      </c>
    </row>
    <row r="51" spans="1:14" ht="43.15">
      <c r="A51" s="87" t="s">
        <v>1153</v>
      </c>
      <c r="B51" s="90">
        <v>41</v>
      </c>
      <c r="C51" s="90" t="str">
        <f>IF(Estudio_Mercado_VF!D52="","",Estudio_Mercado_VF!D52)</f>
        <v>Colorantes</v>
      </c>
      <c r="D51" s="91" t="str">
        <f>IF(Estudio_Mercado_VF!E52="","",Estudio_Mercado_VF!E52)</f>
        <v xml:space="preserve">Colorantes naturales o ecológicos hidrosolubles seguros para aplicación en jabones, shampoo, acondicionadores, cremas, en general para productos de cuidado personal en tarro de 15 ml </v>
      </c>
      <c r="E51" s="89">
        <f>IF(Estudio_Mercado_VF!G52="","",Estudio_Mercado_VF!G52)</f>
        <v>6</v>
      </c>
      <c r="F51" s="515">
        <f>IF(Estudio_Mercado_VF!AA52="","",Estudio_Mercado_VF!AA52)</f>
        <v>20666.666666666661</v>
      </c>
      <c r="G51" s="515">
        <f>IF(Estudio_Mercado_VF!AA52="","",Estudio_Mercado_VF!AB52)</f>
        <v>123999.99999999997</v>
      </c>
      <c r="H51" s="522"/>
      <c r="I51" s="523"/>
      <c r="J51" s="92"/>
      <c r="K51" s="93" t="str">
        <f t="shared" si="3"/>
        <v>Valor vacío</v>
      </c>
      <c r="L51" s="533">
        <f t="shared" si="4"/>
        <v>20666.666666666661</v>
      </c>
      <c r="M51" s="533" t="str">
        <f t="shared" si="5"/>
        <v/>
      </c>
      <c r="N51" s="533">
        <f t="shared" si="6"/>
        <v>123999.99999999997</v>
      </c>
    </row>
    <row r="52" spans="1:14">
      <c r="A52" s="87" t="s">
        <v>1153</v>
      </c>
      <c r="B52" s="90">
        <v>42</v>
      </c>
      <c r="C52" s="90" t="str">
        <f>IF(Estudio_Mercado_VF!D53="","",Estudio_Mercado_VF!D53)</f>
        <v>Agua destilada</v>
      </c>
      <c r="D52" s="91" t="str">
        <f>IF(Estudio_Mercado_VF!E53="","",Estudio_Mercado_VF!E53)</f>
        <v>Agua destilada en envase de 1 litro</v>
      </c>
      <c r="E52" s="89">
        <f>IF(Estudio_Mercado_VF!G53="","",Estudio_Mercado_VF!G53)</f>
        <v>60</v>
      </c>
      <c r="F52" s="515">
        <f>IF(Estudio_Mercado_VF!AA53="","",Estudio_Mercado_VF!AA53)</f>
        <v>12300</v>
      </c>
      <c r="G52" s="515">
        <f>IF(Estudio_Mercado_VF!AA53="","",Estudio_Mercado_VF!AB53)</f>
        <v>738000</v>
      </c>
      <c r="H52" s="522"/>
      <c r="I52" s="523"/>
      <c r="J52" s="92"/>
      <c r="K52" s="93" t="str">
        <f t="shared" si="3"/>
        <v>Valor vacío</v>
      </c>
      <c r="L52" s="533">
        <f t="shared" si="4"/>
        <v>12300</v>
      </c>
      <c r="M52" s="533" t="str">
        <f t="shared" si="5"/>
        <v/>
      </c>
      <c r="N52" s="533">
        <f t="shared" si="6"/>
        <v>738000</v>
      </c>
    </row>
    <row r="53" spans="1:14">
      <c r="A53" s="87" t="s">
        <v>1153</v>
      </c>
      <c r="B53" s="90">
        <v>43</v>
      </c>
      <c r="C53" s="90" t="str">
        <f>IF(Estudio_Mercado_VF!D54="","",Estudio_Mercado_VF!D54)</f>
        <v>Jabón biodegradable</v>
      </c>
      <c r="D53" s="91" t="str">
        <f>IF(Estudio_Mercado_VF!E54="","",Estudio_Mercado_VF!E54)</f>
        <v>Jabón biodegradable en envase de 1 galón</v>
      </c>
      <c r="E53" s="89">
        <f>IF(Estudio_Mercado_VF!G54="","",Estudio_Mercado_VF!G54)</f>
        <v>2</v>
      </c>
      <c r="F53" s="515">
        <f>IF(Estudio_Mercado_VF!AA54="","",Estudio_Mercado_VF!AA54)</f>
        <v>29833.331733333336</v>
      </c>
      <c r="G53" s="515">
        <f>IF(Estudio_Mercado_VF!AA54="","",Estudio_Mercado_VF!AB54)</f>
        <v>59666.663466666672</v>
      </c>
      <c r="H53" s="522"/>
      <c r="I53" s="523"/>
      <c r="J53" s="92"/>
      <c r="K53" s="93" t="str">
        <f t="shared" si="3"/>
        <v>Valor vacío</v>
      </c>
      <c r="L53" s="533">
        <f t="shared" si="4"/>
        <v>29833.331733333336</v>
      </c>
      <c r="M53" s="533" t="str">
        <f t="shared" si="5"/>
        <v/>
      </c>
      <c r="N53" s="533">
        <f t="shared" si="6"/>
        <v>59666.663466666672</v>
      </c>
    </row>
    <row r="54" spans="1:14">
      <c r="A54" s="87" t="s">
        <v>1153</v>
      </c>
      <c r="B54" s="90">
        <v>44</v>
      </c>
      <c r="C54" s="90" t="str">
        <f>IF(Estudio_Mercado_VF!D55="","",Estudio_Mercado_VF!D55)</f>
        <v>Vinagre blanco</v>
      </c>
      <c r="D54" s="91" t="str">
        <f>IF(Estudio_Mercado_VF!E55="","",Estudio_Mercado_VF!E55)</f>
        <v>Vinagre blanco en botella por 500 ml</v>
      </c>
      <c r="E54" s="89">
        <f>IF(Estudio_Mercado_VF!G55="","",Estudio_Mercado_VF!G55)</f>
        <v>15</v>
      </c>
      <c r="F54" s="515">
        <f>IF(Estudio_Mercado_VF!AA55="","",Estudio_Mercado_VF!AA55)</f>
        <v>6262.3666666666659</v>
      </c>
      <c r="G54" s="515">
        <f>IF(Estudio_Mercado_VF!AA55="","",Estudio_Mercado_VF!AB55)</f>
        <v>93935.499999999985</v>
      </c>
      <c r="H54" s="522"/>
      <c r="I54" s="523"/>
      <c r="J54" s="92"/>
      <c r="K54" s="93" t="str">
        <f t="shared" si="3"/>
        <v>Valor vacío</v>
      </c>
      <c r="L54" s="533">
        <f t="shared" si="4"/>
        <v>6262.3666666666659</v>
      </c>
      <c r="M54" s="533" t="str">
        <f t="shared" si="5"/>
        <v/>
      </c>
      <c r="N54" s="533">
        <f t="shared" si="6"/>
        <v>93935.499999999985</v>
      </c>
    </row>
    <row r="55" spans="1:14">
      <c r="A55" s="87" t="s">
        <v>1153</v>
      </c>
      <c r="B55" s="90">
        <v>45</v>
      </c>
      <c r="C55" s="90" t="str">
        <f>IF(Estudio_Mercado_VF!D56="","",Estudio_Mercado_VF!D56)</f>
        <v>Aceite esencial en botella por 20 ml</v>
      </c>
      <c r="D55" s="91" t="str">
        <f>IF(Estudio_Mercado_VF!E56="","",Estudio_Mercado_VF!E56)</f>
        <v>Aceite esencial en botella por 20 ml</v>
      </c>
      <c r="E55" s="89">
        <f>IF(Estudio_Mercado_VF!G56="","",Estudio_Mercado_VF!G56)</f>
        <v>81</v>
      </c>
      <c r="F55" s="515">
        <f>IF(Estudio_Mercado_VF!AA56="","",Estudio_Mercado_VF!AA56)</f>
        <v>17583.333333333332</v>
      </c>
      <c r="G55" s="515">
        <f>IF(Estudio_Mercado_VF!AA56="","",Estudio_Mercado_VF!AB56)</f>
        <v>1424250</v>
      </c>
      <c r="H55" s="522"/>
      <c r="I55" s="523"/>
      <c r="J55" s="92"/>
      <c r="K55" s="93" t="str">
        <f t="shared" si="3"/>
        <v>Valor vacío</v>
      </c>
      <c r="L55" s="533">
        <f t="shared" si="4"/>
        <v>17583.333333333332</v>
      </c>
      <c r="M55" s="533" t="str">
        <f t="shared" si="5"/>
        <v/>
      </c>
      <c r="N55" s="533">
        <f t="shared" si="6"/>
        <v>1424250</v>
      </c>
    </row>
    <row r="56" spans="1:14">
      <c r="A56" s="87" t="s">
        <v>1153</v>
      </c>
      <c r="B56" s="90">
        <v>46</v>
      </c>
      <c r="C56" s="90" t="str">
        <f>IF(Estudio_Mercado_VF!D57="","",Estudio_Mercado_VF!D57)</f>
        <v>Alcohol</v>
      </c>
      <c r="D56" s="91" t="str">
        <f>IF(Estudio_Mercado_VF!E57="","",Estudio_Mercado_VF!E57)</f>
        <v>Alcohol común en envase de 700 ml</v>
      </c>
      <c r="E56" s="89">
        <f>IF(Estudio_Mercado_VF!G57="","",Estudio_Mercado_VF!G57)</f>
        <v>3</v>
      </c>
      <c r="F56" s="515">
        <f>IF(Estudio_Mercado_VF!AA57="","",Estudio_Mercado_VF!AA57)</f>
        <v>16617.666666666668</v>
      </c>
      <c r="G56" s="515">
        <f>IF(Estudio_Mercado_VF!AA57="","",Estudio_Mercado_VF!AB57)</f>
        <v>49853</v>
      </c>
      <c r="H56" s="522"/>
      <c r="I56" s="523"/>
      <c r="J56" s="92"/>
      <c r="K56" s="93" t="str">
        <f t="shared" si="3"/>
        <v>Valor vacío</v>
      </c>
      <c r="L56" s="533">
        <f t="shared" si="4"/>
        <v>16617.666666666668</v>
      </c>
      <c r="M56" s="533" t="str">
        <f t="shared" si="5"/>
        <v/>
      </c>
      <c r="N56" s="533">
        <f t="shared" si="6"/>
        <v>49853</v>
      </c>
    </row>
    <row r="57" spans="1:14">
      <c r="A57" s="87" t="s">
        <v>1153</v>
      </c>
      <c r="B57" s="90">
        <v>47</v>
      </c>
      <c r="C57" s="90" t="str">
        <f>IF(Estudio_Mercado_VF!D58="","",Estudio_Mercado_VF!D58)</f>
        <v>Botellas reciclables</v>
      </c>
      <c r="D57" s="91" t="str">
        <f>IF(Estudio_Mercado_VF!E58="","",Estudio_Mercado_VF!E58)</f>
        <v>Botellas reciclables con capacidad para 250 ml de líquido</v>
      </c>
      <c r="E57" s="89">
        <f>IF(Estudio_Mercado_VF!G58="","",Estudio_Mercado_VF!G58)</f>
        <v>150</v>
      </c>
      <c r="F57" s="515">
        <f>IF(Estudio_Mercado_VF!AA58="","",Estudio_Mercado_VF!AA58)</f>
        <v>513.56666666666672</v>
      </c>
      <c r="G57" s="515">
        <f>IF(Estudio_Mercado_VF!AA58="","",Estudio_Mercado_VF!AB58)</f>
        <v>77035.000000000015</v>
      </c>
      <c r="H57" s="522"/>
      <c r="I57" s="523"/>
      <c r="J57" s="92"/>
      <c r="K57" s="93" t="str">
        <f t="shared" si="3"/>
        <v>Valor vacío</v>
      </c>
      <c r="L57" s="533">
        <f t="shared" si="4"/>
        <v>513.56666666666672</v>
      </c>
      <c r="M57" s="533" t="str">
        <f t="shared" si="5"/>
        <v/>
      </c>
      <c r="N57" s="533">
        <f t="shared" si="6"/>
        <v>77035.000000000015</v>
      </c>
    </row>
    <row r="58" spans="1:14">
      <c r="A58" s="87" t="s">
        <v>1153</v>
      </c>
      <c r="B58" s="90">
        <v>48</v>
      </c>
      <c r="C58" s="90" t="str">
        <f>IF(Estudio_Mercado_VF!D59="","",Estudio_Mercado_VF!D59)</f>
        <v>Tapas para botella</v>
      </c>
      <c r="D58" s="91" t="str">
        <f>IF(Estudio_Mercado_VF!E59="","",Estudio_Mercado_VF!E59)</f>
        <v xml:space="preserve">Tapas para botellas de 250 ml de líquido </v>
      </c>
      <c r="E58" s="89">
        <f>IF(Estudio_Mercado_VF!G59="","",Estudio_Mercado_VF!G59)</f>
        <v>150</v>
      </c>
      <c r="F58" s="515">
        <f>IF(Estudio_Mercado_VF!AA59="","",Estudio_Mercado_VF!AA59)</f>
        <v>95.29</v>
      </c>
      <c r="G58" s="515">
        <f>IF(Estudio_Mercado_VF!AA59="","",Estudio_Mercado_VF!AB59)</f>
        <v>14293.500000000002</v>
      </c>
      <c r="H58" s="522"/>
      <c r="I58" s="523"/>
      <c r="J58" s="92"/>
      <c r="K58" s="93" t="str">
        <f t="shared" si="3"/>
        <v>Valor vacío</v>
      </c>
      <c r="L58" s="533">
        <f t="shared" si="4"/>
        <v>95.29</v>
      </c>
      <c r="M58" s="533" t="str">
        <f t="shared" si="5"/>
        <v/>
      </c>
      <c r="N58" s="533">
        <f t="shared" si="6"/>
        <v>14293.500000000002</v>
      </c>
    </row>
    <row r="59" spans="1:14">
      <c r="A59" s="87" t="s">
        <v>1153</v>
      </c>
      <c r="B59" s="90">
        <v>49</v>
      </c>
      <c r="C59" s="90" t="str">
        <f>IF(Estudio_Mercado_VF!D60="","",Estudio_Mercado_VF!D60)</f>
        <v>Glicerina vegetal</v>
      </c>
      <c r="D59" s="91" t="str">
        <f>IF(Estudio_Mercado_VF!E60="","",Estudio_Mercado_VF!E60)</f>
        <v xml:space="preserve">Glicerina vegetal en botella de 250 gr </v>
      </c>
      <c r="E59" s="89">
        <f>IF(Estudio_Mercado_VF!G60="","",Estudio_Mercado_VF!G60)</f>
        <v>5</v>
      </c>
      <c r="F59" s="515">
        <f>IF(Estudio_Mercado_VF!AA60="","",Estudio_Mercado_VF!AA60)</f>
        <v>4800</v>
      </c>
      <c r="G59" s="515">
        <f>IF(Estudio_Mercado_VF!AA60="","",Estudio_Mercado_VF!AB60)</f>
        <v>24000</v>
      </c>
      <c r="H59" s="522"/>
      <c r="I59" s="523"/>
      <c r="J59" s="92"/>
      <c r="K59" s="93" t="str">
        <f t="shared" si="3"/>
        <v>Valor vacío</v>
      </c>
      <c r="L59" s="533">
        <f t="shared" si="4"/>
        <v>4800</v>
      </c>
      <c r="M59" s="533" t="str">
        <f t="shared" si="5"/>
        <v/>
      </c>
      <c r="N59" s="533">
        <f t="shared" si="6"/>
        <v>24000</v>
      </c>
    </row>
    <row r="60" spans="1:14" ht="28.9">
      <c r="A60" s="87" t="s">
        <v>1153</v>
      </c>
      <c r="B60" s="90">
        <v>50</v>
      </c>
      <c r="C60" s="90" t="str">
        <f>IF(Estudio_Mercado_VF!D61="","",Estudio_Mercado_VF!D61)</f>
        <v>Alquiler trituradora de escombros</v>
      </c>
      <c r="D60" s="91" t="str">
        <f>IF(Estudio_Mercado_VF!E61="","",Estudio_Mercado_VF!E61)</f>
        <v>Alquiler de trituradora de escombros manual o mecánica para el aprovechamiento de la materia prima</v>
      </c>
      <c r="E60" s="89">
        <f>IF(Estudio_Mercado_VF!G61="","",Estudio_Mercado_VF!G61)</f>
        <v>1</v>
      </c>
      <c r="F60" s="515">
        <f>IF(Estudio_Mercado_VF!AA61="","",Estudio_Mercado_VF!AA61)</f>
        <v>226100</v>
      </c>
      <c r="G60" s="515">
        <f>IF(Estudio_Mercado_VF!AA61="","",Estudio_Mercado_VF!AB61)</f>
        <v>226100</v>
      </c>
      <c r="H60" s="522"/>
      <c r="I60" s="523"/>
      <c r="J60" s="92"/>
      <c r="K60" s="93" t="str">
        <f t="shared" si="3"/>
        <v>Valor vacío</v>
      </c>
      <c r="L60" s="533">
        <f t="shared" si="4"/>
        <v>226100</v>
      </c>
      <c r="M60" s="533" t="str">
        <f t="shared" si="5"/>
        <v/>
      </c>
      <c r="N60" s="533">
        <f t="shared" si="6"/>
        <v>226100</v>
      </c>
    </row>
    <row r="61" spans="1:14">
      <c r="A61" s="87" t="s">
        <v>1153</v>
      </c>
      <c r="B61" s="90">
        <v>51</v>
      </c>
      <c r="C61" s="90" t="str">
        <f>IF(Estudio_Mercado_VF!D62="","",Estudio_Mercado_VF!D62)</f>
        <v>Alquiler tamiz</v>
      </c>
      <c r="D61" s="91" t="str">
        <f>IF(Estudio_Mercado_VF!E62="","",Estudio_Mercado_VF!E62)</f>
        <v>Alquiler de tamiz para obtener granulometría decorativa de 1-3 cms</v>
      </c>
      <c r="E61" s="89">
        <f>IF(Estudio_Mercado_VF!G62="","",Estudio_Mercado_VF!G62)</f>
        <v>1</v>
      </c>
      <c r="F61" s="515">
        <f>IF(Estudio_Mercado_VF!AA62="","",Estudio_Mercado_VF!AA62)</f>
        <v>297500</v>
      </c>
      <c r="G61" s="515">
        <f>IF(Estudio_Mercado_VF!AA62="","",Estudio_Mercado_VF!AB62)</f>
        <v>297500</v>
      </c>
      <c r="H61" s="522"/>
      <c r="I61" s="523"/>
      <c r="J61" s="92"/>
      <c r="K61" s="93" t="str">
        <f t="shared" si="3"/>
        <v>Valor vacío</v>
      </c>
      <c r="L61" s="533">
        <f t="shared" si="4"/>
        <v>297500</v>
      </c>
      <c r="M61" s="533" t="str">
        <f t="shared" si="5"/>
        <v/>
      </c>
      <c r="N61" s="533">
        <f t="shared" si="6"/>
        <v>297500</v>
      </c>
    </row>
    <row r="62" spans="1:14">
      <c r="A62" s="87" t="s">
        <v>1153</v>
      </c>
      <c r="B62" s="90">
        <v>52</v>
      </c>
      <c r="C62" s="90" t="str">
        <f>IF(Estudio_Mercado_VF!D63="","",Estudio_Mercado_VF!D63)</f>
        <v>Sacos para empaque</v>
      </c>
      <c r="D62" s="91" t="str">
        <f>IF(Estudio_Mercado_VF!E63="","",Estudio_Mercado_VF!E63)</f>
        <v>Sacos para empaque de gravilla decorativa con dimensiones de 42 cm x 80 cm</v>
      </c>
      <c r="E62" s="89">
        <f>IF(Estudio_Mercado_VF!G63="","",Estudio_Mercado_VF!G63)</f>
        <v>40</v>
      </c>
      <c r="F62" s="515">
        <f>IF(Estudio_Mercado_VF!AA63="","",Estudio_Mercado_VF!AA63)</f>
        <v>1533.3333333333333</v>
      </c>
      <c r="G62" s="515">
        <f>IF(Estudio_Mercado_VF!AA63="","",Estudio_Mercado_VF!AB63)</f>
        <v>61333.333333333328</v>
      </c>
      <c r="H62" s="522"/>
      <c r="I62" s="523"/>
      <c r="J62" s="92"/>
      <c r="K62" s="93" t="str">
        <f t="shared" si="3"/>
        <v>Valor vacío</v>
      </c>
      <c r="L62" s="533">
        <f t="shared" si="4"/>
        <v>1533.3333333333333</v>
      </c>
      <c r="M62" s="533" t="str">
        <f t="shared" si="5"/>
        <v/>
      </c>
      <c r="N62" s="533">
        <f t="shared" si="6"/>
        <v>61333.333333333328</v>
      </c>
    </row>
    <row r="63" spans="1:14" ht="28.9">
      <c r="A63" s="87" t="s">
        <v>1153</v>
      </c>
      <c r="B63" s="90">
        <v>53</v>
      </c>
      <c r="C63" s="90" t="str">
        <f>IF(Estudio_Mercado_VF!D64="","",Estudio_Mercado_VF!D64)</f>
        <v xml:space="preserve">Guantes </v>
      </c>
      <c r="D63" s="91" t="str">
        <f>IF(Estudio_Mercado_VF!E64="","",Estudio_Mercado_VF!E64)</f>
        <v>Guantes de protección para labores agrícolas, en materiales resistentes (látex, nitrilo o tela recubierta). Tallas M y L, antideslizantes, reutilizables.</v>
      </c>
      <c r="E63" s="89">
        <f>IF(Estudio_Mercado_VF!G64="","",Estudio_Mercado_VF!G64)</f>
        <v>450</v>
      </c>
      <c r="F63" s="515">
        <f>IF(Estudio_Mercado_VF!AA64="","",Estudio_Mercado_VF!AA64)</f>
        <v>19936.466666666667</v>
      </c>
      <c r="G63" s="515">
        <f>IF(Estudio_Mercado_VF!AA64="","",Estudio_Mercado_VF!AB64)</f>
        <v>8971410</v>
      </c>
      <c r="H63" s="522"/>
      <c r="I63" s="523"/>
      <c r="J63" s="92"/>
      <c r="K63" s="93" t="str">
        <f t="shared" si="3"/>
        <v>Valor vacío</v>
      </c>
      <c r="L63" s="533">
        <f t="shared" si="4"/>
        <v>19936.466666666667</v>
      </c>
      <c r="M63" s="533" t="str">
        <f t="shared" si="5"/>
        <v/>
      </c>
      <c r="N63" s="533">
        <f t="shared" si="6"/>
        <v>8971410</v>
      </c>
    </row>
    <row r="64" spans="1:14" ht="43.15">
      <c r="A64" s="87" t="s">
        <v>1153</v>
      </c>
      <c r="B64" s="90">
        <v>54</v>
      </c>
      <c r="C64" s="90" t="str">
        <f>IF(Estudio_Mercado_VF!D65="","",Estudio_Mercado_VF!D65)</f>
        <v>Tapabocas</v>
      </c>
      <c r="D64" s="91" t="str">
        <f>IF(Estudio_Mercado_VF!E65="","",Estudio_Mercado_VF!E65)</f>
        <v>Caja de tapaboca desechable de protección facial. Elaborado en tela quirúgica de 50gr. y espuma blanca. Ajuste mediante bandas elásticas de cuatro hilos, con ajuste nasal laminado. Caja por 50 unidades.</v>
      </c>
      <c r="E64" s="89">
        <f>IF(Estudio_Mercado_VF!G65="","",Estudio_Mercado_VF!G65)</f>
        <v>6</v>
      </c>
      <c r="F64" s="515">
        <f>IF(Estudio_Mercado_VF!AA65="","",Estudio_Mercado_VF!AA65)</f>
        <v>12700</v>
      </c>
      <c r="G64" s="515">
        <f>IF(Estudio_Mercado_VF!AA65="","",Estudio_Mercado_VF!AB65)</f>
        <v>76200</v>
      </c>
      <c r="H64" s="522"/>
      <c r="I64" s="523"/>
      <c r="J64" s="92"/>
      <c r="K64" s="93" t="str">
        <f t="shared" si="3"/>
        <v>Valor vacío</v>
      </c>
      <c r="L64" s="533">
        <f t="shared" si="4"/>
        <v>12700</v>
      </c>
      <c r="M64" s="533" t="str">
        <f t="shared" si="5"/>
        <v/>
      </c>
      <c r="N64" s="533">
        <f t="shared" si="6"/>
        <v>76200</v>
      </c>
    </row>
    <row r="65" spans="1:14" ht="115.15">
      <c r="A65" s="87" t="s">
        <v>1153</v>
      </c>
      <c r="B65" s="90">
        <v>55</v>
      </c>
      <c r="C65" s="90" t="str">
        <f>IF(Estudio_Mercado_VF!D66="","",Estudio_Mercado_VF!D66)</f>
        <v>Gafas de protección</v>
      </c>
      <c r="D65" s="91" t="str">
        <f>IF(Estudio_Mercado_VF!E66="","",Estudio_Mercado_VF!E66)</f>
        <v xml:space="preserve">Gafas de protección Ancho : 4.5 cm Largo : 15.2 cm
•Alto : 5 cm
Características : • Lentes de policarbonato que al romperse no producen astillas ni esquirlas, por lo que son seguros contra el impacto. • Cuentan con un recubrimiento anti-rayadura que también protege contra la abrasión. • Diseño envolvente que provee protección extendida y una visión sin obstrucciones.
</v>
      </c>
      <c r="E65" s="89">
        <f>IF(Estudio_Mercado_VF!G66="","",Estudio_Mercado_VF!G66)</f>
        <v>150</v>
      </c>
      <c r="F65" s="515">
        <f>IF(Estudio_Mercado_VF!AA66="","",Estudio_Mercado_VF!AA66)</f>
        <v>40780</v>
      </c>
      <c r="G65" s="515">
        <f>IF(Estudio_Mercado_VF!AA66="","",Estudio_Mercado_VF!AB66)</f>
        <v>6117000</v>
      </c>
      <c r="H65" s="522"/>
      <c r="I65" s="523"/>
      <c r="J65" s="92"/>
      <c r="K65" s="93" t="str">
        <f t="shared" si="3"/>
        <v>Valor vacío</v>
      </c>
      <c r="L65" s="533">
        <f t="shared" si="4"/>
        <v>40780</v>
      </c>
      <c r="M65" s="533" t="str">
        <f t="shared" si="5"/>
        <v/>
      </c>
      <c r="N65" s="533">
        <f t="shared" si="6"/>
        <v>6117000</v>
      </c>
    </row>
    <row r="66" spans="1:14">
      <c r="A66" s="87" t="s">
        <v>1153</v>
      </c>
      <c r="B66" s="90">
        <v>56</v>
      </c>
      <c r="C66" s="90" t="str">
        <f>IF(Estudio_Mercado_VF!D67="","",Estudio_Mercado_VF!D67)</f>
        <v>Cemento</v>
      </c>
      <c r="D66" s="91" t="str">
        <f>IF(Estudio_Mercado_VF!E67="","",Estudio_Mercado_VF!E67)</f>
        <v>Cemento gris en presentación de 50 Kg</v>
      </c>
      <c r="E66" s="89">
        <f>IF(Estudio_Mercado_VF!G67="","",Estudio_Mercado_VF!G67)</f>
        <v>8</v>
      </c>
      <c r="F66" s="515">
        <f>IF(Estudio_Mercado_VF!AA67="","",Estudio_Mercado_VF!AA67)</f>
        <v>40817</v>
      </c>
      <c r="G66" s="515">
        <f>IF(Estudio_Mercado_VF!AA67="","",Estudio_Mercado_VF!AB67)</f>
        <v>326536</v>
      </c>
      <c r="H66" s="522"/>
      <c r="I66" s="523"/>
      <c r="J66" s="92"/>
      <c r="K66" s="93" t="str">
        <f t="shared" si="3"/>
        <v>Valor vacío</v>
      </c>
      <c r="L66" s="533">
        <f t="shared" si="4"/>
        <v>40817</v>
      </c>
      <c r="M66" s="533" t="str">
        <f t="shared" si="5"/>
        <v/>
      </c>
      <c r="N66" s="533">
        <f t="shared" si="6"/>
        <v>326536</v>
      </c>
    </row>
    <row r="67" spans="1:14">
      <c r="A67" s="87" t="s">
        <v>1153</v>
      </c>
      <c r="B67" s="90">
        <v>57</v>
      </c>
      <c r="C67" s="90" t="str">
        <f>IF(Estudio_Mercado_VF!D68="","",Estudio_Mercado_VF!D68)</f>
        <v>Almidón</v>
      </c>
      <c r="D67" s="91" t="str">
        <f>IF(Estudio_Mercado_VF!E68="","",Estudio_Mercado_VF!E68)</f>
        <v>Almidón artesanal de maíz, yuca o papa</v>
      </c>
      <c r="E67" s="89">
        <f>IF(Estudio_Mercado_VF!G68="","",Estudio_Mercado_VF!G68)</f>
        <v>8</v>
      </c>
      <c r="F67" s="515">
        <f>IF(Estudio_Mercado_VF!AA68="","",Estudio_Mercado_VF!AA68)</f>
        <v>8706.6666666666661</v>
      </c>
      <c r="G67" s="515">
        <f>IF(Estudio_Mercado_VF!AA68="","",Estudio_Mercado_VF!AB68)</f>
        <v>69653.333333333328</v>
      </c>
      <c r="H67" s="522"/>
      <c r="I67" s="523"/>
      <c r="J67" s="92"/>
      <c r="K67" s="93" t="str">
        <f t="shared" si="3"/>
        <v>Valor vacío</v>
      </c>
      <c r="L67" s="533">
        <f t="shared" si="4"/>
        <v>8706.6666666666661</v>
      </c>
      <c r="M67" s="533" t="str">
        <f t="shared" si="5"/>
        <v/>
      </c>
      <c r="N67" s="533">
        <f t="shared" si="6"/>
        <v>69653.333333333328</v>
      </c>
    </row>
    <row r="68" spans="1:14" ht="43.15">
      <c r="A68" s="87" t="s">
        <v>1153</v>
      </c>
      <c r="B68" s="90">
        <v>58</v>
      </c>
      <c r="C68" s="90" t="str">
        <f>IF(Estudio_Mercado_VF!D69="","",Estudio_Mercado_VF!D69)</f>
        <v>Fibra natural</v>
      </c>
      <c r="D68" s="91" t="str">
        <f>IF(Estudio_Mercado_VF!E69="","",Estudio_Mercado_VF!E69)</f>
        <v>Fibras naturales que provengan de semillas, tallos, hojas o frutos de distintas plantas como algodón, lino, cáñamo, yute, entre otras… que sirvan como refuerzos para el desarrollo de cartucheras artesanales</v>
      </c>
      <c r="E68" s="89">
        <f>IF(Estudio_Mercado_VF!G69="","",Estudio_Mercado_VF!G69)</f>
        <v>200</v>
      </c>
      <c r="F68" s="515">
        <f>IF(Estudio_Mercado_VF!AA69="","",Estudio_Mercado_VF!AA69)</f>
        <v>10184.666666666666</v>
      </c>
      <c r="G68" s="515">
        <f>IF(Estudio_Mercado_VF!AA69="","",Estudio_Mercado_VF!AB69)</f>
        <v>2036933.3333333333</v>
      </c>
      <c r="H68" s="522"/>
      <c r="I68" s="523"/>
      <c r="J68" s="92"/>
      <c r="K68" s="93" t="str">
        <f t="shared" si="3"/>
        <v>Valor vacío</v>
      </c>
      <c r="L68" s="533">
        <f t="shared" si="4"/>
        <v>10184.666666666666</v>
      </c>
      <c r="M68" s="533" t="str">
        <f t="shared" si="5"/>
        <v/>
      </c>
      <c r="N68" s="533">
        <f t="shared" si="6"/>
        <v>2036933.3333333333</v>
      </c>
    </row>
    <row r="69" spans="1:14">
      <c r="A69" s="87" t="s">
        <v>1153</v>
      </c>
      <c r="B69" s="90">
        <v>59</v>
      </c>
      <c r="C69" s="90" t="str">
        <f>IF(Estudio_Mercado_VF!D70="","",Estudio_Mercado_VF!D70)</f>
        <v>Láminas</v>
      </c>
      <c r="D69" s="91" t="str">
        <f>IF(Estudio_Mercado_VF!E70="","",Estudio_Mercado_VF!E70)</f>
        <v>Láminas antiadherentes en papel reutilizables de 40x50 cm aproximadamente</v>
      </c>
      <c r="E69" s="89">
        <f>IF(Estudio_Mercado_VF!G70="","",Estudio_Mercado_VF!G70)</f>
        <v>10</v>
      </c>
      <c r="F69" s="515">
        <f>IF(Estudio_Mercado_VF!AA70="","",Estudio_Mercado_VF!AA70)</f>
        <v>29023.333333333332</v>
      </c>
      <c r="G69" s="515">
        <f>IF(Estudio_Mercado_VF!AA70="","",Estudio_Mercado_VF!AB70)</f>
        <v>290233.33333333331</v>
      </c>
      <c r="H69" s="522"/>
      <c r="I69" s="523"/>
      <c r="J69" s="92"/>
      <c r="K69" s="93" t="str">
        <f t="shared" si="3"/>
        <v>Valor vacío</v>
      </c>
      <c r="L69" s="533">
        <f t="shared" si="4"/>
        <v>29023.333333333332</v>
      </c>
      <c r="M69" s="533" t="str">
        <f t="shared" si="5"/>
        <v/>
      </c>
      <c r="N69" s="533">
        <f t="shared" si="6"/>
        <v>290233.33333333331</v>
      </c>
    </row>
    <row r="70" spans="1:14">
      <c r="A70" s="87" t="s">
        <v>1153</v>
      </c>
      <c r="B70" s="90">
        <v>60</v>
      </c>
      <c r="C70" s="90" t="str">
        <f>IF(Estudio_Mercado_VF!D71="","",Estudio_Mercado_VF!D71)</f>
        <v>Papel encerado</v>
      </c>
      <c r="D70" s="91" t="str">
        <f>IF(Estudio_Mercado_VF!E71="","",Estudio_Mercado_VF!E71)</f>
        <v>Paquete de papel encerado en hojas de 30x30 cm por 100 unidades</v>
      </c>
      <c r="E70" s="89">
        <f>IF(Estudio_Mercado_VF!G71="","",Estudio_Mercado_VF!G71)</f>
        <v>1</v>
      </c>
      <c r="F70" s="515">
        <f>IF(Estudio_Mercado_VF!AA71="","",Estudio_Mercado_VF!AA71)</f>
        <v>21436.667933333334</v>
      </c>
      <c r="G70" s="515">
        <f>IF(Estudio_Mercado_VF!AA71="","",Estudio_Mercado_VF!AB71)</f>
        <v>21436.667933333334</v>
      </c>
      <c r="H70" s="522"/>
      <c r="I70" s="523"/>
      <c r="J70" s="92"/>
      <c r="K70" s="93" t="str">
        <f t="shared" si="3"/>
        <v>Valor vacío</v>
      </c>
      <c r="L70" s="533">
        <f t="shared" si="4"/>
        <v>21436.667933333334</v>
      </c>
      <c r="M70" s="533" t="str">
        <f t="shared" si="5"/>
        <v/>
      </c>
      <c r="N70" s="533">
        <f t="shared" si="6"/>
        <v>21436.667933333334</v>
      </c>
    </row>
    <row r="71" spans="1:14">
      <c r="A71" s="87" t="s">
        <v>1153</v>
      </c>
      <c r="B71" s="90">
        <v>61</v>
      </c>
      <c r="C71" s="90" t="str">
        <f>IF(Estudio_Mercado_VF!D72="","",Estudio_Mercado_VF!D72)</f>
        <v>Pistola de Calor</v>
      </c>
      <c r="D71" s="91" t="str">
        <f>IF(Estudio_Mercado_VF!E72="","",Estudio_Mercado_VF!E72)</f>
        <v>Pistola de Calor  de 1600o 1800W</v>
      </c>
      <c r="E71" s="89">
        <f>IF(Estudio_Mercado_VF!G72="","",Estudio_Mercado_VF!G72)</f>
        <v>1</v>
      </c>
      <c r="F71" s="515">
        <f>IF(Estudio_Mercado_VF!AA72="","",Estudio_Mercado_VF!AA72)</f>
        <v>96233.332533333334</v>
      </c>
      <c r="G71" s="515">
        <f>IF(Estudio_Mercado_VF!AA72="","",Estudio_Mercado_VF!AB72)</f>
        <v>96233.332533333334</v>
      </c>
      <c r="H71" s="522"/>
      <c r="I71" s="523"/>
      <c r="J71" s="92"/>
      <c r="K71" s="93" t="str">
        <f t="shared" si="3"/>
        <v>Valor vacío</v>
      </c>
      <c r="L71" s="533">
        <f t="shared" si="4"/>
        <v>96233.332533333334</v>
      </c>
      <c r="M71" s="533" t="str">
        <f t="shared" si="5"/>
        <v/>
      </c>
      <c r="N71" s="533">
        <f t="shared" si="6"/>
        <v>96233.332533333334</v>
      </c>
    </row>
    <row r="72" spans="1:14">
      <c r="A72" s="87" t="s">
        <v>1153</v>
      </c>
      <c r="B72" s="90">
        <v>62</v>
      </c>
      <c r="C72" s="90" t="str">
        <f>IF(Estudio_Mercado_VF!D73="","",Estudio_Mercado_VF!D73)</f>
        <v>Almidón</v>
      </c>
      <c r="D72" s="91" t="str">
        <f>IF(Estudio_Mercado_VF!E73="","",Estudio_Mercado_VF!E73)</f>
        <v>Almidón artesanal de maíz, yuca o papa</v>
      </c>
      <c r="E72" s="89">
        <f>IF(Estudio_Mercado_VF!G73="","",Estudio_Mercado_VF!G73)</f>
        <v>2.6</v>
      </c>
      <c r="F72" s="515">
        <f>IF(Estudio_Mercado_VF!AA73="","",Estudio_Mercado_VF!AA73)</f>
        <v>8706.6666666666661</v>
      </c>
      <c r="G72" s="515">
        <f>IF(Estudio_Mercado_VF!AA73="","",Estudio_Mercado_VF!AB73)</f>
        <v>22637.333333333332</v>
      </c>
      <c r="H72" s="522"/>
      <c r="I72" s="523"/>
      <c r="J72" s="92"/>
      <c r="K72" s="93" t="str">
        <f t="shared" si="3"/>
        <v>Valor vacío</v>
      </c>
      <c r="L72" s="533">
        <f t="shared" si="4"/>
        <v>8706.6666666666661</v>
      </c>
      <c r="M72" s="533" t="str">
        <f t="shared" si="5"/>
        <v/>
      </c>
      <c r="N72" s="533">
        <f t="shared" si="6"/>
        <v>22637.333333333332</v>
      </c>
    </row>
    <row r="73" spans="1:14" ht="28.9">
      <c r="A73" s="87" t="s">
        <v>1153</v>
      </c>
      <c r="B73" s="90">
        <v>63</v>
      </c>
      <c r="C73" s="90" t="str">
        <f>IF(Estudio_Mercado_VF!D74="","",Estudio_Mercado_VF!D74)</f>
        <v>Resina PLA</v>
      </c>
      <c r="D73" s="91" t="str">
        <f>IF(Estudio_Mercado_VF!E74="","",Estudio_Mercado_VF!E74)</f>
        <v>Resina PLA (Bioplástico) ecológica degradable 100 % de base biológica que se polimeriza a partir de ácido láctico derivado de fuentes vegetales como el maíz.</v>
      </c>
      <c r="E73" s="89">
        <f>IF(Estudio_Mercado_VF!G74="","",Estudio_Mercado_VF!G74)</f>
        <v>3.3</v>
      </c>
      <c r="F73" s="515">
        <f>IF(Estudio_Mercado_VF!AA74="","",Estudio_Mercado_VF!AA74)</f>
        <v>125830.00126666667</v>
      </c>
      <c r="G73" s="515">
        <f>IF(Estudio_Mercado_VF!AA74="","",Estudio_Mercado_VF!AB74)</f>
        <v>415239.00417999999</v>
      </c>
      <c r="H73" s="522"/>
      <c r="I73" s="523"/>
      <c r="J73" s="92"/>
      <c r="K73" s="93" t="str">
        <f t="shared" si="3"/>
        <v>Valor vacío</v>
      </c>
      <c r="L73" s="533">
        <f t="shared" si="4"/>
        <v>125830.00126666667</v>
      </c>
      <c r="M73" s="533" t="str">
        <f t="shared" si="5"/>
        <v/>
      </c>
      <c r="N73" s="533">
        <f t="shared" si="6"/>
        <v>415239.00417999999</v>
      </c>
    </row>
    <row r="74" spans="1:14">
      <c r="A74" s="87" t="s">
        <v>1153</v>
      </c>
      <c r="B74" s="90">
        <v>64</v>
      </c>
      <c r="C74" s="90" t="str">
        <f>IF(Estudio_Mercado_VF!D75="","",Estudio_Mercado_VF!D75)</f>
        <v>Fibra natural</v>
      </c>
      <c r="D74" s="91" t="str">
        <f>IF(Estudio_Mercado_VF!E75="","",Estudio_Mercado_VF!E75)</f>
        <v>Tarugos de bambú guadua de 8 mm (paquete por 50 unidades)</v>
      </c>
      <c r="E74" s="89">
        <f>IF(Estudio_Mercado_VF!G75="","",Estudio_Mercado_VF!G75)</f>
        <v>1</v>
      </c>
      <c r="F74" s="515">
        <f>IF(Estudio_Mercado_VF!AA75="","",Estudio_Mercado_VF!AA75)</f>
        <v>9877</v>
      </c>
      <c r="G74" s="515">
        <f>IF(Estudio_Mercado_VF!AA75="","",Estudio_Mercado_VF!AB75)</f>
        <v>9877</v>
      </c>
      <c r="H74" s="522"/>
      <c r="I74" s="523"/>
      <c r="J74" s="92"/>
      <c r="K74" s="93" t="str">
        <f t="shared" si="3"/>
        <v>Valor vacío</v>
      </c>
      <c r="L74" s="533">
        <f t="shared" si="4"/>
        <v>9877</v>
      </c>
      <c r="M74" s="533" t="str">
        <f t="shared" si="5"/>
        <v/>
      </c>
      <c r="N74" s="533">
        <f t="shared" si="6"/>
        <v>9877</v>
      </c>
    </row>
    <row r="75" spans="1:14">
      <c r="A75" s="87" t="s">
        <v>1153</v>
      </c>
      <c r="B75" s="90">
        <v>65</v>
      </c>
      <c r="C75" s="90" t="str">
        <f>IF(Estudio_Mercado_VF!D76="","",Estudio_Mercado_VF!D76)</f>
        <v>Fibra natural</v>
      </c>
      <c r="D75" s="91" t="str">
        <f>IF(Estudio_Mercado_VF!E76="","",Estudio_Mercado_VF!E76)</f>
        <v>Repuesto para cepillo de dientes de cabeza intercambiable, de bambú</v>
      </c>
      <c r="E75" s="89">
        <f>IF(Estudio_Mercado_VF!G76="","",Estudio_Mercado_VF!G76)</f>
        <v>150</v>
      </c>
      <c r="F75" s="515">
        <f>IF(Estudio_Mercado_VF!AA76="","",Estudio_Mercado_VF!AA76)</f>
        <v>9914.6666666666661</v>
      </c>
      <c r="G75" s="515">
        <f>IF(Estudio_Mercado_VF!AA76="","",Estudio_Mercado_VF!AB76)</f>
        <v>1487200</v>
      </c>
      <c r="H75" s="522"/>
      <c r="I75" s="523"/>
      <c r="J75" s="92"/>
      <c r="K75" s="93" t="str">
        <f t="shared" si="3"/>
        <v>Valor vacío</v>
      </c>
      <c r="L75" s="533">
        <f t="shared" si="4"/>
        <v>9914.6666666666661</v>
      </c>
      <c r="M75" s="533" t="str">
        <f t="shared" si="5"/>
        <v/>
      </c>
      <c r="N75" s="533">
        <f t="shared" si="6"/>
        <v>1487200</v>
      </c>
    </row>
    <row r="76" spans="1:14" ht="28.9">
      <c r="A76" s="87" t="s">
        <v>1153</v>
      </c>
      <c r="B76" s="90">
        <v>66</v>
      </c>
      <c r="C76" s="90" t="str">
        <f>IF(Estudio_Mercado_VF!D77="","",Estudio_Mercado_VF!D77)</f>
        <v>Grapas</v>
      </c>
      <c r="D76" s="91" t="str">
        <f>IF(Estudio_Mercado_VF!E77="","",Estudio_Mercado_VF!E77)</f>
        <v>Paquete por diez (10) unidades de grapas metálicas de 1/2 " que funcionen como abrazadera</v>
      </c>
      <c r="E76" s="89">
        <f>IF(Estudio_Mercado_VF!G77="","",Estudio_Mercado_VF!G77)</f>
        <v>15</v>
      </c>
      <c r="F76" s="515">
        <f>IF(Estudio_Mercado_VF!AA77="","",Estudio_Mercado_VF!AA77)</f>
        <v>173</v>
      </c>
      <c r="G76" s="515">
        <f>IF(Estudio_Mercado_VF!AA77="","",Estudio_Mercado_VF!AB77)</f>
        <v>2595</v>
      </c>
      <c r="H76" s="522"/>
      <c r="I76" s="523"/>
      <c r="J76" s="92"/>
      <c r="K76" s="93" t="str">
        <f t="shared" ref="K76:K139" si="7">IF(H76&lt;&gt;0,IF(J76="Ofertable",IF(AND(F76&gt;=H76,H76&lt;&gt;0),"Cumple","No cumple"),IF(J76="No Ofertable",IF(F76=H76,"Cumple","No cumple"),"")),"Valor vacío")</f>
        <v>Valor vacío</v>
      </c>
      <c r="L76" s="533">
        <f t="shared" ref="L76:L139" si="8">F76-H76</f>
        <v>173</v>
      </c>
      <c r="M76" s="533" t="str">
        <f t="shared" ref="M76:M139" si="9">IF(H76="","",IF(G76&gt;=I76,"Cumple","No cumple"))</f>
        <v/>
      </c>
      <c r="N76" s="533">
        <f t="shared" ref="N76:N139" si="10">G76-I76</f>
        <v>2595</v>
      </c>
    </row>
    <row r="77" spans="1:14" ht="43.15">
      <c r="A77" s="87" t="s">
        <v>1153</v>
      </c>
      <c r="B77" s="90">
        <v>67</v>
      </c>
      <c r="C77" s="90" t="str">
        <f>IF(Estudio_Mercado_VF!D78="","",Estudio_Mercado_VF!D78)</f>
        <v>Pegamento</v>
      </c>
      <c r="D77" s="91" t="str">
        <f>IF(Estudio_Mercado_VF!E78="","",Estudio_Mercado_VF!E78)</f>
        <v>Pegamento ecológico de látex de caucho natural, con un porcentaje de preservante ecológico. Al ser biodegradable, se descompone de forma natural sin dejar residuos tóxicos en el suelo o el agua, en envase de 240 gr</v>
      </c>
      <c r="E77" s="89">
        <f>IF(Estudio_Mercado_VF!G78="","",Estudio_Mercado_VF!G78)</f>
        <v>1</v>
      </c>
      <c r="F77" s="515">
        <f>IF(Estudio_Mercado_VF!AA78="","",Estudio_Mercado_VF!AA78)</f>
        <v>10800</v>
      </c>
      <c r="G77" s="515">
        <f>IF(Estudio_Mercado_VF!AA78="","",Estudio_Mercado_VF!AB78)</f>
        <v>10800</v>
      </c>
      <c r="H77" s="522"/>
      <c r="I77" s="523"/>
      <c r="J77" s="92"/>
      <c r="K77" s="93" t="str">
        <f t="shared" si="7"/>
        <v>Valor vacío</v>
      </c>
      <c r="L77" s="533">
        <f t="shared" si="8"/>
        <v>10800</v>
      </c>
      <c r="M77" s="533" t="str">
        <f t="shared" si="9"/>
        <v/>
      </c>
      <c r="N77" s="533">
        <f t="shared" si="10"/>
        <v>10800</v>
      </c>
    </row>
    <row r="78" spans="1:14" ht="28.9">
      <c r="A78" s="87" t="s">
        <v>1153</v>
      </c>
      <c r="B78" s="90">
        <v>68</v>
      </c>
      <c r="C78" s="90" t="str">
        <f>IF(Estudio_Mercado_VF!D79="","",Estudio_Mercado_VF!D79)</f>
        <v>Lijas</v>
      </c>
      <c r="D78" s="91" t="str">
        <f>IF(Estudio_Mercado_VF!E79="","",Estudio_Mercado_VF!E79)</f>
        <v xml:space="preserve">Lijas finas de 10 cm de ancho x 100 cm largo de  Grano de 60 a 400
</v>
      </c>
      <c r="E78" s="89">
        <f>IF(Estudio_Mercado_VF!G79="","",Estudio_Mercado_VF!G79)</f>
        <v>150</v>
      </c>
      <c r="F78" s="515">
        <f>IF(Estudio_Mercado_VF!AA79="","",Estudio_Mercado_VF!AA79)</f>
        <v>6554</v>
      </c>
      <c r="G78" s="515">
        <f>IF(Estudio_Mercado_VF!AA79="","",Estudio_Mercado_VF!AB79)</f>
        <v>983100</v>
      </c>
      <c r="H78" s="522"/>
      <c r="I78" s="523"/>
      <c r="J78" s="92"/>
      <c r="K78" s="93" t="str">
        <f t="shared" si="7"/>
        <v>Valor vacío</v>
      </c>
      <c r="L78" s="533">
        <f t="shared" si="8"/>
        <v>6554</v>
      </c>
      <c r="M78" s="533" t="str">
        <f t="shared" si="9"/>
        <v/>
      </c>
      <c r="N78" s="533">
        <f t="shared" si="10"/>
        <v>983100</v>
      </c>
    </row>
    <row r="79" spans="1:14" ht="28.9">
      <c r="A79" s="87" t="s">
        <v>1153</v>
      </c>
      <c r="B79" s="90">
        <v>69</v>
      </c>
      <c r="C79" s="90" t="str">
        <f>IF(Estudio_Mercado_VF!D80="","",Estudio_Mercado_VF!D80)</f>
        <v>Cera</v>
      </c>
      <c r="D79" s="91" t="str">
        <f>IF(Estudio_Mercado_VF!E80="","",Estudio_Mercado_VF!E80)</f>
        <v>Sellador natural, como cera de abeja de aproximadamente 5 cm x 5 cm en presentación de 500 g</v>
      </c>
      <c r="E79" s="89">
        <f>IF(Estudio_Mercado_VF!G80="","",Estudio_Mercado_VF!G80)</f>
        <v>1</v>
      </c>
      <c r="F79" s="515">
        <f>IF(Estudio_Mercado_VF!AA80="","",Estudio_Mercado_VF!AA80)</f>
        <v>16120</v>
      </c>
      <c r="G79" s="515">
        <f>IF(Estudio_Mercado_VF!AA80="","",Estudio_Mercado_VF!AB80)</f>
        <v>16120</v>
      </c>
      <c r="H79" s="522"/>
      <c r="I79" s="523"/>
      <c r="J79" s="92"/>
      <c r="K79" s="93" t="str">
        <f t="shared" si="7"/>
        <v>Valor vacío</v>
      </c>
      <c r="L79" s="533">
        <f t="shared" si="8"/>
        <v>16120</v>
      </c>
      <c r="M79" s="533" t="str">
        <f t="shared" si="9"/>
        <v/>
      </c>
      <c r="N79" s="533">
        <f t="shared" si="10"/>
        <v>16120</v>
      </c>
    </row>
    <row r="80" spans="1:14">
      <c r="A80" s="87" t="s">
        <v>1153</v>
      </c>
      <c r="B80" s="90">
        <v>70</v>
      </c>
      <c r="C80" s="90" t="str">
        <f>IF(Estudio_Mercado_VF!D81="","",Estudio_Mercado_VF!D81)</f>
        <v>Cajas</v>
      </c>
      <c r="D80" s="91" t="str">
        <f>IF(Estudio_Mercado_VF!E81="","",Estudio_Mercado_VF!E81)</f>
        <v>Cajas de cartón reciclado de 25 cm x 5 cm</v>
      </c>
      <c r="E80" s="89">
        <f>IF(Estudio_Mercado_VF!G81="","",Estudio_Mercado_VF!G81)</f>
        <v>150</v>
      </c>
      <c r="F80" s="515">
        <f>IF(Estudio_Mercado_VF!AA81="","",Estudio_Mercado_VF!AA81)</f>
        <v>21290.000000000004</v>
      </c>
      <c r="G80" s="515">
        <f>IF(Estudio_Mercado_VF!AA81="","",Estudio_Mercado_VF!AB81)</f>
        <v>3193500.0000000005</v>
      </c>
      <c r="H80" s="522"/>
      <c r="I80" s="523"/>
      <c r="J80" s="92"/>
      <c r="K80" s="93" t="str">
        <f t="shared" si="7"/>
        <v>Valor vacío</v>
      </c>
      <c r="L80" s="533">
        <f t="shared" si="8"/>
        <v>21290.000000000004</v>
      </c>
      <c r="M80" s="533" t="str">
        <f t="shared" si="9"/>
        <v/>
      </c>
      <c r="N80" s="533">
        <f t="shared" si="10"/>
        <v>3193500.0000000005</v>
      </c>
    </row>
    <row r="81" spans="1:14" ht="28.9">
      <c r="A81" s="87" t="s">
        <v>1153</v>
      </c>
      <c r="B81" s="90">
        <v>71</v>
      </c>
      <c r="C81" s="90" t="str">
        <f>IF(Estudio_Mercado_VF!D82="","",Estudio_Mercado_VF!D82)</f>
        <v>Tela</v>
      </c>
      <c r="D81" s="91" t="str">
        <f>IF(Estudio_Mercado_VF!E82="","",Estudio_Mercado_VF!E82)</f>
        <v>Tela agroecológica (algodón orgánico, lino, cáñamo) o en fibras de yute, rollo por metro, de cualquier color</v>
      </c>
      <c r="E81" s="89">
        <f>IF(Estudio_Mercado_VF!G82="","",Estudio_Mercado_VF!G82)</f>
        <v>54</v>
      </c>
      <c r="F81" s="515">
        <f>IF(Estudio_Mercado_VF!AA82="","",Estudio_Mercado_VF!AA82)</f>
        <v>9172</v>
      </c>
      <c r="G81" s="515">
        <f>IF(Estudio_Mercado_VF!AA82="","",Estudio_Mercado_VF!AB82)</f>
        <v>495288</v>
      </c>
      <c r="H81" s="522"/>
      <c r="I81" s="523"/>
      <c r="J81" s="92"/>
      <c r="K81" s="93" t="str">
        <f t="shared" si="7"/>
        <v>Valor vacío</v>
      </c>
      <c r="L81" s="533">
        <f t="shared" si="8"/>
        <v>9172</v>
      </c>
      <c r="M81" s="533" t="str">
        <f t="shared" si="9"/>
        <v/>
      </c>
      <c r="N81" s="533">
        <f t="shared" si="10"/>
        <v>495288</v>
      </c>
    </row>
    <row r="82" spans="1:14">
      <c r="A82" s="87" t="s">
        <v>1153</v>
      </c>
      <c r="B82" s="90">
        <v>72</v>
      </c>
      <c r="C82" s="90" t="str">
        <f>IF(Estudio_Mercado_VF!D83="","",Estudio_Mercado_VF!D83)</f>
        <v>Tela liviana</v>
      </c>
      <c r="D82" s="91" t="str">
        <f>IF(Estudio_Mercado_VF!E83="","",Estudio_Mercado_VF!E83)</f>
        <v>Tela liviana (Algodón o mezcla natural) de 180 hilos, rollo por metro, de cualquier color</v>
      </c>
      <c r="E82" s="89">
        <f>IF(Estudio_Mercado_VF!G83="","",Estudio_Mercado_VF!G83)</f>
        <v>42</v>
      </c>
      <c r="F82" s="515">
        <f>IF(Estudio_Mercado_VF!AA83="","",Estudio_Mercado_VF!AA83)</f>
        <v>8838.6666666666661</v>
      </c>
      <c r="G82" s="515">
        <f>IF(Estudio_Mercado_VF!AA83="","",Estudio_Mercado_VF!AB83)</f>
        <v>371224</v>
      </c>
      <c r="H82" s="522"/>
      <c r="I82" s="523"/>
      <c r="J82" s="92"/>
      <c r="K82" s="93" t="str">
        <f t="shared" si="7"/>
        <v>Valor vacío</v>
      </c>
      <c r="L82" s="533">
        <f t="shared" si="8"/>
        <v>8838.6666666666661</v>
      </c>
      <c r="M82" s="533" t="str">
        <f t="shared" si="9"/>
        <v/>
      </c>
      <c r="N82" s="533">
        <f t="shared" si="10"/>
        <v>371224</v>
      </c>
    </row>
    <row r="83" spans="1:14">
      <c r="A83" s="87" t="s">
        <v>1153</v>
      </c>
      <c r="B83" s="90">
        <v>73</v>
      </c>
      <c r="C83" s="90" t="str">
        <f>IF(Estudio_Mercado_VF!D84="","",Estudio_Mercado_VF!D84)</f>
        <v>Entretela</v>
      </c>
      <c r="D83" s="91" t="str">
        <f>IF(Estudio_Mercado_VF!E84="","",Estudio_Mercado_VF!E84)</f>
        <v>Entretela adhesiva o cosida de 35 g, rollo por metro de cualquier color</v>
      </c>
      <c r="E83" s="89">
        <f>IF(Estudio_Mercado_VF!G84="","",Estudio_Mercado_VF!G84)</f>
        <v>22</v>
      </c>
      <c r="F83" s="515">
        <f>IF(Estudio_Mercado_VF!AA84="","",Estudio_Mercado_VF!AA84)</f>
        <v>24786.666666666668</v>
      </c>
      <c r="G83" s="515">
        <f>IF(Estudio_Mercado_VF!AA84="","",Estudio_Mercado_VF!AB84)</f>
        <v>545306.66666666674</v>
      </c>
      <c r="H83" s="522"/>
      <c r="I83" s="523"/>
      <c r="J83" s="92"/>
      <c r="K83" s="93" t="str">
        <f t="shared" si="7"/>
        <v>Valor vacío</v>
      </c>
      <c r="L83" s="533">
        <f t="shared" si="8"/>
        <v>24786.666666666668</v>
      </c>
      <c r="M83" s="533" t="str">
        <f t="shared" si="9"/>
        <v/>
      </c>
      <c r="N83" s="533">
        <f t="shared" si="10"/>
        <v>545306.66666666674</v>
      </c>
    </row>
    <row r="84" spans="1:14">
      <c r="A84" s="87" t="s">
        <v>1153</v>
      </c>
      <c r="B84" s="90">
        <v>74</v>
      </c>
      <c r="C84" s="90" t="str">
        <f>IF(Estudio_Mercado_VF!D85="","",Estudio_Mercado_VF!D85)</f>
        <v>Cremalleras</v>
      </c>
      <c r="D84" s="91" t="str">
        <f>IF(Estudio_Mercado_VF!E85="","",Estudio_Mercado_VF!E85)</f>
        <v>Cremalleras metálicas de 25 cm</v>
      </c>
      <c r="E84" s="89">
        <f>IF(Estudio_Mercado_VF!G85="","",Estudio_Mercado_VF!G85)</f>
        <v>150</v>
      </c>
      <c r="F84" s="515">
        <f>IF(Estudio_Mercado_VF!AA85="","",Estudio_Mercado_VF!AA85)</f>
        <v>2816.6666666666665</v>
      </c>
      <c r="G84" s="515">
        <f>IF(Estudio_Mercado_VF!AA85="","",Estudio_Mercado_VF!AB85)</f>
        <v>422500</v>
      </c>
      <c r="H84" s="522"/>
      <c r="I84" s="523"/>
      <c r="J84" s="92"/>
      <c r="K84" s="93" t="str">
        <f t="shared" si="7"/>
        <v>Valor vacío</v>
      </c>
      <c r="L84" s="533">
        <f t="shared" si="8"/>
        <v>2816.6666666666665</v>
      </c>
      <c r="M84" s="533" t="str">
        <f t="shared" si="9"/>
        <v/>
      </c>
      <c r="N84" s="533">
        <f t="shared" si="10"/>
        <v>422500</v>
      </c>
    </row>
    <row r="85" spans="1:14" ht="28.9">
      <c r="A85" s="87" t="s">
        <v>1153</v>
      </c>
      <c r="B85" s="90">
        <v>75</v>
      </c>
      <c r="C85" s="90" t="str">
        <f>IF(Estudio_Mercado_VF!D86="","",Estudio_Mercado_VF!D86)</f>
        <v>Hilo</v>
      </c>
      <c r="D85" s="91" t="str">
        <f>IF(Estudio_Mercado_VF!E86="","",Estudio_Mercado_VF!E86)</f>
        <v>Hilo ecológico (Algodón reciclado) por rollo de 300 metros, de 100 gramos de algodón reciclado</v>
      </c>
      <c r="E85" s="89">
        <f>IF(Estudio_Mercado_VF!G86="","",Estudio_Mercado_VF!G86)</f>
        <v>28</v>
      </c>
      <c r="F85" s="515">
        <f>IF(Estudio_Mercado_VF!AA86="","",Estudio_Mercado_VF!AA86)</f>
        <v>11400</v>
      </c>
      <c r="G85" s="515">
        <f>IF(Estudio_Mercado_VF!AA86="","",Estudio_Mercado_VF!AB86)</f>
        <v>319200</v>
      </c>
      <c r="H85" s="522"/>
      <c r="I85" s="523"/>
      <c r="J85" s="92"/>
      <c r="K85" s="93" t="str">
        <f t="shared" si="7"/>
        <v>Valor vacío</v>
      </c>
      <c r="L85" s="533">
        <f t="shared" si="8"/>
        <v>11400</v>
      </c>
      <c r="M85" s="533" t="str">
        <f t="shared" si="9"/>
        <v/>
      </c>
      <c r="N85" s="533">
        <f t="shared" si="10"/>
        <v>319200</v>
      </c>
    </row>
    <row r="86" spans="1:14" ht="28.9">
      <c r="A86" s="87" t="s">
        <v>1153</v>
      </c>
      <c r="B86" s="90">
        <v>76</v>
      </c>
      <c r="C86" s="90" t="str">
        <f>IF(Estudio_Mercado_VF!D87="","",Estudio_Mercado_VF!D87)</f>
        <v>Tiradores</v>
      </c>
      <c r="D86" s="91" t="str">
        <f>IF(Estudio_Mercado_VF!E87="","",Estudio_Mercado_VF!E87)</f>
        <v>Tela, cuerda o cinta que sirva de tirador de la cremallera de la cartuchera artesanal, el cual puede ser en rollo de 300 metros</v>
      </c>
      <c r="E86" s="89">
        <f>IF(Estudio_Mercado_VF!G87="","",Estudio_Mercado_VF!G87)</f>
        <v>2</v>
      </c>
      <c r="F86" s="515">
        <f>IF(Estudio_Mercado_VF!AA87="","",Estudio_Mercado_VF!AA87)</f>
        <v>53983.996966666658</v>
      </c>
      <c r="G86" s="515">
        <f>IF(Estudio_Mercado_VF!AA87="","",Estudio_Mercado_VF!AB87)</f>
        <v>107967.99393333332</v>
      </c>
      <c r="H86" s="522"/>
      <c r="I86" s="523"/>
      <c r="J86" s="92"/>
      <c r="K86" s="93" t="str">
        <f t="shared" si="7"/>
        <v>Valor vacío</v>
      </c>
      <c r="L86" s="533">
        <f t="shared" si="8"/>
        <v>53983.996966666658</v>
      </c>
      <c r="M86" s="533" t="str">
        <f t="shared" si="9"/>
        <v/>
      </c>
      <c r="N86" s="533">
        <f t="shared" si="10"/>
        <v>107967.99393333332</v>
      </c>
    </row>
    <row r="87" spans="1:14" ht="57.6">
      <c r="A87" s="87" t="s">
        <v>1153</v>
      </c>
      <c r="B87" s="90">
        <v>77</v>
      </c>
      <c r="C87" s="90" t="str">
        <f>IF(Estudio_Mercado_VF!D88="","",Estudio_Mercado_VF!D88)</f>
        <v>Tintes naturales</v>
      </c>
      <c r="D87" s="91" t="str">
        <f>IF(Estudio_Mercado_VF!E88="","",Estudio_Mercado_VF!E88)</f>
        <v xml:space="preserve">Pintura textil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en frasco de 30 ml </v>
      </c>
      <c r="E87" s="89">
        <f>IF(Estudio_Mercado_VF!G88="","",Estudio_Mercado_VF!G88)</f>
        <v>7</v>
      </c>
      <c r="F87" s="515">
        <f>IF(Estudio_Mercado_VF!AA88="","",Estudio_Mercado_VF!AA88)</f>
        <v>8886.6666666666661</v>
      </c>
      <c r="G87" s="515">
        <f>IF(Estudio_Mercado_VF!AA88="","",Estudio_Mercado_VF!AB88)</f>
        <v>62206.666666666664</v>
      </c>
      <c r="H87" s="522"/>
      <c r="I87" s="523"/>
      <c r="J87" s="92"/>
      <c r="K87" s="93" t="str">
        <f t="shared" si="7"/>
        <v>Valor vacío</v>
      </c>
      <c r="L87" s="533">
        <f t="shared" si="8"/>
        <v>8886.6666666666661</v>
      </c>
      <c r="M87" s="533" t="str">
        <f t="shared" si="9"/>
        <v/>
      </c>
      <c r="N87" s="533">
        <f t="shared" si="10"/>
        <v>62206.666666666664</v>
      </c>
    </row>
    <row r="88" spans="1:14" ht="28.9">
      <c r="A88" s="87" t="s">
        <v>1153</v>
      </c>
      <c r="B88" s="90">
        <v>78</v>
      </c>
      <c r="C88" s="90" t="str">
        <f>IF(Estudio_Mercado_VF!D89="","",Estudio_Mercado_VF!D89)</f>
        <v>Bordes</v>
      </c>
      <c r="D88" s="91" t="str">
        <f>IF(Estudio_Mercado_VF!E89="","",Estudio_Mercado_VF!E89)</f>
        <v>Cinta bies, ribetes, mide 18mm de ancho. Especial para el remate de todo tipo de prendas y tejidos. Composición: 50% Algodón / 50% Poliéster.</v>
      </c>
      <c r="E88" s="89">
        <f>IF(Estudio_Mercado_VF!G89="","",Estudio_Mercado_VF!G89)</f>
        <v>45</v>
      </c>
      <c r="F88" s="515">
        <f>IF(Estudio_Mercado_VF!AA89="","",Estudio_Mercado_VF!AA89)</f>
        <v>83300</v>
      </c>
      <c r="G88" s="515">
        <f>IF(Estudio_Mercado_VF!AA89="","",Estudio_Mercado_VF!AB89)</f>
        <v>3748500</v>
      </c>
      <c r="H88" s="522"/>
      <c r="I88" s="523"/>
      <c r="J88" s="92"/>
      <c r="K88" s="93" t="str">
        <f t="shared" si="7"/>
        <v>Valor vacío</v>
      </c>
      <c r="L88" s="533">
        <f t="shared" si="8"/>
        <v>83300</v>
      </c>
      <c r="M88" s="533" t="str">
        <f t="shared" si="9"/>
        <v/>
      </c>
      <c r="N88" s="533">
        <f t="shared" si="10"/>
        <v>3748500</v>
      </c>
    </row>
    <row r="89" spans="1:14" ht="115.15">
      <c r="A89" s="87" t="s">
        <v>1153</v>
      </c>
      <c r="B89" s="90">
        <v>79</v>
      </c>
      <c r="C89" s="90" t="str">
        <f>IF(Estudio_Mercado_VF!D90="","",Estudio_Mercado_VF!D90)</f>
        <v>Prestación de servicio logísticos para desarrollo de carrera por la biodiversidad</v>
      </c>
      <c r="D89" s="91" t="str">
        <f>IF(Estudio_Mercado_VF!E90="","",Estudio_Mercado_VF!E90)</f>
        <v>Logsitica y  desarrollo de la actividad denominada "Carrera por la biodiversidad", para cien (100) personas, incluyendo el personal para el  cumpliendo las funciones de dirigir y guiar a los participantes a lo largo del recorrido, desde su punto partidad hasta el punto de llegada. De igual manera,se incluye los kits, refrigerios, manejo de puntos de hidratación, entre otras necesidades que se presenten en el desarrollo de la actividad. El contratista debe velar por el cumplimiento del desarrollo de la actividad, y debe garantizar la entrega de todos los insumos mencionados previamente, y a su vez el diseño y organización del evento en general</v>
      </c>
      <c r="E89" s="89">
        <f>IF(Estudio_Mercado_VF!G90="","",Estudio_Mercado_VF!G90)</f>
        <v>8</v>
      </c>
      <c r="F89" s="515" t="str">
        <f>IF(Estudio_Mercado_VF!AA90="","",Estudio_Mercado_VF!AA90)</f>
        <v xml:space="preserve"> $ 1.963.500,00 </v>
      </c>
      <c r="G89" s="515" t="str">
        <f>IF(Estudio_Mercado_VF!AA90="","",Estudio_Mercado_VF!AB90)</f>
        <v xml:space="preserve"> $ 15.708.000,00 </v>
      </c>
      <c r="H89" s="522"/>
      <c r="I89" s="523"/>
      <c r="J89" s="92"/>
      <c r="K89" s="93" t="str">
        <f t="shared" si="7"/>
        <v>Valor vacío</v>
      </c>
      <c r="L89" s="533">
        <f t="shared" si="8"/>
        <v>1963500</v>
      </c>
      <c r="M89" s="533" t="str">
        <f t="shared" si="9"/>
        <v/>
      </c>
      <c r="N89" s="533">
        <f t="shared" si="10"/>
        <v>15708000</v>
      </c>
    </row>
    <row r="90" spans="1:14" ht="43.15">
      <c r="A90" s="87" t="s">
        <v>1153</v>
      </c>
      <c r="B90" s="90">
        <v>80</v>
      </c>
      <c r="C90" s="90" t="str">
        <f>IF(Estudio_Mercado_VF!D91="","",Estudio_Mercado_VF!D91)</f>
        <v>Pendón</v>
      </c>
      <c r="D90" s="91" t="str">
        <f>IF(Estudio_Mercado_VF!E91="","",Estudio_Mercado_VF!E91)</f>
        <v>Pendón institucional para la identiicación y ambientación del evento (CEFE Cometas, punto de cierre de la carrera). Lona banner para exteriores de 13 oz de 10 m x 2 m, que cuente con ojales metálicos y refuerzo perimetral, y guaya plástica de amarre</v>
      </c>
      <c r="E90" s="89">
        <f>IF(Estudio_Mercado_VF!G91="","",Estudio_Mercado_VF!G91)</f>
        <v>1</v>
      </c>
      <c r="F90" s="515">
        <f>IF(Estudio_Mercado_VF!AA91="","",Estudio_Mercado_VF!AA91)</f>
        <v>920266.66666666663</v>
      </c>
      <c r="G90" s="515">
        <f>IF(Estudio_Mercado_VF!AA91="","",Estudio_Mercado_VF!AB91)</f>
        <v>920266.66666666663</v>
      </c>
      <c r="H90" s="522"/>
      <c r="I90" s="523"/>
      <c r="J90" s="92"/>
      <c r="K90" s="93" t="str">
        <f t="shared" si="7"/>
        <v>Valor vacío</v>
      </c>
      <c r="L90" s="533">
        <f t="shared" si="8"/>
        <v>920266.66666666663</v>
      </c>
      <c r="M90" s="533" t="str">
        <f t="shared" si="9"/>
        <v/>
      </c>
      <c r="N90" s="533">
        <f t="shared" si="10"/>
        <v>920266.66666666663</v>
      </c>
    </row>
    <row r="91" spans="1:14" ht="115.15">
      <c r="A91" s="87" t="s">
        <v>1153</v>
      </c>
      <c r="B91" s="90">
        <v>81</v>
      </c>
      <c r="C91" s="90" t="str">
        <f>IF(Estudio_Mercado_VF!D92="","",Estudio_Mercado_VF!D92)</f>
        <v>Habladores verticales</v>
      </c>
      <c r="D91" s="91" t="str">
        <f>IF(Estudio_Mercado_VF!E92="","",Estudio_Mercado_VF!E92)</f>
        <v xml:space="preserve">Habladores verticales los cuales cuenten con información relacionada a todas las líneas de trabajo desarrolladas en la oficina de gestión ambiental de la Alcaldia Local de Suba, las cuales se encuentran descritas en el anexo técnico. Lona banner 13 oz o polipropileno laminado con refuerzo perimetral y ojales metálicos en cada esquina con una medida de 2 m x 2 m. Que cuente con refuerzo perimentral y con bolsillo superior e inferior para varilla, la cual debe ser horizontal en PVC de 2 m x 2 x (Dos varillas por hablador). Soporte metálico tipo L sencillo, y bandas metálicas 1/2 " con hebilla de cierre y acero galvanizado. </v>
      </c>
      <c r="E91" s="89">
        <f>IF(Estudio_Mercado_VF!G92="","",Estudio_Mercado_VF!G92)</f>
        <v>30</v>
      </c>
      <c r="F91" s="515">
        <f>IF(Estudio_Mercado_VF!AA92="","",Estudio_Mercado_VF!AA92)</f>
        <v>26766</v>
      </c>
      <c r="G91" s="515">
        <f>IF(Estudio_Mercado_VF!AA92="","",Estudio_Mercado_VF!AB92)</f>
        <v>802980</v>
      </c>
      <c r="H91" s="522"/>
      <c r="I91" s="523"/>
      <c r="J91" s="92"/>
      <c r="K91" s="93" t="str">
        <f t="shared" si="7"/>
        <v>Valor vacío</v>
      </c>
      <c r="L91" s="533">
        <f t="shared" si="8"/>
        <v>26766</v>
      </c>
      <c r="M91" s="533" t="str">
        <f t="shared" si="9"/>
        <v/>
      </c>
      <c r="N91" s="533">
        <f t="shared" si="10"/>
        <v>802980</v>
      </c>
    </row>
    <row r="92" spans="1:14" ht="28.9">
      <c r="A92" s="87" t="s">
        <v>1153</v>
      </c>
      <c r="B92" s="90">
        <v>82</v>
      </c>
      <c r="C92" s="90" t="str">
        <f>IF(Estudio_Mercado_VF!D93="","",Estudio_Mercado_VF!D93)</f>
        <v>Gorra tela bordada con logo</v>
      </c>
      <c r="D92" s="91" t="str">
        <f>IF(Estudio_Mercado_VF!E93="","",Estudio_Mercado_VF!E93)</f>
        <v>de velcro, botón forrado, en dril liviano y víscera rigida, en plástico de polietileno, cierre en plástico o velcro, bordado 1 al frente. Logo impreso por oficina de Prensa del FDLS</v>
      </c>
      <c r="E92" s="89">
        <f>IF(Estudio_Mercado_VF!G93="","",Estudio_Mercado_VF!G93)</f>
        <v>100</v>
      </c>
      <c r="F92" s="515">
        <f>IF(Estudio_Mercado_VF!AA93="","",Estudio_Mercado_VF!AA93)</f>
        <v>22306.666666666668</v>
      </c>
      <c r="G92" s="515">
        <f>IF(Estudio_Mercado_VF!AA93="","",Estudio_Mercado_VF!AB93)</f>
        <v>2230666.666666667</v>
      </c>
      <c r="H92" s="522"/>
      <c r="I92" s="523"/>
      <c r="J92" s="92"/>
      <c r="K92" s="93" t="str">
        <f t="shared" si="7"/>
        <v>Valor vacío</v>
      </c>
      <c r="L92" s="533">
        <f t="shared" si="8"/>
        <v>22306.666666666668</v>
      </c>
      <c r="M92" s="533" t="str">
        <f t="shared" si="9"/>
        <v/>
      </c>
      <c r="N92" s="533">
        <f t="shared" si="10"/>
        <v>2230666.666666667</v>
      </c>
    </row>
    <row r="93" spans="1:14" ht="28.9">
      <c r="A93" s="87" t="s">
        <v>1153</v>
      </c>
      <c r="B93" s="90">
        <v>83</v>
      </c>
      <c r="C93" s="90" t="str">
        <f>IF(Estudio_Mercado_VF!D94="","",Estudio_Mercado_VF!D94)</f>
        <v>Tula Deportiva con logos</v>
      </c>
      <c r="D93" s="91" t="str">
        <f>IF(Estudio_Mercado_VF!E94="","",Estudio_Mercado_VF!E94)</f>
        <v>Tela, cuerda o cinta que sirva de tirador de la cremallera de la cartuchera artesanal, el cual puede ser en rollo de 300 metros</v>
      </c>
      <c r="E93" s="89">
        <f>IF(Estudio_Mercado_VF!G94="","",Estudio_Mercado_VF!G94)</f>
        <v>100</v>
      </c>
      <c r="F93" s="515">
        <f>IF(Estudio_Mercado_VF!AA94="","",Estudio_Mercado_VF!AA94)</f>
        <v>14640</v>
      </c>
      <c r="G93" s="515">
        <f>IF(Estudio_Mercado_VF!AA94="","",Estudio_Mercado_VF!AB94)</f>
        <v>1464000</v>
      </c>
      <c r="H93" s="522"/>
      <c r="I93" s="523"/>
      <c r="J93" s="92"/>
      <c r="K93" s="93" t="str">
        <f t="shared" si="7"/>
        <v>Valor vacío</v>
      </c>
      <c r="L93" s="533">
        <f t="shared" si="8"/>
        <v>14640</v>
      </c>
      <c r="M93" s="533" t="str">
        <f t="shared" si="9"/>
        <v/>
      </c>
      <c r="N93" s="533">
        <f t="shared" si="10"/>
        <v>1464000</v>
      </c>
    </row>
    <row r="94" spans="1:14" ht="72">
      <c r="A94" s="87" t="s">
        <v>1153</v>
      </c>
      <c r="B94" s="90">
        <v>84</v>
      </c>
      <c r="C94" s="90" t="str">
        <f>IF(Estudio_Mercado_VF!D95="","",Estudio_Mercado_VF!D95)</f>
        <v>Suculenta</v>
      </c>
      <c r="D94" s="91" t="str">
        <f>IF(Estudio_Mercado_VF!E95="","",Estudio_Mercado_VF!E95)</f>
        <v xml:space="preserve">Suculenta resistente adaptada a climas áridos, caracterizadas por poseer tejidos carnosos (Tallos, hojas o raíces) que almacenan agua. Debe contar con 30 gramos de tierra para una maceta tipo pequeña de 6 cm. Las macetas deben ser en material biodegradable. El contratista debe garantizar la entrega de todos los insumos mencionados previamente en la descripción. </v>
      </c>
      <c r="E94" s="89">
        <f>IF(Estudio_Mercado_VF!G95="","",Estudio_Mercado_VF!G95)</f>
        <v>100</v>
      </c>
      <c r="F94" s="515">
        <f>IF(Estudio_Mercado_VF!AA95="","",Estudio_Mercado_VF!AA95)</f>
        <v>17263.333333333336</v>
      </c>
      <c r="G94" s="515">
        <f>IF(Estudio_Mercado_VF!AA95="","",Estudio_Mercado_VF!AB95)</f>
        <v>1726333.3333333335</v>
      </c>
      <c r="H94" s="522"/>
      <c r="I94" s="523"/>
      <c r="J94" s="92"/>
      <c r="K94" s="93" t="str">
        <f t="shared" si="7"/>
        <v>Valor vacío</v>
      </c>
      <c r="L94" s="533">
        <f t="shared" si="8"/>
        <v>17263.333333333336</v>
      </c>
      <c r="M94" s="533" t="str">
        <f t="shared" si="9"/>
        <v/>
      </c>
      <c r="N94" s="533">
        <f t="shared" si="10"/>
        <v>1726333.3333333335</v>
      </c>
    </row>
    <row r="95" spans="1:14">
      <c r="A95" s="87" t="s">
        <v>1153</v>
      </c>
      <c r="B95" s="90">
        <v>85</v>
      </c>
      <c r="C95" s="90" t="str">
        <f>IF(Estudio_Mercado_VF!D96="","",Estudio_Mercado_VF!D96)</f>
        <v>Agua en botella x 24 unidades 300 ml</v>
      </c>
      <c r="D95" s="91" t="str">
        <f>IF(Estudio_Mercado_VF!E96="","",Estudio_Mercado_VF!E96)</f>
        <v>Bandeja X 24 unidades de agua en botella por 300 ML.</v>
      </c>
      <c r="E95" s="89">
        <f>IF(Estudio_Mercado_VF!G96="","",Estudio_Mercado_VF!G96)</f>
        <v>8</v>
      </c>
      <c r="F95" s="515">
        <f>IF(Estudio_Mercado_VF!AA96="","",Estudio_Mercado_VF!AA96)</f>
        <v>17560</v>
      </c>
      <c r="G95" s="515">
        <f>IF(Estudio_Mercado_VF!AA96="","",Estudio_Mercado_VF!AB96)</f>
        <v>140480</v>
      </c>
      <c r="H95" s="522"/>
      <c r="I95" s="523"/>
      <c r="J95" s="92"/>
      <c r="K95" s="93" t="str">
        <f t="shared" si="7"/>
        <v>Valor vacío</v>
      </c>
      <c r="L95" s="533">
        <f t="shared" si="8"/>
        <v>17560</v>
      </c>
      <c r="M95" s="533" t="str">
        <f t="shared" si="9"/>
        <v/>
      </c>
      <c r="N95" s="533">
        <f t="shared" si="10"/>
        <v>140480</v>
      </c>
    </row>
    <row r="96" spans="1:14" ht="43.15">
      <c r="A96" s="87" t="s">
        <v>1153</v>
      </c>
      <c r="B96" s="90">
        <v>86</v>
      </c>
      <c r="C96" s="90" t="str">
        <f>IF(Estudio_Mercado_VF!D97="","",Estudio_Mercado_VF!D97)</f>
        <v>Sonido 1000 w 6 a 8 horas</v>
      </c>
      <c r="D96" s="91" t="str">
        <f>IF(Estudio_Mercado_VF!E97="","",Estudio_Mercado_VF!E97)</f>
        <v>Alquiler de Sonido de 1000 watios con operario por un periodo de 6 a 8 horas 2 cabinas de sonido, 2 trípodes para cabinas, sistema de monitoreo, set de micrófono, 1 consola de sonido.</v>
      </c>
      <c r="E96" s="89">
        <f>IF(Estudio_Mercado_VF!G97="","",Estudio_Mercado_VF!G97)</f>
        <v>1</v>
      </c>
      <c r="F96" s="515">
        <f>IF(Estudio_Mercado_VF!AA97="","",Estudio_Mercado_VF!AA97)</f>
        <v>1511499.92</v>
      </c>
      <c r="G96" s="515">
        <f>IF(Estudio_Mercado_VF!AA97="","",Estudio_Mercado_VF!AB97)</f>
        <v>1511499.92</v>
      </c>
      <c r="H96" s="522"/>
      <c r="I96" s="523"/>
      <c r="J96" s="92"/>
      <c r="K96" s="93" t="str">
        <f t="shared" si="7"/>
        <v>Valor vacío</v>
      </c>
      <c r="L96" s="533">
        <f t="shared" si="8"/>
        <v>1511499.92</v>
      </c>
      <c r="M96" s="533" t="str">
        <f t="shared" si="9"/>
        <v/>
      </c>
      <c r="N96" s="533">
        <f t="shared" si="10"/>
        <v>1511499.92</v>
      </c>
    </row>
    <row r="97" spans="1:14">
      <c r="A97" s="87" t="s">
        <v>1153</v>
      </c>
      <c r="B97" s="90">
        <v>87</v>
      </c>
      <c r="C97" s="90" t="str">
        <f>IF(Estudio_Mercado_VF!D98="","",Estudio_Mercado_VF!D98)</f>
        <v>Alquiler ambulancia</v>
      </c>
      <c r="D97" s="91" t="str">
        <f>IF(Estudio_Mercado_VF!E98="","",Estudio_Mercado_VF!E98)</f>
        <v>Alquiler de Ambulancia medicalizada durante una jornada de 6 a 8 horas</v>
      </c>
      <c r="E97" s="89">
        <f>IF(Estudio_Mercado_VF!G98="","",Estudio_Mercado_VF!G98)</f>
        <v>1</v>
      </c>
      <c r="F97" s="515">
        <f>IF(Estudio_Mercado_VF!AA98="","",Estudio_Mercado_VF!AA98)</f>
        <v>1600153.3333333333</v>
      </c>
      <c r="G97" s="515">
        <f>IF(Estudio_Mercado_VF!AA98="","",Estudio_Mercado_VF!AB98)</f>
        <v>1600153.3333333333</v>
      </c>
      <c r="H97" s="522"/>
      <c r="I97" s="523"/>
      <c r="J97" s="92"/>
      <c r="K97" s="93" t="str">
        <f t="shared" si="7"/>
        <v>Valor vacío</v>
      </c>
      <c r="L97" s="533">
        <f t="shared" si="8"/>
        <v>1600153.3333333333</v>
      </c>
      <c r="M97" s="533" t="str">
        <f t="shared" si="9"/>
        <v/>
      </c>
      <c r="N97" s="533">
        <f t="shared" si="10"/>
        <v>1600153.3333333333</v>
      </c>
    </row>
    <row r="98" spans="1:14" ht="43.15">
      <c r="A98" s="87" t="s">
        <v>1153</v>
      </c>
      <c r="B98" s="90">
        <v>88</v>
      </c>
      <c r="C98" s="90" t="str">
        <f>IF(Estudio_Mercado_VF!D99="","",Estudio_Mercado_VF!D99)</f>
        <v>Alquiler de módulo de estabilización y clasificación de heridos MEC</v>
      </c>
      <c r="D98" s="91" t="str">
        <f>IF(Estudio_Mercado_VF!E99="","",Estudio_Mercado_VF!E99)</f>
        <v>Alquiler de módulo de estabilización y clasificación de heridos MEC, en carpa con acompañamiento de un médico, 2 parámedicos, equipo de primeros auxilios y elementos de atención durante toda la jornada, establecida entre 6-8 horas</v>
      </c>
      <c r="E98" s="89">
        <f>IF(Estudio_Mercado_VF!G99="","",Estudio_Mercado_VF!G99)</f>
        <v>1</v>
      </c>
      <c r="F98" s="515">
        <f>IF(Estudio_Mercado_VF!AA99="","",Estudio_Mercado_VF!AA99)</f>
        <v>1725500</v>
      </c>
      <c r="G98" s="515">
        <f>IF(Estudio_Mercado_VF!AA99="","",Estudio_Mercado_VF!AB99)</f>
        <v>1725500</v>
      </c>
      <c r="H98" s="522"/>
      <c r="I98" s="523"/>
      <c r="J98" s="92"/>
      <c r="K98" s="93" t="str">
        <f t="shared" si="7"/>
        <v>Valor vacío</v>
      </c>
      <c r="L98" s="533">
        <f t="shared" si="8"/>
        <v>1725500</v>
      </c>
      <c r="M98" s="533" t="str">
        <f t="shared" si="9"/>
        <v/>
      </c>
      <c r="N98" s="533">
        <f t="shared" si="10"/>
        <v>1725500</v>
      </c>
    </row>
    <row r="99" spans="1:14">
      <c r="A99" s="87" t="s">
        <v>1153</v>
      </c>
      <c r="B99" s="90">
        <v>89</v>
      </c>
      <c r="C99" s="90" t="str">
        <f>IF(Estudio_Mercado_VF!D100="","",Estudio_Mercado_VF!D100)</f>
        <v>Medalla</v>
      </c>
      <c r="D99" s="91" t="str">
        <f>IF(Estudio_Mercado_VF!E100="","",Estudio_Mercado_VF!E100)</f>
        <v>Medallas de participación de tamaño de 5 cm color bronce mate</v>
      </c>
      <c r="E99" s="89">
        <f>IF(Estudio_Mercado_VF!G100="","",Estudio_Mercado_VF!G100)</f>
        <v>100</v>
      </c>
      <c r="F99" s="515">
        <f>IF(Estudio_Mercado_VF!AA100="","",Estudio_Mercado_VF!AA100)</f>
        <v>7433.333333333333</v>
      </c>
      <c r="G99" s="515">
        <f>IF(Estudio_Mercado_VF!AA100="","",Estudio_Mercado_VF!AB100)</f>
        <v>743333.33333333326</v>
      </c>
      <c r="H99" s="522"/>
      <c r="I99" s="523"/>
      <c r="J99" s="92"/>
      <c r="K99" s="93" t="str">
        <f t="shared" si="7"/>
        <v>Valor vacío</v>
      </c>
      <c r="L99" s="533">
        <f t="shared" si="8"/>
        <v>7433.333333333333</v>
      </c>
      <c r="M99" s="533" t="str">
        <f t="shared" si="9"/>
        <v/>
      </c>
      <c r="N99" s="533">
        <f t="shared" si="10"/>
        <v>743333.33333333326</v>
      </c>
    </row>
    <row r="100" spans="1:14">
      <c r="A100" s="87" t="s">
        <v>1153</v>
      </c>
      <c r="B100" s="90">
        <v>90</v>
      </c>
      <c r="C100" s="90" t="str">
        <f>IF(Estudio_Mercado_VF!D101="","",Estudio_Mercado_VF!D101)</f>
        <v>Premiación primer puesto</v>
      </c>
      <c r="D100" s="91" t="str">
        <f>IF(Estudio_Mercado_VF!E101="","",Estudio_Mercado_VF!E101)</f>
        <v>Estadía por una noche en zona rural fuera de Bogotá, para dos personas</v>
      </c>
      <c r="E100" s="89">
        <f>IF(Estudio_Mercado_VF!G101="","",Estudio_Mercado_VF!G101)</f>
        <v>1</v>
      </c>
      <c r="F100" s="515">
        <f>IF(Estudio_Mercado_VF!AA101="","",Estudio_Mercado_VF!AA101)</f>
        <v>539999.99690000003</v>
      </c>
      <c r="G100" s="515">
        <f>IF(Estudio_Mercado_VF!AA101="","",Estudio_Mercado_VF!AB101)</f>
        <v>539999.99690000003</v>
      </c>
      <c r="H100" s="522"/>
      <c r="I100" s="523"/>
      <c r="J100" s="92"/>
      <c r="K100" s="93" t="str">
        <f t="shared" si="7"/>
        <v>Valor vacío</v>
      </c>
      <c r="L100" s="533">
        <f t="shared" si="8"/>
        <v>539999.99690000003</v>
      </c>
      <c r="M100" s="533" t="str">
        <f t="shared" si="9"/>
        <v/>
      </c>
      <c r="N100" s="533">
        <f t="shared" si="10"/>
        <v>539999.99690000003</v>
      </c>
    </row>
    <row r="101" spans="1:14" ht="57.6">
      <c r="A101" s="87" t="s">
        <v>1153</v>
      </c>
      <c r="B101" s="90">
        <v>91</v>
      </c>
      <c r="C101" s="90" t="str">
        <f>IF(Estudio_Mercado_VF!D102="","",Estudio_Mercado_VF!D102)</f>
        <v>Premiación segundo puesto</v>
      </c>
      <c r="D101" s="91" t="str">
        <f>IF(Estudio_Mercado_VF!E102="","",Estudio_Mercado_VF!E102)</f>
        <v>Visita al parque nacional natural Chingaza por un día, para una persona, el cual cuenta con servicio de transporte ida y regreso, almuerzo y refrigerio. El contratista debe garantizar el premio a través de un bono económico con el cual se cubran los gastos mencionados previamente</v>
      </c>
      <c r="E101" s="89">
        <f>IF(Estudio_Mercado_VF!G102="","",Estudio_Mercado_VF!G102)</f>
        <v>1</v>
      </c>
      <c r="F101" s="515">
        <f>IF(Estudio_Mercado_VF!AA102="","",Estudio_Mercado_VF!AA102)</f>
        <v>305665.00055</v>
      </c>
      <c r="G101" s="515">
        <f>IF(Estudio_Mercado_VF!AA102="","",Estudio_Mercado_VF!AB102)</f>
        <v>305665.00055</v>
      </c>
      <c r="H101" s="522"/>
      <c r="I101" s="523"/>
      <c r="J101" s="92"/>
      <c r="K101" s="93" t="str">
        <f t="shared" si="7"/>
        <v>Valor vacío</v>
      </c>
      <c r="L101" s="533">
        <f t="shared" si="8"/>
        <v>305665.00055</v>
      </c>
      <c r="M101" s="533" t="str">
        <f t="shared" si="9"/>
        <v/>
      </c>
      <c r="N101" s="533">
        <f t="shared" si="10"/>
        <v>305665.00055</v>
      </c>
    </row>
    <row r="102" spans="1:14" ht="28.9">
      <c r="A102" s="87" t="s">
        <v>1153</v>
      </c>
      <c r="B102" s="90">
        <v>92</v>
      </c>
      <c r="C102" s="90" t="str">
        <f>IF(Estudio_Mercado_VF!D103="","",Estudio_Mercado_VF!D103)</f>
        <v>Premiación tercer puesto</v>
      </c>
      <c r="D102" s="91" t="str">
        <f>IF(Estudio_Mercado_VF!E103="","",Estudio_Mercado_VF!E103)</f>
        <v xml:space="preserve">Bono físico o digital por 50 mil pesos de uso en tiendas físicas o plataformas online, con vigencia de un año </v>
      </c>
      <c r="E102" s="89">
        <f>IF(Estudio_Mercado_VF!G103="","",Estudio_Mercado_VF!G103)</f>
        <v>1</v>
      </c>
      <c r="F102" s="515">
        <f>IF(Estudio_Mercado_VF!AA103="","",Estudio_Mercado_VF!AA103)</f>
        <v>53960</v>
      </c>
      <c r="G102" s="515">
        <f>IF(Estudio_Mercado_VF!AA103="","",Estudio_Mercado_VF!AB103)</f>
        <v>53960</v>
      </c>
      <c r="H102" s="522"/>
      <c r="I102" s="523"/>
      <c r="J102" s="92"/>
      <c r="K102" s="93" t="str">
        <f t="shared" si="7"/>
        <v>Valor vacío</v>
      </c>
      <c r="L102" s="533">
        <f t="shared" si="8"/>
        <v>53960</v>
      </c>
      <c r="M102" s="533" t="str">
        <f t="shared" si="9"/>
        <v/>
      </c>
      <c r="N102" s="533">
        <f t="shared" si="10"/>
        <v>53960</v>
      </c>
    </row>
    <row r="103" spans="1:14" ht="28.9">
      <c r="A103" s="87" t="s">
        <v>1153</v>
      </c>
      <c r="B103" s="90">
        <v>93</v>
      </c>
      <c r="C103" s="90" t="str">
        <f>IF(Estudio_Mercado_VF!D104="","",Estudio_Mercado_VF!D104)</f>
        <v>Camiseta t-shirt o Camiseta blanca</v>
      </c>
      <c r="D103" s="91" t="str">
        <f>IF(Estudio_Mercado_VF!E104="","",Estudio_Mercado_VF!E104)</f>
        <v>100% en algodón de 185 gr. cuello redondo y/o en v, de diferentes tallas, marcadas en screen 4 tintas. fabricación y materiales nacionales</v>
      </c>
      <c r="E103" s="89">
        <f>IF(Estudio_Mercado_VF!G104="","",Estudio_Mercado_VF!G104)</f>
        <v>100</v>
      </c>
      <c r="F103" s="515">
        <f>IF(Estudio_Mercado_VF!AA104="","",Estudio_Mercado_VF!AA104)</f>
        <v>26583.333333333332</v>
      </c>
      <c r="G103" s="515">
        <f>IF(Estudio_Mercado_VF!AA104="","",Estudio_Mercado_VF!AB104)</f>
        <v>2658333.333333333</v>
      </c>
      <c r="H103" s="522"/>
      <c r="I103" s="523"/>
      <c r="J103" s="92"/>
      <c r="K103" s="93" t="str">
        <f t="shared" si="7"/>
        <v>Valor vacío</v>
      </c>
      <c r="L103" s="533">
        <f t="shared" si="8"/>
        <v>26583.333333333332</v>
      </c>
      <c r="M103" s="533" t="str">
        <f t="shared" si="9"/>
        <v/>
      </c>
      <c r="N103" s="533">
        <f t="shared" si="10"/>
        <v>2658333.333333333</v>
      </c>
    </row>
    <row r="104" spans="1:14" ht="187.15">
      <c r="A104" s="87" t="s">
        <v>1153</v>
      </c>
      <c r="B104" s="90">
        <v>94</v>
      </c>
      <c r="C104" s="90" t="str">
        <f>IF(Estudio_Mercado_VF!D105="","",Estudio_Mercado_VF!D105)</f>
        <v>Refrigerio Tipo 1</v>
      </c>
      <c r="D104" s="91" t="str">
        <f>IF(Estudio_Mercado_VF!E105="","",Estudio_Mercado_VF!E105)</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04" s="89">
        <f>IF(Estudio_Mercado_VF!G105="","",Estudio_Mercado_VF!G105)</f>
        <v>700</v>
      </c>
      <c r="F104" s="515">
        <f>IF(Estudio_Mercado_VF!AA105="","",Estudio_Mercado_VF!AA105)</f>
        <v>13135.02901234568</v>
      </c>
      <c r="G104" s="515">
        <f>IF(Estudio_Mercado_VF!AA105="","",Estudio_Mercado_VF!AB105)</f>
        <v>9194520.3086419757</v>
      </c>
      <c r="H104" s="522"/>
      <c r="I104" s="523"/>
      <c r="J104" s="92"/>
      <c r="K104" s="93" t="str">
        <f t="shared" si="7"/>
        <v>Valor vacío</v>
      </c>
      <c r="L104" s="533">
        <f t="shared" si="8"/>
        <v>13135.02901234568</v>
      </c>
      <c r="M104" s="533" t="str">
        <f t="shared" si="9"/>
        <v/>
      </c>
      <c r="N104" s="533">
        <f t="shared" si="10"/>
        <v>9194520.3086419757</v>
      </c>
    </row>
    <row r="105" spans="1:14">
      <c r="A105" s="87" t="s">
        <v>1153</v>
      </c>
      <c r="B105" s="90">
        <v>95</v>
      </c>
      <c r="C105" s="90" t="str">
        <f>IF(Estudio_Mercado_VF!D106="","",Estudio_Mercado_VF!D106)</f>
        <v>Bolsas negras</v>
      </c>
      <c r="D105" s="91" t="str">
        <f>IF(Estudio_Mercado_VF!E106="","",Estudio_Mercado_VF!E106)</f>
        <v xml:space="preserve">BOLSA NEGRA 60 X 80 PAQ. X 50 UND, disposicion de residuos </v>
      </c>
      <c r="E105" s="89">
        <f>IF(Estudio_Mercado_VF!G106="","",Estudio_Mercado_VF!G106)</f>
        <v>1</v>
      </c>
      <c r="F105" s="515">
        <f>IF(Estudio_Mercado_VF!AA106="","",Estudio_Mercado_VF!AA106)</f>
        <v>17659.333333333332</v>
      </c>
      <c r="G105" s="515">
        <f>IF(Estudio_Mercado_VF!AA106="","",Estudio_Mercado_VF!AB106)</f>
        <v>17659.333333333332</v>
      </c>
      <c r="H105" s="522"/>
      <c r="I105" s="523"/>
      <c r="J105" s="92"/>
      <c r="K105" s="93" t="str">
        <f t="shared" si="7"/>
        <v>Valor vacío</v>
      </c>
      <c r="L105" s="533">
        <f t="shared" si="8"/>
        <v>17659.333333333332</v>
      </c>
      <c r="M105" s="533" t="str">
        <f t="shared" si="9"/>
        <v/>
      </c>
      <c r="N105" s="533">
        <f t="shared" si="10"/>
        <v>17659.333333333332</v>
      </c>
    </row>
    <row r="106" spans="1:14">
      <c r="A106" s="87" t="s">
        <v>1153</v>
      </c>
      <c r="B106" s="90">
        <v>96</v>
      </c>
      <c r="C106" s="90" t="str">
        <f>IF(Estudio_Mercado_VF!D107="","",Estudio_Mercado_VF!D107)</f>
        <v xml:space="preserve">Bolsas blancas </v>
      </c>
      <c r="D106" s="91" t="str">
        <f>IF(Estudio_Mercado_VF!E107="","",Estudio_Mercado_VF!E107)</f>
        <v xml:space="preserve">BOLSA BLANCA 60 X 80 PAQ. X 50 UND, disposicion de residuos </v>
      </c>
      <c r="E106" s="89">
        <f>IF(Estudio_Mercado_VF!G107="","",Estudio_Mercado_VF!G107)</f>
        <v>1</v>
      </c>
      <c r="F106" s="515">
        <f>IF(Estudio_Mercado_VF!AA107="","",Estudio_Mercado_VF!AA107)</f>
        <v>18370</v>
      </c>
      <c r="G106" s="515">
        <f>IF(Estudio_Mercado_VF!AA107="","",Estudio_Mercado_VF!AB107)</f>
        <v>18370</v>
      </c>
      <c r="H106" s="522"/>
      <c r="I106" s="523"/>
      <c r="J106" s="92"/>
      <c r="K106" s="93" t="str">
        <f t="shared" si="7"/>
        <v>Valor vacío</v>
      </c>
      <c r="L106" s="533">
        <f t="shared" si="8"/>
        <v>18370</v>
      </c>
      <c r="M106" s="533" t="str">
        <f t="shared" si="9"/>
        <v/>
      </c>
      <c r="N106" s="533">
        <f t="shared" si="10"/>
        <v>18370</v>
      </c>
    </row>
    <row r="107" spans="1:14">
      <c r="A107" s="87" t="s">
        <v>1153</v>
      </c>
      <c r="B107" s="90">
        <v>97</v>
      </c>
      <c r="C107" s="90" t="str">
        <f>IF(Estudio_Mercado_VF!D108="","",Estudio_Mercado_VF!D108)</f>
        <v xml:space="preserve">Bolsas verdes </v>
      </c>
      <c r="D107" s="91" t="str">
        <f>IF(Estudio_Mercado_VF!E108="","",Estudio_Mercado_VF!E108)</f>
        <v xml:space="preserve">BOLSA VERDE 60 X 80 PAQ. X 50 UND, disposicion de residuos </v>
      </c>
      <c r="E107" s="89">
        <f>IF(Estudio_Mercado_VF!G108="","",Estudio_Mercado_VF!G108)</f>
        <v>1</v>
      </c>
      <c r="F107" s="515">
        <f>IF(Estudio_Mercado_VF!AA108="","",Estudio_Mercado_VF!AA108)</f>
        <v>18370</v>
      </c>
      <c r="G107" s="515">
        <f>IF(Estudio_Mercado_VF!AA108="","",Estudio_Mercado_VF!AB108)</f>
        <v>18370</v>
      </c>
      <c r="H107" s="522"/>
      <c r="I107" s="523"/>
      <c r="J107" s="92"/>
      <c r="K107" s="93" t="str">
        <f t="shared" si="7"/>
        <v>Valor vacío</v>
      </c>
      <c r="L107" s="533">
        <f t="shared" si="8"/>
        <v>18370</v>
      </c>
      <c r="M107" s="533" t="str">
        <f t="shared" si="9"/>
        <v/>
      </c>
      <c r="N107" s="533">
        <f t="shared" si="10"/>
        <v>18370</v>
      </c>
    </row>
    <row r="108" spans="1:14" ht="43.15">
      <c r="A108" s="87" t="s">
        <v>1153</v>
      </c>
      <c r="B108" s="90">
        <v>98</v>
      </c>
      <c r="C108" s="90" t="str">
        <f>IF(Estudio_Mercado_VF!D109="","",Estudio_Mercado_VF!D109)</f>
        <v>Tallerista</v>
      </c>
      <c r="D108" s="91" t="str">
        <f>IF(Estudio_Mercado_VF!E109="","",Estudio_Mercado_VF!E109)</f>
        <v>Tallerista (Por cada sesión) durante 4 horas, profesional como ingeniero/a ambiental, administrador ambiental, licenciado ambiental en educación ambiental, biólogo, ecólogo y/o carreras afines, servicio quedebe incluir el desplazamiento del tallerista</v>
      </c>
      <c r="E108" s="89">
        <f>IF(Estudio_Mercado_VF!G109="","",Estudio_Mercado_VF!G109)</f>
        <v>12</v>
      </c>
      <c r="F108" s="515">
        <f>IF(Estudio_Mercado_VF!AA109="","",Estudio_Mercado_VF!AA109)</f>
        <v>844900</v>
      </c>
      <c r="G108" s="515">
        <f>IF(Estudio_Mercado_VF!AA109="","",Estudio_Mercado_VF!AB109)</f>
        <v>10138800</v>
      </c>
      <c r="H108" s="522"/>
      <c r="I108" s="523"/>
      <c r="J108" s="92"/>
      <c r="K108" s="93" t="str">
        <f t="shared" si="7"/>
        <v>Valor vacío</v>
      </c>
      <c r="L108" s="533">
        <f t="shared" si="8"/>
        <v>844900</v>
      </c>
      <c r="M108" s="533" t="str">
        <f t="shared" si="9"/>
        <v/>
      </c>
      <c r="N108" s="533">
        <f t="shared" si="10"/>
        <v>10138800</v>
      </c>
    </row>
    <row r="109" spans="1:14">
      <c r="A109" s="87" t="s">
        <v>1153</v>
      </c>
      <c r="B109" s="90">
        <v>99</v>
      </c>
      <c r="C109" s="90" t="str">
        <f>IF(Estudio_Mercado_VF!D110="","",Estudio_Mercado_VF!D110)</f>
        <v>Medalla</v>
      </c>
      <c r="D109" s="91" t="str">
        <f>IF(Estudio_Mercado_VF!E110="","",Estudio_Mercado_VF!E110)</f>
        <v>Medallas de participación de tamaño de 5 cm color bronce mate</v>
      </c>
      <c r="E109" s="89">
        <f>IF(Estudio_Mercado_VF!G110="","",Estudio_Mercado_VF!G110)</f>
        <v>100</v>
      </c>
      <c r="F109" s="515">
        <f>IF(Estudio_Mercado_VF!AA110="","",Estudio_Mercado_VF!AA110)</f>
        <v>7433.333333333333</v>
      </c>
      <c r="G109" s="515">
        <f>IF(Estudio_Mercado_VF!AA110="","",Estudio_Mercado_VF!AB110)</f>
        <v>743333.33333333326</v>
      </c>
      <c r="H109" s="522"/>
      <c r="I109" s="523"/>
      <c r="J109" s="92"/>
      <c r="K109" s="93" t="str">
        <f t="shared" si="7"/>
        <v>Valor vacío</v>
      </c>
      <c r="L109" s="533">
        <f t="shared" si="8"/>
        <v>7433.333333333333</v>
      </c>
      <c r="M109" s="533" t="str">
        <f t="shared" si="9"/>
        <v/>
      </c>
      <c r="N109" s="533">
        <f t="shared" si="10"/>
        <v>743333.33333333326</v>
      </c>
    </row>
    <row r="110" spans="1:14" ht="43.15">
      <c r="A110" s="87" t="s">
        <v>1154</v>
      </c>
      <c r="B110" s="90">
        <v>100</v>
      </c>
      <c r="C110" s="90" t="str">
        <f>IF(Estudio_Mercado_VF!D114="","",Estudio_Mercado_VF!D114)</f>
        <v>Estación de café tipo 1</v>
      </c>
      <c r="D110" s="91" t="str">
        <f>IF(Estudio_Mercado_VF!E114="","",Estudio_Mercado_VF!E114)</f>
        <v>Servicio de cafetería para 50 personas (tinto, aromática y agua): Operario + presentación mesa + vasos de cartón bebida caliente 4 oz. + mezclador + azúcar + crema para café. Duración del evento aprox. 6 horas. Transporte incluido</v>
      </c>
      <c r="E110" s="89">
        <f>IF(Estudio_Mercado_VF!G114="","",Estudio_Mercado_VF!G114)</f>
        <v>10</v>
      </c>
      <c r="F110" s="515">
        <f>IF(Estudio_Mercado_VF!AA114="","",Estudio_Mercado_VF!AA114)</f>
        <v>511457.71500000003</v>
      </c>
      <c r="G110" s="515">
        <f>IF(Estudio_Mercado_VF!AA114="","",Estudio_Mercado_VF!AB114)</f>
        <v>5114577.1500000004</v>
      </c>
      <c r="H110" s="522"/>
      <c r="I110" s="523"/>
      <c r="J110" s="92"/>
      <c r="K110" s="93" t="str">
        <f t="shared" si="7"/>
        <v>Valor vacío</v>
      </c>
      <c r="L110" s="533">
        <f t="shared" si="8"/>
        <v>511457.71500000003</v>
      </c>
      <c r="M110" s="533" t="str">
        <f t="shared" si="9"/>
        <v/>
      </c>
      <c r="N110" s="533">
        <f t="shared" si="10"/>
        <v>5114577.1500000004</v>
      </c>
    </row>
    <row r="111" spans="1:14" ht="100.9">
      <c r="A111" s="87" t="s">
        <v>1154</v>
      </c>
      <c r="B111" s="90">
        <v>101</v>
      </c>
      <c r="C111" s="90" t="str">
        <f>IF(Estudio_Mercado_VF!D115="","",Estudio_Mercado_VF!D115)</f>
        <v>Servicios de cultivos agrícolas tipo 1</v>
      </c>
      <c r="D111" s="91" t="str">
        <f>IF(Estudio_Mercado_VF!E115="","",Estudio_Mercado_VF!E115)</f>
        <v xml:space="preserve">Servicio de cuadrilla conformada por un (1) técnico o tecnólogo ambiental y 3 operarios, con conocimientos y/o experiencia en jardinería y/o huertera, dotados con elementos de protección personal y de herramientas menor tales como: Cuatro (4) tijeras de poda, Cuatro (4) kit de jardinería (como mínimo Pala, Rastrillo, Palín de Acero) Mínimo un martillo y caja de puntillas Diez (10) bolsas de basura grandes 90*80 cm
El servicio corresponde a un servicio/día, el cual consta de jornadas de apoyo máximo de 3 horas al día a las huertas de la localidad de Suba que soliciten su apoyo. </v>
      </c>
      <c r="E111" s="89">
        <f>IF(Estudio_Mercado_VF!G115="","",Estudio_Mercado_VF!G115)</f>
        <v>1</v>
      </c>
      <c r="F111" s="515">
        <f>IF(Estudio_Mercado_VF!AA115="","",Estudio_Mercado_VF!AA115)</f>
        <v>790000</v>
      </c>
      <c r="G111" s="515">
        <f>IF(Estudio_Mercado_VF!AA115="","",Estudio_Mercado_VF!AB115)</f>
        <v>790000</v>
      </c>
      <c r="H111" s="522"/>
      <c r="I111" s="523"/>
      <c r="J111" s="92"/>
      <c r="K111" s="93" t="str">
        <f t="shared" si="7"/>
        <v>Valor vacío</v>
      </c>
      <c r="L111" s="533">
        <f t="shared" si="8"/>
        <v>790000</v>
      </c>
      <c r="M111" s="533" t="str">
        <f t="shared" si="9"/>
        <v/>
      </c>
      <c r="N111" s="533">
        <f t="shared" si="10"/>
        <v>790000</v>
      </c>
    </row>
    <row r="112" spans="1:14" ht="100.9">
      <c r="A112" s="87" t="s">
        <v>1154</v>
      </c>
      <c r="B112" s="90">
        <v>102</v>
      </c>
      <c r="C112" s="90" t="str">
        <f>IF(Estudio_Mercado_VF!D116="","",Estudio_Mercado_VF!D116)</f>
        <v>Servicios de cultivos agrícolas tipo 2</v>
      </c>
      <c r="D112" s="91" t="str">
        <f>IF(Estudio_Mercado_VF!E116="","",Estudio_Mercado_VF!E116)</f>
        <v xml:space="preserve">Servicio de un (1) operario para servicios en huertas pequeñas con apoyo de 2 horas por servicio; con conocimientos y/o experiencia en jardinería y/o huertera, dotados con elementos de protección personal, adicionalmente dotado de herramientas menor tales como: Una (1) tijera de poda, Un (1) kit de jardinería (como mínimo Pala, Rastrillo, Palín de Acero) Mínimo un martillo y caja de puntillas.Dos (2) bolsas de basura grandes 90*80 cm. El servicio corresponde a una jornadas de apoyo de 2 horas a las huertas de la localidad de Suba que soliciten su apoyo. </v>
      </c>
      <c r="E112" s="89">
        <f>IF(Estudio_Mercado_VF!G116="","",Estudio_Mercado_VF!G116)</f>
        <v>1</v>
      </c>
      <c r="F112" s="515">
        <f>IF(Estudio_Mercado_VF!AA116="","",Estudio_Mercado_VF!AA116)</f>
        <v>273333.33333333331</v>
      </c>
      <c r="G112" s="515">
        <f>IF(Estudio_Mercado_VF!AA116="","",Estudio_Mercado_VF!AB116)</f>
        <v>273333.33333333331</v>
      </c>
      <c r="H112" s="522"/>
      <c r="I112" s="523"/>
      <c r="J112" s="92"/>
      <c r="K112" s="93" t="str">
        <f t="shared" si="7"/>
        <v>Valor vacío</v>
      </c>
      <c r="L112" s="533">
        <f t="shared" si="8"/>
        <v>273333.33333333331</v>
      </c>
      <c r="M112" s="533" t="str">
        <f t="shared" si="9"/>
        <v/>
      </c>
      <c r="N112" s="533">
        <f t="shared" si="10"/>
        <v>273333.33333333331</v>
      </c>
    </row>
    <row r="113" spans="1:14">
      <c r="A113" s="87" t="s">
        <v>1154</v>
      </c>
      <c r="B113" s="90">
        <v>103</v>
      </c>
      <c r="C113" s="90" t="str">
        <f>IF(Estudio_Mercado_VF!D117="","",Estudio_Mercado_VF!D117)</f>
        <v>Semilla de Quinoa</v>
      </c>
      <c r="D113" s="91" t="str">
        <f>IF(Estudio_Mercado_VF!E117="","",Estudio_Mercado_VF!E117)</f>
        <v>Bolsa de semillas X 50GR</v>
      </c>
      <c r="E113" s="89">
        <f>IF(Estudio_Mercado_VF!G117="","",Estudio_Mercado_VF!G117)</f>
        <v>1</v>
      </c>
      <c r="F113" s="515">
        <f>IF(Estudio_Mercado_VF!AA117="","",Estudio_Mercado_VF!AA117)</f>
        <v>4033.3333333333335</v>
      </c>
      <c r="G113" s="515">
        <f>IF(Estudio_Mercado_VF!AA117="","",Estudio_Mercado_VF!AB117)</f>
        <v>4033.3333333333335</v>
      </c>
      <c r="H113" s="522"/>
      <c r="I113" s="523"/>
      <c r="J113" s="92"/>
      <c r="K113" s="93" t="str">
        <f t="shared" si="7"/>
        <v>Valor vacío</v>
      </c>
      <c r="L113" s="533">
        <f t="shared" si="8"/>
        <v>4033.3333333333335</v>
      </c>
      <c r="M113" s="533" t="str">
        <f t="shared" si="9"/>
        <v/>
      </c>
      <c r="N113" s="533">
        <f t="shared" si="10"/>
        <v>4033.3333333333335</v>
      </c>
    </row>
    <row r="114" spans="1:14">
      <c r="A114" s="87" t="s">
        <v>1154</v>
      </c>
      <c r="B114" s="90">
        <v>104</v>
      </c>
      <c r="C114" s="90" t="str">
        <f>IF(Estudio_Mercado_VF!D118="","",Estudio_Mercado_VF!D118)</f>
        <v>Semilla de Apio</v>
      </c>
      <c r="D114" s="91" t="str">
        <f>IF(Estudio_Mercado_VF!E118="","",Estudio_Mercado_VF!E118)</f>
        <v>Bolsa de semillas X 2GR</v>
      </c>
      <c r="E114" s="89">
        <f>IF(Estudio_Mercado_VF!G118="","",Estudio_Mercado_VF!G118)</f>
        <v>1</v>
      </c>
      <c r="F114" s="515">
        <f>IF(Estudio_Mercado_VF!AA118="","",Estudio_Mercado_VF!AA118)</f>
        <v>3866.6666666666665</v>
      </c>
      <c r="G114" s="515">
        <f>IF(Estudio_Mercado_VF!AA118="","",Estudio_Mercado_VF!AB118)</f>
        <v>3866.6666666666665</v>
      </c>
      <c r="H114" s="522"/>
      <c r="I114" s="523"/>
      <c r="J114" s="92"/>
      <c r="K114" s="93" t="str">
        <f t="shared" si="7"/>
        <v>Valor vacío</v>
      </c>
      <c r="L114" s="533">
        <f t="shared" si="8"/>
        <v>3866.6666666666665</v>
      </c>
      <c r="M114" s="533" t="str">
        <f t="shared" si="9"/>
        <v/>
      </c>
      <c r="N114" s="533">
        <f t="shared" si="10"/>
        <v>3866.6666666666665</v>
      </c>
    </row>
    <row r="115" spans="1:14">
      <c r="A115" s="87" t="s">
        <v>1154</v>
      </c>
      <c r="B115" s="90">
        <v>105</v>
      </c>
      <c r="C115" s="90" t="str">
        <f>IF(Estudio_Mercado_VF!D119="","",Estudio_Mercado_VF!D119)</f>
        <v>Semilla de Tomate Cherry</v>
      </c>
      <c r="D115" s="91" t="str">
        <f>IF(Estudio_Mercado_VF!E119="","",Estudio_Mercado_VF!E119)</f>
        <v>Bolsa de semillas X 30 unidades o 0,3 GR</v>
      </c>
      <c r="E115" s="89">
        <f>IF(Estudio_Mercado_VF!G119="","",Estudio_Mercado_VF!G119)</f>
        <v>1</v>
      </c>
      <c r="F115" s="515">
        <f>IF(Estudio_Mercado_VF!AA119="","",Estudio_Mercado_VF!AA119)</f>
        <v>3733.3333333333335</v>
      </c>
      <c r="G115" s="515">
        <f>IF(Estudio_Mercado_VF!AA119="","",Estudio_Mercado_VF!AB119)</f>
        <v>3733.3333333333335</v>
      </c>
      <c r="H115" s="522"/>
      <c r="I115" s="523"/>
      <c r="J115" s="92"/>
      <c r="K115" s="93" t="str">
        <f t="shared" si="7"/>
        <v>Valor vacío</v>
      </c>
      <c r="L115" s="533">
        <f t="shared" si="8"/>
        <v>3733.3333333333335</v>
      </c>
      <c r="M115" s="533" t="str">
        <f t="shared" si="9"/>
        <v/>
      </c>
      <c r="N115" s="533">
        <f t="shared" si="10"/>
        <v>3733.3333333333335</v>
      </c>
    </row>
    <row r="116" spans="1:14">
      <c r="A116" s="87" t="s">
        <v>1154</v>
      </c>
      <c r="B116" s="90">
        <v>106</v>
      </c>
      <c r="C116" s="90" t="str">
        <f>IF(Estudio_Mercado_VF!D120="","",Estudio_Mercado_VF!D120)</f>
        <v>Semilla Guascas</v>
      </c>
      <c r="D116" s="91" t="str">
        <f>IF(Estudio_Mercado_VF!E120="","",Estudio_Mercado_VF!E120)</f>
        <v>Bolsa de semillas X 50GR</v>
      </c>
      <c r="E116" s="89">
        <f>IF(Estudio_Mercado_VF!G120="","",Estudio_Mercado_VF!G120)</f>
        <v>1</v>
      </c>
      <c r="F116" s="515">
        <f>IF(Estudio_Mercado_VF!AA120="","",Estudio_Mercado_VF!AA120)</f>
        <v>14500</v>
      </c>
      <c r="G116" s="515">
        <f>IF(Estudio_Mercado_VF!AA120="","",Estudio_Mercado_VF!AB120)</f>
        <v>14500</v>
      </c>
      <c r="H116" s="522"/>
      <c r="I116" s="523"/>
      <c r="J116" s="92"/>
      <c r="K116" s="93" t="str">
        <f t="shared" si="7"/>
        <v>Valor vacío</v>
      </c>
      <c r="L116" s="533">
        <f t="shared" si="8"/>
        <v>14500</v>
      </c>
      <c r="M116" s="533" t="str">
        <f t="shared" si="9"/>
        <v/>
      </c>
      <c r="N116" s="533">
        <f t="shared" si="10"/>
        <v>14500</v>
      </c>
    </row>
    <row r="117" spans="1:14">
      <c r="A117" s="87" t="s">
        <v>1154</v>
      </c>
      <c r="B117" s="90">
        <v>107</v>
      </c>
      <c r="C117" s="90" t="str">
        <f>IF(Estudio_Mercado_VF!D121="","",Estudio_Mercado_VF!D121)</f>
        <v>Semilla de Kale</v>
      </c>
      <c r="D117" s="91" t="str">
        <f>IF(Estudio_Mercado_VF!E121="","",Estudio_Mercado_VF!E121)</f>
        <v>Bolsa de semillas X 2 GR</v>
      </c>
      <c r="E117" s="89">
        <f>IF(Estudio_Mercado_VF!G121="","",Estudio_Mercado_VF!G121)</f>
        <v>1</v>
      </c>
      <c r="F117" s="515">
        <f>IF(Estudio_Mercado_VF!AA121="","",Estudio_Mercado_VF!AA121)</f>
        <v>3666.6666666666665</v>
      </c>
      <c r="G117" s="515">
        <f>IF(Estudio_Mercado_VF!AA121="","",Estudio_Mercado_VF!AB121)</f>
        <v>3666.6666666666665</v>
      </c>
      <c r="H117" s="522"/>
      <c r="I117" s="523"/>
      <c r="J117" s="92"/>
      <c r="K117" s="93" t="str">
        <f t="shared" si="7"/>
        <v>Valor vacío</v>
      </c>
      <c r="L117" s="533">
        <f t="shared" si="8"/>
        <v>3666.6666666666665</v>
      </c>
      <c r="M117" s="533" t="str">
        <f t="shared" si="9"/>
        <v/>
      </c>
      <c r="N117" s="533">
        <f t="shared" si="10"/>
        <v>3666.6666666666665</v>
      </c>
    </row>
    <row r="118" spans="1:14">
      <c r="A118" s="87" t="s">
        <v>1154</v>
      </c>
      <c r="B118" s="90">
        <v>108</v>
      </c>
      <c r="C118" s="90" t="str">
        <f>IF(Estudio_Mercado_VF!D122="","",Estudio_Mercado_VF!D122)</f>
        <v>Semilla de Albahaca Morada</v>
      </c>
      <c r="D118" s="91" t="str">
        <f>IF(Estudio_Mercado_VF!E122="","",Estudio_Mercado_VF!E122)</f>
        <v>Bolsa de semillas X 0,5 GR</v>
      </c>
      <c r="E118" s="89">
        <f>IF(Estudio_Mercado_VF!G122="","",Estudio_Mercado_VF!G122)</f>
        <v>1</v>
      </c>
      <c r="F118" s="515">
        <f>IF(Estudio_Mercado_VF!AA122="","",Estudio_Mercado_VF!AA122)</f>
        <v>4100</v>
      </c>
      <c r="G118" s="515">
        <f>IF(Estudio_Mercado_VF!AA122="","",Estudio_Mercado_VF!AB122)</f>
        <v>4100</v>
      </c>
      <c r="H118" s="522"/>
      <c r="I118" s="523"/>
      <c r="J118" s="92"/>
      <c r="K118" s="93" t="str">
        <f t="shared" si="7"/>
        <v>Valor vacío</v>
      </c>
      <c r="L118" s="533">
        <f t="shared" si="8"/>
        <v>4100</v>
      </c>
      <c r="M118" s="533" t="str">
        <f t="shared" si="9"/>
        <v/>
      </c>
      <c r="N118" s="533">
        <f t="shared" si="10"/>
        <v>4100</v>
      </c>
    </row>
    <row r="119" spans="1:14">
      <c r="A119" s="87" t="s">
        <v>1154</v>
      </c>
      <c r="B119" s="90">
        <v>109</v>
      </c>
      <c r="C119" s="90" t="str">
        <f>IF(Estudio_Mercado_VF!D123="","",Estudio_Mercado_VF!D123)</f>
        <v>Semilla de Alverja (Pisum sativum)</v>
      </c>
      <c r="D119" s="91" t="str">
        <f>IF(Estudio_Mercado_VF!E123="","",Estudio_Mercado_VF!E123)</f>
        <v>Paquete de semillas x Kilo / Libra </v>
      </c>
      <c r="E119" s="89">
        <f>IF(Estudio_Mercado_VF!G123="","",Estudio_Mercado_VF!G123)</f>
        <v>1</v>
      </c>
      <c r="F119" s="515">
        <f>IF(Estudio_Mercado_VF!AA123="","",Estudio_Mercado_VF!AA123)</f>
        <v>16500</v>
      </c>
      <c r="G119" s="515">
        <f>IF(Estudio_Mercado_VF!AA123="","",Estudio_Mercado_VF!AB123)</f>
        <v>16500</v>
      </c>
      <c r="H119" s="522"/>
      <c r="I119" s="523"/>
      <c r="J119" s="92"/>
      <c r="K119" s="93" t="str">
        <f t="shared" si="7"/>
        <v>Valor vacío</v>
      </c>
      <c r="L119" s="533">
        <f t="shared" si="8"/>
        <v>16500</v>
      </c>
      <c r="M119" s="533" t="str">
        <f t="shared" si="9"/>
        <v/>
      </c>
      <c r="N119" s="533">
        <f t="shared" si="10"/>
        <v>16500</v>
      </c>
    </row>
    <row r="120" spans="1:14">
      <c r="A120" s="87" t="s">
        <v>1154</v>
      </c>
      <c r="B120" s="90">
        <v>110</v>
      </c>
      <c r="C120" s="90" t="str">
        <f>IF(Estudio_Mercado_VF!D124="","",Estudio_Mercado_VF!D124)</f>
        <v>Plántula de brócoli</v>
      </c>
      <c r="D120" s="91" t="str">
        <f>IF(Estudio_Mercado_VF!E124="","",Estudio_Mercado_VF!E124)</f>
        <v>Buenas condiciones sanitarias, de 6 a 10 cm de alto en bolsa negra con tierra negra</v>
      </c>
      <c r="E120" s="89">
        <f>IF(Estudio_Mercado_VF!G124="","",Estudio_Mercado_VF!G124)</f>
        <v>1</v>
      </c>
      <c r="F120" s="515">
        <f>IF(Estudio_Mercado_VF!AA124="","",Estudio_Mercado_VF!AA124)</f>
        <v>1500</v>
      </c>
      <c r="G120" s="515">
        <f>IF(Estudio_Mercado_VF!AA124="","",Estudio_Mercado_VF!AB124)</f>
        <v>1500</v>
      </c>
      <c r="H120" s="522"/>
      <c r="I120" s="523"/>
      <c r="J120" s="92"/>
      <c r="K120" s="93" t="str">
        <f t="shared" si="7"/>
        <v>Valor vacío</v>
      </c>
      <c r="L120" s="533">
        <f t="shared" si="8"/>
        <v>1500</v>
      </c>
      <c r="M120" s="533" t="str">
        <f t="shared" si="9"/>
        <v/>
      </c>
      <c r="N120" s="533">
        <f t="shared" si="10"/>
        <v>1500</v>
      </c>
    </row>
    <row r="121" spans="1:14">
      <c r="A121" s="87" t="s">
        <v>1154</v>
      </c>
      <c r="B121" s="90">
        <v>111</v>
      </c>
      <c r="C121" s="90" t="str">
        <f>IF(Estudio_Mercado_VF!D125="","",Estudio_Mercado_VF!D125)</f>
        <v>Plántula de cebolla puerro</v>
      </c>
      <c r="D121" s="91" t="str">
        <f>IF(Estudio_Mercado_VF!E125="","",Estudio_Mercado_VF!E125)</f>
        <v>Buenas condiciones sanitarias, de 6 a 10 cm de alto en bolsa negra con tierra negra</v>
      </c>
      <c r="E121" s="89">
        <f>IF(Estudio_Mercado_VF!G125="","",Estudio_Mercado_VF!G125)</f>
        <v>1</v>
      </c>
      <c r="F121" s="515">
        <f>IF(Estudio_Mercado_VF!AA125="","",Estudio_Mercado_VF!AA125)</f>
        <v>196.33333333333334</v>
      </c>
      <c r="G121" s="515">
        <f>IF(Estudio_Mercado_VF!AA125="","",Estudio_Mercado_VF!AB125)</f>
        <v>196.33333333333334</v>
      </c>
      <c r="H121" s="522"/>
      <c r="I121" s="523"/>
      <c r="J121" s="92"/>
      <c r="K121" s="93" t="str">
        <f t="shared" si="7"/>
        <v>Valor vacío</v>
      </c>
      <c r="L121" s="533">
        <f t="shared" si="8"/>
        <v>196.33333333333334</v>
      </c>
      <c r="M121" s="533" t="str">
        <f t="shared" si="9"/>
        <v/>
      </c>
      <c r="N121" s="533">
        <f t="shared" si="10"/>
        <v>196.33333333333334</v>
      </c>
    </row>
    <row r="122" spans="1:14">
      <c r="A122" s="87" t="s">
        <v>1154</v>
      </c>
      <c r="B122" s="90">
        <v>112</v>
      </c>
      <c r="C122" s="90" t="str">
        <f>IF(Estudio_Mercado_VF!D126="","",Estudio_Mercado_VF!D126)</f>
        <v>Plántula de lechuga verde crespa</v>
      </c>
      <c r="D122" s="91" t="str">
        <f>IF(Estudio_Mercado_VF!E126="","",Estudio_Mercado_VF!E126)</f>
        <v>Buenas condiciones sanitarias, de 6 a 10 cm de alto en bolsa negra con tierra negra</v>
      </c>
      <c r="E122" s="89">
        <f>IF(Estudio_Mercado_VF!G126="","",Estudio_Mercado_VF!G126)</f>
        <v>1</v>
      </c>
      <c r="F122" s="515">
        <f>IF(Estudio_Mercado_VF!AA126="","",Estudio_Mercado_VF!AA126)</f>
        <v>223.33333333333334</v>
      </c>
      <c r="G122" s="515">
        <f>IF(Estudio_Mercado_VF!AA126="","",Estudio_Mercado_VF!AB126)</f>
        <v>223.33333333333334</v>
      </c>
      <c r="H122" s="522"/>
      <c r="I122" s="523"/>
      <c r="J122" s="92"/>
      <c r="K122" s="93" t="str">
        <f t="shared" si="7"/>
        <v>Valor vacío</v>
      </c>
      <c r="L122" s="533">
        <f t="shared" si="8"/>
        <v>223.33333333333334</v>
      </c>
      <c r="M122" s="533" t="str">
        <f t="shared" si="9"/>
        <v/>
      </c>
      <c r="N122" s="533">
        <f t="shared" si="10"/>
        <v>223.33333333333334</v>
      </c>
    </row>
    <row r="123" spans="1:14">
      <c r="A123" s="87" t="s">
        <v>1154</v>
      </c>
      <c r="B123" s="90">
        <v>113</v>
      </c>
      <c r="C123" s="90" t="str">
        <f>IF(Estudio_Mercado_VF!D127="","",Estudio_Mercado_VF!D127)</f>
        <v>plántula de menta</v>
      </c>
      <c r="D123" s="91" t="str">
        <f>IF(Estudio_Mercado_VF!E127="","",Estudio_Mercado_VF!E127)</f>
        <v>Buenas condiciones sanitarias, de 6 a 10 cm de alto en bolsa negra con tierra negra</v>
      </c>
      <c r="E123" s="89">
        <f>IF(Estudio_Mercado_VF!G127="","",Estudio_Mercado_VF!G127)</f>
        <v>1</v>
      </c>
      <c r="F123" s="515">
        <f>IF(Estudio_Mercado_VF!AA127="","",Estudio_Mercado_VF!AA127)</f>
        <v>363.33333333333331</v>
      </c>
      <c r="G123" s="515">
        <f>IF(Estudio_Mercado_VF!AA127="","",Estudio_Mercado_VF!AB127)</f>
        <v>363.33333333333331</v>
      </c>
      <c r="H123" s="522"/>
      <c r="I123" s="523"/>
      <c r="J123" s="92"/>
      <c r="K123" s="93" t="str">
        <f t="shared" si="7"/>
        <v>Valor vacío</v>
      </c>
      <c r="L123" s="533">
        <f t="shared" si="8"/>
        <v>363.33333333333331</v>
      </c>
      <c r="M123" s="533" t="str">
        <f t="shared" si="9"/>
        <v/>
      </c>
      <c r="N123" s="533">
        <f t="shared" si="10"/>
        <v>363.33333333333331</v>
      </c>
    </row>
    <row r="124" spans="1:14">
      <c r="A124" s="87" t="s">
        <v>1154</v>
      </c>
      <c r="B124" s="90">
        <v>114</v>
      </c>
      <c r="C124" s="90" t="str">
        <f>IF(Estudio_Mercado_VF!D128="","",Estudio_Mercado_VF!D128)</f>
        <v>plántula de caléndula</v>
      </c>
      <c r="D124" s="91" t="str">
        <f>IF(Estudio_Mercado_VF!E128="","",Estudio_Mercado_VF!E128)</f>
        <v>Buenas condiciones sanitarias, de 6 a 10 cm de alto en bolsa negra con tierra negra</v>
      </c>
      <c r="E124" s="89">
        <f>IF(Estudio_Mercado_VF!G128="","",Estudio_Mercado_VF!G128)</f>
        <v>1</v>
      </c>
      <c r="F124" s="515">
        <f>IF(Estudio_Mercado_VF!AA128="","",Estudio_Mercado_VF!AA128)</f>
        <v>390</v>
      </c>
      <c r="G124" s="515">
        <f>IF(Estudio_Mercado_VF!AA128="","",Estudio_Mercado_VF!AB128)</f>
        <v>390</v>
      </c>
      <c r="H124" s="522"/>
      <c r="I124" s="523"/>
      <c r="J124" s="92"/>
      <c r="K124" s="93" t="str">
        <f t="shared" si="7"/>
        <v>Valor vacío</v>
      </c>
      <c r="L124" s="533">
        <f t="shared" si="8"/>
        <v>390</v>
      </c>
      <c r="M124" s="533" t="str">
        <f t="shared" si="9"/>
        <v/>
      </c>
      <c r="N124" s="533">
        <f t="shared" si="10"/>
        <v>390</v>
      </c>
    </row>
    <row r="125" spans="1:14" ht="28.9">
      <c r="A125" s="87" t="s">
        <v>1154</v>
      </c>
      <c r="B125" s="90">
        <v>115</v>
      </c>
      <c r="C125" s="90" t="str">
        <f>IF(Estudio_Mercado_VF!D129="","",Estudio_Mercado_VF!D129)</f>
        <v>Plántula de Cilantro (Coriandrum sativum)</v>
      </c>
      <c r="D125" s="91" t="str">
        <f>IF(Estudio_Mercado_VF!E129="","",Estudio_Mercado_VF!E129)</f>
        <v>Mide entre 5 y 12 centímetros de alto, tiene un tallo delgado de 1 a 3 milímetros, entre 2 y 6 hojas pequeñas, y raíces finas de unos 4 a 10 centímetros de largo. </v>
      </c>
      <c r="E125" s="89">
        <f>IF(Estudio_Mercado_VF!G129="","",Estudio_Mercado_VF!G129)</f>
        <v>1</v>
      </c>
      <c r="F125" s="515">
        <f>IF(Estudio_Mercado_VF!AA129="","",Estudio_Mercado_VF!AA129)</f>
        <v>1400</v>
      </c>
      <c r="G125" s="515">
        <f>IF(Estudio_Mercado_VF!AA129="","",Estudio_Mercado_VF!AB129)</f>
        <v>1400</v>
      </c>
      <c r="H125" s="522"/>
      <c r="I125" s="523"/>
      <c r="J125" s="92"/>
      <c r="K125" s="93" t="str">
        <f t="shared" si="7"/>
        <v>Valor vacío</v>
      </c>
      <c r="L125" s="533">
        <f t="shared" si="8"/>
        <v>1400</v>
      </c>
      <c r="M125" s="533" t="str">
        <f t="shared" si="9"/>
        <v/>
      </c>
      <c r="N125" s="533">
        <f t="shared" si="10"/>
        <v>1400</v>
      </c>
    </row>
    <row r="126" spans="1:14" ht="28.9">
      <c r="A126" s="87" t="s">
        <v>1154</v>
      </c>
      <c r="B126" s="90">
        <v>116</v>
      </c>
      <c r="C126" s="90" t="str">
        <f>IF(Estudio_Mercado_VF!D130="","",Estudio_Mercado_VF!D130)</f>
        <v>Plántula de Zanahoria (Daucus carota)</v>
      </c>
      <c r="D126" s="91" t="str">
        <f>IF(Estudio_Mercado_VF!E130="","",Estudio_Mercado_VF!E130)</f>
        <v>Mide entre 5 y 12 centímetros de alto, tiene un tallo delgado de 1 a 3 milímetros, entre 2 y 6 hojas pequeñas, y raíces finas de unos 4 a 10 centímetros de largo. </v>
      </c>
      <c r="E126" s="89">
        <f>IF(Estudio_Mercado_VF!G130="","",Estudio_Mercado_VF!G130)</f>
        <v>1</v>
      </c>
      <c r="F126" s="515">
        <f>IF(Estudio_Mercado_VF!AA130="","",Estudio_Mercado_VF!AA130)</f>
        <v>288.33333333333331</v>
      </c>
      <c r="G126" s="515">
        <f>IF(Estudio_Mercado_VF!AA130="","",Estudio_Mercado_VF!AB130)</f>
        <v>288.33333333333331</v>
      </c>
      <c r="H126" s="522"/>
      <c r="I126" s="523"/>
      <c r="J126" s="92"/>
      <c r="K126" s="93" t="str">
        <f t="shared" si="7"/>
        <v>Valor vacío</v>
      </c>
      <c r="L126" s="533">
        <f t="shared" si="8"/>
        <v>288.33333333333331</v>
      </c>
      <c r="M126" s="533" t="str">
        <f t="shared" si="9"/>
        <v/>
      </c>
      <c r="N126" s="533">
        <f t="shared" si="10"/>
        <v>288.33333333333331</v>
      </c>
    </row>
    <row r="127" spans="1:14" ht="28.9">
      <c r="A127" s="87" t="s">
        <v>1154</v>
      </c>
      <c r="B127" s="90">
        <v>117</v>
      </c>
      <c r="C127" s="90" t="str">
        <f>IF(Estudio_Mercado_VF!D131="","",Estudio_Mercado_VF!D131)</f>
        <v>Plántula de Lechuga crespa morada (Lactuca sativa var. crispa)</v>
      </c>
      <c r="D127" s="91" t="str">
        <f>IF(Estudio_Mercado_VF!E131="","",Estudio_Mercado_VF!E131)</f>
        <v>Mide entre 5 y 12 centímetros de alto, tiene un tallo delgado de 1 a 3 milímetros, entre 2 y 6 hojas pequeñas, y raíces finas de unos 4 a 10 centímetros de largo. </v>
      </c>
      <c r="E127" s="89">
        <f>IF(Estudio_Mercado_VF!G131="","",Estudio_Mercado_VF!G131)</f>
        <v>1</v>
      </c>
      <c r="F127" s="515">
        <f>IF(Estudio_Mercado_VF!AA131="","",Estudio_Mercado_VF!AA131)</f>
        <v>248.66666666666666</v>
      </c>
      <c r="G127" s="515">
        <f>IF(Estudio_Mercado_VF!AA131="","",Estudio_Mercado_VF!AB131)</f>
        <v>248.66666666666666</v>
      </c>
      <c r="H127" s="522"/>
      <c r="I127" s="523"/>
      <c r="J127" s="92"/>
      <c r="K127" s="93" t="str">
        <f t="shared" si="7"/>
        <v>Valor vacío</v>
      </c>
      <c r="L127" s="533">
        <f t="shared" si="8"/>
        <v>248.66666666666666</v>
      </c>
      <c r="M127" s="533" t="str">
        <f t="shared" si="9"/>
        <v/>
      </c>
      <c r="N127" s="533">
        <f t="shared" si="10"/>
        <v>248.66666666666666</v>
      </c>
    </row>
    <row r="128" spans="1:14" ht="28.9">
      <c r="A128" s="87" t="s">
        <v>1154</v>
      </c>
      <c r="B128" s="90">
        <v>118</v>
      </c>
      <c r="C128" s="90" t="str">
        <f>IF(Estudio_Mercado_VF!D132="","",Estudio_Mercado_VF!D132)</f>
        <v>Plántula de Lechuga lisa verde (Lactuca sativa var. capitata)</v>
      </c>
      <c r="D128" s="91" t="str">
        <f>IF(Estudio_Mercado_VF!E132="","",Estudio_Mercado_VF!E132)</f>
        <v>Mide entre 5 y 12 centímetros de alto, tiene un tallo delgado de 1 a 3 milímetros, entre 2 y 6 hojas pequeñas, y raíces finas de unos 4 a 10 centímetros de largo. </v>
      </c>
      <c r="E128" s="89">
        <f>IF(Estudio_Mercado_VF!G132="","",Estudio_Mercado_VF!G132)</f>
        <v>1</v>
      </c>
      <c r="F128" s="515">
        <f>IF(Estudio_Mercado_VF!AA132="","",Estudio_Mercado_VF!AA132)</f>
        <v>288.66666666666669</v>
      </c>
      <c r="G128" s="515">
        <f>IF(Estudio_Mercado_VF!AA132="","",Estudio_Mercado_VF!AB132)</f>
        <v>288.66666666666669</v>
      </c>
      <c r="H128" s="522"/>
      <c r="I128" s="523"/>
      <c r="J128" s="92"/>
      <c r="K128" s="93" t="str">
        <f t="shared" si="7"/>
        <v>Valor vacío</v>
      </c>
      <c r="L128" s="533">
        <f t="shared" si="8"/>
        <v>288.66666666666669</v>
      </c>
      <c r="M128" s="533" t="str">
        <f t="shared" si="9"/>
        <v/>
      </c>
      <c r="N128" s="533">
        <f t="shared" si="10"/>
        <v>288.66666666666669</v>
      </c>
    </row>
    <row r="129" spans="1:14" ht="28.9">
      <c r="A129" s="87" t="s">
        <v>1154</v>
      </c>
      <c r="B129" s="90">
        <v>119</v>
      </c>
      <c r="C129" s="90" t="str">
        <f>IF(Estudio_Mercado_VF!D133="","",Estudio_Mercado_VF!D133)</f>
        <v>Plántula de Lechuga lisa morada (Lactuca sativa var. capitata)</v>
      </c>
      <c r="D129" s="91" t="str">
        <f>IF(Estudio_Mercado_VF!E133="","",Estudio_Mercado_VF!E133)</f>
        <v>Mide entre 5 y 12 centímetros de alto, tiene un tallo delgado de 1 a 3 milímetros, entre 2 y 6 hojas pequeñas, y raíces finas de unos 4 a 10 centímetros de largo. </v>
      </c>
      <c r="E129" s="89">
        <f>IF(Estudio_Mercado_VF!G133="","",Estudio_Mercado_VF!G133)</f>
        <v>1</v>
      </c>
      <c r="F129" s="515">
        <f>IF(Estudio_Mercado_VF!AA133="","",Estudio_Mercado_VF!AA133)</f>
        <v>291.66666666666669</v>
      </c>
      <c r="G129" s="515">
        <f>IF(Estudio_Mercado_VF!AA133="","",Estudio_Mercado_VF!AB133)</f>
        <v>291.66666666666669</v>
      </c>
      <c r="H129" s="522"/>
      <c r="I129" s="523"/>
      <c r="J129" s="92"/>
      <c r="K129" s="93" t="str">
        <f t="shared" si="7"/>
        <v>Valor vacío</v>
      </c>
      <c r="L129" s="533">
        <f t="shared" si="8"/>
        <v>291.66666666666669</v>
      </c>
      <c r="M129" s="533" t="str">
        <f t="shared" si="9"/>
        <v/>
      </c>
      <c r="N129" s="533">
        <f t="shared" si="10"/>
        <v>291.66666666666669</v>
      </c>
    </row>
    <row r="130" spans="1:14" ht="28.9">
      <c r="A130" s="87" t="s">
        <v>1154</v>
      </c>
      <c r="B130" s="90">
        <v>120</v>
      </c>
      <c r="C130" s="90" t="str">
        <f>IF(Estudio_Mercado_VF!D134="","",Estudio_Mercado_VF!D134)</f>
        <v>Plántula de Lechuga Batavia (Lactuca sativa var. capitata)</v>
      </c>
      <c r="D130" s="91" t="str">
        <f>IF(Estudio_Mercado_VF!E134="","",Estudio_Mercado_VF!E134)</f>
        <v>Mide entre 5 y 12 centímetros de alto, tiene un tallo delgado de 1 a 3 milímetros, entre 2 y 6 hojas pequeñas, y raíces finas de unos 4 a 10 centímetros de largo. </v>
      </c>
      <c r="E130" s="89">
        <f>IF(Estudio_Mercado_VF!G134="","",Estudio_Mercado_VF!G134)</f>
        <v>1</v>
      </c>
      <c r="F130" s="515">
        <f>IF(Estudio_Mercado_VF!AA134="","",Estudio_Mercado_VF!AA134)</f>
        <v>1400</v>
      </c>
      <c r="G130" s="515">
        <f>IF(Estudio_Mercado_VF!AA134="","",Estudio_Mercado_VF!AB134)</f>
        <v>1400</v>
      </c>
      <c r="H130" s="522"/>
      <c r="I130" s="523"/>
      <c r="J130" s="92"/>
      <c r="K130" s="93" t="str">
        <f t="shared" si="7"/>
        <v>Valor vacío</v>
      </c>
      <c r="L130" s="533">
        <f t="shared" si="8"/>
        <v>1400</v>
      </c>
      <c r="M130" s="533" t="str">
        <f t="shared" si="9"/>
        <v/>
      </c>
      <c r="N130" s="533">
        <f t="shared" si="10"/>
        <v>1400</v>
      </c>
    </row>
    <row r="131" spans="1:14" ht="28.9">
      <c r="A131" s="87" t="s">
        <v>1154</v>
      </c>
      <c r="B131" s="90">
        <v>121</v>
      </c>
      <c r="C131" s="90" t="str">
        <f>IF(Estudio_Mercado_VF!D135="","",Estudio_Mercado_VF!D135)</f>
        <v>Plántula de Lechuga de cogollo (Lactuca sativa var. romana)</v>
      </c>
      <c r="D131" s="91" t="str">
        <f>IF(Estudio_Mercado_VF!E135="","",Estudio_Mercado_VF!E135)</f>
        <v>Mide entre 5 y 12 centímetros de alto, tiene un tallo delgado de 1 a 3 milímetros, entre 2 y 6 hojas pequeñas, y raíces finas de unos 4 a 10 centímetros de largo. </v>
      </c>
      <c r="E131" s="89">
        <f>IF(Estudio_Mercado_VF!G135="","",Estudio_Mercado_VF!G135)</f>
        <v>1</v>
      </c>
      <c r="F131" s="515">
        <f>IF(Estudio_Mercado_VF!AA135="","",Estudio_Mercado_VF!AA135)</f>
        <v>238</v>
      </c>
      <c r="G131" s="515">
        <f>IF(Estudio_Mercado_VF!AA135="","",Estudio_Mercado_VF!AB135)</f>
        <v>238</v>
      </c>
      <c r="H131" s="522"/>
      <c r="I131" s="523"/>
      <c r="J131" s="92"/>
      <c r="K131" s="93" t="str">
        <f t="shared" si="7"/>
        <v>Valor vacío</v>
      </c>
      <c r="L131" s="533">
        <f t="shared" si="8"/>
        <v>238</v>
      </c>
      <c r="M131" s="533" t="str">
        <f t="shared" si="9"/>
        <v/>
      </c>
      <c r="N131" s="533">
        <f t="shared" si="10"/>
        <v>238</v>
      </c>
    </row>
    <row r="132" spans="1:14" ht="28.9">
      <c r="A132" s="87" t="s">
        <v>1154</v>
      </c>
      <c r="B132" s="90">
        <v>122</v>
      </c>
      <c r="C132" s="90" t="str">
        <f>IF(Estudio_Mercado_VF!D136="","",Estudio_Mercado_VF!D136)</f>
        <v>Plántula de Lechuga Mizuna (Brassica rapa var. nipposinica)</v>
      </c>
      <c r="D132" s="91" t="str">
        <f>IF(Estudio_Mercado_VF!E136="","",Estudio_Mercado_VF!E136)</f>
        <v>Mide entre 5 y 12 centímetros de alto, tiene un tallo delgado de 1 a 3 milímetros, entre 2 y 6 hojas pequeñas, y raíces finas de unos 4 a 10 centímetros de largo. </v>
      </c>
      <c r="E132" s="89">
        <f>IF(Estudio_Mercado_VF!G136="","",Estudio_Mercado_VF!G136)</f>
        <v>1</v>
      </c>
      <c r="F132" s="515">
        <f>IF(Estudio_Mercado_VF!AA136="","",Estudio_Mercado_VF!AA136)</f>
        <v>1400</v>
      </c>
      <c r="G132" s="515">
        <f>IF(Estudio_Mercado_VF!AA136="","",Estudio_Mercado_VF!AB136)</f>
        <v>1400</v>
      </c>
      <c r="H132" s="522"/>
      <c r="I132" s="523"/>
      <c r="J132" s="92"/>
      <c r="K132" s="93" t="str">
        <f t="shared" si="7"/>
        <v>Valor vacío</v>
      </c>
      <c r="L132" s="533">
        <f t="shared" si="8"/>
        <v>1400</v>
      </c>
      <c r="M132" s="533" t="str">
        <f t="shared" si="9"/>
        <v/>
      </c>
      <c r="N132" s="533">
        <f t="shared" si="10"/>
        <v>1400</v>
      </c>
    </row>
    <row r="133" spans="1:14" ht="28.9">
      <c r="A133" s="87" t="s">
        <v>1154</v>
      </c>
      <c r="B133" s="90">
        <v>123</v>
      </c>
      <c r="C133" s="90" t="str">
        <f>IF(Estudio_Mercado_VF!D137="","",Estudio_Mercado_VF!D137)</f>
        <v>plántula de lechuga Escarola (Cichorium endivia)</v>
      </c>
      <c r="D133" s="91" t="str">
        <f>IF(Estudio_Mercado_VF!E137="","",Estudio_Mercado_VF!E137)</f>
        <v>Mide entre 5 y 12 centímetros de alto, tiene un tallo delgado de 1 a 3 milímetros, entre 2 y 6 hojas pequeñas, y raíces finas de unos 4 a 10 centímetros de largo. </v>
      </c>
      <c r="E133" s="89">
        <f>IF(Estudio_Mercado_VF!G137="","",Estudio_Mercado_VF!G137)</f>
        <v>1</v>
      </c>
      <c r="F133" s="515">
        <f>IF(Estudio_Mercado_VF!AA137="","",Estudio_Mercado_VF!AA137)</f>
        <v>191.33333333333334</v>
      </c>
      <c r="G133" s="515">
        <f>IF(Estudio_Mercado_VF!AA137="","",Estudio_Mercado_VF!AB137)</f>
        <v>191.33333333333334</v>
      </c>
      <c r="H133" s="522"/>
      <c r="I133" s="523"/>
      <c r="J133" s="92"/>
      <c r="K133" s="93" t="str">
        <f t="shared" si="7"/>
        <v>Valor vacío</v>
      </c>
      <c r="L133" s="533">
        <f t="shared" si="8"/>
        <v>191.33333333333334</v>
      </c>
      <c r="M133" s="533" t="str">
        <f t="shared" si="9"/>
        <v/>
      </c>
      <c r="N133" s="533">
        <f t="shared" si="10"/>
        <v>191.33333333333334</v>
      </c>
    </row>
    <row r="134" spans="1:14" ht="28.9">
      <c r="A134" s="87" t="s">
        <v>1154</v>
      </c>
      <c r="B134" s="90">
        <v>124</v>
      </c>
      <c r="C134" s="90" t="str">
        <f>IF(Estudio_Mercado_VF!D138="","",Estudio_Mercado_VF!D138)</f>
        <v>Plántula de Lechuga Romana (Lactuca sativa var. longifolia)</v>
      </c>
      <c r="D134" s="91" t="str">
        <f>IF(Estudio_Mercado_VF!E138="","",Estudio_Mercado_VF!E138)</f>
        <v>Mide entre 5 y 12 centímetros de alto, tiene un tallo delgado de 1 a 3 milímetros, entre 2 y 6 hojas pequeñas, y raíces finas de unos 4 a 10 centímetros de largo. </v>
      </c>
      <c r="E134" s="89">
        <f>IF(Estudio_Mercado_VF!G138="","",Estudio_Mercado_VF!G138)</f>
        <v>1</v>
      </c>
      <c r="F134" s="515">
        <f>IF(Estudio_Mercado_VF!AA138="","",Estudio_Mercado_VF!AA138)</f>
        <v>196.02240896358543</v>
      </c>
      <c r="G134" s="515">
        <f>IF(Estudio_Mercado_VF!AA138="","",Estudio_Mercado_VF!AB138)</f>
        <v>196.02240896358543</v>
      </c>
      <c r="H134" s="522"/>
      <c r="I134" s="523"/>
      <c r="J134" s="92"/>
      <c r="K134" s="93" t="str">
        <f t="shared" si="7"/>
        <v>Valor vacío</v>
      </c>
      <c r="L134" s="533">
        <f t="shared" si="8"/>
        <v>196.02240896358543</v>
      </c>
      <c r="M134" s="533" t="str">
        <f t="shared" si="9"/>
        <v/>
      </c>
      <c r="N134" s="533">
        <f t="shared" si="10"/>
        <v>196.02240896358543</v>
      </c>
    </row>
    <row r="135" spans="1:14" ht="28.9">
      <c r="A135" s="87" t="s">
        <v>1154</v>
      </c>
      <c r="B135" s="90">
        <v>125</v>
      </c>
      <c r="C135" s="90" t="str">
        <f>IF(Estudio_Mercado_VF!D139="","",Estudio_Mercado_VF!D139)</f>
        <v>Plántula de Perejil liso (Petroselinum crispum var. neapolitanum)</v>
      </c>
      <c r="D135" s="91" t="str">
        <f>IF(Estudio_Mercado_VF!E139="","",Estudio_Mercado_VF!E139)</f>
        <v>Mide entre 5 y 12 centímetros de alto, tiene un tallo delgado de 1 a 3 milímetros, entre 2 y 6 hojas pequeñas, y raíces finas de unos 4 a 10 centímetros de largo. </v>
      </c>
      <c r="E135" s="89">
        <f>IF(Estudio_Mercado_VF!G139="","",Estudio_Mercado_VF!G139)</f>
        <v>1</v>
      </c>
      <c r="F135" s="515">
        <f>IF(Estudio_Mercado_VF!AA139="","",Estudio_Mercado_VF!AA139)</f>
        <v>189</v>
      </c>
      <c r="G135" s="515">
        <f>IF(Estudio_Mercado_VF!AA139="","",Estudio_Mercado_VF!AB139)</f>
        <v>189</v>
      </c>
      <c r="H135" s="522"/>
      <c r="I135" s="523"/>
      <c r="J135" s="92"/>
      <c r="K135" s="93" t="str">
        <f t="shared" si="7"/>
        <v>Valor vacío</v>
      </c>
      <c r="L135" s="533">
        <f t="shared" si="8"/>
        <v>189</v>
      </c>
      <c r="M135" s="533" t="str">
        <f t="shared" si="9"/>
        <v/>
      </c>
      <c r="N135" s="533">
        <f t="shared" si="10"/>
        <v>189</v>
      </c>
    </row>
    <row r="136" spans="1:14" ht="28.9">
      <c r="A136" s="87" t="s">
        <v>1154</v>
      </c>
      <c r="B136" s="90">
        <v>126</v>
      </c>
      <c r="C136" s="90" t="str">
        <f>IF(Estudio_Mercado_VF!D140="","",Estudio_Mercado_VF!D140)</f>
        <v>Plántula de Perejil crespo (Petroselinum crispum var. crispum)</v>
      </c>
      <c r="D136" s="91" t="str">
        <f>IF(Estudio_Mercado_VF!E140="","",Estudio_Mercado_VF!E140)</f>
        <v>Mide entre 5 y 12 centímetros de alto, tiene un tallo delgado de 1 a 3 milímetros, entre 2 y 6 hojas pequeñas, y raíces finas de unos 4 a 10 centímetros de largo. </v>
      </c>
      <c r="E136" s="89">
        <f>IF(Estudio_Mercado_VF!G140="","",Estudio_Mercado_VF!G140)</f>
        <v>1</v>
      </c>
      <c r="F136" s="515">
        <f>IF(Estudio_Mercado_VF!AA140="","",Estudio_Mercado_VF!AA140)</f>
        <v>189</v>
      </c>
      <c r="G136" s="515">
        <f>IF(Estudio_Mercado_VF!AA140="","",Estudio_Mercado_VF!AB140)</f>
        <v>189</v>
      </c>
      <c r="H136" s="522"/>
      <c r="I136" s="523"/>
      <c r="J136" s="92"/>
      <c r="K136" s="93" t="str">
        <f t="shared" si="7"/>
        <v>Valor vacío</v>
      </c>
      <c r="L136" s="533">
        <f t="shared" si="8"/>
        <v>189</v>
      </c>
      <c r="M136" s="533" t="str">
        <f t="shared" si="9"/>
        <v/>
      </c>
      <c r="N136" s="533">
        <f t="shared" si="10"/>
        <v>189</v>
      </c>
    </row>
    <row r="137" spans="1:14" ht="28.9">
      <c r="A137" s="87" t="s">
        <v>1154</v>
      </c>
      <c r="B137" s="90">
        <v>127</v>
      </c>
      <c r="C137" s="90" t="str">
        <f>IF(Estudio_Mercado_VF!D141="","",Estudio_Mercado_VF!D141)</f>
        <v>Pántula de Zuchini amarillo (Cucurbita pepo)</v>
      </c>
      <c r="D137" s="91" t="str">
        <f>IF(Estudio_Mercado_VF!E141="","",Estudio_Mercado_VF!E141)</f>
        <v>Mide entre 5 y 12 centímetros de alto, tiene un tallo delgado de 1 a 3 milímetros, entre 2 y 6 hojas pequeñas, y raíces finas de unos 4 a 10 centímetros de largo. </v>
      </c>
      <c r="E137" s="89">
        <f>IF(Estudio_Mercado_VF!G141="","",Estudio_Mercado_VF!G141)</f>
        <v>1</v>
      </c>
      <c r="F137" s="515">
        <f>IF(Estudio_Mercado_VF!AA141="","",Estudio_Mercado_VF!AA141)</f>
        <v>871.07999999999993</v>
      </c>
      <c r="G137" s="515">
        <f>IF(Estudio_Mercado_VF!AA141="","",Estudio_Mercado_VF!AB141)</f>
        <v>871.07999999999993</v>
      </c>
      <c r="H137" s="522"/>
      <c r="I137" s="523"/>
      <c r="J137" s="92"/>
      <c r="K137" s="93" t="str">
        <f t="shared" si="7"/>
        <v>Valor vacío</v>
      </c>
      <c r="L137" s="533">
        <f t="shared" si="8"/>
        <v>871.07999999999993</v>
      </c>
      <c r="M137" s="533" t="str">
        <f t="shared" si="9"/>
        <v/>
      </c>
      <c r="N137" s="533">
        <f t="shared" si="10"/>
        <v>871.07999999999993</v>
      </c>
    </row>
    <row r="138" spans="1:14" ht="28.9">
      <c r="A138" s="87" t="s">
        <v>1154</v>
      </c>
      <c r="B138" s="90">
        <v>128</v>
      </c>
      <c r="C138" s="90" t="str">
        <f>IF(Estudio_Mercado_VF!D142="","",Estudio_Mercado_VF!D142)</f>
        <v>Plántula de Zuchini verde (Cucurbita pepo)</v>
      </c>
      <c r="D138" s="91" t="str">
        <f>IF(Estudio_Mercado_VF!E142="","",Estudio_Mercado_VF!E142)</f>
        <v>Mide entre 5 y 12 centímetros de alto, tiene un tallo delgado de 1 a 3 milímetros, entre 2 y 6 hojas pequeñas, y raíces finas de unos 4 a 10 centímetros de largo. </v>
      </c>
      <c r="E138" s="89">
        <f>IF(Estudio_Mercado_VF!G142="","",Estudio_Mercado_VF!G142)</f>
        <v>1</v>
      </c>
      <c r="F138" s="515">
        <f>IF(Estudio_Mercado_VF!AA142="","",Estudio_Mercado_VF!AA142)</f>
        <v>705.33333333333337</v>
      </c>
      <c r="G138" s="515">
        <f>IF(Estudio_Mercado_VF!AA142="","",Estudio_Mercado_VF!AB142)</f>
        <v>705.33333333333337</v>
      </c>
      <c r="H138" s="522"/>
      <c r="I138" s="523"/>
      <c r="J138" s="92"/>
      <c r="K138" s="93" t="str">
        <f t="shared" si="7"/>
        <v>Valor vacío</v>
      </c>
      <c r="L138" s="533">
        <f t="shared" si="8"/>
        <v>705.33333333333337</v>
      </c>
      <c r="M138" s="533" t="str">
        <f t="shared" si="9"/>
        <v/>
      </c>
      <c r="N138" s="533">
        <f t="shared" si="10"/>
        <v>705.33333333333337</v>
      </c>
    </row>
    <row r="139" spans="1:14" ht="28.9">
      <c r="A139" s="87" t="s">
        <v>1154</v>
      </c>
      <c r="B139" s="90">
        <v>129</v>
      </c>
      <c r="C139" s="90" t="str">
        <f>IF(Estudio_Mercado_VF!D143="","",Estudio_Mercado_VF!D143)</f>
        <v>Plántula de Brócoli Liso (Brassica oleracea var. italica)</v>
      </c>
      <c r="D139" s="91" t="str">
        <f>IF(Estudio_Mercado_VF!E143="","",Estudio_Mercado_VF!E143)</f>
        <v>Mide entre 5 y 12 centímetros de alto, tiene un tallo delgado de 1 a 3 milímetros, entre 2 y 6 hojas pequeñas, y raíces finas de unos 4 a 10 centímetros de largo. </v>
      </c>
      <c r="E139" s="89">
        <f>IF(Estudio_Mercado_VF!G143="","",Estudio_Mercado_VF!G143)</f>
        <v>1</v>
      </c>
      <c r="F139" s="515">
        <f>IF(Estudio_Mercado_VF!AA143="","",Estudio_Mercado_VF!AA143)</f>
        <v>248.66666666666666</v>
      </c>
      <c r="G139" s="515">
        <f>IF(Estudio_Mercado_VF!AA143="","",Estudio_Mercado_VF!AB143)</f>
        <v>248.66666666666666</v>
      </c>
      <c r="H139" s="522"/>
      <c r="I139" s="523"/>
      <c r="J139" s="92"/>
      <c r="K139" s="93" t="str">
        <f t="shared" si="7"/>
        <v>Valor vacío</v>
      </c>
      <c r="L139" s="533">
        <f t="shared" si="8"/>
        <v>248.66666666666666</v>
      </c>
      <c r="M139" s="533" t="str">
        <f t="shared" si="9"/>
        <v/>
      </c>
      <c r="N139" s="533">
        <f t="shared" si="10"/>
        <v>248.66666666666666</v>
      </c>
    </row>
    <row r="140" spans="1:14" ht="28.9">
      <c r="A140" s="87" t="s">
        <v>1154</v>
      </c>
      <c r="B140" s="90">
        <v>130</v>
      </c>
      <c r="C140" s="90" t="str">
        <f>IF(Estudio_Mercado_VF!D144="","",Estudio_Mercado_VF!D144)</f>
        <v>Plántula de Brocoli Romanesco (Brassica oleracea var. botrytis)</v>
      </c>
      <c r="D140" s="91" t="str">
        <f>IF(Estudio_Mercado_VF!E144="","",Estudio_Mercado_VF!E144)</f>
        <v>Mide entre 5 y 12 centímetros de alto, tiene un tallo delgado de 1 a 3 milímetros, entre 2 y 6 hojas pequeñas, y raíces finas de unos 4 a 10 centímetros de largo. </v>
      </c>
      <c r="E140" s="89">
        <f>IF(Estudio_Mercado_VF!G144="","",Estudio_Mercado_VF!G144)</f>
        <v>1</v>
      </c>
      <c r="F140" s="515">
        <f>IF(Estudio_Mercado_VF!AA144="","",Estudio_Mercado_VF!AA144)</f>
        <v>1500</v>
      </c>
      <c r="G140" s="515">
        <f>IF(Estudio_Mercado_VF!AA144="","",Estudio_Mercado_VF!AB144)</f>
        <v>1500</v>
      </c>
      <c r="H140" s="522"/>
      <c r="I140" s="523"/>
      <c r="J140" s="92"/>
      <c r="K140" s="93" t="str">
        <f t="shared" ref="K140:K203" si="11">IF(H140&lt;&gt;0,IF(J140="Ofertable",IF(AND(F140&gt;=H140,H140&lt;&gt;0),"Cumple","No cumple"),IF(J140="No Ofertable",IF(F140=H140,"Cumple","No cumple"),"")),"Valor vacío")</f>
        <v>Valor vacío</v>
      </c>
      <c r="L140" s="533">
        <f t="shared" ref="L140:L203" si="12">F140-H140</f>
        <v>1500</v>
      </c>
      <c r="M140" s="533" t="str">
        <f t="shared" ref="M140:M203" si="13">IF(H140="","",IF(G140&gt;=I140,"Cumple","No cumple"))</f>
        <v/>
      </c>
      <c r="N140" s="533">
        <f t="shared" ref="N140:N203" si="14">G140-I140</f>
        <v>1500</v>
      </c>
    </row>
    <row r="141" spans="1:14" ht="28.9">
      <c r="A141" s="87" t="s">
        <v>1154</v>
      </c>
      <c r="B141" s="90">
        <v>131</v>
      </c>
      <c r="C141" s="90" t="str">
        <f>IF(Estudio_Mercado_VF!D145="","",Estudio_Mercado_VF!D145)</f>
        <v>Plántula de Tomate Cherry (Solanum lycopersicum var. cerasiforme)</v>
      </c>
      <c r="D141" s="91" t="str">
        <f>IF(Estudio_Mercado_VF!E145="","",Estudio_Mercado_VF!E145)</f>
        <v>Mide entre 5 y 12 centímetros de alto, tiene un tallo delgado de 1 a 3 milímetros, entre 2 y 6 hojas pequeñas, y raíces finas de unos 4 a 10 centímetros de largo. </v>
      </c>
      <c r="E141" s="89">
        <f>IF(Estudio_Mercado_VF!G145="","",Estudio_Mercado_VF!G145)</f>
        <v>1</v>
      </c>
      <c r="F141" s="515">
        <f>IF(Estudio_Mercado_VF!AA145="","",Estudio_Mercado_VF!AA145)</f>
        <v>2495.6666666666665</v>
      </c>
      <c r="G141" s="515">
        <f>IF(Estudio_Mercado_VF!AA145="","",Estudio_Mercado_VF!AB145)</f>
        <v>2495.6666666666665</v>
      </c>
      <c r="H141" s="522"/>
      <c r="I141" s="523"/>
      <c r="J141" s="92"/>
      <c r="K141" s="93" t="str">
        <f t="shared" si="11"/>
        <v>Valor vacío</v>
      </c>
      <c r="L141" s="533">
        <f t="shared" si="12"/>
        <v>2495.6666666666665</v>
      </c>
      <c r="M141" s="533" t="str">
        <f t="shared" si="13"/>
        <v/>
      </c>
      <c r="N141" s="533">
        <f t="shared" si="14"/>
        <v>2495.6666666666665</v>
      </c>
    </row>
    <row r="142" spans="1:14" ht="28.9">
      <c r="A142" s="87" t="s">
        <v>1154</v>
      </c>
      <c r="B142" s="90">
        <v>132</v>
      </c>
      <c r="C142" s="90" t="str">
        <f>IF(Estudio_Mercado_VF!D146="","",Estudio_Mercado_VF!D146)</f>
        <v>Plántula de Rúgula ( Eruca vesicaria)</v>
      </c>
      <c r="D142" s="91" t="str">
        <f>IF(Estudio_Mercado_VF!E146="","",Estudio_Mercado_VF!E146)</f>
        <v>Mide entre 5 y 12 centímetros de alto, tiene un tallo delgado de 1 a 3 milímetros, entre 2 y 6 hojas pequeñas, y raíces finas de unos 4 a 10 centímetros de largo. </v>
      </c>
      <c r="E142" s="89">
        <f>IF(Estudio_Mercado_VF!G146="","",Estudio_Mercado_VF!G146)</f>
        <v>1</v>
      </c>
      <c r="F142" s="515">
        <f>IF(Estudio_Mercado_VF!AA146="","",Estudio_Mercado_VF!AA146)</f>
        <v>189</v>
      </c>
      <c r="G142" s="515">
        <f>IF(Estudio_Mercado_VF!AA146="","",Estudio_Mercado_VF!AB146)</f>
        <v>189</v>
      </c>
      <c r="H142" s="522"/>
      <c r="I142" s="523"/>
      <c r="J142" s="92"/>
      <c r="K142" s="93" t="str">
        <f t="shared" si="11"/>
        <v>Valor vacío</v>
      </c>
      <c r="L142" s="533">
        <f t="shared" si="12"/>
        <v>189</v>
      </c>
      <c r="M142" s="533" t="str">
        <f t="shared" si="13"/>
        <v/>
      </c>
      <c r="N142" s="533">
        <f t="shared" si="14"/>
        <v>189</v>
      </c>
    </row>
    <row r="143" spans="1:14" ht="28.9">
      <c r="A143" s="87" t="s">
        <v>1154</v>
      </c>
      <c r="B143" s="90">
        <v>133</v>
      </c>
      <c r="C143" s="90" t="str">
        <f>IF(Estudio_Mercado_VF!D147="","",Estudio_Mercado_VF!D147)</f>
        <v>Plántula de Tomillo (Thymus vulgaris)</v>
      </c>
      <c r="D143" s="91" t="str">
        <f>IF(Estudio_Mercado_VF!E147="","",Estudio_Mercado_VF!E147)</f>
        <v>Mide entre 5 y 12 centímetros de alto, tiene un tallo delgado de 1 a 3 milímetros, entre 2 y 6 hojas pequeñas, y raíces finas de unos 4 a 10 centímetros de largo. </v>
      </c>
      <c r="E143" s="89">
        <f>IF(Estudio_Mercado_VF!G147="","",Estudio_Mercado_VF!G147)</f>
        <v>1</v>
      </c>
      <c r="F143" s="515">
        <f>IF(Estudio_Mercado_VF!AA147="","",Estudio_Mercado_VF!AA147)</f>
        <v>286.66666666666669</v>
      </c>
      <c r="G143" s="515">
        <f>IF(Estudio_Mercado_VF!AA147="","",Estudio_Mercado_VF!AB147)</f>
        <v>286.66666666666669</v>
      </c>
      <c r="H143" s="522"/>
      <c r="I143" s="523"/>
      <c r="J143" s="92"/>
      <c r="K143" s="93" t="str">
        <f t="shared" si="11"/>
        <v>Valor vacío</v>
      </c>
      <c r="L143" s="533">
        <f t="shared" si="12"/>
        <v>286.66666666666669</v>
      </c>
      <c r="M143" s="533" t="str">
        <f t="shared" si="13"/>
        <v/>
      </c>
      <c r="N143" s="533">
        <f t="shared" si="14"/>
        <v>286.66666666666669</v>
      </c>
    </row>
    <row r="144" spans="1:14" ht="28.9">
      <c r="A144" s="87" t="s">
        <v>1154</v>
      </c>
      <c r="B144" s="90">
        <v>134</v>
      </c>
      <c r="C144" s="90" t="str">
        <f>IF(Estudio_Mercado_VF!D148="","",Estudio_Mercado_VF!D148)</f>
        <v>Plántula de Apio (Apium graveolens)</v>
      </c>
      <c r="D144" s="91" t="str">
        <f>IF(Estudio_Mercado_VF!E148="","",Estudio_Mercado_VF!E148)</f>
        <v>Mide entre 5 y 12 centímetros de alto, tiene un tallo delgado de 1 a 3 milímetros, entre 2 y 6 hojas pequeñas, y raíces finas de unos 4 a 10 centímetros de largo. </v>
      </c>
      <c r="E144" s="89">
        <f>IF(Estudio_Mercado_VF!G148="","",Estudio_Mercado_VF!G148)</f>
        <v>1</v>
      </c>
      <c r="F144" s="515">
        <f>IF(Estudio_Mercado_VF!AA148="","",Estudio_Mercado_VF!AA148)</f>
        <v>241</v>
      </c>
      <c r="G144" s="515">
        <f>IF(Estudio_Mercado_VF!AA148="","",Estudio_Mercado_VF!AB148)</f>
        <v>241</v>
      </c>
      <c r="H144" s="522"/>
      <c r="I144" s="523"/>
      <c r="J144" s="92"/>
      <c r="K144" s="93" t="str">
        <f t="shared" si="11"/>
        <v>Valor vacío</v>
      </c>
      <c r="L144" s="533">
        <f t="shared" si="12"/>
        <v>241</v>
      </c>
      <c r="M144" s="533" t="str">
        <f t="shared" si="13"/>
        <v/>
      </c>
      <c r="N144" s="533">
        <f t="shared" si="14"/>
        <v>241</v>
      </c>
    </row>
    <row r="145" spans="1:14" ht="28.9">
      <c r="A145" s="87" t="s">
        <v>1154</v>
      </c>
      <c r="B145" s="90">
        <v>135</v>
      </c>
      <c r="C145" s="90" t="str">
        <f>IF(Estudio_Mercado_VF!D149="","",Estudio_Mercado_VF!D149)</f>
        <v>Plántula de Frijol Cargamanto (Phaseolus vulgaris)</v>
      </c>
      <c r="D145" s="91" t="str">
        <f>IF(Estudio_Mercado_VF!E149="","",Estudio_Mercado_VF!E149)</f>
        <v>Mide entre 5 y 12 centímetros de alto, tiene un tallo delgado de 1 a 3 milímetros, entre 2 y 6 hojas pequeñas, y raíces finas de unos 4 a 10 centímetros de largo. </v>
      </c>
      <c r="E145" s="89">
        <f>IF(Estudio_Mercado_VF!G149="","",Estudio_Mercado_VF!G149)</f>
        <v>1</v>
      </c>
      <c r="F145" s="515">
        <f>IF(Estudio_Mercado_VF!AA149="","",Estudio_Mercado_VF!AA149)</f>
        <v>7148.4593837535022</v>
      </c>
      <c r="G145" s="515">
        <f>IF(Estudio_Mercado_VF!AA149="","",Estudio_Mercado_VF!AB149)</f>
        <v>7148.4593837535022</v>
      </c>
      <c r="H145" s="522"/>
      <c r="I145" s="523"/>
      <c r="J145" s="92"/>
      <c r="K145" s="93" t="str">
        <f t="shared" si="11"/>
        <v>Valor vacío</v>
      </c>
      <c r="L145" s="533">
        <f t="shared" si="12"/>
        <v>7148.4593837535022</v>
      </c>
      <c r="M145" s="533" t="str">
        <f t="shared" si="13"/>
        <v/>
      </c>
      <c r="N145" s="533">
        <f t="shared" si="14"/>
        <v>7148.4593837535022</v>
      </c>
    </row>
    <row r="146" spans="1:14" ht="28.9">
      <c r="A146" s="87" t="s">
        <v>1154</v>
      </c>
      <c r="B146" s="90">
        <v>136</v>
      </c>
      <c r="C146" s="90" t="str">
        <f>IF(Estudio_Mercado_VF!D150="","",Estudio_Mercado_VF!D150)</f>
        <v>Plántula de Kale Liso (Brassica oleracea var. acephala) </v>
      </c>
      <c r="D146" s="91" t="str">
        <f>IF(Estudio_Mercado_VF!E150="","",Estudio_Mercado_VF!E150)</f>
        <v>Mide entre 5 y 12 centímetros de alto, tiene un tallo delgado de 1 a 3 milímetros, entre 2 y 6 hojas pequeñas, y raíces finas de unos 4 a 10 centímetros de largo. </v>
      </c>
      <c r="E146" s="89">
        <f>IF(Estudio_Mercado_VF!G150="","",Estudio_Mercado_VF!G150)</f>
        <v>1</v>
      </c>
      <c r="F146" s="515">
        <f>IF(Estudio_Mercado_VF!AA150="","",Estudio_Mercado_VF!AA150)</f>
        <v>1400</v>
      </c>
      <c r="G146" s="515">
        <f>IF(Estudio_Mercado_VF!AA150="","",Estudio_Mercado_VF!AB150)</f>
        <v>1400</v>
      </c>
      <c r="H146" s="522"/>
      <c r="I146" s="523"/>
      <c r="J146" s="92"/>
      <c r="K146" s="93" t="str">
        <f t="shared" si="11"/>
        <v>Valor vacío</v>
      </c>
      <c r="L146" s="533">
        <f t="shared" si="12"/>
        <v>1400</v>
      </c>
      <c r="M146" s="533" t="str">
        <f t="shared" si="13"/>
        <v/>
      </c>
      <c r="N146" s="533">
        <f t="shared" si="14"/>
        <v>1400</v>
      </c>
    </row>
    <row r="147" spans="1:14" ht="28.9">
      <c r="A147" s="87" t="s">
        <v>1154</v>
      </c>
      <c r="B147" s="90">
        <v>137</v>
      </c>
      <c r="C147" s="90" t="str">
        <f>IF(Estudio_Mercado_VF!D151="","",Estudio_Mercado_VF!D151)</f>
        <v>Plántula de Kale Crespo (Brassica oleracea var. sabellica)</v>
      </c>
      <c r="D147" s="91" t="str">
        <f>IF(Estudio_Mercado_VF!E151="","",Estudio_Mercado_VF!E151)</f>
        <v>Mide entre 5 y 12 centímetros de alto, tiene un tallo delgado de 1 a 3 milímetros, entre 2 y 6 hojas pequeñas, y raíces finas de unos 4 a 10 centímetros de largo. </v>
      </c>
      <c r="E147" s="89">
        <f>IF(Estudio_Mercado_VF!G151="","",Estudio_Mercado_VF!G151)</f>
        <v>1</v>
      </c>
      <c r="F147" s="515">
        <f>IF(Estudio_Mercado_VF!AA151="","",Estudio_Mercado_VF!AA151)</f>
        <v>1400</v>
      </c>
      <c r="G147" s="515">
        <f>IF(Estudio_Mercado_VF!AA151="","",Estudio_Mercado_VF!AB151)</f>
        <v>1400</v>
      </c>
      <c r="H147" s="522"/>
      <c r="I147" s="523"/>
      <c r="J147" s="92"/>
      <c r="K147" s="93" t="str">
        <f t="shared" si="11"/>
        <v>Valor vacío</v>
      </c>
      <c r="L147" s="533">
        <f t="shared" si="12"/>
        <v>1400</v>
      </c>
      <c r="M147" s="533" t="str">
        <f t="shared" si="13"/>
        <v/>
      </c>
      <c r="N147" s="533">
        <f t="shared" si="14"/>
        <v>1400</v>
      </c>
    </row>
    <row r="148" spans="1:14" ht="28.9">
      <c r="A148" s="87" t="s">
        <v>1154</v>
      </c>
      <c r="B148" s="90">
        <v>138</v>
      </c>
      <c r="C148" s="90" t="str">
        <f>IF(Estudio_Mercado_VF!D152="","",Estudio_Mercado_VF!D152)</f>
        <v>Plántula de Caléndula (Calendula officinalis)</v>
      </c>
      <c r="D148" s="91" t="str">
        <f>IF(Estudio_Mercado_VF!E152="","",Estudio_Mercado_VF!E152)</f>
        <v>Mide entre 5 y 12 centímetros de alto, tiene un tallo delgado de 1 a 3 milímetros, entre 2 y 6 hojas pequeñas, y raíces finas de unos 4 a 10 centímetros de largo. </v>
      </c>
      <c r="E148" s="89">
        <f>IF(Estudio_Mercado_VF!G152="","",Estudio_Mercado_VF!G152)</f>
        <v>1</v>
      </c>
      <c r="F148" s="515">
        <f>IF(Estudio_Mercado_VF!AA152="","",Estudio_Mercado_VF!AA152)</f>
        <v>403.33333333333331</v>
      </c>
      <c r="G148" s="515">
        <f>IF(Estudio_Mercado_VF!AA152="","",Estudio_Mercado_VF!AB152)</f>
        <v>403.33333333333331</v>
      </c>
      <c r="H148" s="522"/>
      <c r="I148" s="523"/>
      <c r="J148" s="92"/>
      <c r="K148" s="93" t="str">
        <f t="shared" si="11"/>
        <v>Valor vacío</v>
      </c>
      <c r="L148" s="533">
        <f t="shared" si="12"/>
        <v>403.33333333333331</v>
      </c>
      <c r="M148" s="533" t="str">
        <f t="shared" si="13"/>
        <v/>
      </c>
      <c r="N148" s="533">
        <f t="shared" si="14"/>
        <v>403.33333333333331</v>
      </c>
    </row>
    <row r="149" spans="1:14" ht="28.9">
      <c r="A149" s="87" t="s">
        <v>1154</v>
      </c>
      <c r="B149" s="90">
        <v>139</v>
      </c>
      <c r="C149" s="90" t="str">
        <f>IF(Estudio_Mercado_VF!D153="","",Estudio_Mercado_VF!D153)</f>
        <v>Plántula de Acelga Blanca (Beta vulgaris var. cicla)</v>
      </c>
      <c r="D149" s="91" t="str">
        <f>IF(Estudio_Mercado_VF!E153="","",Estudio_Mercado_VF!E153)</f>
        <v>Mide entre 5 y 12 centímetros de alto, tiene un tallo delgado de 1 a 3 milímetros, entre 2 y 6 hojas pequeñas, y raíces finas de unos 4 a 10 centímetros de largo. </v>
      </c>
      <c r="E149" s="89">
        <f>IF(Estudio_Mercado_VF!G153="","",Estudio_Mercado_VF!G153)</f>
        <v>1</v>
      </c>
      <c r="F149" s="515">
        <f>IF(Estudio_Mercado_VF!AA153="","",Estudio_Mercado_VF!AA153)</f>
        <v>1366.6666666666667</v>
      </c>
      <c r="G149" s="515">
        <f>IF(Estudio_Mercado_VF!AA153="","",Estudio_Mercado_VF!AB153)</f>
        <v>1366.6666666666667</v>
      </c>
      <c r="H149" s="522"/>
      <c r="I149" s="523"/>
      <c r="J149" s="92"/>
      <c r="K149" s="93" t="str">
        <f t="shared" si="11"/>
        <v>Valor vacío</v>
      </c>
      <c r="L149" s="533">
        <f t="shared" si="12"/>
        <v>1366.6666666666667</v>
      </c>
      <c r="M149" s="533" t="str">
        <f t="shared" si="13"/>
        <v/>
      </c>
      <c r="N149" s="533">
        <f t="shared" si="14"/>
        <v>1366.6666666666667</v>
      </c>
    </row>
    <row r="150" spans="1:14" ht="28.9">
      <c r="A150" s="87" t="s">
        <v>1154</v>
      </c>
      <c r="B150" s="90">
        <v>140</v>
      </c>
      <c r="C150" s="90" t="str">
        <f>IF(Estudio_Mercado_VF!D154="","",Estudio_Mercado_VF!D154)</f>
        <v>Plántula de Acelga de colores (Beta vulgaris var. cicla)</v>
      </c>
      <c r="D150" s="91" t="str">
        <f>IF(Estudio_Mercado_VF!E154="","",Estudio_Mercado_VF!E154)</f>
        <v>Mide entre 5 y 12 centímetros de alto, tiene un tallo delgado de 1 a 3 milímetros, entre 2 y 6 hojas pequeñas, y raíces finas de unos 4 a 10 centímetros de largo. </v>
      </c>
      <c r="E150" s="89">
        <f>IF(Estudio_Mercado_VF!G154="","",Estudio_Mercado_VF!G154)</f>
        <v>1</v>
      </c>
      <c r="F150" s="515">
        <f>IF(Estudio_Mercado_VF!AA154="","",Estudio_Mercado_VF!AA154)</f>
        <v>1400</v>
      </c>
      <c r="G150" s="515">
        <f>IF(Estudio_Mercado_VF!AA154="","",Estudio_Mercado_VF!AB154)</f>
        <v>1400</v>
      </c>
      <c r="H150" s="522"/>
      <c r="I150" s="523"/>
      <c r="J150" s="92"/>
      <c r="K150" s="93" t="str">
        <f t="shared" si="11"/>
        <v>Valor vacío</v>
      </c>
      <c r="L150" s="533">
        <f t="shared" si="12"/>
        <v>1400</v>
      </c>
      <c r="M150" s="533" t="str">
        <f t="shared" si="13"/>
        <v/>
      </c>
      <c r="N150" s="533">
        <f t="shared" si="14"/>
        <v>1400</v>
      </c>
    </row>
    <row r="151" spans="1:14" ht="28.9">
      <c r="A151" s="87" t="s">
        <v>1154</v>
      </c>
      <c r="B151" s="90">
        <v>141</v>
      </c>
      <c r="C151" s="90" t="str">
        <f>IF(Estudio_Mercado_VF!D155="","",Estudio_Mercado_VF!D155)</f>
        <v>Plántula de Lulo (Solanum quitoense)</v>
      </c>
      <c r="D151" s="91" t="str">
        <f>IF(Estudio_Mercado_VF!E155="","",Estudio_Mercado_VF!E155)</f>
        <v>Mide entre 5 y 12 centímetros de alto, tiene un tallo delgado de 1 a 3 milímetros, entre 2 y 6 hojas pequeñas, y raíces finas de unos 4 a 10 centímetros de largo. </v>
      </c>
      <c r="E151" s="89">
        <f>IF(Estudio_Mercado_VF!G155="","",Estudio_Mercado_VF!G155)</f>
        <v>1</v>
      </c>
      <c r="F151" s="515">
        <f>IF(Estudio_Mercado_VF!AA155="","",Estudio_Mercado_VF!AA155)</f>
        <v>3766.6666666666665</v>
      </c>
      <c r="G151" s="515">
        <f>IF(Estudio_Mercado_VF!AA155="","",Estudio_Mercado_VF!AB155)</f>
        <v>3766.6666666666665</v>
      </c>
      <c r="H151" s="522"/>
      <c r="I151" s="523"/>
      <c r="J151" s="92"/>
      <c r="K151" s="93" t="str">
        <f t="shared" si="11"/>
        <v>Valor vacío</v>
      </c>
      <c r="L151" s="533">
        <f t="shared" si="12"/>
        <v>3766.6666666666665</v>
      </c>
      <c r="M151" s="533" t="str">
        <f t="shared" si="13"/>
        <v/>
      </c>
      <c r="N151" s="533">
        <f t="shared" si="14"/>
        <v>3766.6666666666665</v>
      </c>
    </row>
    <row r="152" spans="1:14" ht="28.9">
      <c r="A152" s="87" t="s">
        <v>1154</v>
      </c>
      <c r="B152" s="90">
        <v>142</v>
      </c>
      <c r="C152" s="90" t="str">
        <f>IF(Estudio_Mercado_VF!D156="","",Estudio_Mercado_VF!D156)</f>
        <v>Cal dolomita</v>
      </c>
      <c r="D152" s="91" t="str">
        <f>IF(Estudio_Mercado_VF!E156="","",Estudio_Mercado_VF!E156)</f>
        <v>Polvo seco, color blanco hasta Gris, Apariencia Polvo Color Gris Olor Inodoro pH al 10% (en agua); promedio 8,8 Densidad aparente (g/cm3): 1,4 Bulto por 50 kg</v>
      </c>
      <c r="E152" s="89">
        <f>IF(Estudio_Mercado_VF!G156="","",Estudio_Mercado_VF!G156)</f>
        <v>1</v>
      </c>
      <c r="F152" s="515">
        <f>IF(Estudio_Mercado_VF!AA156="","",Estudio_Mercado_VF!AA156)</f>
        <v>24133.331999999999</v>
      </c>
      <c r="G152" s="515">
        <f>IF(Estudio_Mercado_VF!AA156="","",Estudio_Mercado_VF!AB156)</f>
        <v>24133.331999999999</v>
      </c>
      <c r="H152" s="522"/>
      <c r="I152" s="523"/>
      <c r="J152" s="92"/>
      <c r="K152" s="93" t="str">
        <f t="shared" si="11"/>
        <v>Valor vacío</v>
      </c>
      <c r="L152" s="533">
        <f t="shared" si="12"/>
        <v>24133.331999999999</v>
      </c>
      <c r="M152" s="533" t="str">
        <f t="shared" si="13"/>
        <v/>
      </c>
      <c r="N152" s="533">
        <f t="shared" si="14"/>
        <v>24133.331999999999</v>
      </c>
    </row>
    <row r="153" spans="1:14" ht="28.9">
      <c r="A153" s="87" t="s">
        <v>1154</v>
      </c>
      <c r="B153" s="90">
        <v>143</v>
      </c>
      <c r="C153" s="90" t="str">
        <f>IF(Estudio_Mercado_VF!D157="","",Estudio_Mercado_VF!D157)</f>
        <v xml:space="preserve">Bulto de compost. </v>
      </c>
      <c r="D153" s="91" t="str">
        <f>IF(Estudio_Mercado_VF!E157="","",Estudio_Mercado_VF!E157)</f>
        <v>Material orgánico con buenas condiciones de descomposición, buen olor y alto contenido de nutrientes. Bulto: 20 kg</v>
      </c>
      <c r="E153" s="89">
        <f>IF(Estudio_Mercado_VF!G157="","",Estudio_Mercado_VF!G157)</f>
        <v>1</v>
      </c>
      <c r="F153" s="515">
        <f>IF(Estudio_Mercado_VF!AA157="","",Estudio_Mercado_VF!AA157)</f>
        <v>17333.333333333332</v>
      </c>
      <c r="G153" s="515">
        <f>IF(Estudio_Mercado_VF!AA157="","",Estudio_Mercado_VF!AB157)</f>
        <v>17333.333333333332</v>
      </c>
      <c r="H153" s="522"/>
      <c r="I153" s="523"/>
      <c r="J153" s="92"/>
      <c r="K153" s="93" t="str">
        <f t="shared" si="11"/>
        <v>Valor vacío</v>
      </c>
      <c r="L153" s="533">
        <f t="shared" si="12"/>
        <v>17333.333333333332</v>
      </c>
      <c r="M153" s="533" t="str">
        <f t="shared" si="13"/>
        <v/>
      </c>
      <c r="N153" s="533">
        <f t="shared" si="14"/>
        <v>17333.333333333332</v>
      </c>
    </row>
    <row r="154" spans="1:14" ht="28.9">
      <c r="A154" s="87" t="s">
        <v>1154</v>
      </c>
      <c r="B154" s="90">
        <v>144</v>
      </c>
      <c r="C154" s="90" t="str">
        <f>IF(Estudio_Mercado_VF!D158="","",Estudio_Mercado_VF!D158)</f>
        <v>Malla plástica tipo diamante 15 mt</v>
      </c>
      <c r="D154" s="91" t="str">
        <f>IF(Estudio_Mercado_VF!E158="","",Estudio_Mercado_VF!E158)</f>
        <v>Malla Plástica Multiusos Diamante 1 16 x 16 x 1,5 mt alto  y 15 mt de largo Color Verde o negro</v>
      </c>
      <c r="E154" s="89">
        <f>IF(Estudio_Mercado_VF!G158="","",Estudio_Mercado_VF!G158)</f>
        <v>1</v>
      </c>
      <c r="F154" s="515">
        <f>IF(Estudio_Mercado_VF!AA158="","",Estudio_Mercado_VF!AA158)</f>
        <v>156965.00236666668</v>
      </c>
      <c r="G154" s="515">
        <f>IF(Estudio_Mercado_VF!AA158="","",Estudio_Mercado_VF!AB158)</f>
        <v>156965.00236666668</v>
      </c>
      <c r="H154" s="522"/>
      <c r="I154" s="523"/>
      <c r="J154" s="92"/>
      <c r="K154" s="93" t="str">
        <f t="shared" si="11"/>
        <v>Valor vacío</v>
      </c>
      <c r="L154" s="533">
        <f t="shared" si="12"/>
        <v>156965.00236666668</v>
      </c>
      <c r="M154" s="533" t="str">
        <f t="shared" si="13"/>
        <v/>
      </c>
      <c r="N154" s="533">
        <f t="shared" si="14"/>
        <v>156965.00236666668</v>
      </c>
    </row>
    <row r="155" spans="1:14">
      <c r="A155" s="87" t="s">
        <v>1154</v>
      </c>
      <c r="B155" s="90">
        <v>145</v>
      </c>
      <c r="C155" s="90" t="str">
        <f>IF(Estudio_Mercado_VF!D159="","",Estudio_Mercado_VF!D159)</f>
        <v>Bandeja de germinación 32 cavidades</v>
      </c>
      <c r="D155" s="91" t="str">
        <f>IF(Estudio_Mercado_VF!E159="","",Estudio_Mercado_VF!E159)</f>
        <v>Bandeja De Enraizamiento De 32 Cav Profunda, Tipo Vaso.</v>
      </c>
      <c r="E155" s="89">
        <f>IF(Estudio_Mercado_VF!G159="","",Estudio_Mercado_VF!G159)</f>
        <v>1</v>
      </c>
      <c r="F155" s="515">
        <f>IF(Estudio_Mercado_VF!AA159="","",Estudio_Mercado_VF!AA159)</f>
        <v>14266.666666666666</v>
      </c>
      <c r="G155" s="515">
        <f>IF(Estudio_Mercado_VF!AA159="","",Estudio_Mercado_VF!AB159)</f>
        <v>14266.666666666666</v>
      </c>
      <c r="H155" s="522"/>
      <c r="I155" s="523"/>
      <c r="J155" s="92"/>
      <c r="K155" s="93" t="str">
        <f t="shared" si="11"/>
        <v>Valor vacío</v>
      </c>
      <c r="L155" s="533">
        <f t="shared" si="12"/>
        <v>14266.666666666666</v>
      </c>
      <c r="M155" s="533" t="str">
        <f t="shared" si="13"/>
        <v/>
      </c>
      <c r="N155" s="533">
        <f t="shared" si="14"/>
        <v>14266.666666666666</v>
      </c>
    </row>
    <row r="156" spans="1:14">
      <c r="A156" s="87" t="s">
        <v>1154</v>
      </c>
      <c r="B156" s="90">
        <v>146</v>
      </c>
      <c r="C156" s="90" t="str">
        <f>IF(Estudio_Mercado_VF!D160="","",Estudio_Mercado_VF!D160)</f>
        <v xml:space="preserve">Palín Hoyador </v>
      </c>
      <c r="D156" s="91" t="str">
        <f>IF(Estudio_Mercado_VF!E160="","",Estudio_Mercado_VF!E160)</f>
        <v>Hierro macizo, con Mango de metal o madera.</v>
      </c>
      <c r="E156" s="89">
        <f>IF(Estudio_Mercado_VF!G160="","",Estudio_Mercado_VF!G160)</f>
        <v>1</v>
      </c>
      <c r="F156" s="515">
        <f>IF(Estudio_Mercado_VF!AA160="","",Estudio_Mercado_VF!AA160)</f>
        <v>18334.333333333339</v>
      </c>
      <c r="G156" s="515">
        <f>IF(Estudio_Mercado_VF!AA160="","",Estudio_Mercado_VF!AB160)</f>
        <v>18334.333333333339</v>
      </c>
      <c r="H156" s="522"/>
      <c r="I156" s="523"/>
      <c r="J156" s="92"/>
      <c r="K156" s="93" t="str">
        <f t="shared" si="11"/>
        <v>Valor vacío</v>
      </c>
      <c r="L156" s="533">
        <f t="shared" si="12"/>
        <v>18334.333333333339</v>
      </c>
      <c r="M156" s="533" t="str">
        <f t="shared" si="13"/>
        <v/>
      </c>
      <c r="N156" s="533">
        <f t="shared" si="14"/>
        <v>18334.333333333339</v>
      </c>
    </row>
    <row r="157" spans="1:14">
      <c r="A157" s="87" t="s">
        <v>1154</v>
      </c>
      <c r="B157" s="90">
        <v>147</v>
      </c>
      <c r="C157" s="90" t="str">
        <f>IF(Estudio_Mercado_VF!D161="","",Estudio_Mercado_VF!D161)</f>
        <v>Barra Agrícola</v>
      </c>
      <c r="D157" s="91" t="str">
        <f>IF(Estudio_Mercado_VF!E161="","",Estudio_Mercado_VF!E161)</f>
        <v>Punta de filo; Hierro macizo, con Mango de metal, 14 lb</v>
      </c>
      <c r="E157" s="89">
        <f>IF(Estudio_Mercado_VF!G161="","",Estudio_Mercado_VF!G161)</f>
        <v>1</v>
      </c>
      <c r="F157" s="515">
        <f>IF(Estudio_Mercado_VF!AA161="","",Estudio_Mercado_VF!AA161)</f>
        <v>118628.33333333333</v>
      </c>
      <c r="G157" s="515">
        <f>IF(Estudio_Mercado_VF!AA161="","",Estudio_Mercado_VF!AB161)</f>
        <v>118628.33333333333</v>
      </c>
      <c r="H157" s="522"/>
      <c r="I157" s="523"/>
      <c r="J157" s="92"/>
      <c r="K157" s="93" t="str">
        <f t="shared" si="11"/>
        <v>Valor vacío</v>
      </c>
      <c r="L157" s="533">
        <f t="shared" si="12"/>
        <v>118628.33333333333</v>
      </c>
      <c r="M157" s="533" t="str">
        <f t="shared" si="13"/>
        <v/>
      </c>
      <c r="N157" s="533">
        <f t="shared" si="14"/>
        <v>118628.33333333333</v>
      </c>
    </row>
    <row r="158" spans="1:14">
      <c r="A158" s="87" t="s">
        <v>1154</v>
      </c>
      <c r="B158" s="90">
        <v>148</v>
      </c>
      <c r="C158" s="90" t="str">
        <f>IF(Estudio_Mercado_VF!D162="","",Estudio_Mercado_VF!D162)</f>
        <v>Pala</v>
      </c>
      <c r="D158" s="91" t="str">
        <f>IF(Estudio_Mercado_VF!E162="","",Estudio_Mercado_VF!E162)</f>
        <v>Pala Cuadrada Profesional Largo 144 cm y Ancho 24 cm</v>
      </c>
      <c r="E158" s="89">
        <f>IF(Estudio_Mercado_VF!G162="","",Estudio_Mercado_VF!G162)</f>
        <v>1</v>
      </c>
      <c r="F158" s="515">
        <f>IF(Estudio_Mercado_VF!AA162="","",Estudio_Mercado_VF!AA162)</f>
        <v>58690.934866666656</v>
      </c>
      <c r="G158" s="515">
        <f>IF(Estudio_Mercado_VF!AA162="","",Estudio_Mercado_VF!AB162)</f>
        <v>58690.934866666656</v>
      </c>
      <c r="H158" s="522"/>
      <c r="I158" s="523"/>
      <c r="J158" s="92"/>
      <c r="K158" s="93" t="str">
        <f t="shared" si="11"/>
        <v>Valor vacío</v>
      </c>
      <c r="L158" s="533">
        <f t="shared" si="12"/>
        <v>58690.934866666656</v>
      </c>
      <c r="M158" s="533" t="str">
        <f t="shared" si="13"/>
        <v/>
      </c>
      <c r="N158" s="533">
        <f t="shared" si="14"/>
        <v>58690.934866666656</v>
      </c>
    </row>
    <row r="159" spans="1:14">
      <c r="A159" s="87" t="s">
        <v>1154</v>
      </c>
      <c r="B159" s="90">
        <v>149</v>
      </c>
      <c r="C159" s="90" t="str">
        <f>IF(Estudio_Mercado_VF!D163="","",Estudio_Mercado_VF!D163)</f>
        <v>Azadón</v>
      </c>
      <c r="D159" s="91" t="str">
        <f>IF(Estudio_Mercado_VF!E163="","",Estudio_Mercado_VF!E163)</f>
        <v>Azadón Forjado con Mango 1850 Gramos 1,2 Metros</v>
      </c>
      <c r="E159" s="89">
        <f>IF(Estudio_Mercado_VF!G163="","",Estudio_Mercado_VF!G163)</f>
        <v>1</v>
      </c>
      <c r="F159" s="515">
        <f>IF(Estudio_Mercado_VF!AA163="","",Estudio_Mercado_VF!AA163)</f>
        <v>93573.333466666678</v>
      </c>
      <c r="G159" s="515">
        <f>IF(Estudio_Mercado_VF!AA163="","",Estudio_Mercado_VF!AB163)</f>
        <v>93573.333466666678</v>
      </c>
      <c r="H159" s="522"/>
      <c r="I159" s="523"/>
      <c r="J159" s="92"/>
      <c r="K159" s="93" t="str">
        <f t="shared" si="11"/>
        <v>Valor vacío</v>
      </c>
      <c r="L159" s="533">
        <f t="shared" si="12"/>
        <v>93573.333466666678</v>
      </c>
      <c r="M159" s="533" t="str">
        <f t="shared" si="13"/>
        <v/>
      </c>
      <c r="N159" s="533">
        <f t="shared" si="14"/>
        <v>93573.333466666678</v>
      </c>
    </row>
    <row r="160" spans="1:14">
      <c r="A160" s="87" t="s">
        <v>1154</v>
      </c>
      <c r="B160" s="90">
        <v>150</v>
      </c>
      <c r="C160" s="90" t="str">
        <f>IF(Estudio_Mercado_VF!D164="","",Estudio_Mercado_VF!D164)</f>
        <v>Rastrillo de garra de 12 dientes para jardín</v>
      </c>
      <c r="D160" s="91" t="str">
        <f>IF(Estudio_Mercado_VF!E164="","",Estudio_Mercado_VF!E164)</f>
        <v>Rastrillo metálico de 12 dientes con mango de madera</v>
      </c>
      <c r="E160" s="89">
        <f>IF(Estudio_Mercado_VF!G164="","",Estudio_Mercado_VF!G164)</f>
        <v>1</v>
      </c>
      <c r="F160" s="515">
        <f>IF(Estudio_Mercado_VF!AA164="","",Estudio_Mercado_VF!AA164)</f>
        <v>21550.999166666665</v>
      </c>
      <c r="G160" s="515">
        <f>IF(Estudio_Mercado_VF!AA164="","",Estudio_Mercado_VF!AB164)</f>
        <v>21550.999166666665</v>
      </c>
      <c r="H160" s="522"/>
      <c r="I160" s="523"/>
      <c r="J160" s="92"/>
      <c r="K160" s="93" t="str">
        <f t="shared" si="11"/>
        <v>Valor vacío</v>
      </c>
      <c r="L160" s="533">
        <f t="shared" si="12"/>
        <v>21550.999166666665</v>
      </c>
      <c r="M160" s="533" t="str">
        <f t="shared" si="13"/>
        <v/>
      </c>
      <c r="N160" s="533">
        <f t="shared" si="14"/>
        <v>21550.999166666665</v>
      </c>
    </row>
    <row r="161" spans="1:14">
      <c r="A161" s="87" t="s">
        <v>1154</v>
      </c>
      <c r="B161" s="90">
        <v>151</v>
      </c>
      <c r="C161" s="90" t="str">
        <f>IF(Estudio_Mercado_VF!D165="","",Estudio_Mercado_VF!D165)</f>
        <v>Caja de Puntilla con cabeza 2 pulg</v>
      </c>
      <c r="D161" s="91" t="str">
        <f>IF(Estudio_Mercado_VF!E165="","",Estudio_Mercado_VF!E165)</f>
        <v>En acero, Medidas: 2-1/2pulg Con cabeza, uso: Madera maciza - Caja Libra</v>
      </c>
      <c r="E161" s="89">
        <f>IF(Estudio_Mercado_VF!G165="","",Estudio_Mercado_VF!G165)</f>
        <v>1</v>
      </c>
      <c r="F161" s="515">
        <f>IF(Estudio_Mercado_VF!AA165="","",Estudio_Mercado_VF!AA165)</f>
        <v>9496.1999999999989</v>
      </c>
      <c r="G161" s="515">
        <f>IF(Estudio_Mercado_VF!AA165="","",Estudio_Mercado_VF!AB165)</f>
        <v>9496.1999999999989</v>
      </c>
      <c r="H161" s="522"/>
      <c r="I161" s="523"/>
      <c r="J161" s="92"/>
      <c r="K161" s="93" t="str">
        <f t="shared" si="11"/>
        <v>Valor vacío</v>
      </c>
      <c r="L161" s="533">
        <f t="shared" si="12"/>
        <v>9496.1999999999989</v>
      </c>
      <c r="M161" s="533" t="str">
        <f t="shared" si="13"/>
        <v/>
      </c>
      <c r="N161" s="533">
        <f t="shared" si="14"/>
        <v>9496.1999999999989</v>
      </c>
    </row>
    <row r="162" spans="1:14">
      <c r="A162" s="87" t="s">
        <v>1154</v>
      </c>
      <c r="B162" s="90">
        <v>152</v>
      </c>
      <c r="C162" s="90" t="str">
        <f>IF(Estudio_Mercado_VF!D166="","",Estudio_Mercado_VF!D166)</f>
        <v>Regadera Plástica de 5 litros</v>
      </c>
      <c r="D162" s="91" t="str">
        <f>IF(Estudio_Mercado_VF!E166="","",Estudio_Mercado_VF!E166)</f>
        <v>Regadera Plastica de 5 litros</v>
      </c>
      <c r="E162" s="89">
        <f>IF(Estudio_Mercado_VF!G166="","",Estudio_Mercado_VF!G166)</f>
        <v>1</v>
      </c>
      <c r="F162" s="515">
        <f>IF(Estudio_Mercado_VF!AA166="","",Estudio_Mercado_VF!AA166)</f>
        <v>58151.333333333336</v>
      </c>
      <c r="G162" s="515">
        <f>IF(Estudio_Mercado_VF!AA166="","",Estudio_Mercado_VF!AB166)</f>
        <v>58151.333333333336</v>
      </c>
      <c r="H162" s="522"/>
      <c r="I162" s="523"/>
      <c r="J162" s="92"/>
      <c r="K162" s="93" t="str">
        <f t="shared" si="11"/>
        <v>Valor vacío</v>
      </c>
      <c r="L162" s="533">
        <f t="shared" si="12"/>
        <v>58151.333333333336</v>
      </c>
      <c r="M162" s="533" t="str">
        <f t="shared" si="13"/>
        <v/>
      </c>
      <c r="N162" s="533">
        <f t="shared" si="14"/>
        <v>58151.333333333336</v>
      </c>
    </row>
    <row r="163" spans="1:14">
      <c r="A163" s="87" t="s">
        <v>1154</v>
      </c>
      <c r="B163" s="90">
        <v>153</v>
      </c>
      <c r="C163" s="90" t="str">
        <f>IF(Estudio_Mercado_VF!D167="","",Estudio_Mercado_VF!D167)</f>
        <v>Tierra negra preparada, Bulto 40 kg</v>
      </c>
      <c r="D163" s="91" t="str">
        <f>IF(Estudio_Mercado_VF!E167="","",Estudio_Mercado_VF!E167)</f>
        <v>40 kg de tierra negra para compostaje</v>
      </c>
      <c r="E163" s="89">
        <f>IF(Estudio_Mercado_VF!G167="","",Estudio_Mercado_VF!G167)</f>
        <v>1</v>
      </c>
      <c r="F163" s="515">
        <f>IF(Estudio_Mercado_VF!AA167="","",Estudio_Mercado_VF!AA167)</f>
        <v>26333.333333333332</v>
      </c>
      <c r="G163" s="515">
        <f>IF(Estudio_Mercado_VF!AA167="","",Estudio_Mercado_VF!AB167)</f>
        <v>26333.333333333332</v>
      </c>
      <c r="H163" s="522"/>
      <c r="I163" s="523"/>
      <c r="J163" s="92"/>
      <c r="K163" s="93" t="str">
        <f t="shared" si="11"/>
        <v>Valor vacío</v>
      </c>
      <c r="L163" s="533">
        <f t="shared" si="12"/>
        <v>26333.333333333332</v>
      </c>
      <c r="M163" s="533" t="str">
        <f t="shared" si="13"/>
        <v/>
      </c>
      <c r="N163" s="533">
        <f t="shared" si="14"/>
        <v>26333.333333333332</v>
      </c>
    </row>
    <row r="164" spans="1:14">
      <c r="A164" s="87" t="s">
        <v>1154</v>
      </c>
      <c r="B164" s="90">
        <v>154</v>
      </c>
      <c r="C164" s="90" t="str">
        <f>IF(Estudio_Mercado_VF!D168="","",Estudio_Mercado_VF!D168)</f>
        <v>Abono bocashi para acelerar compostaje</v>
      </c>
      <c r="D164" s="91" t="str">
        <f>IF(Estudio_Mercado_VF!E168="","",Estudio_Mercado_VF!E168)</f>
        <v>Acelerador De Compostaje 100% Natural 100 G</v>
      </c>
      <c r="E164" s="89">
        <f>IF(Estudio_Mercado_VF!G168="","",Estudio_Mercado_VF!G168)</f>
        <v>1</v>
      </c>
      <c r="F164" s="515">
        <f>IF(Estudio_Mercado_VF!AA168="","",Estudio_Mercado_VF!AA168)</f>
        <v>2200</v>
      </c>
      <c r="G164" s="515">
        <f>IF(Estudio_Mercado_VF!AA168="","",Estudio_Mercado_VF!AB168)</f>
        <v>2200</v>
      </c>
      <c r="H164" s="522"/>
      <c r="I164" s="523"/>
      <c r="J164" s="92"/>
      <c r="K164" s="93" t="str">
        <f t="shared" si="11"/>
        <v>Valor vacío</v>
      </c>
      <c r="L164" s="533">
        <f t="shared" si="12"/>
        <v>2200</v>
      </c>
      <c r="M164" s="533" t="str">
        <f t="shared" si="13"/>
        <v/>
      </c>
      <c r="N164" s="533">
        <f t="shared" si="14"/>
        <v>2200</v>
      </c>
    </row>
    <row r="165" spans="1:14">
      <c r="A165" s="87" t="s">
        <v>1154</v>
      </c>
      <c r="B165" s="90">
        <v>155</v>
      </c>
      <c r="C165" s="90" t="str">
        <f>IF(Estudio_Mercado_VF!D169="","",Estudio_Mercado_VF!D169)</f>
        <v>Polisombra negra 10 mt</v>
      </c>
      <c r="D165" s="91" t="str">
        <f>IF(Estudio_Mercado_VF!E169="","",Estudio_Mercado_VF!E169)</f>
        <v>Polisombra Negra X 4 Mts Ancho X 10 Mts Largo 80 %</v>
      </c>
      <c r="E165" s="89">
        <f>IF(Estudio_Mercado_VF!G169="","",Estudio_Mercado_VF!G169)</f>
        <v>1</v>
      </c>
      <c r="F165" s="515">
        <f>IF(Estudio_Mercado_VF!AA169="","",Estudio_Mercado_VF!AA169)</f>
        <v>79190.001800000013</v>
      </c>
      <c r="G165" s="515">
        <f>IF(Estudio_Mercado_VF!AA169="","",Estudio_Mercado_VF!AB169)</f>
        <v>79190.001800000013</v>
      </c>
      <c r="H165" s="522"/>
      <c r="I165" s="523"/>
      <c r="J165" s="92"/>
      <c r="K165" s="93" t="str">
        <f t="shared" si="11"/>
        <v>Valor vacío</v>
      </c>
      <c r="L165" s="533">
        <f t="shared" si="12"/>
        <v>79190.001800000013</v>
      </c>
      <c r="M165" s="533" t="str">
        <f t="shared" si="13"/>
        <v/>
      </c>
      <c r="N165" s="533">
        <f t="shared" si="14"/>
        <v>79190.001800000013</v>
      </c>
    </row>
    <row r="166" spans="1:14" ht="28.9">
      <c r="A166" s="87" t="s">
        <v>1154</v>
      </c>
      <c r="B166" s="90">
        <v>156</v>
      </c>
      <c r="C166" s="90" t="str">
        <f>IF(Estudio_Mercado_VF!D170="","",Estudio_Mercado_VF!D170)</f>
        <v>Cascarilla quemada 4 kg</v>
      </c>
      <c r="D166" s="91" t="str">
        <f>IF(Estudio_Mercado_VF!E170="","",Estudio_Mercado_VF!E170)</f>
        <v>Residuo de arroz quemado, de textura liviana y porosa, color negro grisáceo, ideal para sustrato o mejoramiento de suelos. Paquete por 4 kg</v>
      </c>
      <c r="E166" s="89">
        <f>IF(Estudio_Mercado_VF!G170="","",Estudio_Mercado_VF!G170)</f>
        <v>1</v>
      </c>
      <c r="F166" s="515">
        <f>IF(Estudio_Mercado_VF!AA170="","",Estudio_Mercado_VF!AA170)</f>
        <v>22000</v>
      </c>
      <c r="G166" s="515">
        <f>IF(Estudio_Mercado_VF!AA170="","",Estudio_Mercado_VF!AB170)</f>
        <v>22000</v>
      </c>
      <c r="H166" s="522"/>
      <c r="I166" s="523"/>
      <c r="J166" s="92"/>
      <c r="K166" s="93" t="str">
        <f t="shared" si="11"/>
        <v>Valor vacío</v>
      </c>
      <c r="L166" s="533">
        <f t="shared" si="12"/>
        <v>22000</v>
      </c>
      <c r="M166" s="533" t="str">
        <f t="shared" si="13"/>
        <v/>
      </c>
      <c r="N166" s="533">
        <f t="shared" si="14"/>
        <v>22000</v>
      </c>
    </row>
    <row r="167" spans="1:14" ht="28.9">
      <c r="A167" s="87" t="s">
        <v>1154</v>
      </c>
      <c r="B167" s="90">
        <v>157</v>
      </c>
      <c r="C167" s="90" t="str">
        <f>IF(Estudio_Mercado_VF!D171="","",Estudio_Mercado_VF!D171)</f>
        <v>Humus 10 kg</v>
      </c>
      <c r="D167" s="91" t="str">
        <f>IF(Estudio_Mercado_VF!E171="","",Estudio_Mercado_VF!E171)</f>
        <v xml:space="preserve">Humus de lombriz, de textura fina y color marrón oscuro, alto en materia orgánica. Presentación en bultos de 10 kg </v>
      </c>
      <c r="E167" s="89">
        <f>IF(Estudio_Mercado_VF!G171="","",Estudio_Mercado_VF!G171)</f>
        <v>1</v>
      </c>
      <c r="F167" s="515">
        <f>IF(Estudio_Mercado_VF!AA171="","",Estudio_Mercado_VF!AA171)</f>
        <v>16833.333333333332</v>
      </c>
      <c r="G167" s="515">
        <f>IF(Estudio_Mercado_VF!AA171="","",Estudio_Mercado_VF!AB171)</f>
        <v>16833.333333333332</v>
      </c>
      <c r="H167" s="522"/>
      <c r="I167" s="523"/>
      <c r="J167" s="92"/>
      <c r="K167" s="93" t="str">
        <f t="shared" si="11"/>
        <v>Valor vacío</v>
      </c>
      <c r="L167" s="533">
        <f t="shared" si="12"/>
        <v>16833.333333333332</v>
      </c>
      <c r="M167" s="533" t="str">
        <f t="shared" si="13"/>
        <v/>
      </c>
      <c r="N167" s="533">
        <f t="shared" si="14"/>
        <v>16833.333333333332</v>
      </c>
    </row>
    <row r="168" spans="1:14" ht="28.9">
      <c r="A168" s="87" t="s">
        <v>1154</v>
      </c>
      <c r="B168" s="90">
        <v>158</v>
      </c>
      <c r="C168" s="90" t="str">
        <f>IF(Estudio_Mercado_VF!D172="","",Estudio_Mercado_VF!D172)</f>
        <v>Fibra de coco 4 lt</v>
      </c>
      <c r="D168" s="91" t="str">
        <f>IF(Estudio_Mercado_VF!E172="","",Estudio_Mercado_VF!E172)</f>
        <v>Sustrato vegetal en forma de fibra o polvo, de color marrón claro, con buena retención de humedad. Presentación en bloques comprimidos o sacos de 4 lt</v>
      </c>
      <c r="E168" s="89">
        <f>IF(Estudio_Mercado_VF!G172="","",Estudio_Mercado_VF!G172)</f>
        <v>1</v>
      </c>
      <c r="F168" s="515">
        <f>IF(Estudio_Mercado_VF!AA172="","",Estudio_Mercado_VF!AA172)</f>
        <v>10000</v>
      </c>
      <c r="G168" s="515">
        <f>IF(Estudio_Mercado_VF!AA172="","",Estudio_Mercado_VF!AB172)</f>
        <v>10000</v>
      </c>
      <c r="H168" s="522"/>
      <c r="I168" s="523"/>
      <c r="J168" s="92"/>
      <c r="K168" s="93" t="str">
        <f t="shared" si="11"/>
        <v>Valor vacío</v>
      </c>
      <c r="L168" s="533">
        <f t="shared" si="12"/>
        <v>10000</v>
      </c>
      <c r="M168" s="533" t="str">
        <f t="shared" si="13"/>
        <v/>
      </c>
      <c r="N168" s="533">
        <f t="shared" si="14"/>
        <v>10000</v>
      </c>
    </row>
    <row r="169" spans="1:14">
      <c r="A169" s="87" t="s">
        <v>1154</v>
      </c>
      <c r="B169" s="90">
        <v>159</v>
      </c>
      <c r="C169" s="90" t="str">
        <f>IF(Estudio_Mercado_VF!D173="","",Estudio_Mercado_VF!D173)</f>
        <v>Listones de madera</v>
      </c>
      <c r="D169" s="91" t="str">
        <f>IF(Estudio_Mercado_VF!E173="","",Estudio_Mercado_VF!E173)</f>
        <v>Madera aserrada (pino o similar), medida estándar de  2”x 4”, largos de 3 metros</v>
      </c>
      <c r="E169" s="89">
        <f>IF(Estudio_Mercado_VF!G173="","",Estudio_Mercado_VF!G173)</f>
        <v>1</v>
      </c>
      <c r="F169" s="515">
        <f>IF(Estudio_Mercado_VF!AA173="","",Estudio_Mercado_VF!AA173)</f>
        <v>37266.666733333332</v>
      </c>
      <c r="G169" s="515">
        <f>IF(Estudio_Mercado_VF!AA173="","",Estudio_Mercado_VF!AB173)</f>
        <v>37266.666733333332</v>
      </c>
      <c r="H169" s="522"/>
      <c r="I169" s="523"/>
      <c r="J169" s="92"/>
      <c r="K169" s="93" t="str">
        <f t="shared" si="11"/>
        <v>Valor vacío</v>
      </c>
      <c r="L169" s="533">
        <f t="shared" si="12"/>
        <v>37266.666733333332</v>
      </c>
      <c r="M169" s="533" t="str">
        <f t="shared" si="13"/>
        <v/>
      </c>
      <c r="N169" s="533">
        <f t="shared" si="14"/>
        <v>37266.666733333332</v>
      </c>
    </row>
    <row r="170" spans="1:14">
      <c r="A170" s="87" t="s">
        <v>1154</v>
      </c>
      <c r="B170" s="90">
        <v>160</v>
      </c>
      <c r="C170" s="90" t="str">
        <f>IF(Estudio_Mercado_VF!D174="","",Estudio_Mercado_VF!D174)</f>
        <v>Plástico calibre 6</v>
      </c>
      <c r="D170" s="91" t="str">
        <f>IF(Estudio_Mercado_VF!E174="","",Estudio_Mercado_VF!E174)</f>
        <v>Plastico Invernadero 3m Ancho X 10m Largo Calibre 6</v>
      </c>
      <c r="E170" s="89">
        <f>IF(Estudio_Mercado_VF!G174="","",Estudio_Mercado_VF!G174)</f>
        <v>1</v>
      </c>
      <c r="F170" s="515">
        <f>IF(Estudio_Mercado_VF!AA174="","",Estudio_Mercado_VF!AA174)</f>
        <v>15433.332133333332</v>
      </c>
      <c r="G170" s="515">
        <f>IF(Estudio_Mercado_VF!AA174="","",Estudio_Mercado_VF!AB174)</f>
        <v>15433.332133333332</v>
      </c>
      <c r="H170" s="522"/>
      <c r="I170" s="523"/>
      <c r="J170" s="92"/>
      <c r="K170" s="93" t="str">
        <f t="shared" si="11"/>
        <v>Valor vacío</v>
      </c>
      <c r="L170" s="533">
        <f t="shared" si="12"/>
        <v>15433.332133333332</v>
      </c>
      <c r="M170" s="533" t="str">
        <f t="shared" si="13"/>
        <v/>
      </c>
      <c r="N170" s="533">
        <f t="shared" si="14"/>
        <v>15433.332133333332</v>
      </c>
    </row>
    <row r="171" spans="1:14" ht="57.6">
      <c r="A171" s="87" t="s">
        <v>1154</v>
      </c>
      <c r="B171" s="90">
        <v>161</v>
      </c>
      <c r="C171" s="90" t="str">
        <f>IF(Estudio_Mercado_VF!D175="","",Estudio_Mercado_VF!D175)</f>
        <v>Kit de jardinería</v>
      </c>
      <c r="D171" s="91" t="str">
        <f>IF(Estudio_Mercado_VF!E175="","",Estudio_Mercado_VF!E175)</f>
        <v>Set de jardín que incluye pinzas de corte, pala ancha, horqueta, rastrillo, guantes de algodón con antiderrapante y bolsa en poliester con asa.
* Material: Poliéster / Metal / Madera Eucalipto.
* Tamaño: 20 x 30 cm.</v>
      </c>
      <c r="E171" s="89">
        <f>IF(Estudio_Mercado_VF!G175="","",Estudio_Mercado_VF!G175)</f>
        <v>1</v>
      </c>
      <c r="F171" s="515">
        <f>IF(Estudio_Mercado_VF!AA175="","",Estudio_Mercado_VF!AA175)</f>
        <v>43322.299066666666</v>
      </c>
      <c r="G171" s="515">
        <f>IF(Estudio_Mercado_VF!AA175="","",Estudio_Mercado_VF!AB175)</f>
        <v>43322.299066666666</v>
      </c>
      <c r="H171" s="522"/>
      <c r="I171" s="523"/>
      <c r="J171" s="92"/>
      <c r="K171" s="93" t="str">
        <f t="shared" si="11"/>
        <v>Valor vacío</v>
      </c>
      <c r="L171" s="533">
        <f t="shared" si="12"/>
        <v>43322.299066666666</v>
      </c>
      <c r="M171" s="533" t="str">
        <f t="shared" si="13"/>
        <v/>
      </c>
      <c r="N171" s="533">
        <f t="shared" si="14"/>
        <v>43322.299066666666</v>
      </c>
    </row>
    <row r="172" spans="1:14" ht="43.15">
      <c r="A172" s="87" t="s">
        <v>1154</v>
      </c>
      <c r="B172" s="90">
        <v>162</v>
      </c>
      <c r="C172" s="90" t="str">
        <f>IF(Estudio_Mercado_VF!D176="","",Estudio_Mercado_VF!D176)</f>
        <v>Tijeras de poda larga</v>
      </c>
      <c r="D172" s="91" t="str">
        <f>IF(Estudio_Mercado_VF!E176="","",Estudio_Mercado_VF!E176)</f>
        <v>Tijeras de dos manos con mango largo (80 cm), hoja curva de acero templado, ideales para cortar ramas gruesas de hasta 3 cm de diámetro. Mangos ergonómicos, antideslizantes.</v>
      </c>
      <c r="E172" s="89">
        <f>IF(Estudio_Mercado_VF!G176="","",Estudio_Mercado_VF!G176)</f>
        <v>1</v>
      </c>
      <c r="F172" s="515">
        <f>IF(Estudio_Mercado_VF!AA176="","",Estudio_Mercado_VF!AA176)</f>
        <v>149900.00409999999</v>
      </c>
      <c r="G172" s="515">
        <f>IF(Estudio_Mercado_VF!AA176="","",Estudio_Mercado_VF!AB176)</f>
        <v>149900.00409999999</v>
      </c>
      <c r="H172" s="522"/>
      <c r="I172" s="523"/>
      <c r="J172" s="92"/>
      <c r="K172" s="93" t="str">
        <f t="shared" si="11"/>
        <v>Valor vacío</v>
      </c>
      <c r="L172" s="533">
        <f t="shared" si="12"/>
        <v>149900.00409999999</v>
      </c>
      <c r="M172" s="533" t="str">
        <f t="shared" si="13"/>
        <v/>
      </c>
      <c r="N172" s="533">
        <f t="shared" si="14"/>
        <v>149900.00409999999</v>
      </c>
    </row>
    <row r="173" spans="1:14">
      <c r="A173" s="87" t="s">
        <v>1154</v>
      </c>
      <c r="B173" s="90">
        <v>163</v>
      </c>
      <c r="C173" s="90" t="str">
        <f>IF(Estudio_Mercado_VF!D177="","",Estudio_Mercado_VF!D177)</f>
        <v>Carretilla  tipo zorra</v>
      </c>
      <c r="D173" s="91" t="str">
        <f>IF(Estudio_Mercado_VF!E177="","",Estudio_Mercado_VF!E177)</f>
        <v>Carretilla Zorra Carro Plegable Multifunciones 80kg + Pulpo</v>
      </c>
      <c r="E173" s="89">
        <f>IF(Estudio_Mercado_VF!G177="","",Estudio_Mercado_VF!G177)</f>
        <v>1</v>
      </c>
      <c r="F173" s="515">
        <f>IF(Estudio_Mercado_VF!AA177="","",Estudio_Mercado_VF!AA177)</f>
        <v>188813.33333333334</v>
      </c>
      <c r="G173" s="515">
        <f>IF(Estudio_Mercado_VF!AA177="","",Estudio_Mercado_VF!AB177)</f>
        <v>188813.33333333334</v>
      </c>
      <c r="H173" s="522"/>
      <c r="I173" s="523"/>
      <c r="J173" s="92"/>
      <c r="K173" s="93" t="str">
        <f t="shared" si="11"/>
        <v>Valor vacío</v>
      </c>
      <c r="L173" s="533">
        <f t="shared" si="12"/>
        <v>188813.33333333334</v>
      </c>
      <c r="M173" s="533" t="str">
        <f t="shared" si="13"/>
        <v/>
      </c>
      <c r="N173" s="533">
        <f t="shared" si="14"/>
        <v>188813.33333333334</v>
      </c>
    </row>
    <row r="174" spans="1:14" ht="28.9">
      <c r="A174" s="87" t="s">
        <v>1154</v>
      </c>
      <c r="B174" s="90">
        <v>164</v>
      </c>
      <c r="C174" s="90" t="str">
        <f>IF(Estudio_Mercado_VF!D178="","",Estudio_Mercado_VF!D178)</f>
        <v>Alambre dulce</v>
      </c>
      <c r="D174" s="91" t="str">
        <f>IF(Estudio_Mercado_VF!E178="","",Estudio_Mercado_VF!E178)</f>
        <v>Alambre galvanizado de acero de fácil manipulación (maleable), de 10 metros, calibre 20 Usado para amarres o estructuras ligeras.</v>
      </c>
      <c r="E174" s="89">
        <f>IF(Estudio_Mercado_VF!G178="","",Estudio_Mercado_VF!G178)</f>
        <v>1</v>
      </c>
      <c r="F174" s="515">
        <f>IF(Estudio_Mercado_VF!AA178="","",Estudio_Mercado_VF!AA178)</f>
        <v>12266.666666666666</v>
      </c>
      <c r="G174" s="515">
        <f>IF(Estudio_Mercado_VF!AA178="","",Estudio_Mercado_VF!AB178)</f>
        <v>12266.666666666666</v>
      </c>
      <c r="H174" s="522"/>
      <c r="I174" s="523"/>
      <c r="J174" s="92"/>
      <c r="K174" s="93" t="str">
        <f t="shared" si="11"/>
        <v>Valor vacío</v>
      </c>
      <c r="L174" s="533">
        <f t="shared" si="12"/>
        <v>12266.666666666666</v>
      </c>
      <c r="M174" s="533" t="str">
        <f t="shared" si="13"/>
        <v/>
      </c>
      <c r="N174" s="533">
        <f t="shared" si="14"/>
        <v>12266.666666666666</v>
      </c>
    </row>
    <row r="175" spans="1:14" ht="43.15">
      <c r="A175" s="87" t="s">
        <v>1154</v>
      </c>
      <c r="B175" s="90">
        <v>165</v>
      </c>
      <c r="C175" s="90" t="str">
        <f>IF(Estudio_Mercado_VF!D179="","",Estudio_Mercado_VF!D179)</f>
        <v>Aspersora de 10 litros</v>
      </c>
      <c r="D175" s="91" t="str">
        <f>IF(Estudio_Mercado_VF!E179="","",Estudio_Mercado_VF!E179)</f>
        <v>Aspersora manual tipo mochila o de presión previa, capacidad de 10 litros, fabricada en plástico resistente, boquilla ajustable (niebla/chorro), válvula de seguridad, correa para transporte.</v>
      </c>
      <c r="E175" s="89">
        <f>IF(Estudio_Mercado_VF!G179="","",Estudio_Mercado_VF!G179)</f>
        <v>1</v>
      </c>
      <c r="F175" s="515">
        <f>IF(Estudio_Mercado_VF!AA179="","",Estudio_Mercado_VF!AA179)</f>
        <v>158166.66666666672</v>
      </c>
      <c r="G175" s="515">
        <f>IF(Estudio_Mercado_VF!AA179="","",Estudio_Mercado_VF!AB179)</f>
        <v>158166.66666666672</v>
      </c>
      <c r="H175" s="522"/>
      <c r="I175" s="523"/>
      <c r="J175" s="92"/>
      <c r="K175" s="93" t="str">
        <f t="shared" si="11"/>
        <v>Valor vacío</v>
      </c>
      <c r="L175" s="533">
        <f t="shared" si="12"/>
        <v>158166.66666666672</v>
      </c>
      <c r="M175" s="533" t="str">
        <f t="shared" si="13"/>
        <v/>
      </c>
      <c r="N175" s="533">
        <f t="shared" si="14"/>
        <v>158166.66666666672</v>
      </c>
    </row>
    <row r="176" spans="1:14" ht="28.9">
      <c r="A176" s="87" t="s">
        <v>1154</v>
      </c>
      <c r="B176" s="90">
        <v>166</v>
      </c>
      <c r="C176" s="90" t="str">
        <f>IF(Estudio_Mercado_VF!D180="","",Estudio_Mercado_VF!D180)</f>
        <v>Aspersora de 5 litros</v>
      </c>
      <c r="D176" s="91" t="str">
        <f>IF(Estudio_Mercado_VF!E180="","",Estudio_Mercado_VF!E180)</f>
        <v>Aspersora manual de mano, capacidad de 5 litros, diseño compacto, fabricada en plástico resistente, boquilla regulable, ideal para aplicaciones en semilleros o plantas pequeñas.</v>
      </c>
      <c r="E176" s="89">
        <f>IF(Estudio_Mercado_VF!G180="","",Estudio_Mercado_VF!G180)</f>
        <v>1</v>
      </c>
      <c r="F176" s="515">
        <f>IF(Estudio_Mercado_VF!AA180="","",Estudio_Mercado_VF!AA180)</f>
        <v>68066.667300000001</v>
      </c>
      <c r="G176" s="515">
        <f>IF(Estudio_Mercado_VF!AA180="","",Estudio_Mercado_VF!AB180)</f>
        <v>68066.667300000001</v>
      </c>
      <c r="H176" s="522"/>
      <c r="I176" s="523"/>
      <c r="J176" s="92"/>
      <c r="K176" s="93" t="str">
        <f t="shared" si="11"/>
        <v>Valor vacío</v>
      </c>
      <c r="L176" s="533">
        <f t="shared" si="12"/>
        <v>68066.667300000001</v>
      </c>
      <c r="M176" s="533" t="str">
        <f t="shared" si="13"/>
        <v/>
      </c>
      <c r="N176" s="533">
        <f t="shared" si="14"/>
        <v>68066.667300000001</v>
      </c>
    </row>
    <row r="177" spans="1:14" ht="28.9">
      <c r="A177" s="87" t="s">
        <v>1154</v>
      </c>
      <c r="B177" s="90">
        <v>167</v>
      </c>
      <c r="C177" s="90" t="str">
        <f>IF(Estudio_Mercado_VF!D181="","",Estudio_Mercado_VF!D181)</f>
        <v xml:space="preserve">Guantes </v>
      </c>
      <c r="D177" s="91" t="str">
        <f>IF(Estudio_Mercado_VF!E181="","",Estudio_Mercado_VF!E181)</f>
        <v>Guantes de protección para labores agrícolas, en materiales resistentes (látex, nitrilo o tela recubierta). Tallas M y L, antideslizantes, reutilizables.</v>
      </c>
      <c r="E177" s="89">
        <f>IF(Estudio_Mercado_VF!G181="","",Estudio_Mercado_VF!G181)</f>
        <v>1</v>
      </c>
      <c r="F177" s="515">
        <f>IF(Estudio_Mercado_VF!AA181="","",Estudio_Mercado_VF!AA181)</f>
        <v>19936.466666666667</v>
      </c>
      <c r="G177" s="515">
        <f>IF(Estudio_Mercado_VF!AA181="","",Estudio_Mercado_VF!AB181)</f>
        <v>19936.466666666667</v>
      </c>
      <c r="H177" s="522"/>
      <c r="I177" s="523"/>
      <c r="J177" s="92"/>
      <c r="K177" s="93" t="str">
        <f t="shared" si="11"/>
        <v>Valor vacío</v>
      </c>
      <c r="L177" s="533">
        <f t="shared" si="12"/>
        <v>19936.466666666667</v>
      </c>
      <c r="M177" s="533" t="str">
        <f t="shared" si="13"/>
        <v/>
      </c>
      <c r="N177" s="533">
        <f t="shared" si="14"/>
        <v>19936.466666666667</v>
      </c>
    </row>
    <row r="178" spans="1:14" ht="43.15">
      <c r="A178" s="87" t="s">
        <v>1154</v>
      </c>
      <c r="B178" s="90">
        <v>168</v>
      </c>
      <c r="C178" s="90" t="str">
        <f>IF(Estudio_Mercado_VF!D182="","",Estudio_Mercado_VF!D182)</f>
        <v>Vermicompostera</v>
      </c>
      <c r="D178" s="91" t="str">
        <f>IF(Estudio_Mercado_VF!E182="","",Estudio_Mercado_VF!E182)</f>
        <v>Contenedor modular o por niveles para la producción de humus mediante lombrices rojas californianas. Fabricada en plástico resistente o madera tratada, con sistema de drenaje, ventilación y tapa. Capacidad 52 lt</v>
      </c>
      <c r="E178" s="89">
        <f>IF(Estudio_Mercado_VF!G182="","",Estudio_Mercado_VF!G182)</f>
        <v>1</v>
      </c>
      <c r="F178" s="515">
        <f>IF(Estudio_Mercado_VF!AA182="","",Estudio_Mercado_VF!AA182)</f>
        <v>393700.00063333334</v>
      </c>
      <c r="G178" s="515">
        <f>IF(Estudio_Mercado_VF!AA182="","",Estudio_Mercado_VF!AB182)</f>
        <v>393700.00063333334</v>
      </c>
      <c r="H178" s="522"/>
      <c r="I178" s="523"/>
      <c r="J178" s="92"/>
      <c r="K178" s="93" t="str">
        <f t="shared" si="11"/>
        <v>Valor vacío</v>
      </c>
      <c r="L178" s="533">
        <f t="shared" si="12"/>
        <v>393700.00063333334</v>
      </c>
      <c r="M178" s="533" t="str">
        <f t="shared" si="13"/>
        <v/>
      </c>
      <c r="N178" s="533">
        <f t="shared" si="14"/>
        <v>393700.00063333334</v>
      </c>
    </row>
    <row r="179" spans="1:14" ht="57.6">
      <c r="A179" s="87" t="s">
        <v>1154</v>
      </c>
      <c r="B179" s="90">
        <v>169</v>
      </c>
      <c r="C179" s="90" t="str">
        <f>IF(Estudio_Mercado_VF!D183="","",Estudio_Mercado_VF!D183)</f>
        <v xml:space="preserve">Fertilizante foliar en litro </v>
      </c>
      <c r="D179" s="91" t="str">
        <f>IF(Estudio_Mercado_VF!E183="","",Estudio_Mercado_VF!E183)</f>
        <v>Fertilizante rico en algas (Aporte de nitrógeno): Bioestimulantes naturales derivados del alga Ascophyllum nodosum. Es un fertilizante no tóxico y no dañino al medio ambiente. Rico en microelementos, citoquininas, giberelinas, ácido algínico y aminoácidos de origen vegetal. </v>
      </c>
      <c r="E179" s="89">
        <f>IF(Estudio_Mercado_VF!G183="","",Estudio_Mercado_VF!G183)</f>
        <v>1</v>
      </c>
      <c r="F179" s="515">
        <f>IF(Estudio_Mercado_VF!AA183="","",Estudio_Mercado_VF!AA183)</f>
        <v>53466.946666666663</v>
      </c>
      <c r="G179" s="515">
        <f>IF(Estudio_Mercado_VF!AA183="","",Estudio_Mercado_VF!AB183)</f>
        <v>53466.946666666663</v>
      </c>
      <c r="H179" s="522"/>
      <c r="I179" s="523"/>
      <c r="J179" s="92"/>
      <c r="K179" s="93" t="str">
        <f t="shared" si="11"/>
        <v>Valor vacío</v>
      </c>
      <c r="L179" s="533">
        <f t="shared" si="12"/>
        <v>53466.946666666663</v>
      </c>
      <c r="M179" s="533" t="str">
        <f t="shared" si="13"/>
        <v/>
      </c>
      <c r="N179" s="533">
        <f t="shared" si="14"/>
        <v>53466.946666666663</v>
      </c>
    </row>
    <row r="180" spans="1:14" ht="28.9">
      <c r="A180" s="87" t="s">
        <v>1154</v>
      </c>
      <c r="B180" s="90">
        <v>170</v>
      </c>
      <c r="C180" s="90" t="str">
        <f>IF(Estudio_Mercado_VF!D184="","",Estudio_Mercado_VF!D184)</f>
        <v>Regadera 8 litros</v>
      </c>
      <c r="D180" s="91" t="str">
        <f>IF(Estudio_Mercado_VF!E184="","",Estudio_Mercado_VF!E184)</f>
        <v>Recipiente de plástico resistente o metal galvanizado, con capacidad de 8 litros, boquilla tipo roseta para riego suave. </v>
      </c>
      <c r="E180" s="89">
        <f>IF(Estudio_Mercado_VF!G184="","",Estudio_Mercado_VF!G184)</f>
        <v>1</v>
      </c>
      <c r="F180" s="515">
        <f>IF(Estudio_Mercado_VF!AA184="","",Estudio_Mercado_VF!AA184)</f>
        <v>42046.666666666664</v>
      </c>
      <c r="G180" s="515">
        <f>IF(Estudio_Mercado_VF!AA184="","",Estudio_Mercado_VF!AB184)</f>
        <v>42046.666666666664</v>
      </c>
      <c r="H180" s="522"/>
      <c r="I180" s="523"/>
      <c r="J180" s="92"/>
      <c r="K180" s="93" t="str">
        <f t="shared" si="11"/>
        <v>Valor vacío</v>
      </c>
      <c r="L180" s="533">
        <f t="shared" si="12"/>
        <v>42046.666666666664</v>
      </c>
      <c r="M180" s="533" t="str">
        <f t="shared" si="13"/>
        <v/>
      </c>
      <c r="N180" s="533">
        <f t="shared" si="14"/>
        <v>42046.666666666664</v>
      </c>
    </row>
    <row r="181" spans="1:14" ht="28.9">
      <c r="A181" s="87" t="s">
        <v>1154</v>
      </c>
      <c r="B181" s="90">
        <v>171</v>
      </c>
      <c r="C181" s="90" t="str">
        <f>IF(Estudio_Mercado_VF!D185="","",Estudio_Mercado_VF!D185)</f>
        <v>Canastilla plástica 13 cm</v>
      </c>
      <c r="D181" s="91" t="str">
        <f>IF(Estudio_Mercado_VF!E185="","",Estudio_Mercado_VF!E185)</f>
        <v>Canastillas apilables de polipropileno, con ventilación lateral y base reforzada. Profundidad: 40 cm, Altura: 13 cm, Ancho: 60 cm </v>
      </c>
      <c r="E181" s="89">
        <f>IF(Estudio_Mercado_VF!G185="","",Estudio_Mercado_VF!G185)</f>
        <v>1</v>
      </c>
      <c r="F181" s="515">
        <f>IF(Estudio_Mercado_VF!AA185="","",Estudio_Mercado_VF!AA185)</f>
        <v>44426.666666666664</v>
      </c>
      <c r="G181" s="515">
        <f>IF(Estudio_Mercado_VF!AA185="","",Estudio_Mercado_VF!AB185)</f>
        <v>44426.666666666664</v>
      </c>
      <c r="H181" s="522"/>
      <c r="I181" s="523"/>
      <c r="J181" s="92"/>
      <c r="K181" s="93" t="str">
        <f t="shared" si="11"/>
        <v>Valor vacío</v>
      </c>
      <c r="L181" s="533">
        <f t="shared" si="12"/>
        <v>44426.666666666664</v>
      </c>
      <c r="M181" s="533" t="str">
        <f t="shared" si="13"/>
        <v/>
      </c>
      <c r="N181" s="533">
        <f t="shared" si="14"/>
        <v>44426.666666666664</v>
      </c>
    </row>
    <row r="182" spans="1:14" ht="28.9">
      <c r="A182" s="87" t="s">
        <v>1154</v>
      </c>
      <c r="B182" s="90">
        <v>172</v>
      </c>
      <c r="C182" s="90" t="str">
        <f>IF(Estudio_Mercado_VF!D186="","",Estudio_Mercado_VF!D186)</f>
        <v>Canastilla plástica 25 cm</v>
      </c>
      <c r="D182" s="91" t="str">
        <f>IF(Estudio_Mercado_VF!E186="","",Estudio_Mercado_VF!E186)</f>
        <v>Canastillas apilables de polipropileno, con ventilación lateral y base reforzada. Profundidad: 40 cm, Altura: 25 cm, Ancho: 60 cm </v>
      </c>
      <c r="E182" s="89">
        <f>IF(Estudio_Mercado_VF!G186="","",Estudio_Mercado_VF!G186)</f>
        <v>1</v>
      </c>
      <c r="F182" s="515">
        <f>IF(Estudio_Mercado_VF!AA186="","",Estudio_Mercado_VF!AA186)</f>
        <v>53312</v>
      </c>
      <c r="G182" s="515">
        <f>IF(Estudio_Mercado_VF!AA186="","",Estudio_Mercado_VF!AB186)</f>
        <v>53312</v>
      </c>
      <c r="H182" s="522"/>
      <c r="I182" s="523"/>
      <c r="J182" s="92"/>
      <c r="K182" s="93" t="str">
        <f t="shared" si="11"/>
        <v>Valor vacío</v>
      </c>
      <c r="L182" s="533">
        <f t="shared" si="12"/>
        <v>53312</v>
      </c>
      <c r="M182" s="533" t="str">
        <f t="shared" si="13"/>
        <v/>
      </c>
      <c r="N182" s="533">
        <f t="shared" si="14"/>
        <v>53312</v>
      </c>
    </row>
    <row r="183" spans="1:14" ht="57.6">
      <c r="A183" s="87" t="s">
        <v>1154</v>
      </c>
      <c r="B183" s="90">
        <v>173</v>
      </c>
      <c r="C183" s="90" t="str">
        <f>IF(Estudio_Mercado_VF!D187="","",Estudio_Mercado_VF!D187)</f>
        <v>Canastilla plástica para compostaje con tapa</v>
      </c>
      <c r="D183" s="91" t="str">
        <f>IF(Estudio_Mercado_VF!E187="","",Estudio_Mercado_VF!E187)</f>
        <v>Medidas externas: 59,2 x 40 x 40,7 cm
Medidas internas: 56,2 x 36,7 x 39,2 cm
Dimensiones ventana: 26,5 x 26,5 cm
Volumen: 80,9 litros</v>
      </c>
      <c r="E183" s="89">
        <f>IF(Estudio_Mercado_VF!G187="","",Estudio_Mercado_VF!G187)</f>
        <v>1</v>
      </c>
      <c r="F183" s="515">
        <f>IF(Estudio_Mercado_VF!AA187="","",Estudio_Mercado_VF!AA187)</f>
        <v>163651.33470000001</v>
      </c>
      <c r="G183" s="515">
        <f>IF(Estudio_Mercado_VF!AA187="","",Estudio_Mercado_VF!AB187)</f>
        <v>163651.33470000001</v>
      </c>
      <c r="H183" s="522"/>
      <c r="I183" s="523"/>
      <c r="J183" s="92"/>
      <c r="K183" s="93" t="str">
        <f t="shared" si="11"/>
        <v>Valor vacío</v>
      </c>
      <c r="L183" s="533">
        <f t="shared" si="12"/>
        <v>163651.33470000001</v>
      </c>
      <c r="M183" s="533" t="str">
        <f t="shared" si="13"/>
        <v/>
      </c>
      <c r="N183" s="533">
        <f t="shared" si="14"/>
        <v>163651.33470000001</v>
      </c>
    </row>
    <row r="184" spans="1:14" ht="28.9">
      <c r="A184" s="87" t="s">
        <v>1154</v>
      </c>
      <c r="B184" s="90">
        <v>174</v>
      </c>
      <c r="C184" s="90" t="str">
        <f>IF(Estudio_Mercado_VF!D188="","",Estudio_Mercado_VF!D188)</f>
        <v>Estiba</v>
      </c>
      <c r="D184" s="91" t="str">
        <f>IF(Estudio_Mercado_VF!E188="","",Estudio_Mercado_VF!E188)</f>
        <v>Canastillas apilables de polipropileno, con ventilación lateral y base reforzada. Profundidad: 40 cm, Altura: 13 cm, Ancho: 60 cm </v>
      </c>
      <c r="E184" s="89">
        <f>IF(Estudio_Mercado_VF!G188="","",Estudio_Mercado_VF!G188)</f>
        <v>1</v>
      </c>
      <c r="F184" s="515">
        <f>IF(Estudio_Mercado_VF!AA188="","",Estudio_Mercado_VF!AA188)</f>
        <v>41888</v>
      </c>
      <c r="G184" s="515">
        <f>IF(Estudio_Mercado_VF!AA188="","",Estudio_Mercado_VF!AB188)</f>
        <v>41888</v>
      </c>
      <c r="H184" s="522"/>
      <c r="I184" s="523"/>
      <c r="J184" s="92"/>
      <c r="K184" s="93" t="str">
        <f t="shared" si="11"/>
        <v>Valor vacío</v>
      </c>
      <c r="L184" s="533">
        <f t="shared" si="12"/>
        <v>41888</v>
      </c>
      <c r="M184" s="533" t="str">
        <f t="shared" si="13"/>
        <v/>
      </c>
      <c r="N184" s="533">
        <f t="shared" si="14"/>
        <v>41888</v>
      </c>
    </row>
    <row r="185" spans="1:14" ht="28.9">
      <c r="A185" s="87" t="s">
        <v>1154</v>
      </c>
      <c r="B185" s="90">
        <v>175</v>
      </c>
      <c r="C185" s="90" t="str">
        <f>IF(Estudio_Mercado_VF!D189="","",Estudio_Mercado_VF!D189)</f>
        <v>Bolsas compostables</v>
      </c>
      <c r="D185" s="91" t="str">
        <f>IF(Estudio_Mercado_VF!E189="","",Estudio_Mercado_VF!E189)</f>
        <v>Bolsas biodegradables fabricadas a base de almidón de maíz. Capacidad de 5 a 30 litros. Degradación completa en condiciones de compostaje. </v>
      </c>
      <c r="E185" s="89">
        <f>IF(Estudio_Mercado_VF!G189="","",Estudio_Mercado_VF!G189)</f>
        <v>1</v>
      </c>
      <c r="F185" s="515">
        <f>IF(Estudio_Mercado_VF!AA189="","",Estudio_Mercado_VF!AA189)</f>
        <v>4933.333333333333</v>
      </c>
      <c r="G185" s="515">
        <f>IF(Estudio_Mercado_VF!AA189="","",Estudio_Mercado_VF!AB189)</f>
        <v>4933.333333333333</v>
      </c>
      <c r="H185" s="522"/>
      <c r="I185" s="523"/>
      <c r="J185" s="92"/>
      <c r="K185" s="93" t="str">
        <f t="shared" si="11"/>
        <v>Valor vacío</v>
      </c>
      <c r="L185" s="533">
        <f t="shared" si="12"/>
        <v>4933.333333333333</v>
      </c>
      <c r="M185" s="533" t="str">
        <f t="shared" si="13"/>
        <v/>
      </c>
      <c r="N185" s="533">
        <f t="shared" si="14"/>
        <v>4933.333333333333</v>
      </c>
    </row>
    <row r="186" spans="1:14" ht="28.9">
      <c r="A186" s="87" t="s">
        <v>1154</v>
      </c>
      <c r="B186" s="90">
        <v>176</v>
      </c>
      <c r="C186" s="90" t="str">
        <f>IF(Estudio_Mercado_VF!D190="","",Estudio_Mercado_VF!D190)</f>
        <v xml:space="preserve">Contenedores de compostaje - 30 litros </v>
      </c>
      <c r="D186" s="91" t="str">
        <f>IF(Estudio_Mercado_VF!E190="","",Estudio_Mercado_VF!E190)</f>
        <v>Garrafas industriales con tapa de cierre hermético con precinto de seguridad y ara metálico, fáciles de usar, fáciles de apilar y/o reutilizables; con capacidad de 30 litros </v>
      </c>
      <c r="E186" s="89">
        <f>IF(Estudio_Mercado_VF!G190="","",Estudio_Mercado_VF!G190)</f>
        <v>1</v>
      </c>
      <c r="F186" s="515">
        <f>IF(Estudio_Mercado_VF!AA190="","",Estudio_Mercado_VF!AA190)</f>
        <v>158021.33363333333</v>
      </c>
      <c r="G186" s="515">
        <f>IF(Estudio_Mercado_VF!AA190="","",Estudio_Mercado_VF!AB190)</f>
        <v>158021.33363333333</v>
      </c>
      <c r="H186" s="524"/>
      <c r="I186" s="525"/>
      <c r="J186" s="92"/>
      <c r="K186" s="93" t="str">
        <f t="shared" si="11"/>
        <v>Valor vacío</v>
      </c>
      <c r="L186" s="533">
        <f t="shared" si="12"/>
        <v>158021.33363333333</v>
      </c>
      <c r="M186" s="533" t="str">
        <f t="shared" si="13"/>
        <v/>
      </c>
      <c r="N186" s="533">
        <f t="shared" si="14"/>
        <v>158021.33363333333</v>
      </c>
    </row>
    <row r="187" spans="1:14" ht="28.9">
      <c r="A187" s="87" t="s">
        <v>1154</v>
      </c>
      <c r="B187" s="90">
        <v>177</v>
      </c>
      <c r="C187" s="90" t="str">
        <f>IF(Estudio_Mercado_VF!D191="","",Estudio_Mercado_VF!D191)</f>
        <v>Bulto de compost 35 kg</v>
      </c>
      <c r="D187" s="91" t="str">
        <f>IF(Estudio_Mercado_VF!E191="","",Estudio_Mercado_VF!E191)</f>
        <v>Material orgánico con buenas condiciones de descomposición, buen olor y alto contenido de nutrientes, capacidad del bulto 35 kg. </v>
      </c>
      <c r="E187" s="89">
        <f>IF(Estudio_Mercado_VF!G191="","",Estudio_Mercado_VF!G191)</f>
        <v>1</v>
      </c>
      <c r="F187" s="515">
        <f>IF(Estudio_Mercado_VF!AA191="","",Estudio_Mercado_VF!AA191)</f>
        <v>37333.333333333336</v>
      </c>
      <c r="G187" s="515">
        <f>IF(Estudio_Mercado_VF!AA191="","",Estudio_Mercado_VF!AB191)</f>
        <v>37333.333333333336</v>
      </c>
      <c r="H187" s="524"/>
      <c r="I187" s="525"/>
      <c r="J187" s="92"/>
      <c r="K187" s="93" t="str">
        <f t="shared" si="11"/>
        <v>Valor vacío</v>
      </c>
      <c r="L187" s="533">
        <f t="shared" si="12"/>
        <v>37333.333333333336</v>
      </c>
      <c r="M187" s="533" t="str">
        <f t="shared" si="13"/>
        <v/>
      </c>
      <c r="N187" s="533">
        <f t="shared" si="14"/>
        <v>37333.333333333336</v>
      </c>
    </row>
    <row r="188" spans="1:14" ht="28.9">
      <c r="A188" s="87" t="s">
        <v>1154</v>
      </c>
      <c r="B188" s="90">
        <v>178</v>
      </c>
      <c r="C188" s="90" t="str">
        <f>IF(Estudio_Mercado_VF!D192="","",Estudio_Mercado_VF!D192)</f>
        <v>Bulto de compost 50 kg</v>
      </c>
      <c r="D188" s="91" t="str">
        <f>IF(Estudio_Mercado_VF!E192="","",Estudio_Mercado_VF!E192)</f>
        <v>Material orgánico con buenas condiciones de descomposición, buen olor y alto contenido de nutrientes, capacidad del bulto 50 kg. </v>
      </c>
      <c r="E188" s="89">
        <f>IF(Estudio_Mercado_VF!G192="","",Estudio_Mercado_VF!G192)</f>
        <v>1</v>
      </c>
      <c r="F188" s="515">
        <f>IF(Estudio_Mercado_VF!AA192="","",Estudio_Mercado_VF!AA192)</f>
        <v>41666.666666666664</v>
      </c>
      <c r="G188" s="515">
        <f>IF(Estudio_Mercado_VF!AA192="","",Estudio_Mercado_VF!AB192)</f>
        <v>41666.666666666664</v>
      </c>
      <c r="H188" s="524"/>
      <c r="I188" s="525"/>
      <c r="J188" s="92"/>
      <c r="K188" s="93" t="str">
        <f t="shared" si="11"/>
        <v>Valor vacío</v>
      </c>
      <c r="L188" s="533">
        <f t="shared" si="12"/>
        <v>41666.666666666664</v>
      </c>
      <c r="M188" s="533" t="str">
        <f t="shared" si="13"/>
        <v/>
      </c>
      <c r="N188" s="533">
        <f t="shared" si="14"/>
        <v>41666.666666666664</v>
      </c>
    </row>
    <row r="189" spans="1:14">
      <c r="A189" s="87" t="s">
        <v>1154</v>
      </c>
      <c r="B189" s="90">
        <v>179</v>
      </c>
      <c r="C189" s="90" t="str">
        <f>IF(Estudio_Mercado_VF!D193="","",Estudio_Mercado_VF!D193)</f>
        <v>Caja de Puntilla con cabeza 2 1/2</v>
      </c>
      <c r="D189" s="91" t="str">
        <f>IF(Estudio_Mercado_VF!E193="","",Estudio_Mercado_VF!E193)</f>
        <v>En acero, Medidas: 2-1/2pulg Con cabeza, uso: Madera maciza - Caja Libra </v>
      </c>
      <c r="E189" s="89">
        <f>IF(Estudio_Mercado_VF!G193="","",Estudio_Mercado_VF!G193)</f>
        <v>1</v>
      </c>
      <c r="F189" s="515">
        <f>IF(Estudio_Mercado_VF!AA193="","",Estudio_Mercado_VF!AA193)</f>
        <v>9575.5333333333328</v>
      </c>
      <c r="G189" s="515">
        <f>IF(Estudio_Mercado_VF!AA193="","",Estudio_Mercado_VF!AB193)</f>
        <v>9575.5333333333328</v>
      </c>
      <c r="H189" s="524"/>
      <c r="I189" s="525"/>
      <c r="J189" s="92"/>
      <c r="K189" s="93" t="str">
        <f t="shared" si="11"/>
        <v>Valor vacío</v>
      </c>
      <c r="L189" s="533">
        <f t="shared" si="12"/>
        <v>9575.5333333333328</v>
      </c>
      <c r="M189" s="533" t="str">
        <f t="shared" si="13"/>
        <v/>
      </c>
      <c r="N189" s="533">
        <f t="shared" si="14"/>
        <v>9575.5333333333328</v>
      </c>
    </row>
    <row r="190" spans="1:14">
      <c r="A190" s="87" t="s">
        <v>1154</v>
      </c>
      <c r="B190" s="90">
        <v>180</v>
      </c>
      <c r="C190" s="90" t="str">
        <f>IF(Estudio_Mercado_VF!D194="","",Estudio_Mercado_VF!D194)</f>
        <v>Regadera Plástica 2 lt</v>
      </c>
      <c r="D190" s="91" t="str">
        <f>IF(Estudio_Mercado_VF!E194="","",Estudio_Mercado_VF!E194)</f>
        <v>Regadera Plástica de 2 Litros Dimensiones: 7,5x33x24,5cm </v>
      </c>
      <c r="E190" s="89">
        <f>IF(Estudio_Mercado_VF!G194="","",Estudio_Mercado_VF!G194)</f>
        <v>1</v>
      </c>
      <c r="F190" s="515">
        <f>IF(Estudio_Mercado_VF!AA194="","",Estudio_Mercado_VF!AA194)</f>
        <v>25307.333333333332</v>
      </c>
      <c r="G190" s="515">
        <f>IF(Estudio_Mercado_VF!AA194="","",Estudio_Mercado_VF!AB194)</f>
        <v>25307.333333333332</v>
      </c>
      <c r="H190" s="524"/>
      <c r="I190" s="525"/>
      <c r="J190" s="92"/>
      <c r="K190" s="93" t="str">
        <f t="shared" si="11"/>
        <v>Valor vacío</v>
      </c>
      <c r="L190" s="533">
        <f t="shared" si="12"/>
        <v>25307.333333333332</v>
      </c>
      <c r="M190" s="533" t="str">
        <f t="shared" si="13"/>
        <v/>
      </c>
      <c r="N190" s="533">
        <f t="shared" si="14"/>
        <v>25307.333333333332</v>
      </c>
    </row>
    <row r="191" spans="1:14">
      <c r="A191" s="87" t="s">
        <v>1154</v>
      </c>
      <c r="B191" s="90">
        <v>181</v>
      </c>
      <c r="C191" s="90" t="str">
        <f>IF(Estudio_Mercado_VF!D195="","",Estudio_Mercado_VF!D195)</f>
        <v>Tablas Burras</v>
      </c>
      <c r="D191" s="91" t="str">
        <f>IF(Estudio_Mercado_VF!E195="","",Estudio_Mercado_VF!E195)</f>
        <v>Tabla de madera 3mt*30cm*4CMt </v>
      </c>
      <c r="E191" s="89">
        <f>IF(Estudio_Mercado_VF!G195="","",Estudio_Mercado_VF!G195)</f>
        <v>1</v>
      </c>
      <c r="F191" s="515">
        <f>IF(Estudio_Mercado_VF!AA195="","",Estudio_Mercado_VF!AA195)</f>
        <v>62740.001099999994</v>
      </c>
      <c r="G191" s="515">
        <f>IF(Estudio_Mercado_VF!AA195="","",Estudio_Mercado_VF!AB195)</f>
        <v>62740.001099999994</v>
      </c>
      <c r="H191" s="524"/>
      <c r="I191" s="525"/>
      <c r="J191" s="92"/>
      <c r="K191" s="93" t="str">
        <f t="shared" si="11"/>
        <v>Valor vacío</v>
      </c>
      <c r="L191" s="533">
        <f t="shared" si="12"/>
        <v>62740.001099999994</v>
      </c>
      <c r="M191" s="533" t="str">
        <f t="shared" si="13"/>
        <v/>
      </c>
      <c r="N191" s="533">
        <f t="shared" si="14"/>
        <v>62740.001099999994</v>
      </c>
    </row>
    <row r="192" spans="1:14">
      <c r="A192" s="87" t="s">
        <v>1154</v>
      </c>
      <c r="B192" s="90">
        <v>182</v>
      </c>
      <c r="C192" s="90" t="str">
        <f>IF(Estudio_Mercado_VF!D196="","",Estudio_Mercado_VF!D196)</f>
        <v>Polisombra negra</v>
      </c>
      <c r="D192" s="91" t="str">
        <f>IF(Estudio_Mercado_VF!E196="","",Estudio_Mercado_VF!E196)</f>
        <v>Poli sombra Negra X 4 metros Ancho X 10 metros Largo 80 % </v>
      </c>
      <c r="E192" s="89">
        <f>IF(Estudio_Mercado_VF!G196="","",Estudio_Mercado_VF!G196)</f>
        <v>1</v>
      </c>
      <c r="F192" s="515">
        <f>IF(Estudio_Mercado_VF!AA196="","",Estudio_Mercado_VF!AA196)</f>
        <v>79190.001800000013</v>
      </c>
      <c r="G192" s="515">
        <f>IF(Estudio_Mercado_VF!AA196="","",Estudio_Mercado_VF!AB196)</f>
        <v>79190.001800000013</v>
      </c>
      <c r="H192" s="524"/>
      <c r="I192" s="525"/>
      <c r="J192" s="92"/>
      <c r="K192" s="93" t="str">
        <f t="shared" si="11"/>
        <v>Valor vacío</v>
      </c>
      <c r="L192" s="533">
        <f t="shared" si="12"/>
        <v>79190.001800000013</v>
      </c>
      <c r="M192" s="533" t="str">
        <f t="shared" si="13"/>
        <v/>
      </c>
      <c r="N192" s="533">
        <f t="shared" si="14"/>
        <v>79190.001800000013</v>
      </c>
    </row>
    <row r="193" spans="1:14" ht="28.9">
      <c r="A193" s="87" t="s">
        <v>1154</v>
      </c>
      <c r="B193" s="90">
        <v>183</v>
      </c>
      <c r="C193" s="90" t="str">
        <f>IF(Estudio_Mercado_VF!D197="","",Estudio_Mercado_VF!D197)</f>
        <v>Cascarilla quemada paquete por 4 kg</v>
      </c>
      <c r="D193" s="91" t="str">
        <f>IF(Estudio_Mercado_VF!E197="","",Estudio_Mercado_VF!E197)</f>
        <v>Residuo de arroz quemado, de textura liviana y porosa, color negro grisáceo, ideal para sustrato o mejoramiento de suelos. Paquete por 4 kg </v>
      </c>
      <c r="E193" s="89">
        <f>IF(Estudio_Mercado_VF!G197="","",Estudio_Mercado_VF!G197)</f>
        <v>1</v>
      </c>
      <c r="F193" s="515">
        <f>IF(Estudio_Mercado_VF!AA197="","",Estudio_Mercado_VF!AA197)</f>
        <v>20666.666666666668</v>
      </c>
      <c r="G193" s="515">
        <f>IF(Estudio_Mercado_VF!AA197="","",Estudio_Mercado_VF!AB197)</f>
        <v>20666.666666666668</v>
      </c>
      <c r="H193" s="524"/>
      <c r="I193" s="525"/>
      <c r="J193" s="92"/>
      <c r="K193" s="93" t="str">
        <f t="shared" si="11"/>
        <v>Valor vacío</v>
      </c>
      <c r="L193" s="533">
        <f t="shared" si="12"/>
        <v>20666.666666666668</v>
      </c>
      <c r="M193" s="533" t="str">
        <f t="shared" si="13"/>
        <v/>
      </c>
      <c r="N193" s="533">
        <f t="shared" si="14"/>
        <v>20666.666666666668</v>
      </c>
    </row>
    <row r="194" spans="1:14">
      <c r="A194" s="87" t="s">
        <v>1154</v>
      </c>
      <c r="B194" s="90">
        <v>184</v>
      </c>
      <c r="C194" s="90" t="str">
        <f>IF(Estudio_Mercado_VF!D198="","",Estudio_Mercado_VF!D198)</f>
        <v>Listones de madera</v>
      </c>
      <c r="D194" s="91" t="str">
        <f>IF(Estudio_Mercado_VF!E198="","",Estudio_Mercado_VF!E198)</f>
        <v>Madera aserrada (pino o similar), medida estándar de 2” x 4”, largos de 3 metros </v>
      </c>
      <c r="E194" s="89">
        <f>IF(Estudio_Mercado_VF!G198="","",Estudio_Mercado_VF!G198)</f>
        <v>1</v>
      </c>
      <c r="F194" s="515">
        <f>IF(Estudio_Mercado_VF!AA198="","",Estudio_Mercado_VF!AA198)</f>
        <v>37266.666733333332</v>
      </c>
      <c r="G194" s="515">
        <f>IF(Estudio_Mercado_VF!AA198="","",Estudio_Mercado_VF!AB198)</f>
        <v>37266.666733333332</v>
      </c>
      <c r="H194" s="524"/>
      <c r="I194" s="525"/>
      <c r="J194" s="92"/>
      <c r="K194" s="93" t="str">
        <f t="shared" si="11"/>
        <v>Valor vacío</v>
      </c>
      <c r="L194" s="533">
        <f t="shared" si="12"/>
        <v>37266.666733333332</v>
      </c>
      <c r="M194" s="533" t="str">
        <f t="shared" si="13"/>
        <v/>
      </c>
      <c r="N194" s="533">
        <f t="shared" si="14"/>
        <v>37266.666733333332</v>
      </c>
    </row>
    <row r="195" spans="1:14" ht="28.9">
      <c r="A195" s="87" t="s">
        <v>1154</v>
      </c>
      <c r="B195" s="90">
        <v>185</v>
      </c>
      <c r="C195" s="90" t="str">
        <f>IF(Estudio_Mercado_VF!D199="","",Estudio_Mercado_VF!D199)</f>
        <v>Carretilla</v>
      </c>
      <c r="D195" s="91" t="str">
        <f>IF(Estudio_Mercado_VF!E199="","",Estudio_Mercado_VF!E199)</f>
        <v>Carretilla de una rueda, estructura metálica reforzada, bandeja galvanizada o pintada anticorrosiva de 170 Lt de capacidad. Mango doble con empuñadura de goma. </v>
      </c>
      <c r="E195" s="89">
        <f>IF(Estudio_Mercado_VF!G199="","",Estudio_Mercado_VF!G199)</f>
        <v>1</v>
      </c>
      <c r="F195" s="515">
        <f>IF(Estudio_Mercado_VF!AA199="","",Estudio_Mercado_VF!AA199)</f>
        <v>325966.66833333333</v>
      </c>
      <c r="G195" s="515">
        <f>IF(Estudio_Mercado_VF!AA199="","",Estudio_Mercado_VF!AB199)</f>
        <v>325966.66833333333</v>
      </c>
      <c r="H195" s="524"/>
      <c r="I195" s="525"/>
      <c r="J195" s="92"/>
      <c r="K195" s="93" t="str">
        <f t="shared" si="11"/>
        <v>Valor vacío</v>
      </c>
      <c r="L195" s="533">
        <f t="shared" si="12"/>
        <v>325966.66833333333</v>
      </c>
      <c r="M195" s="533" t="str">
        <f t="shared" si="13"/>
        <v/>
      </c>
      <c r="N195" s="533">
        <f t="shared" si="14"/>
        <v>325966.66833333333</v>
      </c>
    </row>
    <row r="196" spans="1:14" ht="28.9">
      <c r="A196" s="87" t="s">
        <v>1154</v>
      </c>
      <c r="B196" s="90">
        <v>186</v>
      </c>
      <c r="C196" s="90" t="str">
        <f>IF(Estudio_Mercado_VF!D200="","",Estudio_Mercado_VF!D200)</f>
        <v>Aspersora de 2 litros</v>
      </c>
      <c r="D196" s="91" t="str">
        <f>IF(Estudio_Mercado_VF!E200="","",Estudio_Mercado_VF!E200)</f>
        <v>Aspersora manual de mano, capacidad de 2 litros, diseño compacto, fabricada en plástico resistente, boquilla regulable, ideal para aplicaciones en semilleros o plantas pequeñas. </v>
      </c>
      <c r="E196" s="89">
        <f>IF(Estudio_Mercado_VF!G200="","",Estudio_Mercado_VF!G200)</f>
        <v>1</v>
      </c>
      <c r="F196" s="515">
        <f>IF(Estudio_Mercado_VF!AA200="","",Estudio_Mercado_VF!AA200)</f>
        <v>20988.666666666668</v>
      </c>
      <c r="G196" s="515">
        <f>IF(Estudio_Mercado_VF!AA200="","",Estudio_Mercado_VF!AB200)</f>
        <v>20988.666666666668</v>
      </c>
      <c r="H196" s="524"/>
      <c r="I196" s="525"/>
      <c r="J196" s="92"/>
      <c r="K196" s="93" t="str">
        <f t="shared" si="11"/>
        <v>Valor vacío</v>
      </c>
      <c r="L196" s="533">
        <f t="shared" si="12"/>
        <v>20988.666666666668</v>
      </c>
      <c r="M196" s="533" t="str">
        <f t="shared" si="13"/>
        <v/>
      </c>
      <c r="N196" s="533">
        <f t="shared" si="14"/>
        <v>20988.666666666668</v>
      </c>
    </row>
    <row r="197" spans="1:14" ht="43.15">
      <c r="A197" s="87" t="s">
        <v>1154</v>
      </c>
      <c r="B197" s="90">
        <v>187</v>
      </c>
      <c r="C197" s="90" t="str">
        <f>IF(Estudio_Mercado_VF!D201="","",Estudio_Mercado_VF!D201)</f>
        <v>Aspersora 20 litros</v>
      </c>
      <c r="D197" s="91" t="str">
        <f>IF(Estudio_Mercado_VF!E201="","",Estudio_Mercado_VF!E201)</f>
        <v>Fumigadora 20 Litros tipo mochila para uso agrícola adecuado para agua, fertilizantes, herbicidas y pesticidas, también se puede utilizar para la limpieza y tratamiento de la corrosión. </v>
      </c>
      <c r="E197" s="89">
        <f>IF(Estudio_Mercado_VF!G201="","",Estudio_Mercado_VF!G201)</f>
        <v>1</v>
      </c>
      <c r="F197" s="515">
        <f>IF(Estudio_Mercado_VF!AA201="","",Estudio_Mercado_VF!AA201)</f>
        <v>255874.66666666666</v>
      </c>
      <c r="G197" s="515">
        <f>IF(Estudio_Mercado_VF!AA201="","",Estudio_Mercado_VF!AB201)</f>
        <v>255874.66666666666</v>
      </c>
      <c r="H197" s="524"/>
      <c r="I197" s="525"/>
      <c r="J197" s="92"/>
      <c r="K197" s="93" t="str">
        <f t="shared" si="11"/>
        <v>Valor vacío</v>
      </c>
      <c r="L197" s="533">
        <f t="shared" si="12"/>
        <v>255874.66666666666</v>
      </c>
      <c r="M197" s="533" t="str">
        <f t="shared" si="13"/>
        <v/>
      </c>
      <c r="N197" s="533">
        <f t="shared" si="14"/>
        <v>255874.66666666666</v>
      </c>
    </row>
    <row r="198" spans="1:14" ht="57.6">
      <c r="A198" s="87" t="s">
        <v>1154</v>
      </c>
      <c r="B198" s="90">
        <v>188</v>
      </c>
      <c r="C198" s="90" t="str">
        <f>IF(Estudio_Mercado_VF!D202="","",Estudio_Mercado_VF!D202)</f>
        <v>Humus Liquido 1 lt</v>
      </c>
      <c r="D198" s="91" t="str">
        <f>IF(Estudio_Mercado_VF!E202="","",Estudio_Mercado_VF!E202)</f>
        <v>Biofertilizante orgánico de origen natural, rico en ácidos húmicos y fúlvicos, ideal para mejorar la fertilidad del suelo, estimular la actividad microbiana y optimizar la absorción de nutrientes. Presentación líquida de fácil aplicación por riego o aspersión, compatible con cultivos agrícolas y ornamentales. </v>
      </c>
      <c r="E198" s="89">
        <f>IF(Estudio_Mercado_VF!G202="","",Estudio_Mercado_VF!G202)</f>
        <v>1</v>
      </c>
      <c r="F198" s="515">
        <f>IF(Estudio_Mercado_VF!AA202="","",Estudio_Mercado_VF!AA202)</f>
        <v>39333.333333333336</v>
      </c>
      <c r="G198" s="515">
        <f>IF(Estudio_Mercado_VF!AA202="","",Estudio_Mercado_VF!AB202)</f>
        <v>39333.333333333336</v>
      </c>
      <c r="H198" s="524"/>
      <c r="I198" s="525"/>
      <c r="J198" s="92"/>
      <c r="K198" s="93" t="str">
        <f t="shared" si="11"/>
        <v>Valor vacío</v>
      </c>
      <c r="L198" s="533">
        <f t="shared" si="12"/>
        <v>39333.333333333336</v>
      </c>
      <c r="M198" s="533" t="str">
        <f t="shared" si="13"/>
        <v/>
      </c>
      <c r="N198" s="533">
        <f t="shared" si="14"/>
        <v>39333.333333333336</v>
      </c>
    </row>
    <row r="199" spans="1:14" ht="28.9">
      <c r="A199" s="87" t="s">
        <v>1154</v>
      </c>
      <c r="B199" s="90">
        <v>189</v>
      </c>
      <c r="C199" s="90" t="str">
        <f>IF(Estudio_Mercado_VF!D203="","",Estudio_Mercado_VF!D203)</f>
        <v>Hidroretenedor</v>
      </c>
      <c r="D199" s="91" t="str">
        <f>IF(Estudio_Mercado_VF!E203="","",Estudio_Mercado_VF!E203)</f>
        <v>Polímero absorbente que almacena agua en la raíz de las plantas, reduciendo la frecuencia de riego y mejorando la eficiencia hídrica. </v>
      </c>
      <c r="E199" s="89">
        <f>IF(Estudio_Mercado_VF!G203="","",Estudio_Mercado_VF!G203)</f>
        <v>1</v>
      </c>
      <c r="F199" s="515">
        <f>IF(Estudio_Mercado_VF!AA203="","",Estudio_Mercado_VF!AA203)</f>
        <v>37333.333333333336</v>
      </c>
      <c r="G199" s="515">
        <f>IF(Estudio_Mercado_VF!AA203="","",Estudio_Mercado_VF!AB203)</f>
        <v>37333.333333333336</v>
      </c>
      <c r="H199" s="524"/>
      <c r="I199" s="525"/>
      <c r="J199" s="92"/>
      <c r="K199" s="93" t="str">
        <f t="shared" si="11"/>
        <v>Valor vacío</v>
      </c>
      <c r="L199" s="533">
        <f t="shared" si="12"/>
        <v>37333.333333333336</v>
      </c>
      <c r="M199" s="533" t="str">
        <f t="shared" si="13"/>
        <v/>
      </c>
      <c r="N199" s="533">
        <f t="shared" si="14"/>
        <v>37333.333333333336</v>
      </c>
    </row>
    <row r="200" spans="1:14" ht="57.6">
      <c r="A200" s="87" t="s">
        <v>1154</v>
      </c>
      <c r="B200" s="90">
        <v>190</v>
      </c>
      <c r="C200" s="90" t="str">
        <f>IF(Estudio_Mercado_VF!D204="","",Estudio_Mercado_VF!D204)</f>
        <v>Beauveria Bassiana x 250 gr</v>
      </c>
      <c r="D200" s="91" t="str">
        <f>IF(Estudio_Mercado_VF!E204="","",Estudio_Mercado_VF!E204)</f>
        <v>Patógeno natural de insectos, sus esporas reconocen la cubierta del insecto plaga penetrando en su interior, dentro del cual liberan sustancias que son digeridas por el insecto y esta lo destruyen. Si las condiciones ambientales son adecuadas el hongo produce nuevas esporas en el exterior del insecto muerto. </v>
      </c>
      <c r="E200" s="89">
        <f>IF(Estudio_Mercado_VF!G204="","",Estudio_Mercado_VF!G204)</f>
        <v>1</v>
      </c>
      <c r="F200" s="515">
        <f>IF(Estudio_Mercado_VF!AA204="","",Estudio_Mercado_VF!AA204)</f>
        <v>54933.333333333336</v>
      </c>
      <c r="G200" s="515">
        <f>IF(Estudio_Mercado_VF!AA204="","",Estudio_Mercado_VF!AB204)</f>
        <v>54933.333333333336</v>
      </c>
      <c r="H200" s="524"/>
      <c r="I200" s="525"/>
      <c r="J200" s="92"/>
      <c r="K200" s="93" t="str">
        <f t="shared" si="11"/>
        <v>Valor vacío</v>
      </c>
      <c r="L200" s="533">
        <f t="shared" si="12"/>
        <v>54933.333333333336</v>
      </c>
      <c r="M200" s="533" t="str">
        <f t="shared" si="13"/>
        <v/>
      </c>
      <c r="N200" s="533">
        <f t="shared" si="14"/>
        <v>54933.333333333336</v>
      </c>
    </row>
    <row r="201" spans="1:14" ht="43.15">
      <c r="A201" s="87" t="s">
        <v>1154</v>
      </c>
      <c r="B201" s="90">
        <v>191</v>
      </c>
      <c r="C201" s="90" t="str">
        <f>IF(Estudio_Mercado_VF!D205="","",Estudio_Mercado_VF!D205)</f>
        <v>Trichoderma 1 lt</v>
      </c>
      <c r="D201" s="91" t="str">
        <f>IF(Estudio_Mercado_VF!E205="","",Estudio_Mercado_VF!E205)</f>
        <v>Biofungicida controla patógenos como Rhizoctonia, Phytophthora, Rhizoctonia, Sclerotinia, Phythium y Fusarium. Los mecanismos utilizados por Trichoderma como biofungicida incluyen, antibiosis, mico parasitismo y competitividad en la rizosfera. </v>
      </c>
      <c r="E201" s="89">
        <f>IF(Estudio_Mercado_VF!G205="","",Estudio_Mercado_VF!G205)</f>
        <v>1</v>
      </c>
      <c r="F201" s="515">
        <f>IF(Estudio_Mercado_VF!AA205="","",Estudio_Mercado_VF!AA205)</f>
        <v>102266.66666666667</v>
      </c>
      <c r="G201" s="515">
        <f>IF(Estudio_Mercado_VF!AA205="","",Estudio_Mercado_VF!AB205)</f>
        <v>102266.66666666667</v>
      </c>
      <c r="H201" s="524"/>
      <c r="I201" s="525"/>
      <c r="J201" s="92"/>
      <c r="K201" s="93" t="str">
        <f t="shared" si="11"/>
        <v>Valor vacío</v>
      </c>
      <c r="L201" s="533">
        <f t="shared" si="12"/>
        <v>102266.66666666667</v>
      </c>
      <c r="M201" s="533" t="str">
        <f t="shared" si="13"/>
        <v/>
      </c>
      <c r="N201" s="533">
        <f t="shared" si="14"/>
        <v>102266.66666666667</v>
      </c>
    </row>
    <row r="202" spans="1:14" ht="28.9">
      <c r="A202" s="87" t="s">
        <v>1154</v>
      </c>
      <c r="B202" s="90">
        <v>192</v>
      </c>
      <c r="C202" s="90" t="str">
        <f>IF(Estudio_Mercado_VF!D206="","",Estudio_Mercado_VF!D206)</f>
        <v>Termómetro de suelo</v>
      </c>
      <c r="D202" s="91" t="str">
        <f>IF(Estudio_Mercado_VF!E206="","",Estudio_Mercado_VF!E206)</f>
        <v>Termómetro para suelos de lectura rápida, ideal para medir la temperatura del sustrato y optimizar prácticas agrícolas y de jardinería </v>
      </c>
      <c r="E202" s="89">
        <f>IF(Estudio_Mercado_VF!G206="","",Estudio_Mercado_VF!G206)</f>
        <v>1</v>
      </c>
      <c r="F202" s="515">
        <f>IF(Estudio_Mercado_VF!AA206="","",Estudio_Mercado_VF!AA206)</f>
        <v>82040</v>
      </c>
      <c r="G202" s="515">
        <f>IF(Estudio_Mercado_VF!AA206="","",Estudio_Mercado_VF!AB206)</f>
        <v>82040</v>
      </c>
      <c r="H202" s="524"/>
      <c r="I202" s="525"/>
      <c r="J202" s="92"/>
      <c r="K202" s="93" t="str">
        <f t="shared" si="11"/>
        <v>Valor vacío</v>
      </c>
      <c r="L202" s="533">
        <f t="shared" si="12"/>
        <v>82040</v>
      </c>
      <c r="M202" s="533" t="str">
        <f t="shared" si="13"/>
        <v/>
      </c>
      <c r="N202" s="533">
        <f t="shared" si="14"/>
        <v>82040</v>
      </c>
    </row>
    <row r="203" spans="1:14" ht="43.15">
      <c r="A203" s="87" t="s">
        <v>1154</v>
      </c>
      <c r="B203" s="90">
        <v>193</v>
      </c>
      <c r="C203" s="90" t="str">
        <f>IF(Estudio_Mercado_VF!D207="","",Estudio_Mercado_VF!D207)</f>
        <v>Microorganismos eficientes 1 lt</v>
      </c>
      <c r="D203" s="91" t="str">
        <f>IF(Estudio_Mercado_VF!E207="","",Estudio_Mercado_VF!E207)</f>
        <v>Microorganismos eficientes formulados con bacterias y hongos benéficos que mejoran la estructura y fertilidad del suelo, aceleran la descomposición de residuos orgánicos y fortalecen la salud de cultivos de forma sostenible y natural </v>
      </c>
      <c r="E203" s="89">
        <f>IF(Estudio_Mercado_VF!G207="","",Estudio_Mercado_VF!G207)</f>
        <v>1</v>
      </c>
      <c r="F203" s="515">
        <f>IF(Estudio_Mercado_VF!AA207="","",Estudio_Mercado_VF!AA207)</f>
        <v>18333.333333333332</v>
      </c>
      <c r="G203" s="515">
        <f>IF(Estudio_Mercado_VF!AA207="","",Estudio_Mercado_VF!AB207)</f>
        <v>18333.333333333332</v>
      </c>
      <c r="H203" s="524"/>
      <c r="I203" s="525"/>
      <c r="J203" s="92"/>
      <c r="K203" s="93" t="str">
        <f t="shared" si="11"/>
        <v>Valor vacío</v>
      </c>
      <c r="L203" s="533">
        <f t="shared" si="12"/>
        <v>18333.333333333332</v>
      </c>
      <c r="M203" s="533" t="str">
        <f t="shared" si="13"/>
        <v/>
      </c>
      <c r="N203" s="533">
        <f t="shared" si="14"/>
        <v>18333.333333333332</v>
      </c>
    </row>
    <row r="204" spans="1:14" ht="28.9">
      <c r="A204" s="87" t="s">
        <v>1154</v>
      </c>
      <c r="B204" s="90">
        <v>194</v>
      </c>
      <c r="C204" s="90" t="str">
        <f>IF(Estudio_Mercado_VF!D208="","",Estudio_Mercado_VF!D208)</f>
        <v>Aceite de neem 250 ml</v>
      </c>
      <c r="D204" s="91" t="str">
        <f>IF(Estudio_Mercado_VF!E208="","",Estudio_Mercado_VF!E208)</f>
        <v>Aceite de neem 100% natural, utilizado como insecticida y fungicida orgánico para control de plagas y enfermedades en cultivos </v>
      </c>
      <c r="E204" s="89">
        <f>IF(Estudio_Mercado_VF!G208="","",Estudio_Mercado_VF!G208)</f>
        <v>1</v>
      </c>
      <c r="F204" s="515">
        <f>IF(Estudio_Mercado_VF!AA208="","",Estudio_Mercado_VF!AA208)</f>
        <v>35966.666666666664</v>
      </c>
      <c r="G204" s="515">
        <f>IF(Estudio_Mercado_VF!AA208="","",Estudio_Mercado_VF!AB208)</f>
        <v>35966.666666666664</v>
      </c>
      <c r="H204" s="524"/>
      <c r="I204" s="525"/>
      <c r="J204" s="92"/>
      <c r="K204" s="93" t="str">
        <f t="shared" ref="K204:K254" si="15">IF(H204&lt;&gt;0,IF(J204="Ofertable",IF(AND(F204&gt;=H204,H204&lt;&gt;0),"Cumple","No cumple"),IF(J204="No Ofertable",IF(F204=H204,"Cumple","No cumple"),"")),"Valor vacío")</f>
        <v>Valor vacío</v>
      </c>
      <c r="L204" s="533">
        <f t="shared" ref="L204:L254" si="16">F204-H204</f>
        <v>35966.666666666664</v>
      </c>
      <c r="M204" s="533" t="str">
        <f t="shared" ref="M204:M254" si="17">IF(H204="","",IF(G204&gt;=I204,"Cumple","No cumple"))</f>
        <v/>
      </c>
      <c r="N204" s="533">
        <f t="shared" ref="N204:N254" si="18">G204-I204</f>
        <v>35966.666666666664</v>
      </c>
    </row>
    <row r="205" spans="1:14" ht="28.9">
      <c r="A205" s="87" t="s">
        <v>1154</v>
      </c>
      <c r="B205" s="90">
        <v>195</v>
      </c>
      <c r="C205" s="90" t="str">
        <f>IF(Estudio_Mercado_VF!D209="","",Estudio_Mercado_VF!D209)</f>
        <v>Jabón potásico 1 lt</v>
      </c>
      <c r="D205" s="91" t="str">
        <f>IF(Estudio_Mercado_VF!E209="","",Estudio_Mercado_VF!E209)</f>
        <v>Jabón potásico ecológico, ideal como insecticida y limpiador de hojas, ayuda al control de plagas como pulgones y cochinillas de forma natural </v>
      </c>
      <c r="E205" s="89">
        <f>IF(Estudio_Mercado_VF!G209="","",Estudio_Mercado_VF!G209)</f>
        <v>1</v>
      </c>
      <c r="F205" s="515">
        <f>IF(Estudio_Mercado_VF!AA209="","",Estudio_Mercado_VF!AA209)</f>
        <v>40000</v>
      </c>
      <c r="G205" s="515">
        <f>IF(Estudio_Mercado_VF!AA209="","",Estudio_Mercado_VF!AB209)</f>
        <v>40000</v>
      </c>
      <c r="H205" s="524"/>
      <c r="I205" s="525"/>
      <c r="J205" s="92"/>
      <c r="K205" s="93" t="str">
        <f t="shared" si="15"/>
        <v>Valor vacío</v>
      </c>
      <c r="L205" s="533">
        <f t="shared" si="16"/>
        <v>40000</v>
      </c>
      <c r="M205" s="533" t="str">
        <f t="shared" si="17"/>
        <v/>
      </c>
      <c r="N205" s="533">
        <f t="shared" si="18"/>
        <v>40000</v>
      </c>
    </row>
    <row r="206" spans="1:14" ht="57.6">
      <c r="A206" s="87" t="s">
        <v>1154</v>
      </c>
      <c r="B206" s="90">
        <v>196</v>
      </c>
      <c r="C206" s="90" t="str">
        <f>IF(Estudio_Mercado_VF!D210="","",Estudio_Mercado_VF!D210)</f>
        <v>Bandejas de plántulación con cupula</v>
      </c>
      <c r="D206" s="91" t="str">
        <f>IF(Estudio_Mercado_VF!E210="","",Estudio_Mercado_VF!E210)</f>
        <v>Bandejas de plantación reutilizables, fabricadas en polietileno de alta densidad (HDPE) o material similar resistente a la intemperie, con mínimo 50 cavidades por bandeja, tamaño uniforme de cavidad de 3-5 cm de diámetro, fondo perforado para drenaje, fáciles de limpiar y desinfectar. </v>
      </c>
      <c r="E206" s="89">
        <f>IF(Estudio_Mercado_VF!G210="","",Estudio_Mercado_VF!G210)</f>
        <v>1</v>
      </c>
      <c r="F206" s="515">
        <f>IF(Estudio_Mercado_VF!AA210="","",Estudio_Mercado_VF!AA210)</f>
        <v>13199.995666666668</v>
      </c>
      <c r="G206" s="515">
        <f>IF(Estudio_Mercado_VF!AA210="","",Estudio_Mercado_VF!AB210)</f>
        <v>13199.995666666668</v>
      </c>
      <c r="H206" s="524"/>
      <c r="I206" s="525"/>
      <c r="J206" s="92"/>
      <c r="K206" s="93" t="str">
        <f t="shared" si="15"/>
        <v>Valor vacío</v>
      </c>
      <c r="L206" s="533">
        <f t="shared" si="16"/>
        <v>13199.995666666668</v>
      </c>
      <c r="M206" s="533" t="str">
        <f t="shared" si="17"/>
        <v/>
      </c>
      <c r="N206" s="533">
        <f t="shared" si="18"/>
        <v>13199.995666666668</v>
      </c>
    </row>
    <row r="207" spans="1:14" ht="57.6">
      <c r="A207" s="87" t="s">
        <v>1154</v>
      </c>
      <c r="B207" s="90">
        <v>197</v>
      </c>
      <c r="C207" s="90" t="str">
        <f>IF(Estudio_Mercado_VF!D211="","",Estudio_Mercado_VF!D211)</f>
        <v xml:space="preserve">Peat Most - Sustrato </v>
      </c>
      <c r="D207" s="91" t="str">
        <f>IF(Estudio_Mercado_VF!E211="","",Estudio_Mercado_VF!E211)</f>
        <v>Sustrato de turba (peat moss) de textura media, con pH entre 5.5 y 6.5, capacidad de retención de humedad mínima de 400% respecto a su peso seco, libre de semillas, patógenos y residuos contaminantes. Presentación: saco o bolsa sellada de mínimo 20 kg, etiquetada con lote y fecha de producción. </v>
      </c>
      <c r="E207" s="89">
        <f>IF(Estudio_Mercado_VF!G211="","",Estudio_Mercado_VF!G211)</f>
        <v>1</v>
      </c>
      <c r="F207" s="515">
        <f>IF(Estudio_Mercado_VF!AA211="","",Estudio_Mercado_VF!AA211)</f>
        <v>313545.16666666669</v>
      </c>
      <c r="G207" s="515">
        <f>IF(Estudio_Mercado_VF!AA211="","",Estudio_Mercado_VF!AB211)</f>
        <v>313545.16666666669</v>
      </c>
      <c r="H207" s="524"/>
      <c r="I207" s="525"/>
      <c r="J207" s="92"/>
      <c r="K207" s="93" t="str">
        <f t="shared" si="15"/>
        <v>Valor vacío</v>
      </c>
      <c r="L207" s="533">
        <f t="shared" si="16"/>
        <v>313545.16666666669</v>
      </c>
      <c r="M207" s="533" t="str">
        <f t="shared" si="17"/>
        <v/>
      </c>
      <c r="N207" s="533">
        <f t="shared" si="18"/>
        <v>313545.16666666669</v>
      </c>
    </row>
    <row r="208" spans="1:14" ht="57.6">
      <c r="A208" s="87" t="s">
        <v>1154</v>
      </c>
      <c r="B208" s="90">
        <v>198</v>
      </c>
      <c r="C208" s="90" t="str">
        <f>IF(Estudio_Mercado_VF!D212="","",Estudio_Mercado_VF!D212)</f>
        <v>Carbón activado 1 kg</v>
      </c>
      <c r="D208" s="91" t="str">
        <f>IF(Estudio_Mercado_VF!E212="","",Estudio_Mercado_VF!E212)</f>
        <v>Sustrato de turba (peat moss) de textura media, con pH entre 5.5 y 6.5, capacidad de retención de humedad mínima de 400% respecto a su peso seco, libre de semillas, patógenos y residuos contaminantes. Presentación: saco o bolsa sellada de mínimo 20 kg, etiquetada con lote y fecha de producción. </v>
      </c>
      <c r="E208" s="89">
        <f>IF(Estudio_Mercado_VF!G212="","",Estudio_Mercado_VF!G212)</f>
        <v>1</v>
      </c>
      <c r="F208" s="515">
        <f>IF(Estudio_Mercado_VF!AA212="","",Estudio_Mercado_VF!AA212)</f>
        <v>32266.666666666668</v>
      </c>
      <c r="G208" s="515">
        <f>IF(Estudio_Mercado_VF!AA212="","",Estudio_Mercado_VF!AB212)</f>
        <v>32266.666666666668</v>
      </c>
      <c r="H208" s="524"/>
      <c r="I208" s="525"/>
      <c r="J208" s="92"/>
      <c r="K208" s="93" t="str">
        <f t="shared" si="15"/>
        <v>Valor vacío</v>
      </c>
      <c r="L208" s="533">
        <f t="shared" si="16"/>
        <v>32266.666666666668</v>
      </c>
      <c r="M208" s="533" t="str">
        <f t="shared" si="17"/>
        <v/>
      </c>
      <c r="N208" s="533">
        <f t="shared" si="18"/>
        <v>32266.666666666668</v>
      </c>
    </row>
    <row r="209" spans="1:14" ht="57.6">
      <c r="A209" s="87" t="s">
        <v>1154</v>
      </c>
      <c r="B209" s="90">
        <v>199</v>
      </c>
      <c r="C209" s="90" t="str">
        <f>IF(Estudio_Mercado_VF!D213="","",Estudio_Mercado_VF!D213)</f>
        <v>Perlita 1 kl</v>
      </c>
      <c r="D209" s="91" t="str">
        <f>IF(Estudio_Mercado_VF!E213="","",Estudio_Mercado_VF!E213)</f>
        <v>Perlita expandida de granulometría media (tamaño de partícula entre 1 y 5 mm), libre de impurezas, con capacidad de retención de agua mínima de 200% respecto a su peso seco. Presentación: saco o bolsa sellada de mínimo 20 kg, etiquetada con lote y fecha de producción. </v>
      </c>
      <c r="E209" s="89">
        <f>IF(Estudio_Mercado_VF!G213="","",Estudio_Mercado_VF!G213)</f>
        <v>1</v>
      </c>
      <c r="F209" s="515">
        <f>IF(Estudio_Mercado_VF!AA213="","",Estudio_Mercado_VF!AA213)</f>
        <v>9666.6666666666661</v>
      </c>
      <c r="G209" s="515">
        <f>IF(Estudio_Mercado_VF!AA213="","",Estudio_Mercado_VF!AB213)</f>
        <v>9666.6666666666661</v>
      </c>
      <c r="H209" s="524"/>
      <c r="I209" s="525"/>
      <c r="J209" s="92"/>
      <c r="K209" s="93" t="str">
        <f t="shared" si="15"/>
        <v>Valor vacío</v>
      </c>
      <c r="L209" s="533">
        <f t="shared" si="16"/>
        <v>9666.6666666666661</v>
      </c>
      <c r="M209" s="533" t="str">
        <f t="shared" si="17"/>
        <v/>
      </c>
      <c r="N209" s="533">
        <f t="shared" si="18"/>
        <v>9666.6666666666661</v>
      </c>
    </row>
    <row r="210" spans="1:14" ht="28.9">
      <c r="A210" s="87" t="s">
        <v>1154</v>
      </c>
      <c r="B210" s="90">
        <v>200</v>
      </c>
      <c r="C210" s="90" t="str">
        <f>IF(Estudio_Mercado_VF!D214="","",Estudio_Mercado_VF!D214)</f>
        <v>Microorganismos Eficientes Em Compostaje X 4 Litros</v>
      </c>
      <c r="D210" s="91" t="str">
        <f>IF(Estudio_Mercado_VF!E214="","",Estudio_Mercado_VF!E214)</f>
        <v>Beneficio: Disminuye los malos olores, acelera la descomposición de materia orgánica y mantiene el sistema funcional.</v>
      </c>
      <c r="E210" s="89">
        <f>IF(Estudio_Mercado_VF!G214="","",Estudio_Mercado_VF!G214)</f>
        <v>1</v>
      </c>
      <c r="F210" s="515">
        <f>IF(Estudio_Mercado_VF!AA214="","",Estudio_Mercado_VF!AA214)</f>
        <v>46000</v>
      </c>
      <c r="G210" s="515">
        <f>IF(Estudio_Mercado_VF!AA214="","",Estudio_Mercado_VF!AB214)</f>
        <v>46000</v>
      </c>
      <c r="H210" s="524"/>
      <c r="I210" s="525"/>
      <c r="J210" s="92"/>
      <c r="K210" s="93" t="str">
        <f t="shared" si="15"/>
        <v>Valor vacío</v>
      </c>
      <c r="L210" s="533">
        <f t="shared" si="16"/>
        <v>46000</v>
      </c>
      <c r="M210" s="533" t="str">
        <f t="shared" si="17"/>
        <v/>
      </c>
      <c r="N210" s="533">
        <f t="shared" si="18"/>
        <v>46000</v>
      </c>
    </row>
    <row r="211" spans="1:14" ht="28.9">
      <c r="A211" s="87" t="s">
        <v>1154</v>
      </c>
      <c r="B211" s="90">
        <v>201</v>
      </c>
      <c r="C211" s="90" t="str">
        <f>IF(Estudio_Mercado_VF!D215="","",Estudio_Mercado_VF!D215)</f>
        <v>Tubo PVC de 1/2,</v>
      </c>
      <c r="D211" s="91" t="str">
        <f>IF(Estudio_Mercado_VF!E215="","",Estudio_Mercado_VF!E215)</f>
        <v>Tubo de PVC de ½ pulgada de diámetro para sistemas de riego, conducción de agua o instalaciones agrícolas </v>
      </c>
      <c r="E211" s="89">
        <f>IF(Estudio_Mercado_VF!G215="","",Estudio_Mercado_VF!G215)</f>
        <v>1</v>
      </c>
      <c r="F211" s="515">
        <f>IF(Estudio_Mercado_VF!AA215="","",Estudio_Mercado_VF!AA215)</f>
        <v>20309.333333333332</v>
      </c>
      <c r="G211" s="515">
        <f>IF(Estudio_Mercado_VF!AA215="","",Estudio_Mercado_VF!AB215)</f>
        <v>20309.333333333332</v>
      </c>
      <c r="H211" s="524"/>
      <c r="I211" s="525"/>
      <c r="J211" s="92"/>
      <c r="K211" s="93" t="str">
        <f t="shared" si="15"/>
        <v>Valor vacío</v>
      </c>
      <c r="L211" s="533">
        <f t="shared" si="16"/>
        <v>20309.333333333332</v>
      </c>
      <c r="M211" s="533" t="str">
        <f t="shared" si="17"/>
        <v/>
      </c>
      <c r="N211" s="533">
        <f t="shared" si="18"/>
        <v>20309.333333333332</v>
      </c>
    </row>
    <row r="212" spans="1:14" ht="28.9">
      <c r="A212" s="87" t="s">
        <v>1154</v>
      </c>
      <c r="B212" s="90">
        <v>202</v>
      </c>
      <c r="C212" s="90" t="str">
        <f>IF(Estudio_Mercado_VF!D216="","",Estudio_Mercado_VF!D216)</f>
        <v>Tubo PVC de 3/4</v>
      </c>
      <c r="D212" s="91" t="str">
        <f>IF(Estudio_Mercado_VF!E216="","",Estudio_Mercado_VF!E216)</f>
        <v>Tubo de PVC de ¾ pulgadas de diámetro para conducción de agua en sistemas hidráulicos o de riego. </v>
      </c>
      <c r="E212" s="89">
        <f>IF(Estudio_Mercado_VF!G216="","",Estudio_Mercado_VF!G216)</f>
        <v>1</v>
      </c>
      <c r="F212" s="515">
        <f>IF(Estudio_Mercado_VF!AA216="","",Estudio_Mercado_VF!AA216)</f>
        <v>27473.133333333331</v>
      </c>
      <c r="G212" s="515">
        <f>IF(Estudio_Mercado_VF!AA216="","",Estudio_Mercado_VF!AB216)</f>
        <v>27473.133333333331</v>
      </c>
      <c r="H212" s="524"/>
      <c r="I212" s="525"/>
      <c r="J212" s="92"/>
      <c r="K212" s="93" t="str">
        <f t="shared" si="15"/>
        <v>Valor vacío</v>
      </c>
      <c r="L212" s="533">
        <f t="shared" si="16"/>
        <v>27473.133333333331</v>
      </c>
      <c r="M212" s="533" t="str">
        <f t="shared" si="17"/>
        <v/>
      </c>
      <c r="N212" s="533">
        <f t="shared" si="18"/>
        <v>27473.133333333331</v>
      </c>
    </row>
    <row r="213" spans="1:14" ht="28.9">
      <c r="A213" s="87" t="s">
        <v>1154</v>
      </c>
      <c r="B213" s="90">
        <v>203</v>
      </c>
      <c r="C213" s="90" t="str">
        <f>IF(Estudio_Mercado_VF!D217="","",Estudio_Mercado_VF!D217)</f>
        <v>Tubo PVC 1 pulgada</v>
      </c>
      <c r="D213" s="91" t="str">
        <f>IF(Estudio_Mercado_VF!E217="","",Estudio_Mercado_VF!E217)</f>
        <v>Tubo de PVC de 1 pulgada de diámetro, resistente para sistemas de distribución de agua o riego </v>
      </c>
      <c r="E213" s="89">
        <f>IF(Estudio_Mercado_VF!G217="","",Estudio_Mercado_VF!G217)</f>
        <v>1</v>
      </c>
      <c r="F213" s="515">
        <f>IF(Estudio_Mercado_VF!AA217="","",Estudio_Mercado_VF!AA217)</f>
        <v>14589.4</v>
      </c>
      <c r="G213" s="515">
        <f>IF(Estudio_Mercado_VF!AA217="","",Estudio_Mercado_VF!AB217)</f>
        <v>14589.4</v>
      </c>
      <c r="H213" s="524"/>
      <c r="I213" s="525"/>
      <c r="J213" s="92"/>
      <c r="K213" s="93" t="str">
        <f t="shared" si="15"/>
        <v>Valor vacío</v>
      </c>
      <c r="L213" s="533">
        <f t="shared" si="16"/>
        <v>14589.4</v>
      </c>
      <c r="M213" s="533" t="str">
        <f t="shared" si="17"/>
        <v/>
      </c>
      <c r="N213" s="533">
        <f t="shared" si="18"/>
        <v>14589.4</v>
      </c>
    </row>
    <row r="214" spans="1:14" ht="43.15">
      <c r="A214" s="87" t="s">
        <v>1154</v>
      </c>
      <c r="B214" s="90">
        <v>204</v>
      </c>
      <c r="C214" s="90" t="str">
        <f>IF(Estudio_Mercado_VF!D218="","",Estudio_Mercado_VF!D218)</f>
        <v xml:space="preserve">Tutores para plantas </v>
      </c>
      <c r="D214" s="91" t="str">
        <f>IF(Estudio_Mercado_VF!E218="","",Estudio_Mercado_VF!E218)</f>
        <v>Tutores de madera inmunizada o plástico reciclado de alta resistencia, longitud mínima de 1.20 metros y diámetro de 1 a 2 cm, libres de astillas o bordes filosos, aptos para uso repetido en campo. Presentación: paquete por mínimo 20 unidades. </v>
      </c>
      <c r="E214" s="89">
        <f>IF(Estudio_Mercado_VF!G218="","",Estudio_Mercado_VF!G218)</f>
        <v>1</v>
      </c>
      <c r="F214" s="515">
        <f>IF(Estudio_Mercado_VF!AA218="","",Estudio_Mercado_VF!AA218)</f>
        <v>20400</v>
      </c>
      <c r="G214" s="515">
        <f>IF(Estudio_Mercado_VF!AA218="","",Estudio_Mercado_VF!AB218)</f>
        <v>20400</v>
      </c>
      <c r="H214" s="524"/>
      <c r="I214" s="525"/>
      <c r="J214" s="92"/>
      <c r="K214" s="93" t="str">
        <f t="shared" si="15"/>
        <v>Valor vacío</v>
      </c>
      <c r="L214" s="533">
        <f t="shared" si="16"/>
        <v>20400</v>
      </c>
      <c r="M214" s="533" t="str">
        <f t="shared" si="17"/>
        <v/>
      </c>
      <c r="N214" s="533">
        <f t="shared" si="18"/>
        <v>20400</v>
      </c>
    </row>
    <row r="215" spans="1:14">
      <c r="A215" s="87" t="s">
        <v>1154</v>
      </c>
      <c r="B215" s="90">
        <v>205</v>
      </c>
      <c r="C215" s="90" t="str">
        <f>IF(Estudio_Mercado_VF!D219="","",Estudio_Mercado_VF!D219)</f>
        <v>Pita  x 3.000 mts</v>
      </c>
      <c r="D215" s="91" t="str">
        <f>IF(Estudio_Mercado_VF!E219="","",Estudio_Mercado_VF!E219)</f>
        <v>Pita resistente para amarre de cultivos, entutorado o uso agrícola general - 100 metros </v>
      </c>
      <c r="E215" s="89">
        <f>IF(Estudio_Mercado_VF!G219="","",Estudio_Mercado_VF!G219)</f>
        <v>1</v>
      </c>
      <c r="F215" s="515">
        <f>IF(Estudio_Mercado_VF!AA219="","",Estudio_Mercado_VF!AA219)</f>
        <v>26973.333333333332</v>
      </c>
      <c r="G215" s="515">
        <f>IF(Estudio_Mercado_VF!AA219="","",Estudio_Mercado_VF!AB219)</f>
        <v>26973.333333333332</v>
      </c>
      <c r="H215" s="524"/>
      <c r="I215" s="525"/>
      <c r="J215" s="92"/>
      <c r="K215" s="93" t="str">
        <f t="shared" si="15"/>
        <v>Valor vacío</v>
      </c>
      <c r="L215" s="533">
        <f t="shared" si="16"/>
        <v>26973.333333333332</v>
      </c>
      <c r="M215" s="533" t="str">
        <f t="shared" si="17"/>
        <v/>
      </c>
      <c r="N215" s="533">
        <f t="shared" si="18"/>
        <v>26973.333333333332</v>
      </c>
    </row>
    <row r="216" spans="1:14" ht="28.9">
      <c r="A216" s="87" t="s">
        <v>1154</v>
      </c>
      <c r="B216" s="90">
        <v>206</v>
      </c>
      <c r="C216" s="90" t="str">
        <f>IF(Estudio_Mercado_VF!D220="","",Estudio_Mercado_VF!D220)</f>
        <v xml:space="preserve">Envase de vidrio 30 ml </v>
      </c>
      <c r="D216" s="91" t="str">
        <f>IF(Estudio_Mercado_VF!E220="","",Estudio_Mercado_VF!E220)</f>
        <v>Envases de plástico resistente o vidrio, con tapa hermética. Capacidades de 30 ml. Aptos para almacenamiento de líquidos o productos procesados. </v>
      </c>
      <c r="E216" s="89">
        <f>IF(Estudio_Mercado_VF!G220="","",Estudio_Mercado_VF!G220)</f>
        <v>1</v>
      </c>
      <c r="F216" s="515">
        <f>IF(Estudio_Mercado_VF!AA220="","",Estudio_Mercado_VF!AA220)</f>
        <v>1798.3333333333333</v>
      </c>
      <c r="G216" s="515">
        <f>IF(Estudio_Mercado_VF!AA220="","",Estudio_Mercado_VF!AB220)</f>
        <v>1798.3333333333333</v>
      </c>
      <c r="H216" s="524"/>
      <c r="I216" s="525"/>
      <c r="J216" s="92"/>
      <c r="K216" s="93" t="str">
        <f t="shared" si="15"/>
        <v>Valor vacío</v>
      </c>
      <c r="L216" s="533">
        <f t="shared" si="16"/>
        <v>1798.3333333333333</v>
      </c>
      <c r="M216" s="533" t="str">
        <f t="shared" si="17"/>
        <v/>
      </c>
      <c r="N216" s="533">
        <f t="shared" si="18"/>
        <v>1798.3333333333333</v>
      </c>
    </row>
    <row r="217" spans="1:14" ht="28.9">
      <c r="A217" s="87" t="s">
        <v>1154</v>
      </c>
      <c r="B217" s="90">
        <v>207</v>
      </c>
      <c r="C217" s="90" t="str">
        <f>IF(Estudio_Mercado_VF!D221="","",Estudio_Mercado_VF!D221)</f>
        <v xml:space="preserve">Envase de vidrio 80 ml </v>
      </c>
      <c r="D217" s="91" t="str">
        <f>IF(Estudio_Mercado_VF!E221="","",Estudio_Mercado_VF!E221)</f>
        <v>Envases de plástico resistente o vidrio, con tapa hermética. Capacidades de 80 ml. Aptos para almacenamiento de líquidos o productos procesados. </v>
      </c>
      <c r="E217" s="89">
        <f>IF(Estudio_Mercado_VF!G221="","",Estudio_Mercado_VF!G221)</f>
        <v>1</v>
      </c>
      <c r="F217" s="515">
        <f>IF(Estudio_Mercado_VF!AA221="","",Estudio_Mercado_VF!AA221)</f>
        <v>4089.6333333333332</v>
      </c>
      <c r="G217" s="515">
        <f>IF(Estudio_Mercado_VF!AA221="","",Estudio_Mercado_VF!AB221)</f>
        <v>4089.6333333333332</v>
      </c>
      <c r="H217" s="524"/>
      <c r="I217" s="525"/>
      <c r="J217" s="92"/>
      <c r="K217" s="93" t="str">
        <f t="shared" si="15"/>
        <v>Valor vacío</v>
      </c>
      <c r="L217" s="533">
        <f t="shared" si="16"/>
        <v>4089.6333333333332</v>
      </c>
      <c r="M217" s="533" t="str">
        <f t="shared" si="17"/>
        <v/>
      </c>
      <c r="N217" s="533">
        <f t="shared" si="18"/>
        <v>4089.6333333333332</v>
      </c>
    </row>
    <row r="218" spans="1:14" ht="28.9">
      <c r="A218" s="87" t="s">
        <v>1154</v>
      </c>
      <c r="B218" s="90">
        <v>208</v>
      </c>
      <c r="C218" s="90" t="str">
        <f>IF(Estudio_Mercado_VF!D222="","",Estudio_Mercado_VF!D222)</f>
        <v xml:space="preserve">Envase de vidrio 100 ml </v>
      </c>
      <c r="D218" s="91" t="str">
        <f>IF(Estudio_Mercado_VF!E222="","",Estudio_Mercado_VF!E222)</f>
        <v>Envases de plástico resistente o vidrio, con tapa hermética. Capacidades de 100 ml. Aptos para almacenamiento de líquidos o productos procesados. </v>
      </c>
      <c r="E218" s="89">
        <f>IF(Estudio_Mercado_VF!G222="","",Estudio_Mercado_VF!G222)</f>
        <v>1</v>
      </c>
      <c r="F218" s="515">
        <f>IF(Estudio_Mercado_VF!AA222="","",Estudio_Mercado_VF!AA222)</f>
        <v>5196.333333333333</v>
      </c>
      <c r="G218" s="515">
        <f>IF(Estudio_Mercado_VF!AA222="","",Estudio_Mercado_VF!AB222)</f>
        <v>5196.333333333333</v>
      </c>
      <c r="H218" s="524"/>
      <c r="I218" s="525"/>
      <c r="J218" s="92"/>
      <c r="K218" s="93" t="str">
        <f t="shared" si="15"/>
        <v>Valor vacío</v>
      </c>
      <c r="L218" s="533">
        <f t="shared" si="16"/>
        <v>5196.333333333333</v>
      </c>
      <c r="M218" s="533" t="str">
        <f t="shared" si="17"/>
        <v/>
      </c>
      <c r="N218" s="533">
        <f t="shared" si="18"/>
        <v>5196.333333333333</v>
      </c>
    </row>
    <row r="219" spans="1:14" ht="28.9">
      <c r="A219" s="87" t="s">
        <v>1154</v>
      </c>
      <c r="B219" s="90">
        <v>209</v>
      </c>
      <c r="C219" s="90" t="str">
        <f>IF(Estudio_Mercado_VF!D223="","",Estudio_Mercado_VF!D223)</f>
        <v xml:space="preserve">Envase de vidrio 150 ml </v>
      </c>
      <c r="D219" s="91" t="str">
        <f>IF(Estudio_Mercado_VF!E223="","",Estudio_Mercado_VF!E223)</f>
        <v>Envases de plástico resistente o vidrio, con tapa hermética. Capacidades de 150 ml. Aptos para almacenamiento de líquidos o productos procesados. </v>
      </c>
      <c r="E219" s="89">
        <f>IF(Estudio_Mercado_VF!G223="","",Estudio_Mercado_VF!G223)</f>
        <v>1</v>
      </c>
      <c r="F219" s="515">
        <f>IF(Estudio_Mercado_VF!AA223="","",Estudio_Mercado_VF!AA223)</f>
        <v>6783</v>
      </c>
      <c r="G219" s="515">
        <f>IF(Estudio_Mercado_VF!AA223="","",Estudio_Mercado_VF!AB223)</f>
        <v>6783</v>
      </c>
      <c r="H219" s="524"/>
      <c r="I219" s="525"/>
      <c r="J219" s="92"/>
      <c r="K219" s="93" t="str">
        <f t="shared" si="15"/>
        <v>Valor vacío</v>
      </c>
      <c r="L219" s="533">
        <f t="shared" si="16"/>
        <v>6783</v>
      </c>
      <c r="M219" s="533" t="str">
        <f t="shared" si="17"/>
        <v/>
      </c>
      <c r="N219" s="533">
        <f t="shared" si="18"/>
        <v>6783</v>
      </c>
    </row>
    <row r="220" spans="1:14" ht="28.9">
      <c r="A220" s="87" t="s">
        <v>1154</v>
      </c>
      <c r="B220" s="90">
        <v>210</v>
      </c>
      <c r="C220" s="90" t="str">
        <f>IF(Estudio_Mercado_VF!D224="","",Estudio_Mercado_VF!D224)</f>
        <v xml:space="preserve">Envase de vidrio 250 ml </v>
      </c>
      <c r="D220" s="91" t="str">
        <f>IF(Estudio_Mercado_VF!E224="","",Estudio_Mercado_VF!E224)</f>
        <v>Envases de plástico resistente o vidrio, con tapa hermética. Capacidades de 250 ml. Aptos para almacenamiento de líquidos o productos procesados. </v>
      </c>
      <c r="E220" s="89">
        <f>IF(Estudio_Mercado_VF!G224="","",Estudio_Mercado_VF!G224)</f>
        <v>1</v>
      </c>
      <c r="F220" s="515">
        <f>IF(Estudio_Mercado_VF!AA224="","",Estudio_Mercado_VF!AA224)</f>
        <v>8813.9333333333325</v>
      </c>
      <c r="G220" s="515">
        <f>IF(Estudio_Mercado_VF!AA224="","",Estudio_Mercado_VF!AB224)</f>
        <v>8813.9333333333325</v>
      </c>
      <c r="H220" s="524"/>
      <c r="I220" s="525"/>
      <c r="J220" s="92"/>
      <c r="K220" s="93" t="str">
        <f t="shared" si="15"/>
        <v>Valor vacío</v>
      </c>
      <c r="L220" s="533">
        <f t="shared" si="16"/>
        <v>8813.9333333333325</v>
      </c>
      <c r="M220" s="533" t="str">
        <f t="shared" si="17"/>
        <v/>
      </c>
      <c r="N220" s="533">
        <f t="shared" si="18"/>
        <v>8813.9333333333325</v>
      </c>
    </row>
    <row r="221" spans="1:14" ht="28.9">
      <c r="A221" s="87" t="s">
        <v>1154</v>
      </c>
      <c r="B221" s="90">
        <v>211</v>
      </c>
      <c r="C221" s="90" t="str">
        <f>IF(Estudio_Mercado_VF!D225="","",Estudio_Mercado_VF!D225)</f>
        <v xml:space="preserve">Envase de vidrio 350ml </v>
      </c>
      <c r="D221" s="91" t="str">
        <f>IF(Estudio_Mercado_VF!E225="","",Estudio_Mercado_VF!E225)</f>
        <v>Envases de plástico resistente o vidrio, con tapa hermética. Capacidades de 350 ml. Aptos para almacenamiento de líquidos o productos procesados. </v>
      </c>
      <c r="E221" s="89">
        <f>IF(Estudio_Mercado_VF!G225="","",Estudio_Mercado_VF!G225)</f>
        <v>1</v>
      </c>
      <c r="F221" s="515">
        <f>IF(Estudio_Mercado_VF!AA225="","",Estudio_Mercado_VF!AA225)</f>
        <v>9202.6666666666661</v>
      </c>
      <c r="G221" s="515">
        <f>IF(Estudio_Mercado_VF!AA225="","",Estudio_Mercado_VF!AB225)</f>
        <v>9202.6666666666661</v>
      </c>
      <c r="H221" s="524"/>
      <c r="I221" s="525"/>
      <c r="J221" s="92"/>
      <c r="K221" s="93" t="str">
        <f t="shared" si="15"/>
        <v>Valor vacío</v>
      </c>
      <c r="L221" s="533">
        <f t="shared" si="16"/>
        <v>9202.6666666666661</v>
      </c>
      <c r="M221" s="533" t="str">
        <f t="shared" si="17"/>
        <v/>
      </c>
      <c r="N221" s="533">
        <f t="shared" si="18"/>
        <v>9202.6666666666661</v>
      </c>
    </row>
    <row r="222" spans="1:14" ht="28.9">
      <c r="A222" s="87" t="s">
        <v>1154</v>
      </c>
      <c r="B222" s="90">
        <v>212</v>
      </c>
      <c r="C222" s="90" t="str">
        <f>IF(Estudio_Mercado_VF!D226="","",Estudio_Mercado_VF!D226)</f>
        <v xml:space="preserve">Envase de vidrio 500 ml </v>
      </c>
      <c r="D222" s="91" t="str">
        <f>IF(Estudio_Mercado_VF!E226="","",Estudio_Mercado_VF!E226)</f>
        <v>Envases de plástico resistente o vidrio, con tapa hermética. Capacidades de 500 ml. Aptos para almacenamiento de líquidos o productos procesados. </v>
      </c>
      <c r="E222" s="89">
        <f>IF(Estudio_Mercado_VF!G226="","",Estudio_Mercado_VF!G226)</f>
        <v>1</v>
      </c>
      <c r="F222" s="515">
        <f>IF(Estudio_Mercado_VF!AA226="","",Estudio_Mercado_VF!AA226)</f>
        <v>9163</v>
      </c>
      <c r="G222" s="515">
        <f>IF(Estudio_Mercado_VF!AA226="","",Estudio_Mercado_VF!AB226)</f>
        <v>9163</v>
      </c>
      <c r="H222" s="524"/>
      <c r="I222" s="525"/>
      <c r="J222" s="92"/>
      <c r="K222" s="93" t="str">
        <f t="shared" si="15"/>
        <v>Valor vacío</v>
      </c>
      <c r="L222" s="533">
        <f t="shared" si="16"/>
        <v>9163</v>
      </c>
      <c r="M222" s="533" t="str">
        <f t="shared" si="17"/>
        <v/>
      </c>
      <c r="N222" s="533">
        <f t="shared" si="18"/>
        <v>9163</v>
      </c>
    </row>
    <row r="223" spans="1:14" ht="28.9">
      <c r="A223" s="87" t="s">
        <v>1154</v>
      </c>
      <c r="B223" s="90">
        <v>213</v>
      </c>
      <c r="C223" s="90" t="str">
        <f>IF(Estudio_Mercado_VF!D227="","",Estudio_Mercado_VF!D227)</f>
        <v xml:space="preserve">Envase de plástico 1 litro </v>
      </c>
      <c r="D223" s="91" t="str">
        <f>IF(Estudio_Mercado_VF!E227="","",Estudio_Mercado_VF!E227)</f>
        <v>Envases de plástico resistente o vidrio, con tapa hermética. Capacidades de 1 litro. Aptos para almacenamiento de líquidos o productos procesados. </v>
      </c>
      <c r="E223" s="89">
        <f>IF(Estudio_Mercado_VF!G227="","",Estudio_Mercado_VF!G227)</f>
        <v>1</v>
      </c>
      <c r="F223" s="515">
        <f>IF(Estudio_Mercado_VF!AA227="","",Estudio_Mercado_VF!AA227)</f>
        <v>4157.0666666666666</v>
      </c>
      <c r="G223" s="515">
        <f>IF(Estudio_Mercado_VF!AA227="","",Estudio_Mercado_VF!AB227)</f>
        <v>4157.0666666666666</v>
      </c>
      <c r="H223" s="524"/>
      <c r="I223" s="525"/>
      <c r="J223" s="92"/>
      <c r="K223" s="93" t="str">
        <f t="shared" si="15"/>
        <v>Valor vacío</v>
      </c>
      <c r="L223" s="533">
        <f t="shared" si="16"/>
        <v>4157.0666666666666</v>
      </c>
      <c r="M223" s="533" t="str">
        <f t="shared" si="17"/>
        <v/>
      </c>
      <c r="N223" s="533">
        <f t="shared" si="18"/>
        <v>4157.0666666666666</v>
      </c>
    </row>
    <row r="224" spans="1:14" ht="28.9">
      <c r="A224" s="87" t="s">
        <v>1154</v>
      </c>
      <c r="B224" s="90">
        <v>214</v>
      </c>
      <c r="C224" s="90" t="str">
        <f>IF(Estudio_Mercado_VF!D228="","",Estudio_Mercado_VF!D228)</f>
        <v>Bandejas deshidratados</v>
      </c>
      <c r="D224" s="91" t="str">
        <f>IF(Estudio_Mercado_VF!E228="","",Estudio_Mercado_VF!E228)</f>
        <v>Bandejas rectangulares de acero inoxidable o plástico alimentario, perforadas para circulación de aire. Medidas estándar: 30×40 cm o 40×60 cm. </v>
      </c>
      <c r="E224" s="89">
        <f>IF(Estudio_Mercado_VF!G228="","",Estudio_Mercado_VF!G228)</f>
        <v>1</v>
      </c>
      <c r="F224" s="515">
        <f>IF(Estudio_Mercado_VF!AA228="","",Estudio_Mercado_VF!AA228)</f>
        <v>73553.333333333328</v>
      </c>
      <c r="G224" s="515">
        <f>IF(Estudio_Mercado_VF!AA228="","",Estudio_Mercado_VF!AB228)</f>
        <v>73553.333333333328</v>
      </c>
      <c r="H224" s="524"/>
      <c r="I224" s="525"/>
      <c r="J224" s="92"/>
      <c r="K224" s="93" t="str">
        <f t="shared" si="15"/>
        <v>Valor vacío</v>
      </c>
      <c r="L224" s="533">
        <f t="shared" si="16"/>
        <v>73553.333333333328</v>
      </c>
      <c r="M224" s="533" t="str">
        <f t="shared" si="17"/>
        <v/>
      </c>
      <c r="N224" s="533">
        <f t="shared" si="18"/>
        <v>73553.333333333328</v>
      </c>
    </row>
    <row r="225" spans="1:14">
      <c r="A225" s="87" t="s">
        <v>1154</v>
      </c>
      <c r="B225" s="90">
        <v>215</v>
      </c>
      <c r="C225" s="90" t="str">
        <f>IF(Estudio_Mercado_VF!D229="","",Estudio_Mercado_VF!D229)</f>
        <v>Básculas</v>
      </c>
      <c r="D225" s="91" t="str">
        <f>IF(Estudio_Mercado_VF!E229="","",Estudio_Mercado_VF!E229)</f>
        <v>Balanza Liquidadora Electrónica 40 Kg Digital Gramo en gran </v>
      </c>
      <c r="E225" s="89">
        <f>IF(Estudio_Mercado_VF!G229="","",Estudio_Mercado_VF!G229)</f>
        <v>1</v>
      </c>
      <c r="F225" s="515">
        <f>IF(Estudio_Mercado_VF!AA229="","",Estudio_Mercado_VF!AA229)</f>
        <v>126266.66756666667</v>
      </c>
      <c r="G225" s="515">
        <f>IF(Estudio_Mercado_VF!AA229="","",Estudio_Mercado_VF!AB229)</f>
        <v>126266.66756666667</v>
      </c>
      <c r="H225" s="524"/>
      <c r="I225" s="525"/>
      <c r="J225" s="92"/>
      <c r="K225" s="93" t="str">
        <f t="shared" si="15"/>
        <v>Valor vacío</v>
      </c>
      <c r="L225" s="533">
        <f t="shared" si="16"/>
        <v>126266.66756666667</v>
      </c>
      <c r="M225" s="533" t="str">
        <f t="shared" si="17"/>
        <v/>
      </c>
      <c r="N225" s="533">
        <f t="shared" si="18"/>
        <v>126266.66756666667</v>
      </c>
    </row>
    <row r="226" spans="1:14">
      <c r="A226" s="87" t="s">
        <v>1154</v>
      </c>
      <c r="B226" s="90">
        <v>216</v>
      </c>
      <c r="C226" s="90" t="str">
        <f>IF(Estudio_Mercado_VF!D230="","",Estudio_Mercado_VF!D230)</f>
        <v>Etiquetas 5x3 cm x 100 unid</v>
      </c>
      <c r="D226" s="91" t="str">
        <f>IF(Estudio_Mercado_VF!E230="","",Estudio_Mercado_VF!E230)</f>
        <v>Etiquetas adhesivas para empaques, plastificadas, 100 unidades</v>
      </c>
      <c r="E226" s="89">
        <f>IF(Estudio_Mercado_VF!G230="","",Estudio_Mercado_VF!G230)</f>
        <v>1</v>
      </c>
      <c r="F226" s="515">
        <f>IF(Estudio_Mercado_VF!AA230="","",Estudio_Mercado_VF!AA230)</f>
        <v>12614</v>
      </c>
      <c r="G226" s="515">
        <f>IF(Estudio_Mercado_VF!AA230="","",Estudio_Mercado_VF!AB230)</f>
        <v>12614</v>
      </c>
      <c r="H226" s="524"/>
      <c r="I226" s="525"/>
      <c r="J226" s="92"/>
      <c r="K226" s="93" t="str">
        <f t="shared" si="15"/>
        <v>Valor vacío</v>
      </c>
      <c r="L226" s="533">
        <f t="shared" si="16"/>
        <v>12614</v>
      </c>
      <c r="M226" s="533" t="str">
        <f t="shared" si="17"/>
        <v/>
      </c>
      <c r="N226" s="533">
        <f t="shared" si="18"/>
        <v>12614</v>
      </c>
    </row>
    <row r="227" spans="1:14">
      <c r="A227" s="87" t="s">
        <v>1154</v>
      </c>
      <c r="B227" s="90">
        <v>217</v>
      </c>
      <c r="C227" s="90" t="str">
        <f>IF(Estudio_Mercado_VF!D231="","",Estudio_Mercado_VF!D231)</f>
        <v>Etiquetas 10x15 cm x 100 unid</v>
      </c>
      <c r="D227" s="91" t="str">
        <f>IF(Estudio_Mercado_VF!E231="","",Estudio_Mercado_VF!E231)</f>
        <v>Etiquetas adhesivas para empaques, plastificadas, 100 unidades</v>
      </c>
      <c r="E227" s="89">
        <f>IF(Estudio_Mercado_VF!G231="","",Estudio_Mercado_VF!G231)</f>
        <v>1</v>
      </c>
      <c r="F227" s="515">
        <f>IF(Estudio_Mercado_VF!AA231="","",Estudio_Mercado_VF!AA231)</f>
        <v>36890</v>
      </c>
      <c r="G227" s="515">
        <f>IF(Estudio_Mercado_VF!AA231="","",Estudio_Mercado_VF!AB231)</f>
        <v>36890</v>
      </c>
      <c r="H227" s="524"/>
      <c r="I227" s="525"/>
      <c r="J227" s="92"/>
      <c r="K227" s="93" t="str">
        <f t="shared" si="15"/>
        <v>Valor vacío</v>
      </c>
      <c r="L227" s="533">
        <f t="shared" si="16"/>
        <v>36890</v>
      </c>
      <c r="M227" s="533" t="str">
        <f t="shared" si="17"/>
        <v/>
      </c>
      <c r="N227" s="533">
        <f t="shared" si="18"/>
        <v>36890</v>
      </c>
    </row>
    <row r="228" spans="1:14">
      <c r="A228" s="87" t="s">
        <v>1154</v>
      </c>
      <c r="B228" s="90">
        <v>218</v>
      </c>
      <c r="C228" s="90" t="str">
        <f>IF(Estudio_Mercado_VF!D232="","",Estudio_Mercado_VF!D232)</f>
        <v>Bolsa compostera impermeable</v>
      </c>
      <c r="D228" s="91" t="str">
        <f>IF(Estudio_Mercado_VF!E232="","",Estudio_Mercado_VF!E232)</f>
        <v>Bolsa de Compost de 34 Lt Plegable Reutilizable para Jardín Exterior por 2 unidades </v>
      </c>
      <c r="E228" s="89">
        <f>IF(Estudio_Mercado_VF!G232="","",Estudio_Mercado_VF!G232)</f>
        <v>1</v>
      </c>
      <c r="F228" s="515">
        <f>IF(Estudio_Mercado_VF!AA232="","",Estudio_Mercado_VF!AA232)</f>
        <v>221663.58299999998</v>
      </c>
      <c r="G228" s="515">
        <f>IF(Estudio_Mercado_VF!AA232="","",Estudio_Mercado_VF!AB232)</f>
        <v>221663.58299999998</v>
      </c>
      <c r="H228" s="524"/>
      <c r="I228" s="525"/>
      <c r="J228" s="92"/>
      <c r="K228" s="93" t="str">
        <f t="shared" si="15"/>
        <v>Valor vacío</v>
      </c>
      <c r="L228" s="533">
        <f t="shared" si="16"/>
        <v>221663.58299999998</v>
      </c>
      <c r="M228" s="533" t="str">
        <f t="shared" si="17"/>
        <v/>
      </c>
      <c r="N228" s="533">
        <f t="shared" si="18"/>
        <v>221663.58299999998</v>
      </c>
    </row>
    <row r="229" spans="1:14" ht="57.6">
      <c r="A229" s="87" t="s">
        <v>1154</v>
      </c>
      <c r="B229" s="90">
        <v>219</v>
      </c>
      <c r="C229" s="90" t="str">
        <f>IF(Estudio_Mercado_VF!D233="","",Estudio_Mercado_VF!D233)</f>
        <v>Agua destilada 250 ml</v>
      </c>
      <c r="D229" s="91" t="str">
        <f>IF(Estudio_Mercado_VF!E233="","",Estudio_Mercado_VF!E233)</f>
        <v>Agua purificada mediante destilación simple, libre de minerales, sales, partículas, microorganismos y compuestos orgánicos volátiles. Su bajo nivel de conductividad la hace adecuada para aplicaciones que requieren alta pureza y mínima interferencia química. pH: 5.0 – 7.0 Libre de iones metálicos y cloro residual</v>
      </c>
      <c r="E229" s="89">
        <f>IF(Estudio_Mercado_VF!G233="","",Estudio_Mercado_VF!G233)</f>
        <v>1</v>
      </c>
      <c r="F229" s="515">
        <f>IF(Estudio_Mercado_VF!AA233="","",Estudio_Mercado_VF!AA233)</f>
        <v>5260</v>
      </c>
      <c r="G229" s="515">
        <f>IF(Estudio_Mercado_VF!AA233="","",Estudio_Mercado_VF!AB233)</f>
        <v>5260</v>
      </c>
      <c r="H229" s="524"/>
      <c r="I229" s="525"/>
      <c r="J229" s="92"/>
      <c r="K229" s="93" t="str">
        <f t="shared" si="15"/>
        <v>Valor vacío</v>
      </c>
      <c r="L229" s="533">
        <f t="shared" si="16"/>
        <v>5260</v>
      </c>
      <c r="M229" s="533" t="str">
        <f t="shared" si="17"/>
        <v/>
      </c>
      <c r="N229" s="533">
        <f t="shared" si="18"/>
        <v>5260</v>
      </c>
    </row>
    <row r="230" spans="1:14" ht="43.15">
      <c r="A230" s="87" t="s">
        <v>1154</v>
      </c>
      <c r="B230" s="90">
        <v>220</v>
      </c>
      <c r="C230" s="90" t="str">
        <f>IF(Estudio_Mercado_VF!D234="","",Estudio_Mercado_VF!D234)</f>
        <v>Alcohol etilico de grado alimienticio (70° a 96°) 1 litro</v>
      </c>
      <c r="D230" s="91" t="str">
        <f>IF(Estudio_Mercado_VF!E234="","",Estudio_Mercado_VF!E234)</f>
        <v>Etanol 190 Proof 95% USP/FCC Alcohol de grado alimenticio, Kosher 1 litro
Aplicación versátil: perfecto para desinfectantes de manos, extracciones botánicas o como reactivo en reacciones químicas.</v>
      </c>
      <c r="E230" s="89">
        <f>IF(Estudio_Mercado_VF!G234="","",Estudio_Mercado_VF!G234)</f>
        <v>1</v>
      </c>
      <c r="F230" s="515">
        <f>IF(Estudio_Mercado_VF!AA234="","",Estudio_Mercado_VF!AA234)</f>
        <v>12466.666666666666</v>
      </c>
      <c r="G230" s="515">
        <f>IF(Estudio_Mercado_VF!AA234="","",Estudio_Mercado_VF!AB234)</f>
        <v>12466.666666666666</v>
      </c>
      <c r="H230" s="524"/>
      <c r="I230" s="525"/>
      <c r="J230" s="92"/>
      <c r="K230" s="93" t="str">
        <f t="shared" si="15"/>
        <v>Valor vacío</v>
      </c>
      <c r="L230" s="533">
        <f t="shared" si="16"/>
        <v>12466.666666666666</v>
      </c>
      <c r="M230" s="533" t="str">
        <f t="shared" si="17"/>
        <v/>
      </c>
      <c r="N230" s="533">
        <f t="shared" si="18"/>
        <v>12466.666666666666</v>
      </c>
    </row>
    <row r="231" spans="1:14">
      <c r="A231" s="87" t="s">
        <v>1154</v>
      </c>
      <c r="B231" s="90">
        <v>221</v>
      </c>
      <c r="C231" s="90" t="str">
        <f>IF(Estudio_Mercado_VF!D235="","",Estudio_Mercado_VF!D235)</f>
        <v>Aceite de almendras 500 ml</v>
      </c>
      <c r="D231" s="91" t="str">
        <f>IF(Estudio_Mercado_VF!E235="","",Estudio_Mercado_VF!E235)</f>
        <v>Aceite de almendras, en envase de 500 ml</v>
      </c>
      <c r="E231" s="89">
        <f>IF(Estudio_Mercado_VF!G235="","",Estudio_Mercado_VF!G235)</f>
        <v>1</v>
      </c>
      <c r="F231" s="515">
        <f>IF(Estudio_Mercado_VF!AA235="","",Estudio_Mercado_VF!AA235)</f>
        <v>23216.666666666668</v>
      </c>
      <c r="G231" s="515">
        <f>IF(Estudio_Mercado_VF!AA235="","",Estudio_Mercado_VF!AB235)</f>
        <v>23216.666666666668</v>
      </c>
      <c r="H231" s="524"/>
      <c r="I231" s="525"/>
      <c r="J231" s="92"/>
      <c r="K231" s="93" t="str">
        <f t="shared" si="15"/>
        <v>Valor vacío</v>
      </c>
      <c r="L231" s="533">
        <f t="shared" si="16"/>
        <v>23216.666666666668</v>
      </c>
      <c r="M231" s="533" t="str">
        <f t="shared" si="17"/>
        <v/>
      </c>
      <c r="N231" s="533">
        <f t="shared" si="18"/>
        <v>23216.666666666668</v>
      </c>
    </row>
    <row r="232" spans="1:14">
      <c r="A232" s="87" t="s">
        <v>1154</v>
      </c>
      <c r="B232" s="90">
        <v>222</v>
      </c>
      <c r="C232" s="90" t="str">
        <f>IF(Estudio_Mercado_VF!D236="","",Estudio_Mercado_VF!D236)</f>
        <v>aceite de coco 500 ml</v>
      </c>
      <c r="D232" s="91" t="str">
        <f>IF(Estudio_Mercado_VF!E236="","",Estudio_Mercado_VF!E236)</f>
        <v>Aceite de coco, en envase de 500 ml</v>
      </c>
      <c r="E232" s="89">
        <f>IF(Estudio_Mercado_VF!G236="","",Estudio_Mercado_VF!G236)</f>
        <v>1</v>
      </c>
      <c r="F232" s="515">
        <f>IF(Estudio_Mercado_VF!AA236="","",Estudio_Mercado_VF!AA236)</f>
        <v>60000.593333333331</v>
      </c>
      <c r="G232" s="515">
        <f>IF(Estudio_Mercado_VF!AA236="","",Estudio_Mercado_VF!AB236)</f>
        <v>60000.593333333331</v>
      </c>
      <c r="H232" s="524"/>
      <c r="I232" s="525"/>
      <c r="J232" s="92"/>
      <c r="K232" s="93" t="str">
        <f t="shared" si="15"/>
        <v>Valor vacío</v>
      </c>
      <c r="L232" s="533">
        <f t="shared" si="16"/>
        <v>60000.593333333331</v>
      </c>
      <c r="M232" s="533" t="str">
        <f t="shared" si="17"/>
        <v/>
      </c>
      <c r="N232" s="533">
        <f t="shared" si="18"/>
        <v>60000.593333333331</v>
      </c>
    </row>
    <row r="233" spans="1:14">
      <c r="A233" s="87" t="s">
        <v>1154</v>
      </c>
      <c r="B233" s="90">
        <v>223</v>
      </c>
      <c r="C233" s="90" t="str">
        <f>IF(Estudio_Mercado_VF!D237="","",Estudio_Mercado_VF!D237)</f>
        <v>Glicerina vegetal 500 ml</v>
      </c>
      <c r="D233" s="91" t="str">
        <f>IF(Estudio_Mercado_VF!E237="","",Estudio_Mercado_VF!E237)</f>
        <v>Glicerina Natural Vegetal Usp 500 Ml de calidad farmacéutica</v>
      </c>
      <c r="E233" s="89">
        <f>IF(Estudio_Mercado_VF!G237="","",Estudio_Mercado_VF!G237)</f>
        <v>1</v>
      </c>
      <c r="F233" s="515">
        <f>IF(Estudio_Mercado_VF!AA237="","",Estudio_Mercado_VF!AA237)</f>
        <v>48076</v>
      </c>
      <c r="G233" s="515">
        <f>IF(Estudio_Mercado_VF!AA237="","",Estudio_Mercado_VF!AB237)</f>
        <v>48076</v>
      </c>
      <c r="H233" s="524"/>
      <c r="I233" s="525"/>
      <c r="J233" s="92"/>
      <c r="K233" s="93" t="str">
        <f t="shared" si="15"/>
        <v>Valor vacío</v>
      </c>
      <c r="L233" s="533">
        <f t="shared" si="16"/>
        <v>48076</v>
      </c>
      <c r="M233" s="533" t="str">
        <f t="shared" si="17"/>
        <v/>
      </c>
      <c r="N233" s="533">
        <f t="shared" si="18"/>
        <v>48076</v>
      </c>
    </row>
    <row r="234" spans="1:14">
      <c r="A234" s="87" t="s">
        <v>1154</v>
      </c>
      <c r="B234" s="90">
        <v>224</v>
      </c>
      <c r="C234" s="90" t="str">
        <f>IF(Estudio_Mercado_VF!D238="","",Estudio_Mercado_VF!D238)</f>
        <v>Vinagre de manzana 500 ml</v>
      </c>
      <c r="D234" s="91" t="str">
        <f>IF(Estudio_Mercado_VF!E238="","",Estudio_Mercado_VF!E238)</f>
        <v>Vinagre de manzana, envase de 500 ml</v>
      </c>
      <c r="E234" s="89">
        <f>IF(Estudio_Mercado_VF!G238="","",Estudio_Mercado_VF!G238)</f>
        <v>1</v>
      </c>
      <c r="F234" s="515">
        <f>IF(Estudio_Mercado_VF!AA238="","",Estudio_Mercado_VF!AA238)</f>
        <v>6505.333333333333</v>
      </c>
      <c r="G234" s="515">
        <f>IF(Estudio_Mercado_VF!AA238="","",Estudio_Mercado_VF!AB238)</f>
        <v>6505.333333333333</v>
      </c>
      <c r="H234" s="524"/>
      <c r="I234" s="525"/>
      <c r="J234" s="92"/>
      <c r="K234" s="93" t="str">
        <f t="shared" si="15"/>
        <v>Valor vacío</v>
      </c>
      <c r="L234" s="533">
        <f t="shared" si="16"/>
        <v>6505.333333333333</v>
      </c>
      <c r="M234" s="533" t="str">
        <f t="shared" si="17"/>
        <v/>
      </c>
      <c r="N234" s="533">
        <f t="shared" si="18"/>
        <v>6505.333333333333</v>
      </c>
    </row>
    <row r="235" spans="1:14">
      <c r="A235" s="87" t="s">
        <v>1154</v>
      </c>
      <c r="B235" s="90">
        <v>225</v>
      </c>
      <c r="C235" s="90" t="str">
        <f>IF(Estudio_Mercado_VF!D239="","",Estudio_Mercado_VF!D239)</f>
        <v>Vitamina E  100 capsulas blandas</v>
      </c>
      <c r="D235" s="91" t="str">
        <f>IF(Estudio_Mercado_VF!E239="","",Estudio_Mercado_VF!E239)</f>
        <v>Vitamina e, capsulas blandas, 100 unidades 400 UI</v>
      </c>
      <c r="E235" s="89">
        <f>IF(Estudio_Mercado_VF!G239="","",Estudio_Mercado_VF!G239)</f>
        <v>1</v>
      </c>
      <c r="F235" s="515">
        <f>IF(Estudio_Mercado_VF!AA239="","",Estudio_Mercado_VF!AA239)</f>
        <v>51022.326666666668</v>
      </c>
      <c r="G235" s="515">
        <f>IF(Estudio_Mercado_VF!AA239="","",Estudio_Mercado_VF!AB239)</f>
        <v>51022.326666666668</v>
      </c>
      <c r="H235" s="524"/>
      <c r="I235" s="525"/>
      <c r="J235" s="92"/>
      <c r="K235" s="93" t="str">
        <f t="shared" si="15"/>
        <v>Valor vacío</v>
      </c>
      <c r="L235" s="533">
        <f t="shared" si="16"/>
        <v>51022.326666666668</v>
      </c>
      <c r="M235" s="533" t="str">
        <f t="shared" si="17"/>
        <v/>
      </c>
      <c r="N235" s="533">
        <f t="shared" si="18"/>
        <v>51022.326666666668</v>
      </c>
    </row>
    <row r="236" spans="1:14">
      <c r="A236" s="87" t="s">
        <v>1154</v>
      </c>
      <c r="B236" s="90">
        <v>226</v>
      </c>
      <c r="C236" s="90" t="str">
        <f>IF(Estudio_Mercado_VF!D240="","",Estudio_Mercado_VF!D240)</f>
        <v>Papel de filtro tipo laboratorio 11 cm</v>
      </c>
      <c r="D236" s="91" t="str">
        <f>IF(Estudio_Mercado_VF!E240="","",Estudio_Mercado_VF!E240)</f>
        <v>Papel Filtro 11cm Diámetro Flujo Medio 100uds</v>
      </c>
      <c r="E236" s="89">
        <f>IF(Estudio_Mercado_VF!G240="","",Estudio_Mercado_VF!G240)</f>
        <v>1</v>
      </c>
      <c r="F236" s="515">
        <f>IF(Estudio_Mercado_VF!AA240="","",Estudio_Mercado_VF!AA240)</f>
        <v>75089.666400000002</v>
      </c>
      <c r="G236" s="515">
        <f>IF(Estudio_Mercado_VF!AA240="","",Estudio_Mercado_VF!AB240)</f>
        <v>75089.666400000002</v>
      </c>
      <c r="H236" s="524"/>
      <c r="I236" s="525"/>
      <c r="J236" s="92"/>
      <c r="K236" s="93" t="str">
        <f t="shared" si="15"/>
        <v>Valor vacío</v>
      </c>
      <c r="L236" s="533">
        <f t="shared" si="16"/>
        <v>75089.666400000002</v>
      </c>
      <c r="M236" s="533" t="str">
        <f t="shared" si="17"/>
        <v/>
      </c>
      <c r="N236" s="533">
        <f t="shared" si="18"/>
        <v>75089.666400000002</v>
      </c>
    </row>
    <row r="237" spans="1:14">
      <c r="A237" s="87" t="s">
        <v>1154</v>
      </c>
      <c r="B237" s="90">
        <v>227</v>
      </c>
      <c r="C237" s="90" t="str">
        <f>IF(Estudio_Mercado_VF!D241="","",Estudio_Mercado_VF!D241)</f>
        <v>tela de algodón crudo (mantequeras)  2 unidades</v>
      </c>
      <c r="D237" s="91" t="str">
        <f>IF(Estudio_Mercado_VF!E241="","",Estudio_Mercado_VF!E241)</f>
        <v>Tela Colador Filtro De Tela 45 Cm Reutilizable</v>
      </c>
      <c r="E237" s="89">
        <f>IF(Estudio_Mercado_VF!G241="","",Estudio_Mercado_VF!G241)</f>
        <v>1</v>
      </c>
      <c r="F237" s="515">
        <f>IF(Estudio_Mercado_VF!AA241="","",Estudio_Mercado_VF!AA241)</f>
        <v>27766.666666666668</v>
      </c>
      <c r="G237" s="515">
        <f>IF(Estudio_Mercado_VF!AA241="","",Estudio_Mercado_VF!AB241)</f>
        <v>27766.666666666668</v>
      </c>
      <c r="H237" s="524"/>
      <c r="I237" s="525"/>
      <c r="J237" s="92"/>
      <c r="K237" s="93" t="str">
        <f t="shared" si="15"/>
        <v>Valor vacío</v>
      </c>
      <c r="L237" s="533">
        <f t="shared" si="16"/>
        <v>27766.666666666668</v>
      </c>
      <c r="M237" s="533" t="str">
        <f t="shared" si="17"/>
        <v/>
      </c>
      <c r="N237" s="533">
        <f t="shared" si="18"/>
        <v>27766.666666666668</v>
      </c>
    </row>
    <row r="238" spans="1:14">
      <c r="A238" s="87" t="s">
        <v>1154</v>
      </c>
      <c r="B238" s="90">
        <v>228</v>
      </c>
      <c r="C238" s="90" t="str">
        <f>IF(Estudio_Mercado_VF!D242="","",Estudio_Mercado_VF!D242)</f>
        <v>malla red deshidratador</v>
      </c>
      <c r="D238" s="91" t="str">
        <f>IF(Estudio_Mercado_VF!E242="","",Estudio_Mercado_VF!E242)</f>
        <v>Malla Red Colgante Para Deshidratar Alimentos 2 Capas, 80 cm x 70 cm x 50 cm</v>
      </c>
      <c r="E238" s="89">
        <f>IF(Estudio_Mercado_VF!G242="","",Estudio_Mercado_VF!G242)</f>
        <v>1</v>
      </c>
      <c r="F238" s="515">
        <f>IF(Estudio_Mercado_VF!AA242="","",Estudio_Mercado_VF!AA242)</f>
        <v>66333.333333333328</v>
      </c>
      <c r="G238" s="515">
        <f>IF(Estudio_Mercado_VF!AA242="","",Estudio_Mercado_VF!AB242)</f>
        <v>66333.333333333328</v>
      </c>
      <c r="H238" s="524"/>
      <c r="I238" s="525"/>
      <c r="J238" s="92"/>
      <c r="K238" s="93" t="str">
        <f t="shared" si="15"/>
        <v>Valor vacío</v>
      </c>
      <c r="L238" s="533">
        <f t="shared" si="16"/>
        <v>66333.333333333328</v>
      </c>
      <c r="M238" s="533" t="str">
        <f t="shared" si="17"/>
        <v/>
      </c>
      <c r="N238" s="533">
        <f t="shared" si="18"/>
        <v>66333.333333333328</v>
      </c>
    </row>
    <row r="239" spans="1:14" ht="28.9">
      <c r="A239" s="87" t="s">
        <v>1154</v>
      </c>
      <c r="B239" s="90">
        <v>229</v>
      </c>
      <c r="C239" s="90" t="str">
        <f>IF(Estudio_Mercado_VF!D243="","",Estudio_Mercado_VF!D243)</f>
        <v>Maquina Secadora Frutas Verduras </v>
      </c>
      <c r="D239" s="91" t="str">
        <f>IF(Estudio_Mercado_VF!E243="","",Estudio_Mercado_VF!E243)</f>
        <v>Maquina secadora de frutas y verduras con corriente eléctrica 5 Bandejas ajustables sin BPA:</v>
      </c>
      <c r="E239" s="89">
        <f>IF(Estudio_Mercado_VF!G243="","",Estudio_Mercado_VF!G243)</f>
        <v>1</v>
      </c>
      <c r="F239" s="515">
        <f>IF(Estudio_Mercado_VF!AA243="","",Estudio_Mercado_VF!AA243)</f>
        <v>408742.33446666662</v>
      </c>
      <c r="G239" s="515">
        <f>IF(Estudio_Mercado_VF!AA243="","",Estudio_Mercado_VF!AB243)</f>
        <v>408742.33446666662</v>
      </c>
      <c r="H239" s="524"/>
      <c r="I239" s="525"/>
      <c r="J239" s="92"/>
      <c r="K239" s="93" t="str">
        <f t="shared" si="15"/>
        <v>Valor vacío</v>
      </c>
      <c r="L239" s="533">
        <f t="shared" si="16"/>
        <v>408742.33446666662</v>
      </c>
      <c r="M239" s="533" t="str">
        <f t="shared" si="17"/>
        <v/>
      </c>
      <c r="N239" s="533">
        <f t="shared" si="18"/>
        <v>408742.33446666662</v>
      </c>
    </row>
    <row r="240" spans="1:14">
      <c r="A240" s="87" t="s">
        <v>1154</v>
      </c>
      <c r="B240" s="90">
        <v>230</v>
      </c>
      <c r="C240" s="90" t="str">
        <f>IF(Estudio_Mercado_VF!D244="","",Estudio_Mercado_VF!D244)</f>
        <v>centrifugadora de vegetales</v>
      </c>
      <c r="D240" s="91" t="str">
        <f>IF(Estudio_Mercado_VF!E244="","",Estudio_Mercado_VF!E244)</f>
        <v>Centrifugador Secadora De Lechuga Escurridor De Verduras, diametro 25 cm</v>
      </c>
      <c r="E240" s="89">
        <f>IF(Estudio_Mercado_VF!G244="","",Estudio_Mercado_VF!G244)</f>
        <v>1</v>
      </c>
      <c r="F240" s="515">
        <f>IF(Estudio_Mercado_VF!AA244="","",Estudio_Mercado_VF!AA244)</f>
        <v>76493.668066666665</v>
      </c>
      <c r="G240" s="515">
        <f>IF(Estudio_Mercado_VF!AA244="","",Estudio_Mercado_VF!AB244)</f>
        <v>76493.668066666665</v>
      </c>
      <c r="H240" s="524"/>
      <c r="I240" s="525"/>
      <c r="J240" s="92"/>
      <c r="K240" s="93" t="str">
        <f t="shared" si="15"/>
        <v>Valor vacío</v>
      </c>
      <c r="L240" s="533">
        <f t="shared" si="16"/>
        <v>76493.668066666665</v>
      </c>
      <c r="M240" s="533" t="str">
        <f t="shared" si="17"/>
        <v/>
      </c>
      <c r="N240" s="533">
        <f t="shared" si="18"/>
        <v>76493.668066666665</v>
      </c>
    </row>
    <row r="241" spans="1:14">
      <c r="A241" s="87" t="s">
        <v>1154</v>
      </c>
      <c r="B241" s="90">
        <v>231</v>
      </c>
      <c r="C241" s="90" t="str">
        <f>IF(Estudio_Mercado_VF!D245="","",Estudio_Mercado_VF!D245)</f>
        <v>molino de granos o especias</v>
      </c>
      <c r="D241" s="91" t="str">
        <f>IF(Estudio_Mercado_VF!E245="","",Estudio_Mercado_VF!E245)</f>
        <v>Molino Eléctrico 200W Trituradora Café y Especias Acero Inoxidable Plateado</v>
      </c>
      <c r="E241" s="89">
        <f>IF(Estudio_Mercado_VF!G245="","",Estudio_Mercado_VF!G245)</f>
        <v>1</v>
      </c>
      <c r="F241" s="515">
        <f>IF(Estudio_Mercado_VF!AA245="","",Estudio_Mercado_VF!AA245)</f>
        <v>69020</v>
      </c>
      <c r="G241" s="515">
        <f>IF(Estudio_Mercado_VF!AA245="","",Estudio_Mercado_VF!AB245)</f>
        <v>69020</v>
      </c>
      <c r="H241" s="524"/>
      <c r="I241" s="525"/>
      <c r="J241" s="92"/>
      <c r="K241" s="93" t="str">
        <f t="shared" si="15"/>
        <v>Valor vacío</v>
      </c>
      <c r="L241" s="533">
        <f t="shared" si="16"/>
        <v>69020</v>
      </c>
      <c r="M241" s="533" t="str">
        <f t="shared" si="17"/>
        <v/>
      </c>
      <c r="N241" s="533">
        <f t="shared" si="18"/>
        <v>69020</v>
      </c>
    </row>
    <row r="242" spans="1:14" ht="72">
      <c r="A242" s="87" t="s">
        <v>1154</v>
      </c>
      <c r="B242" s="90">
        <v>232</v>
      </c>
      <c r="C242" s="90" t="str">
        <f>IF(Estudio_Mercado_VF!D246="","",Estudio_Mercado_VF!D246)</f>
        <v>termometro de sonda o infrarrojo</v>
      </c>
      <c r="D242" s="91" t="str">
        <f>IF(Estudio_Mercado_VF!E246="","",Estudio_Mercado_VF!E246)</f>
        <v>Termómetro Digital De Cocina Punzón Sonda Temperatura, Rango de temperatura: -50°C + 300°C (58° F + 572F)
Velocidad de distinción: 0,1°C (&lt;100°C); 0,5ºC (&gt;100ºC)
Precisión: (-20° / 80°C) + - 1°C
Voltaje de la energía: DC 1.5V</v>
      </c>
      <c r="E242" s="89">
        <f>IF(Estudio_Mercado_VF!G246="","",Estudio_Mercado_VF!G246)</f>
        <v>1</v>
      </c>
      <c r="F242" s="515">
        <f>IF(Estudio_Mercado_VF!AA246="","",Estudio_Mercado_VF!AA246)</f>
        <v>40766.663</v>
      </c>
      <c r="G242" s="515">
        <f>IF(Estudio_Mercado_VF!AA246="","",Estudio_Mercado_VF!AB246)</f>
        <v>40766.663</v>
      </c>
      <c r="H242" s="524"/>
      <c r="I242" s="525"/>
      <c r="J242" s="92"/>
      <c r="K242" s="93" t="str">
        <f t="shared" si="15"/>
        <v>Valor vacío</v>
      </c>
      <c r="L242" s="533">
        <f t="shared" si="16"/>
        <v>40766.663</v>
      </c>
      <c r="M242" s="533" t="str">
        <f t="shared" si="17"/>
        <v/>
      </c>
      <c r="N242" s="533">
        <f t="shared" si="18"/>
        <v>40766.663</v>
      </c>
    </row>
    <row r="243" spans="1:14" ht="28.9">
      <c r="A243" s="87" t="s">
        <v>1154</v>
      </c>
      <c r="B243" s="90">
        <v>233</v>
      </c>
      <c r="C243" s="90" t="str">
        <f>IF(Estudio_Mercado_VF!D247="","",Estudio_Mercado_VF!D247)</f>
        <v>alambique para aceites esenciales</v>
      </c>
      <c r="D243" s="91" t="str">
        <f>IF(Estudio_Mercado_VF!E247="","",Estudio_Mercado_VF!E247)</f>
        <v>Laboratorio de Química 10pcs Set 100 ML
Kit de Destilación Ultra Eficiente para Aceites Esenciales</v>
      </c>
      <c r="E243" s="89">
        <f>IF(Estudio_Mercado_VF!G247="","",Estudio_Mercado_VF!G247)</f>
        <v>1</v>
      </c>
      <c r="F243" s="515">
        <f>IF(Estudio_Mercado_VF!AA247="","",Estudio_Mercado_VF!AA247)</f>
        <v>491428</v>
      </c>
      <c r="G243" s="515">
        <f>IF(Estudio_Mercado_VF!AA247="","",Estudio_Mercado_VF!AB247)</f>
        <v>491428</v>
      </c>
      <c r="H243" s="524"/>
      <c r="I243" s="525"/>
      <c r="J243" s="92"/>
      <c r="K243" s="93" t="str">
        <f t="shared" si="15"/>
        <v>Valor vacío</v>
      </c>
      <c r="L243" s="533">
        <f t="shared" si="16"/>
        <v>491428</v>
      </c>
      <c r="M243" s="533" t="str">
        <f t="shared" si="17"/>
        <v/>
      </c>
      <c r="N243" s="533">
        <f t="shared" si="18"/>
        <v>491428</v>
      </c>
    </row>
    <row r="244" spans="1:14">
      <c r="A244" s="87" t="s">
        <v>1154</v>
      </c>
      <c r="B244" s="90">
        <v>234</v>
      </c>
      <c r="C244" s="90" t="str">
        <f>IF(Estudio_Mercado_VF!D248="","",Estudio_Mercado_VF!D248)</f>
        <v>colador cónico</v>
      </c>
      <c r="D244" s="91" t="str">
        <f>IF(Estudio_Mercado_VF!E248="","",Estudio_Mercado_VF!E248)</f>
        <v>Colador 16.5 Cm Acero Inoxidable Taati-006156-plateado</v>
      </c>
      <c r="E244" s="89">
        <f>IF(Estudio_Mercado_VF!G248="","",Estudio_Mercado_VF!G248)</f>
        <v>1</v>
      </c>
      <c r="F244" s="515">
        <f>IF(Estudio_Mercado_VF!AA248="","",Estudio_Mercado_VF!AA248)</f>
        <v>51963.333333333336</v>
      </c>
      <c r="G244" s="515">
        <f>IF(Estudio_Mercado_VF!AA248="","",Estudio_Mercado_VF!AB248)</f>
        <v>51963.333333333336</v>
      </c>
      <c r="H244" s="524"/>
      <c r="I244" s="525"/>
      <c r="J244" s="92"/>
      <c r="K244" s="93" t="str">
        <f t="shared" si="15"/>
        <v>Valor vacío</v>
      </c>
      <c r="L244" s="533">
        <f t="shared" si="16"/>
        <v>51963.333333333336</v>
      </c>
      <c r="M244" s="533" t="str">
        <f t="shared" si="17"/>
        <v/>
      </c>
      <c r="N244" s="533">
        <f t="shared" si="18"/>
        <v>51963.333333333336</v>
      </c>
    </row>
    <row r="245" spans="1:14">
      <c r="A245" s="87" t="s">
        <v>1154</v>
      </c>
      <c r="B245" s="90">
        <v>235</v>
      </c>
      <c r="C245" s="90" t="str">
        <f>IF(Estudio_Mercado_VF!D249="","",Estudio_Mercado_VF!D249)</f>
        <v>frasco medidor de vidrio</v>
      </c>
      <c r="D245" s="91" t="str">
        <f>IF(Estudio_Mercado_VF!E249="","",Estudio_Mercado_VF!E249)</f>
        <v>Vaso Medidor De Vidrio Con Boquilla, capacidad 500 ml</v>
      </c>
      <c r="E245" s="89">
        <f>IF(Estudio_Mercado_VF!G249="","",Estudio_Mercado_VF!G249)</f>
        <v>1</v>
      </c>
      <c r="F245" s="515">
        <f>IF(Estudio_Mercado_VF!AA249="","",Estudio_Mercado_VF!AA249)</f>
        <v>29929.999400000001</v>
      </c>
      <c r="G245" s="515">
        <f>IF(Estudio_Mercado_VF!AA249="","",Estudio_Mercado_VF!AB249)</f>
        <v>29929.999400000001</v>
      </c>
      <c r="H245" s="524"/>
      <c r="I245" s="525"/>
      <c r="J245" s="92"/>
      <c r="K245" s="93" t="str">
        <f t="shared" si="15"/>
        <v>Valor vacío</v>
      </c>
      <c r="L245" s="533">
        <f t="shared" si="16"/>
        <v>29929.999400000001</v>
      </c>
      <c r="M245" s="533" t="str">
        <f t="shared" si="17"/>
        <v/>
      </c>
      <c r="N245" s="533">
        <f t="shared" si="18"/>
        <v>29929.999400000001</v>
      </c>
    </row>
    <row r="246" spans="1:14">
      <c r="A246" s="87" t="s">
        <v>1154</v>
      </c>
      <c r="B246" s="90">
        <v>236</v>
      </c>
      <c r="C246" s="90" t="str">
        <f>IF(Estudio_Mercado_VF!D250="","",Estudio_Mercado_VF!D250)</f>
        <v>Frasco vidrio ambar 10 ml con tapa</v>
      </c>
      <c r="D246" s="91" t="str">
        <f>IF(Estudio_Mercado_VF!E250="","",Estudio_Mercado_VF!E250)</f>
        <v>Envase de vidrio con tapa, oscuro, tipo ambar</v>
      </c>
      <c r="E246" s="89">
        <f>IF(Estudio_Mercado_VF!G250="","",Estudio_Mercado_VF!G250)</f>
        <v>1</v>
      </c>
      <c r="F246" s="515">
        <f>IF(Estudio_Mercado_VF!AA250="","",Estudio_Mercado_VF!AA250)</f>
        <v>3887.3333333333335</v>
      </c>
      <c r="G246" s="515">
        <f>IF(Estudio_Mercado_VF!AA250="","",Estudio_Mercado_VF!AB250)</f>
        <v>3887.3333333333335</v>
      </c>
      <c r="H246" s="524"/>
      <c r="I246" s="525"/>
      <c r="J246" s="92"/>
      <c r="K246" s="93" t="str">
        <f t="shared" si="15"/>
        <v>Valor vacío</v>
      </c>
      <c r="L246" s="533">
        <f t="shared" si="16"/>
        <v>3887.3333333333335</v>
      </c>
      <c r="M246" s="533" t="str">
        <f t="shared" si="17"/>
        <v/>
      </c>
      <c r="N246" s="533">
        <f t="shared" si="18"/>
        <v>3887.3333333333335</v>
      </c>
    </row>
    <row r="247" spans="1:14">
      <c r="A247" s="87" t="s">
        <v>1154</v>
      </c>
      <c r="B247" s="90">
        <v>237</v>
      </c>
      <c r="C247" s="90" t="str">
        <f>IF(Estudio_Mercado_VF!D251="","",Estudio_Mercado_VF!D251)</f>
        <v>Frasco vidrio ambar 20 ml con tapa</v>
      </c>
      <c r="D247" s="91" t="str">
        <f>IF(Estudio_Mercado_VF!E251="","",Estudio_Mercado_VF!E251)</f>
        <v>Envase de vidrio con tapa, oscuro, tipo ambar</v>
      </c>
      <c r="E247" s="89">
        <f>IF(Estudio_Mercado_VF!G251="","",Estudio_Mercado_VF!G251)</f>
        <v>1</v>
      </c>
      <c r="F247" s="515">
        <f>IF(Estudio_Mercado_VF!AA251="","",Estudio_Mercado_VF!AA251)</f>
        <v>5156.666666666667</v>
      </c>
      <c r="G247" s="515">
        <f>IF(Estudio_Mercado_VF!AA251="","",Estudio_Mercado_VF!AB251)</f>
        <v>5156.666666666667</v>
      </c>
      <c r="H247" s="524"/>
      <c r="I247" s="525"/>
      <c r="J247" s="92"/>
      <c r="K247" s="93" t="str">
        <f t="shared" si="15"/>
        <v>Valor vacío</v>
      </c>
      <c r="L247" s="533">
        <f t="shared" si="16"/>
        <v>5156.666666666667</v>
      </c>
      <c r="M247" s="533" t="str">
        <f t="shared" si="17"/>
        <v/>
      </c>
      <c r="N247" s="533">
        <f t="shared" si="18"/>
        <v>5156.666666666667</v>
      </c>
    </row>
    <row r="248" spans="1:14">
      <c r="A248" s="87" t="s">
        <v>1154</v>
      </c>
      <c r="B248" s="90">
        <v>238</v>
      </c>
      <c r="C248" s="90" t="str">
        <f>IF(Estudio_Mercado_VF!D252="","",Estudio_Mercado_VF!D252)</f>
        <v>Frasco vidrio ambar 30 ml con tapa</v>
      </c>
      <c r="D248" s="91" t="str">
        <f>IF(Estudio_Mercado_VF!E252="","",Estudio_Mercado_VF!E252)</f>
        <v>Envase de vidrio con tapa, oscuro, tipo ambar</v>
      </c>
      <c r="E248" s="89">
        <f>IF(Estudio_Mercado_VF!G252="","",Estudio_Mercado_VF!G252)</f>
        <v>1</v>
      </c>
      <c r="F248" s="515">
        <f>IF(Estudio_Mercado_VF!AA252="","",Estudio_Mercado_VF!AA252)</f>
        <v>6862.333333333333</v>
      </c>
      <c r="G248" s="515">
        <f>IF(Estudio_Mercado_VF!AA252="","",Estudio_Mercado_VF!AB252)</f>
        <v>6862.333333333333</v>
      </c>
      <c r="H248" s="524"/>
      <c r="I248" s="525"/>
      <c r="J248" s="92"/>
      <c r="K248" s="93" t="str">
        <f t="shared" si="15"/>
        <v>Valor vacío</v>
      </c>
      <c r="L248" s="533">
        <f t="shared" si="16"/>
        <v>6862.333333333333</v>
      </c>
      <c r="M248" s="533" t="str">
        <f t="shared" si="17"/>
        <v/>
      </c>
      <c r="N248" s="533">
        <f t="shared" si="18"/>
        <v>6862.333333333333</v>
      </c>
    </row>
    <row r="249" spans="1:14">
      <c r="A249" s="87" t="s">
        <v>1154</v>
      </c>
      <c r="B249" s="90">
        <v>239</v>
      </c>
      <c r="C249" s="90" t="str">
        <f>IF(Estudio_Mercado_VF!D253="","",Estudio_Mercado_VF!D253)</f>
        <v>Frasco vidrio ambar 50 ml con tapa</v>
      </c>
      <c r="D249" s="91" t="str">
        <f>IF(Estudio_Mercado_VF!E253="","",Estudio_Mercado_VF!E253)</f>
        <v>Envase de vidrio con tapa, oscuro, tipo ambar</v>
      </c>
      <c r="E249" s="89">
        <f>IF(Estudio_Mercado_VF!G253="","",Estudio_Mercado_VF!G253)</f>
        <v>1</v>
      </c>
      <c r="F249" s="515">
        <f>IF(Estudio_Mercado_VF!AA253="","",Estudio_Mercado_VF!AA253)</f>
        <v>10948</v>
      </c>
      <c r="G249" s="515">
        <f>IF(Estudio_Mercado_VF!AA253="","",Estudio_Mercado_VF!AB253)</f>
        <v>10948</v>
      </c>
      <c r="H249" s="524"/>
      <c r="I249" s="525"/>
      <c r="J249" s="92"/>
      <c r="K249" s="93" t="str">
        <f t="shared" si="15"/>
        <v>Valor vacío</v>
      </c>
      <c r="L249" s="533">
        <f t="shared" si="16"/>
        <v>10948</v>
      </c>
      <c r="M249" s="533" t="str">
        <f t="shared" si="17"/>
        <v/>
      </c>
      <c r="N249" s="533">
        <f t="shared" si="18"/>
        <v>10948</v>
      </c>
    </row>
    <row r="250" spans="1:14" ht="158.44999999999999">
      <c r="A250" s="87" t="s">
        <v>1154</v>
      </c>
      <c r="B250" s="90">
        <v>240</v>
      </c>
      <c r="C250" s="90" t="str">
        <f>IF(Estudio_Mercado_VF!D254="","",Estudio_Mercado_VF!D254)</f>
        <v>Auditorio para 50 personas media jornada</v>
      </c>
      <c r="D250" s="91" t="str">
        <f>IF(Estudio_Mercado_VF!E254="","",Estudio_Mercado_VF!E254)</f>
        <v xml:space="preserve">"Alquiler salón de conferencias 
Media Jornada
Capacidad para 50  personas.   
- sillas tapizadas 
- Sistema de sonio y video beam 
- 1 tablero 
- Baños equipados (Jabón, Papel y Papeleras) 
-Accesos para personas con discapacidad
-Servicio de Vigilancia y aseo"
</v>
      </c>
      <c r="E250" s="89">
        <f>IF(Estudio_Mercado_VF!G254="","",Estudio_Mercado_VF!G254)</f>
        <v>1</v>
      </c>
      <c r="F250" s="515">
        <f>IF(Estudio_Mercado_VF!AA254="","",Estudio_Mercado_VF!AA254)</f>
        <v>3655500.0006000004</v>
      </c>
      <c r="G250" s="515">
        <f>IF(Estudio_Mercado_VF!AA254="","",Estudio_Mercado_VF!AB254)</f>
        <v>3655500.0006000004</v>
      </c>
      <c r="H250" s="524"/>
      <c r="I250" s="525"/>
      <c r="J250" s="92"/>
      <c r="K250" s="93" t="str">
        <f t="shared" si="15"/>
        <v>Valor vacío</v>
      </c>
      <c r="L250" s="533">
        <f t="shared" si="16"/>
        <v>3655500.0006000004</v>
      </c>
      <c r="M250" s="533" t="str">
        <f t="shared" si="17"/>
        <v/>
      </c>
      <c r="N250" s="533">
        <f t="shared" si="18"/>
        <v>3655500.0006000004</v>
      </c>
    </row>
    <row r="251" spans="1:14" ht="43.15">
      <c r="A251" s="87" t="s">
        <v>1154</v>
      </c>
      <c r="B251" s="90">
        <v>241</v>
      </c>
      <c r="C251" s="90" t="str">
        <f>IF(Estudio_Mercado_VF!D255="","",Estudio_Mercado_VF!D255)</f>
        <v>Almuerzo Tipo 1</v>
      </c>
      <c r="D251" s="91" t="str">
        <f>IF(Estudio_Mercado_VF!E255="","",Estudio_Mercado_VF!E255)</f>
        <v>Entrada, sopa o porción de fruta, 2 carnes (130 gr. c/u) + 1 carbohidrato 100 gramos + 1 ensalada 100 gramos + 1 acompañamiento 50 gramos postre 50 gramos + bebida 250 ml.Servicio de samovares y servido en cerámica</v>
      </c>
      <c r="E251" s="89">
        <f>IF(Estudio_Mercado_VF!G255="","",Estudio_Mercado_VF!G255)</f>
        <v>50</v>
      </c>
      <c r="F251" s="515">
        <f>IF(Estudio_Mercado_VF!AA255="","",Estudio_Mercado_VF!AA255)</f>
        <v>45026.426666666666</v>
      </c>
      <c r="G251" s="515">
        <f>IF(Estudio_Mercado_VF!AA255="","",Estudio_Mercado_VF!AB255)</f>
        <v>2251321.3333333335</v>
      </c>
      <c r="H251" s="524"/>
      <c r="I251" s="525"/>
      <c r="J251" s="92"/>
      <c r="K251" s="93" t="str">
        <f t="shared" si="15"/>
        <v>Valor vacío</v>
      </c>
      <c r="L251" s="533">
        <f t="shared" si="16"/>
        <v>45026.426666666666</v>
      </c>
      <c r="M251" s="533" t="str">
        <f t="shared" si="17"/>
        <v/>
      </c>
      <c r="N251" s="533">
        <f t="shared" si="18"/>
        <v>2251321.3333333335</v>
      </c>
    </row>
    <row r="252" spans="1:14" ht="43.15">
      <c r="A252" s="87" t="s">
        <v>1154</v>
      </c>
      <c r="B252" s="90">
        <v>242</v>
      </c>
      <c r="C252" s="90" t="str">
        <f>IF(Estudio_Mercado_VF!D256="","",Estudio_Mercado_VF!D256)</f>
        <v>Almuerzo Tipo 4 -Vegetariano</v>
      </c>
      <c r="D252" s="91" t="str">
        <f>IF(Estudio_Mercado_VF!E256="","",Estudio_Mercado_VF!E256)</f>
        <v>Entrada, sopa o porción de fruta, Proteína vegetal + 1 carbohidrato 100 gramos + 1 ensalada 100 gramos + 1 acompañamiento 50 gramos + postre 50 gramos + bebida 250 ml. Servicio de samovares y servido en cerámica</v>
      </c>
      <c r="E252" s="89">
        <f>IF(Estudio_Mercado_VF!G256="","",Estudio_Mercado_VF!G256)</f>
        <v>20</v>
      </c>
      <c r="F252" s="515">
        <f>IF(Estudio_Mercado_VF!AA256="","",Estudio_Mercado_VF!AA256)</f>
        <v>44603.183333333327</v>
      </c>
      <c r="G252" s="515">
        <f>IF(Estudio_Mercado_VF!AA256="","",Estudio_Mercado_VF!AB256)</f>
        <v>892063.66666666651</v>
      </c>
      <c r="H252" s="524"/>
      <c r="I252" s="525"/>
      <c r="J252" s="92"/>
      <c r="K252" s="93" t="str">
        <f t="shared" si="15"/>
        <v>Valor vacío</v>
      </c>
      <c r="L252" s="533">
        <f t="shared" si="16"/>
        <v>44603.183333333327</v>
      </c>
      <c r="M252" s="533" t="str">
        <f t="shared" si="17"/>
        <v/>
      </c>
      <c r="N252" s="533">
        <f t="shared" si="18"/>
        <v>892063.66666666651</v>
      </c>
    </row>
    <row r="253" spans="1:14" ht="28.9">
      <c r="A253" s="87" t="s">
        <v>1154</v>
      </c>
      <c r="B253" s="90">
        <v>243</v>
      </c>
      <c r="C253" s="90" t="str">
        <f>IF(Estudio_Mercado_VF!D257="","",Estudio_Mercado_VF!D257)</f>
        <v>Microorganismos Eficientes Em Compostaje X 4 Litros</v>
      </c>
      <c r="D253" s="91" t="str">
        <f>IF(Estudio_Mercado_VF!E257="","",Estudio_Mercado_VF!E257)</f>
        <v>Beneficio: Disminuye los malos olores, acelera la descomposición de materia orgánica y mantiene el sistema funcional.</v>
      </c>
      <c r="E253" s="89">
        <f>IF(Estudio_Mercado_VF!G257="","",Estudio_Mercado_VF!G257)</f>
        <v>1</v>
      </c>
      <c r="F253" s="515">
        <f>IF(Estudio_Mercado_VF!AA257="","",Estudio_Mercado_VF!AA257)</f>
        <v>46000</v>
      </c>
      <c r="G253" s="515">
        <f>IF(Estudio_Mercado_VF!AA257="","",Estudio_Mercado_VF!AB257)</f>
        <v>46000</v>
      </c>
      <c r="H253" s="524"/>
      <c r="I253" s="525"/>
      <c r="J253" s="92"/>
      <c r="K253" s="93" t="str">
        <f t="shared" si="15"/>
        <v>Valor vacío</v>
      </c>
      <c r="L253" s="533">
        <f t="shared" si="16"/>
        <v>46000</v>
      </c>
      <c r="M253" s="533" t="str">
        <f t="shared" si="17"/>
        <v/>
      </c>
      <c r="N253" s="533">
        <f t="shared" si="18"/>
        <v>46000</v>
      </c>
    </row>
    <row r="254" spans="1:14" ht="100.9">
      <c r="A254" s="87" t="s">
        <v>1154</v>
      </c>
      <c r="B254" s="90">
        <v>244</v>
      </c>
      <c r="C254" s="90" t="str">
        <f>IF(Estudio_Mercado_VF!D258="","",Estudio_Mercado_VF!D258)</f>
        <v>Trituradora picadora</v>
      </c>
      <c r="D254" s="91" t="str">
        <f>IF(Estudio_Mercado_VF!E258="","",Estudio_Mercado_VF!E258)</f>
        <v>capacidad de 50 a 300 kg/h y para el picado de forrajes con un rendimiento de 300 a 800 kg/h. Cuenta con 2 martillos, 2 cuchillas y 1 contracuchilla, además de cribas intercambiables con perforaciones de 1.5, 3, 6, 10 mm y opción lisa. El rotor opera a una velocidad de 3200 a 3500 revoluciones por minuto. Funciona con motor eléctrico de 2 a 3 H.P. o con motor a gasolina o diésel de 5 a 6.5 H.P. Sus dimensiones son 660 x 550 x 1.200 mm, lo que permite un diseño compacto y funcional para diversas aplicaciones agroindustriale</v>
      </c>
      <c r="E254" s="89">
        <f>IF(Estudio_Mercado_VF!G258="","",Estudio_Mercado_VF!G258)</f>
        <v>1</v>
      </c>
      <c r="F254" s="515">
        <f>IF(Estudio_Mercado_VF!AA258="","",Estudio_Mercado_VF!AA258)</f>
        <v>3080315</v>
      </c>
      <c r="G254" s="515">
        <f>IF(Estudio_Mercado_VF!AA258="","",Estudio_Mercado_VF!AB258)</f>
        <v>3080315</v>
      </c>
      <c r="H254" s="524"/>
      <c r="I254" s="525"/>
      <c r="J254" s="92"/>
      <c r="K254" s="93" t="str">
        <f t="shared" si="15"/>
        <v>Valor vacío</v>
      </c>
      <c r="L254" s="533">
        <f t="shared" si="16"/>
        <v>3080315</v>
      </c>
      <c r="M254" s="533" t="str">
        <f t="shared" si="17"/>
        <v/>
      </c>
      <c r="N254" s="533">
        <f t="shared" si="18"/>
        <v>3080315</v>
      </c>
    </row>
    <row r="255" spans="1:14">
      <c r="B255" s="90"/>
      <c r="C255" s="90"/>
      <c r="D255" s="91"/>
      <c r="E255" s="89"/>
      <c r="F255" s="515"/>
      <c r="G255" s="515"/>
      <c r="H255" s="524"/>
      <c r="I255" s="525"/>
      <c r="J255" s="92"/>
      <c r="K255" s="447"/>
      <c r="L255" s="534"/>
      <c r="M255" s="534"/>
      <c r="N255" s="535"/>
    </row>
    <row r="256" spans="1:14">
      <c r="B256" s="90"/>
      <c r="C256" s="90"/>
      <c r="D256" s="91"/>
      <c r="E256" s="89"/>
      <c r="F256" s="515"/>
      <c r="G256" s="515"/>
      <c r="H256" s="524"/>
      <c r="I256" s="525"/>
      <c r="J256" s="92"/>
      <c r="K256" s="447"/>
      <c r="L256" s="534"/>
      <c r="M256" s="534"/>
      <c r="N256" s="535"/>
    </row>
    <row r="257" spans="2:14">
      <c r="B257" s="90"/>
      <c r="C257" s="90"/>
      <c r="D257" s="91"/>
      <c r="E257" s="89"/>
      <c r="F257" s="515"/>
      <c r="G257" s="515"/>
      <c r="H257" s="524"/>
      <c r="I257" s="525"/>
      <c r="J257" s="92"/>
      <c r="K257" s="447"/>
      <c r="L257" s="534"/>
      <c r="M257" s="534"/>
      <c r="N257" s="535"/>
    </row>
    <row r="258" spans="2:14">
      <c r="B258" s="90"/>
      <c r="C258" s="90"/>
      <c r="D258" s="91"/>
      <c r="E258" s="89"/>
      <c r="F258" s="515"/>
      <c r="G258" s="515"/>
      <c r="H258" s="524"/>
      <c r="I258" s="525"/>
      <c r="J258" s="92"/>
      <c r="K258" s="447"/>
      <c r="L258" s="534"/>
      <c r="M258" s="534"/>
      <c r="N258" s="535"/>
    </row>
    <row r="259" spans="2:14">
      <c r="B259" s="90"/>
      <c r="C259" s="90"/>
      <c r="D259" s="91"/>
      <c r="E259" s="89"/>
      <c r="F259" s="515"/>
      <c r="G259" s="515"/>
      <c r="H259" s="524"/>
      <c r="I259" s="525"/>
      <c r="J259" s="92"/>
      <c r="K259" s="447"/>
      <c r="L259" s="534"/>
      <c r="M259" s="534"/>
      <c r="N259" s="535"/>
    </row>
    <row r="260" spans="2:14">
      <c r="B260" s="90"/>
      <c r="C260" s="90"/>
      <c r="D260" s="91"/>
      <c r="E260" s="89"/>
      <c r="F260" s="515"/>
      <c r="G260" s="515"/>
      <c r="H260" s="524"/>
      <c r="I260" s="525"/>
      <c r="J260" s="92"/>
      <c r="K260" s="447"/>
      <c r="L260" s="534"/>
      <c r="M260" s="534"/>
      <c r="N260" s="535"/>
    </row>
    <row r="261" spans="2:14">
      <c r="B261" s="90"/>
      <c r="C261" s="90"/>
      <c r="D261" s="91"/>
      <c r="E261" s="89"/>
      <c r="F261" s="515"/>
      <c r="G261" s="515"/>
      <c r="H261" s="524"/>
      <c r="I261" s="525"/>
      <c r="J261" s="92"/>
      <c r="K261" s="447"/>
      <c r="L261" s="534"/>
      <c r="M261" s="534"/>
      <c r="N261" s="535"/>
    </row>
    <row r="262" spans="2:14">
      <c r="B262" s="90"/>
      <c r="C262" s="90"/>
      <c r="D262" s="91"/>
      <c r="E262" s="89"/>
      <c r="F262" s="515"/>
      <c r="G262" s="515"/>
      <c r="H262" s="524"/>
      <c r="I262" s="525"/>
      <c r="J262" s="92"/>
      <c r="K262" s="447"/>
      <c r="L262" s="534"/>
      <c r="M262" s="534"/>
      <c r="N262" s="535"/>
    </row>
    <row r="263" spans="2:14">
      <c r="B263" s="90"/>
      <c r="C263" s="90"/>
      <c r="D263" s="91"/>
      <c r="E263" s="89"/>
      <c r="F263" s="515"/>
      <c r="G263" s="515"/>
      <c r="H263" s="524"/>
      <c r="I263" s="525"/>
      <c r="J263" s="92"/>
      <c r="K263" s="447"/>
      <c r="L263" s="534"/>
      <c r="M263" s="534"/>
      <c r="N263" s="535"/>
    </row>
    <row r="264" spans="2:14">
      <c r="B264" s="90"/>
      <c r="C264" s="90"/>
      <c r="D264" s="91"/>
      <c r="E264" s="89"/>
      <c r="F264" s="515"/>
      <c r="G264" s="515"/>
      <c r="H264" s="524"/>
      <c r="I264" s="525"/>
      <c r="J264" s="92"/>
      <c r="K264" s="447"/>
      <c r="L264" s="534"/>
      <c r="M264" s="534"/>
      <c r="N264" s="535"/>
    </row>
    <row r="265" spans="2:14">
      <c r="B265" s="90"/>
      <c r="C265" s="90"/>
      <c r="D265" s="91"/>
      <c r="E265" s="89"/>
      <c r="F265" s="515"/>
      <c r="G265" s="515"/>
      <c r="H265" s="524"/>
      <c r="I265" s="525"/>
      <c r="J265" s="92"/>
      <c r="K265" s="447"/>
      <c r="L265" s="534"/>
      <c r="M265" s="534"/>
      <c r="N265" s="535"/>
    </row>
    <row r="266" spans="2:14">
      <c r="B266" s="445"/>
      <c r="C266" s="445"/>
      <c r="D266" s="446"/>
      <c r="E266" s="444"/>
      <c r="F266" s="516"/>
      <c r="G266" s="516"/>
      <c r="H266" s="524"/>
      <c r="I266" s="525"/>
      <c r="J266" s="92"/>
      <c r="K266" s="447"/>
      <c r="L266" s="534"/>
      <c r="M266" s="534"/>
      <c r="N266" s="535"/>
    </row>
    <row r="267" spans="2:14">
      <c r="B267" s="445"/>
      <c r="C267" s="445"/>
      <c r="D267" s="446"/>
      <c r="E267" s="444"/>
      <c r="F267" s="516"/>
      <c r="G267" s="516"/>
      <c r="H267" s="524"/>
      <c r="I267" s="525"/>
      <c r="J267" s="92"/>
      <c r="K267" s="447"/>
      <c r="L267" s="534"/>
      <c r="M267" s="534"/>
      <c r="N267" s="535"/>
    </row>
    <row r="268" spans="2:14" ht="30" customHeight="1">
      <c r="B268" s="612" t="s">
        <v>1155</v>
      </c>
      <c r="C268" s="619"/>
      <c r="D268" s="619"/>
      <c r="E268" s="619"/>
      <c r="F268" s="619"/>
      <c r="G268" s="619"/>
      <c r="H268" s="526">
        <f>SUM(H11:H33)</f>
        <v>0</v>
      </c>
      <c r="I268" s="527"/>
      <c r="J268" s="606"/>
      <c r="K268" s="619"/>
      <c r="L268" s="619"/>
      <c r="M268" s="619"/>
      <c r="N268" s="620"/>
    </row>
    <row r="269" spans="2:14" ht="15" customHeight="1">
      <c r="B269" s="608" t="s">
        <v>16</v>
      </c>
      <c r="C269" s="621"/>
      <c r="D269" s="621"/>
      <c r="E269" s="621"/>
      <c r="F269" s="608" t="s">
        <v>16</v>
      </c>
      <c r="G269" s="621"/>
      <c r="H269" s="621"/>
      <c r="I269" s="621"/>
      <c r="J269" s="614" t="s">
        <v>16</v>
      </c>
      <c r="K269" s="621"/>
      <c r="L269" s="621"/>
      <c r="M269" s="621"/>
      <c r="N269" s="622"/>
    </row>
    <row r="270" spans="2:14">
      <c r="B270" s="625"/>
      <c r="C270" s="627"/>
      <c r="D270" s="627"/>
      <c r="E270" s="627"/>
      <c r="F270" s="625"/>
      <c r="G270" s="627"/>
      <c r="H270" s="627"/>
      <c r="I270" s="627"/>
      <c r="J270" s="625"/>
      <c r="K270" s="627"/>
      <c r="L270" s="627"/>
      <c r="M270" s="627"/>
      <c r="N270" s="626"/>
    </row>
    <row r="271" spans="2:14" ht="100.9">
      <c r="B271" s="89">
        <v>1</v>
      </c>
      <c r="C271" s="90" t="str">
        <f>Estudio_Mercado_VF!D265</f>
        <v>COORDINADOR</v>
      </c>
      <c r="D271" s="90" t="str">
        <f>Estudio_Mercado_VF!E265</f>
        <v xml:space="preserve">Formación académica: profesional en ciencias sociales y humanas y/o administración, economía y afines, o en carreras afines a medio ambiente con posgrado en administración y/o gerencia de proyectos (según clasificación del SNIES).  
EXPERIENCIA PROFESIONAL Tres (3) años de experiencia profesional, contados a partir de la terminación de materias y/o fecha de grado, según aplique.  
EXPERIENCIA RELACIONADA En dos (2) años como director(a) y/o coordinador(a) de proyectos. </v>
      </c>
      <c r="E271" s="89">
        <f>IF(Estudio_Mercado_VF!G265="","",Estudio_Mercado_VF!G265)</f>
        <v>1</v>
      </c>
      <c r="F271" s="515">
        <f>IF(Estudio_Mercado_VF!J265="","",Estudio_Mercado_VF!J265)</f>
        <v>46880008</v>
      </c>
      <c r="G271" s="515">
        <f>IF(Estudio_Mercado_VF!K265="","",Estudio_Mercado_VF!K265)</f>
        <v>46880008</v>
      </c>
      <c r="H271" s="522"/>
      <c r="I271" s="523"/>
      <c r="J271" s="92"/>
      <c r="K271" s="93" t="str">
        <f t="shared" ref="K271:K276" si="19">IF(H271&lt;&gt;0,IF(J271="Ofertable",IF(AND(F271&gt;=H271,H271&lt;&gt;0),"Cumple","No cumple"),IF(J271="No Ofertable",IF(F271=H271,"Cumple","No cumple"),"")),"Valor vacío")</f>
        <v>Valor vacío</v>
      </c>
      <c r="L271" s="533">
        <f t="shared" ref="L271:L276" si="20">F271-H271</f>
        <v>46880008</v>
      </c>
      <c r="M271" s="533" t="str">
        <f t="shared" ref="M271:M276" si="21">IF(G271&gt;=I271,"Cumple","No cumple")</f>
        <v>Cumple</v>
      </c>
      <c r="N271" s="533">
        <f t="shared" ref="N271:N276" si="22">G271-I271</f>
        <v>46880008</v>
      </c>
    </row>
    <row r="272" spans="2:14" ht="86.45">
      <c r="B272" s="89">
        <v>2</v>
      </c>
      <c r="C272" s="90" t="str">
        <f>Estudio_Mercado_VF!D266</f>
        <v xml:space="preserve">PROFESIONAL EN GESTIÓN AMBIENTAL </v>
      </c>
      <c r="D272" s="90" t="str">
        <f>Estudio_Mercado_VF!E266</f>
        <v>Formación académica:  profesional en Ingeniería ambiental o Administrador ambiental o licenciado ambiental en educación ambiental o biólogo o ecólogo y/o carreras afines. 
 EXPERIENCIA PROFESIONAL Veinticuatro (24) meses de experiencia a partir de la expedición de la tarjeta profesional. 
EXPERIENCIA RELACIONADA Mínimo veinticuatro (24) meses de experiencia específica en procesos de educación ambiental, pedagogía y/o afines.</v>
      </c>
      <c r="E272" s="89">
        <f>IF(Estudio_Mercado_VF!G266="","",Estudio_Mercado_VF!G266)</f>
        <v>1</v>
      </c>
      <c r="F272" s="515">
        <f>IF(Estudio_Mercado_VF!J266="","",Estudio_Mercado_VF!J266)</f>
        <v>41020007</v>
      </c>
      <c r="G272" s="515">
        <f>IF(Estudio_Mercado_VF!K266="","",Estudio_Mercado_VF!K266)</f>
        <v>41020007</v>
      </c>
      <c r="H272" s="522"/>
      <c r="I272" s="523"/>
      <c r="J272" s="92"/>
      <c r="K272" s="93" t="str">
        <f t="shared" si="19"/>
        <v>Valor vacío</v>
      </c>
      <c r="L272" s="533">
        <f t="shared" si="20"/>
        <v>41020007</v>
      </c>
      <c r="M272" s="533" t="str">
        <f t="shared" si="21"/>
        <v>Cumple</v>
      </c>
      <c r="N272" s="533">
        <f t="shared" si="22"/>
        <v>41020007</v>
      </c>
    </row>
    <row r="273" spans="2:14">
      <c r="B273" s="89"/>
      <c r="C273" s="90"/>
      <c r="D273" s="90"/>
      <c r="E273" s="89"/>
      <c r="F273" s="515"/>
      <c r="G273" s="515" t="str">
        <f>IF(Estudio_Mercado_VF!K267="","",Estudio_Mercado_VF!K267)</f>
        <v/>
      </c>
      <c r="H273" s="522"/>
      <c r="I273" s="523"/>
      <c r="J273" s="92"/>
      <c r="K273" s="93" t="str">
        <f t="shared" si="19"/>
        <v>Valor vacío</v>
      </c>
      <c r="L273" s="533">
        <f t="shared" si="20"/>
        <v>0</v>
      </c>
      <c r="M273" s="533" t="str">
        <f t="shared" si="21"/>
        <v>Cumple</v>
      </c>
      <c r="N273" s="533" t="e">
        <f t="shared" si="22"/>
        <v>#VALUE!</v>
      </c>
    </row>
    <row r="274" spans="2:14" ht="172.9">
      <c r="B274" s="89">
        <v>4</v>
      </c>
      <c r="C274" s="90" t="str">
        <f>Estudio_Mercado_VF!D268</f>
        <v xml:space="preserve">PROFESIONAL EN AGROECOLOGÍA </v>
      </c>
      <c r="D274" s="90" t="str">
        <f>Estudio_Mercado_VF!E268</f>
        <v xml:space="preserve">Formación Académica: Ingeniero/a agrónomo y/o Administrador/a agropecuario y/o Administrador/a de empresas agropecuarias y/o Ingeniero/a agronómica y/o Ingeniero/a agroecológica y/o Ingeniero/a agrícola y/o carreras afines 
EXPERIENCIA PROFESIONAL 
Mínimo veintitrés (24) meses de experiencia específica en procesos de educación ambiental, desarrollo social, pedagogía y/o afines. 
 EXPERIENCIA RELACIONADA 
Al menos 12 meses en agroecología, huertas urbanas, mercados verdes. 
EQUIVALENCIA: Ingeniero/a ambiental, y/o Administrador/a ambiental, y/o licenciado/a en educación ambiental, y/o biólogo/a, y/o ecólogo/a, con especialización en áreas agrícolas o agropecuarias y/o experiencia de 3 años certificable en el desarrollo de proyectos agropecuarios o agrícolas.                 </v>
      </c>
      <c r="E274" s="89">
        <f>IF(Estudio_Mercado_VF!G268="","",Estudio_Mercado_VF!G268)</f>
        <v>1</v>
      </c>
      <c r="F274" s="515">
        <f>IF(Estudio_Mercado_VF!J268="","",Estudio_Mercado_VF!J268)</f>
        <v>46880008</v>
      </c>
      <c r="G274" s="515">
        <f>IF(Estudio_Mercado_VF!K268="","",Estudio_Mercado_VF!K268)</f>
        <v>46880008</v>
      </c>
      <c r="H274" s="522"/>
      <c r="I274" s="523"/>
      <c r="J274" s="92"/>
      <c r="K274" s="93" t="str">
        <f t="shared" si="19"/>
        <v>Valor vacío</v>
      </c>
      <c r="L274" s="533">
        <f t="shared" si="20"/>
        <v>46880008</v>
      </c>
      <c r="M274" s="533" t="str">
        <f t="shared" si="21"/>
        <v>Cumple</v>
      </c>
      <c r="N274" s="533">
        <f t="shared" si="22"/>
        <v>46880008</v>
      </c>
    </row>
    <row r="275" spans="2:14" ht="158.44999999999999">
      <c r="B275" s="89">
        <v>5</v>
      </c>
      <c r="C275" s="90" t="str">
        <f>Estudio_Mercado_VF!D269</f>
        <v xml:space="preserve">PROFESIONAL EN GASTRONOMIA </v>
      </c>
      <c r="D275" s="90" t="str">
        <f>Estudio_Mercado_VF!E269</f>
        <v xml:space="preserve">Formación Académica Profesional en gastronomía, ingeniería de alimentos y/o ingeniería agrícola, y/o ingeniería química, y/o ingeniería agrónoma y/o ingeniería agroecológica y/o afines. 
EXPERIENCIA PROFESIONAL  
Mínimo veintitrés (24) meses de experiencia específica en procesos de asesoría a emprendimientos, pedagogía y/o afines en transformación de alimentos y/o transformación de plantas medicinales. </v>
      </c>
      <c r="E275" s="89">
        <f>IF(Estudio_Mercado_VF!G269="","",Estudio_Mercado_VF!G269)</f>
        <v>1</v>
      </c>
      <c r="F275" s="515">
        <f>IF(Estudio_Mercado_VF!J269="","",Estudio_Mercado_VF!J269)</f>
        <v>41020007</v>
      </c>
      <c r="G275" s="515">
        <f>IF(Estudio_Mercado_VF!K269="","",Estudio_Mercado_VF!K269)</f>
        <v>41020007</v>
      </c>
      <c r="H275" s="522"/>
      <c r="I275" s="523"/>
      <c r="J275" s="92"/>
      <c r="K275" s="93" t="str">
        <f t="shared" si="19"/>
        <v>Valor vacío</v>
      </c>
      <c r="L275" s="533">
        <f t="shared" si="20"/>
        <v>41020007</v>
      </c>
      <c r="M275" s="533" t="str">
        <f t="shared" si="21"/>
        <v>Cumple</v>
      </c>
      <c r="N275" s="533">
        <f t="shared" si="22"/>
        <v>41020007</v>
      </c>
    </row>
    <row r="276" spans="2:14">
      <c r="B276" s="89"/>
      <c r="C276" s="90"/>
      <c r="D276" s="90"/>
      <c r="E276" s="89"/>
      <c r="F276" s="515"/>
      <c r="G276" s="515"/>
      <c r="H276" s="522"/>
      <c r="I276" s="523"/>
      <c r="J276" s="92"/>
      <c r="K276" s="93" t="str">
        <f t="shared" si="19"/>
        <v>Valor vacío</v>
      </c>
      <c r="L276" s="533">
        <f t="shared" si="20"/>
        <v>0</v>
      </c>
      <c r="M276" s="533" t="str">
        <f t="shared" si="21"/>
        <v>Cumple</v>
      </c>
      <c r="N276" s="533">
        <f t="shared" si="22"/>
        <v>0</v>
      </c>
    </row>
    <row r="277" spans="2:14" ht="30" customHeight="1">
      <c r="B277" s="612" t="s">
        <v>164</v>
      </c>
      <c r="C277" s="619"/>
      <c r="D277" s="619"/>
      <c r="E277" s="619"/>
      <c r="F277" s="619"/>
      <c r="G277" s="619"/>
      <c r="H277" s="526">
        <f>SUM(H271:H276)</f>
        <v>0</v>
      </c>
      <c r="I277" s="527"/>
      <c r="J277" s="606"/>
      <c r="K277" s="619"/>
      <c r="L277" s="619"/>
      <c r="M277" s="619"/>
      <c r="N277" s="620"/>
    </row>
    <row r="278" spans="2:14" ht="15.6" customHeight="1">
      <c r="B278" s="609" t="s">
        <v>1156</v>
      </c>
      <c r="C278" s="619"/>
      <c r="D278" s="620"/>
      <c r="E278" s="610"/>
      <c r="F278" s="646"/>
      <c r="G278" s="646"/>
      <c r="H278" s="646"/>
      <c r="I278" s="647"/>
      <c r="J278" s="94"/>
    </row>
    <row r="279" spans="2:14" ht="15.6" customHeight="1">
      <c r="B279" s="609" t="s">
        <v>1157</v>
      </c>
      <c r="C279" s="619"/>
      <c r="D279" s="620"/>
      <c r="E279" s="610"/>
      <c r="F279" s="646"/>
      <c r="G279" s="646"/>
      <c r="H279" s="646"/>
      <c r="I279" s="647"/>
      <c r="J279" s="94"/>
    </row>
    <row r="280" spans="2:14" ht="15.6" customHeight="1">
      <c r="B280" s="609" t="s">
        <v>1158</v>
      </c>
      <c r="C280" s="619"/>
      <c r="D280" s="620"/>
      <c r="E280" s="610"/>
      <c r="F280" s="646"/>
      <c r="G280" s="646"/>
      <c r="H280" s="646"/>
      <c r="I280" s="647"/>
      <c r="J280" s="94"/>
    </row>
    <row r="281" spans="2:14" ht="15.6" customHeight="1">
      <c r="B281" s="609" t="s">
        <v>1159</v>
      </c>
      <c r="C281" s="619"/>
      <c r="D281" s="620"/>
      <c r="E281" s="610"/>
      <c r="F281" s="646"/>
      <c r="G281" s="646"/>
      <c r="H281" s="646"/>
      <c r="I281" s="647"/>
      <c r="J281" s="94"/>
    </row>
    <row r="282" spans="2:14" ht="326.10000000000002" customHeight="1">
      <c r="B282" s="605" t="s">
        <v>1160</v>
      </c>
      <c r="C282" s="621"/>
      <c r="D282" s="621"/>
      <c r="E282" s="621"/>
      <c r="F282" s="621"/>
      <c r="G282" s="621"/>
      <c r="H282" s="621"/>
      <c r="I282" s="621"/>
    </row>
    <row r="283" spans="2:14">
      <c r="E283" s="7"/>
      <c r="F283" s="517"/>
      <c r="G283" s="517"/>
    </row>
    <row r="284" spans="2:14">
      <c r="D284" s="7"/>
      <c r="E284" s="7"/>
      <c r="F284" s="517"/>
      <c r="G284" s="517"/>
    </row>
    <row r="285" spans="2:14">
      <c r="D285" s="7"/>
      <c r="E285" s="7"/>
      <c r="F285" s="517"/>
      <c r="G285" s="517"/>
    </row>
    <row r="286" spans="2:14">
      <c r="D286" s="7"/>
      <c r="E286" s="7"/>
      <c r="F286" s="517"/>
      <c r="G286" s="517"/>
    </row>
    <row r="287" spans="2:14">
      <c r="D287" s="7"/>
      <c r="E287" s="7"/>
      <c r="F287" s="517"/>
      <c r="G287" s="517"/>
    </row>
  </sheetData>
  <mergeCells count="27">
    <mergeCell ref="B6:C7"/>
    <mergeCell ref="B278:D278"/>
    <mergeCell ref="J269:N270"/>
    <mergeCell ref="H9:I9"/>
    <mergeCell ref="C9:C10"/>
    <mergeCell ref="E278:I278"/>
    <mergeCell ref="J9:N9"/>
    <mergeCell ref="B268:G268"/>
    <mergeCell ref="B8:E8"/>
    <mergeCell ref="E7:I7"/>
    <mergeCell ref="D6:I6"/>
    <mergeCell ref="B282:I282"/>
    <mergeCell ref="J268:N268"/>
    <mergeCell ref="E9:E10"/>
    <mergeCell ref="F269:I270"/>
    <mergeCell ref="B9:B10"/>
    <mergeCell ref="D9:D10"/>
    <mergeCell ref="B279:D279"/>
    <mergeCell ref="E280:I280"/>
    <mergeCell ref="E279:I279"/>
    <mergeCell ref="B281:D281"/>
    <mergeCell ref="F9:G9"/>
    <mergeCell ref="B280:D280"/>
    <mergeCell ref="J277:N277"/>
    <mergeCell ref="B277:G277"/>
    <mergeCell ref="E281:I281"/>
    <mergeCell ref="B269:E270"/>
  </mergeCells>
  <conditionalFormatting sqref="L11:L267 N11:N267">
    <cfRule type="cellIs" dxfId="8" priority="15" operator="lessThan">
      <formula>0</formula>
    </cfRule>
    <cfRule type="cellIs" dxfId="7" priority="16" operator="lessThan">
      <formula>0</formula>
    </cfRule>
  </conditionalFormatting>
  <conditionalFormatting sqref="L271 N271">
    <cfRule type="cellIs" dxfId="6" priority="7" operator="lessThan">
      <formula>0</formula>
    </cfRule>
    <cfRule type="cellIs" dxfId="5" priority="8" operator="lessThan">
      <formula>0</formula>
    </cfRule>
  </conditionalFormatting>
  <conditionalFormatting sqref="L272:L276 N272:N276">
    <cfRule type="cellIs" dxfId="4" priority="5" operator="lessThan">
      <formula>0</formula>
    </cfRule>
    <cfRule type="cellIs" dxfId="3" priority="6" operator="lessThan">
      <formula>0</formula>
    </cfRule>
  </conditionalFormatting>
  <dataValidations count="1">
    <dataValidation type="list" allowBlank="1" showInputMessage="1" showErrorMessage="1" sqref="J271:J277 J11:J268" xr:uid="{00000000-0002-0000-0600-000000000000}">
      <formula1>"Ofertable,No Ofertable"</formula1>
    </dataValidation>
  </dataValidation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dimension ref="A1:BA473"/>
  <sheetViews>
    <sheetView topLeftCell="A2" workbookViewId="0">
      <selection activeCell="A54" sqref="A54"/>
    </sheetView>
  </sheetViews>
  <sheetFormatPr defaultColWidth="11.42578125" defaultRowHeight="14.45"/>
  <cols>
    <col min="3" max="3" width="11.7109375" bestFit="1" customWidth="1"/>
    <col min="4" max="4" width="19.28515625" customWidth="1"/>
    <col min="5" max="5" width="48" customWidth="1"/>
    <col min="7" max="7" width="11.7109375" bestFit="1" customWidth="1"/>
    <col min="10" max="10" width="11.7109375" bestFit="1" customWidth="1"/>
    <col min="12" max="12" width="14.7109375" customWidth="1"/>
    <col min="14" max="14" width="13.7109375" bestFit="1" customWidth="1"/>
    <col min="17" max="17" width="13.7109375" bestFit="1" customWidth="1"/>
    <col min="18" max="19" width="11.7109375" bestFit="1" customWidth="1"/>
    <col min="20" max="21" width="12.28515625" bestFit="1" customWidth="1"/>
    <col min="23" max="23" width="11.7109375" bestFit="1" customWidth="1"/>
    <col min="27" max="27" width="13.7109375" bestFit="1" customWidth="1"/>
    <col min="30" max="30" width="13.7109375" bestFit="1" customWidth="1"/>
    <col min="31" max="32" width="11.7109375" bestFit="1" customWidth="1"/>
    <col min="33" max="34" width="12.28515625" bestFit="1" customWidth="1"/>
    <col min="35" max="35" width="11.42578125" customWidth="1"/>
    <col min="36" max="36" width="11.7109375" customWidth="1"/>
    <col min="37" max="39" width="11.42578125" customWidth="1"/>
    <col min="40" max="40" width="13.7109375" customWidth="1"/>
    <col min="41" max="42" width="11.42578125" customWidth="1"/>
    <col min="43" max="43" width="13.7109375" customWidth="1"/>
    <col min="44" max="45" width="11.7109375" customWidth="1"/>
    <col min="46" max="46" width="12.28515625" customWidth="1"/>
    <col min="47" max="47" width="12.28515625" bestFit="1" customWidth="1"/>
    <col min="48" max="49" width="14.7109375" bestFit="1" customWidth="1"/>
    <col min="50" max="50" width="13.7109375" bestFit="1" customWidth="1"/>
    <col min="51" max="51" width="11.7109375" bestFit="1" customWidth="1"/>
    <col min="53" max="53" width="11.7109375" bestFit="1" customWidth="1"/>
  </cols>
  <sheetData>
    <row r="1" spans="1:53">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row>
    <row r="2" spans="1:53" ht="72.599999999999994" customHeight="1">
      <c r="A2" s="120" t="s">
        <v>1161</v>
      </c>
      <c r="B2" s="120" t="s">
        <v>1162</v>
      </c>
      <c r="C2" s="120" t="s">
        <v>1163</v>
      </c>
      <c r="D2" s="120" t="s">
        <v>25</v>
      </c>
      <c r="E2" s="120" t="s">
        <v>26</v>
      </c>
      <c r="F2" s="120" t="s">
        <v>27</v>
      </c>
      <c r="G2" s="120" t="s">
        <v>28</v>
      </c>
      <c r="H2" s="120" t="s">
        <v>174</v>
      </c>
      <c r="I2" s="121" t="s">
        <v>1164</v>
      </c>
      <c r="J2" s="121" t="s">
        <v>1165</v>
      </c>
      <c r="K2" s="121" t="s">
        <v>1166</v>
      </c>
      <c r="L2" s="121" t="s">
        <v>1167</v>
      </c>
      <c r="M2" s="121" t="s">
        <v>29</v>
      </c>
      <c r="N2" s="122" t="s">
        <v>1168</v>
      </c>
      <c r="O2" s="121" t="s">
        <v>1169</v>
      </c>
      <c r="P2" s="121" t="s">
        <v>1170</v>
      </c>
      <c r="Q2" s="121" t="s">
        <v>170</v>
      </c>
      <c r="R2" s="121" t="s">
        <v>31</v>
      </c>
      <c r="S2" s="121" t="s">
        <v>32</v>
      </c>
      <c r="T2" s="121" t="s">
        <v>33</v>
      </c>
      <c r="U2" s="121" t="s">
        <v>34</v>
      </c>
      <c r="V2" s="120" t="s">
        <v>1171</v>
      </c>
      <c r="W2" s="120" t="s">
        <v>1172</v>
      </c>
      <c r="X2" s="120" t="s">
        <v>1173</v>
      </c>
      <c r="Y2" s="120" t="s">
        <v>1174</v>
      </c>
      <c r="Z2" s="120" t="s">
        <v>35</v>
      </c>
      <c r="AA2" s="120" t="s">
        <v>1175</v>
      </c>
      <c r="AB2" s="120" t="s">
        <v>1169</v>
      </c>
      <c r="AC2" s="120" t="s">
        <v>1170</v>
      </c>
      <c r="AD2" s="120" t="s">
        <v>30</v>
      </c>
      <c r="AE2" s="120" t="s">
        <v>31</v>
      </c>
      <c r="AF2" s="120" t="s">
        <v>32</v>
      </c>
      <c r="AG2" s="120" t="s">
        <v>33</v>
      </c>
      <c r="AH2" s="120" t="s">
        <v>34</v>
      </c>
      <c r="AI2" s="123" t="s">
        <v>1176</v>
      </c>
      <c r="AJ2" s="123" t="s">
        <v>1177</v>
      </c>
      <c r="AK2" s="123" t="s">
        <v>1178</v>
      </c>
      <c r="AL2" s="123" t="s">
        <v>1179</v>
      </c>
      <c r="AM2" s="123" t="s">
        <v>36</v>
      </c>
      <c r="AN2" s="123" t="s">
        <v>1175</v>
      </c>
      <c r="AO2" s="123" t="s">
        <v>1169</v>
      </c>
      <c r="AP2" s="123" t="s">
        <v>1170</v>
      </c>
      <c r="AQ2" s="124" t="s">
        <v>30</v>
      </c>
      <c r="AR2" s="124" t="s">
        <v>31</v>
      </c>
      <c r="AS2" s="124" t="s">
        <v>32</v>
      </c>
      <c r="AT2" s="124" t="s">
        <v>33</v>
      </c>
      <c r="AU2" s="124" t="s">
        <v>34</v>
      </c>
      <c r="AV2" s="121" t="s">
        <v>38</v>
      </c>
      <c r="AW2" s="121" t="s">
        <v>39</v>
      </c>
      <c r="AX2" s="121" t="s">
        <v>40</v>
      </c>
      <c r="AY2" s="121" t="s">
        <v>41</v>
      </c>
      <c r="AZ2" s="125" t="s">
        <v>1180</v>
      </c>
      <c r="BA2" s="126" t="s">
        <v>1181</v>
      </c>
    </row>
    <row r="3" spans="1:53" ht="72.599999999999994" hidden="1" customHeight="1">
      <c r="A3" s="6" t="s">
        <v>1182</v>
      </c>
      <c r="B3" s="6" t="s">
        <v>1183</v>
      </c>
      <c r="C3" s="6">
        <v>82101502</v>
      </c>
      <c r="D3" s="6" t="s">
        <v>1184</v>
      </c>
      <c r="E3" s="127" t="s">
        <v>1185</v>
      </c>
      <c r="F3" s="128" t="s">
        <v>191</v>
      </c>
      <c r="G3" s="129">
        <v>1</v>
      </c>
      <c r="H3" s="128" t="s">
        <v>192</v>
      </c>
      <c r="I3" s="130" t="s">
        <v>1186</v>
      </c>
      <c r="J3" s="131">
        <v>46155</v>
      </c>
      <c r="K3" s="132" t="s">
        <v>1187</v>
      </c>
      <c r="L3" s="133" t="s">
        <v>1188</v>
      </c>
      <c r="M3" s="131" t="s">
        <v>1189</v>
      </c>
      <c r="N3" s="134">
        <v>490000</v>
      </c>
      <c r="O3" s="134" t="s">
        <v>1190</v>
      </c>
      <c r="P3" s="134" t="s">
        <v>1191</v>
      </c>
      <c r="Q3" s="135">
        <f t="shared" ref="Q3:Q12" si="0">IF(O3="IVA Incluido",(N3/1.19),N3)</f>
        <v>411764.70588235295</v>
      </c>
      <c r="R3" s="136">
        <f>IF(P3="Si tiene IVA",Q3*19%,0)</f>
        <v>78235.294117647063</v>
      </c>
      <c r="S3" s="136">
        <f t="shared" ref="S3:S12" si="1">Q3+R3</f>
        <v>490000</v>
      </c>
      <c r="T3" s="136">
        <f t="shared" ref="T3:T12" si="2">IF(B3="","",(N3*G3))</f>
        <v>490000</v>
      </c>
      <c r="U3" s="136">
        <f t="shared" ref="U3:U12" si="3">IF(B3="","",(S3*G3))</f>
        <v>490000</v>
      </c>
      <c r="V3" s="137" t="s">
        <v>1186</v>
      </c>
      <c r="W3" s="138">
        <v>46155</v>
      </c>
      <c r="X3" s="139" t="s">
        <v>1192</v>
      </c>
      <c r="Y3" s="140" t="s">
        <v>1193</v>
      </c>
      <c r="Z3" s="141" t="s">
        <v>1194</v>
      </c>
      <c r="AA3" s="142">
        <v>550000</v>
      </c>
      <c r="AB3" s="142" t="s">
        <v>1190</v>
      </c>
      <c r="AC3" s="142" t="s">
        <v>1191</v>
      </c>
      <c r="AD3" s="143">
        <f>IF(AB3="IVA Incluido",(AA3/1.19),AA3)</f>
        <v>462184.87394957984</v>
      </c>
      <c r="AE3" s="144">
        <f t="shared" ref="AE3:AE12" si="4">IF(AC3="Si tiene IVA",AD3*19%,0)</f>
        <v>87815.126050420164</v>
      </c>
      <c r="AF3" s="144">
        <f t="shared" ref="AF3:AF12" si="5">AD3+AE3</f>
        <v>550000</v>
      </c>
      <c r="AG3" s="144">
        <f t="shared" ref="AG3:AG12" si="6">IF(O3="","",(AA3*G3))</f>
        <v>550000</v>
      </c>
      <c r="AH3" s="144">
        <f t="shared" ref="AH3:AH12" si="7">IF(O3="","",(AF3*G3))</f>
        <v>550000</v>
      </c>
      <c r="AI3" s="145" t="s">
        <v>1186</v>
      </c>
      <c r="AJ3" s="146">
        <v>46155</v>
      </c>
      <c r="AK3" s="147" t="s">
        <v>1195</v>
      </c>
      <c r="AL3" s="148" t="s">
        <v>1188</v>
      </c>
      <c r="AM3" s="149" t="s">
        <v>1196</v>
      </c>
      <c r="AN3" s="150">
        <v>585000</v>
      </c>
      <c r="AO3" s="150" t="s">
        <v>1197</v>
      </c>
      <c r="AP3" s="151" t="s">
        <v>1191</v>
      </c>
      <c r="AQ3" s="152">
        <f t="shared" ref="AQ3:AQ12" si="8">IF(AO3="IVA Incluido",(AN3/1.19),AN3)</f>
        <v>585000</v>
      </c>
      <c r="AR3" s="153">
        <f t="shared" ref="AR3:AR12" si="9">IF(AP3="Si tiene IVA",AQ3*19%,0)</f>
        <v>111150</v>
      </c>
      <c r="AS3" s="153">
        <f t="shared" ref="AS3:AS12" si="10">AQ3+AR3</f>
        <v>696150</v>
      </c>
      <c r="AT3" s="153">
        <f t="shared" ref="AT3:AT12" si="11">IF(AB3="","",(AN3*G3))</f>
        <v>585000</v>
      </c>
      <c r="AU3" s="153">
        <f t="shared" ref="AU3:AU12" si="12">IF(AB3="","",(AS3*G3))</f>
        <v>696150</v>
      </c>
      <c r="AV3" s="154">
        <f t="shared" ref="AV3:AV12" si="13">IF(A3="","",AVERAGE(S3,AF3,AS3))</f>
        <v>578716.66666666663</v>
      </c>
      <c r="AW3" s="154">
        <f t="shared" ref="AW3:AW12" si="14">IF(A3="","",AVERAGE(U3,AH3,AU3))</f>
        <v>578716.66666666663</v>
      </c>
      <c r="AX3" s="154">
        <f t="shared" ref="AX3:AX12" si="15">IF(N3="","",STDEV(U3,AH3,AU3))</f>
        <v>106032.73472533523</v>
      </c>
      <c r="AY3" s="155">
        <f t="shared" ref="AY3:AY12" si="16">IF(N3="","",(AX3/AW3))</f>
        <v>0.18322046146704243</v>
      </c>
      <c r="AZ3" s="5"/>
      <c r="BA3" s="7">
        <f t="shared" ref="BA3:BA12" si="17">COUNTA(M3,Z3,AM3)</f>
        <v>3</v>
      </c>
    </row>
    <row r="4" spans="1:53" ht="72.599999999999994" hidden="1" customHeight="1">
      <c r="A4" s="6" t="s">
        <v>1182</v>
      </c>
      <c r="B4" s="6" t="s">
        <v>1183</v>
      </c>
      <c r="C4" s="6">
        <v>82101502</v>
      </c>
      <c r="D4" s="6" t="s">
        <v>1198</v>
      </c>
      <c r="E4" s="127" t="s">
        <v>1185</v>
      </c>
      <c r="F4" s="128" t="s">
        <v>191</v>
      </c>
      <c r="G4" s="129">
        <v>1</v>
      </c>
      <c r="H4" s="128" t="s">
        <v>192</v>
      </c>
      <c r="I4" s="130" t="s">
        <v>1199</v>
      </c>
      <c r="J4" s="131">
        <v>46147</v>
      </c>
      <c r="K4" s="132" t="s">
        <v>1200</v>
      </c>
      <c r="L4" s="133" t="s">
        <v>1188</v>
      </c>
      <c r="M4" s="131" t="s">
        <v>1196</v>
      </c>
      <c r="N4" s="134">
        <v>35000</v>
      </c>
      <c r="O4" s="134" t="s">
        <v>1197</v>
      </c>
      <c r="P4" s="134" t="s">
        <v>1191</v>
      </c>
      <c r="Q4" s="135">
        <f t="shared" si="0"/>
        <v>35000</v>
      </c>
      <c r="R4" s="136">
        <f>IF(P4="Si tiene IVA",Q4*19%,0)</f>
        <v>6650</v>
      </c>
      <c r="S4" s="136">
        <f t="shared" si="1"/>
        <v>41650</v>
      </c>
      <c r="T4" s="136">
        <f t="shared" si="2"/>
        <v>35000</v>
      </c>
      <c r="U4" s="136">
        <f t="shared" si="3"/>
        <v>41650</v>
      </c>
      <c r="V4" s="137" t="s">
        <v>1201</v>
      </c>
      <c r="W4" s="138">
        <v>46143</v>
      </c>
      <c r="X4" s="139" t="s">
        <v>1202</v>
      </c>
      <c r="Y4" s="140" t="s">
        <v>1188</v>
      </c>
      <c r="Z4" s="141" t="s">
        <v>1203</v>
      </c>
      <c r="AA4" s="142">
        <v>36600</v>
      </c>
      <c r="AB4" s="142" t="s">
        <v>1197</v>
      </c>
      <c r="AC4" s="142" t="s">
        <v>1191</v>
      </c>
      <c r="AD4" s="143">
        <f>IF(AB4="IVA Incluido",(AA4/1.19),AA4)</f>
        <v>36600</v>
      </c>
      <c r="AE4" s="144">
        <f t="shared" si="4"/>
        <v>6954</v>
      </c>
      <c r="AF4" s="144">
        <f t="shared" si="5"/>
        <v>43554</v>
      </c>
      <c r="AG4" s="144">
        <f t="shared" si="6"/>
        <v>36600</v>
      </c>
      <c r="AH4" s="144">
        <f t="shared" si="7"/>
        <v>43554</v>
      </c>
      <c r="AI4" s="145" t="s">
        <v>1199</v>
      </c>
      <c r="AJ4" s="146">
        <v>46143</v>
      </c>
      <c r="AK4" s="147" t="s">
        <v>1192</v>
      </c>
      <c r="AL4" s="148" t="s">
        <v>1188</v>
      </c>
      <c r="AM4" s="149" t="s">
        <v>1204</v>
      </c>
      <c r="AN4" s="150">
        <v>55000</v>
      </c>
      <c r="AO4" s="150" t="s">
        <v>1190</v>
      </c>
      <c r="AP4" s="151" t="s">
        <v>1191</v>
      </c>
      <c r="AQ4" s="152">
        <f t="shared" si="8"/>
        <v>46218.487394957985</v>
      </c>
      <c r="AR4" s="153">
        <f t="shared" si="9"/>
        <v>8781.5126050420167</v>
      </c>
      <c r="AS4" s="153">
        <f t="shared" si="10"/>
        <v>55000</v>
      </c>
      <c r="AT4" s="153">
        <f t="shared" si="11"/>
        <v>55000</v>
      </c>
      <c r="AU4" s="153">
        <f t="shared" si="12"/>
        <v>55000</v>
      </c>
      <c r="AV4" s="154">
        <f t="shared" si="13"/>
        <v>46734.666666666664</v>
      </c>
      <c r="AW4" s="154">
        <f t="shared" si="14"/>
        <v>46734.666666666664</v>
      </c>
      <c r="AX4" s="154">
        <f t="shared" si="15"/>
        <v>7221.0183030742619</v>
      </c>
      <c r="AY4" s="155">
        <f t="shared" si="16"/>
        <v>0.15451096194989292</v>
      </c>
      <c r="AZ4" s="5"/>
      <c r="BA4" s="7">
        <f t="shared" si="17"/>
        <v>3</v>
      </c>
    </row>
    <row r="5" spans="1:53" ht="72.599999999999994" hidden="1" customHeight="1">
      <c r="A5" s="6" t="s">
        <v>1182</v>
      </c>
      <c r="B5" s="6" t="s">
        <v>1183</v>
      </c>
      <c r="C5" s="6">
        <v>82101502</v>
      </c>
      <c r="D5" s="6" t="s">
        <v>1205</v>
      </c>
      <c r="E5" s="127" t="s">
        <v>1206</v>
      </c>
      <c r="F5" s="128" t="s">
        <v>191</v>
      </c>
      <c r="G5" s="129">
        <v>1</v>
      </c>
      <c r="H5" s="128" t="s">
        <v>192</v>
      </c>
      <c r="I5" s="130" t="s">
        <v>1186</v>
      </c>
      <c r="J5" s="131">
        <v>46155</v>
      </c>
      <c r="K5" s="132" t="s">
        <v>1207</v>
      </c>
      <c r="L5" s="133" t="s">
        <v>1188</v>
      </c>
      <c r="M5" s="131" t="s">
        <v>1204</v>
      </c>
      <c r="N5" s="134">
        <v>55000</v>
      </c>
      <c r="O5" s="134" t="s">
        <v>1197</v>
      </c>
      <c r="P5" s="134" t="s">
        <v>1191</v>
      </c>
      <c r="Q5" s="135">
        <f t="shared" si="0"/>
        <v>55000</v>
      </c>
      <c r="R5" s="136">
        <v>6227</v>
      </c>
      <c r="S5" s="136">
        <f t="shared" si="1"/>
        <v>61227</v>
      </c>
      <c r="T5" s="136">
        <f t="shared" si="2"/>
        <v>55000</v>
      </c>
      <c r="U5" s="136">
        <f t="shared" si="3"/>
        <v>61227</v>
      </c>
      <c r="V5" s="137" t="s">
        <v>1186</v>
      </c>
      <c r="W5" s="138">
        <v>46155</v>
      </c>
      <c r="X5" s="139" t="s">
        <v>1200</v>
      </c>
      <c r="Y5" s="140" t="s">
        <v>1188</v>
      </c>
      <c r="Z5" s="141" t="s">
        <v>1196</v>
      </c>
      <c r="AA5" s="142">
        <v>35000</v>
      </c>
      <c r="AB5" s="142" t="s">
        <v>1197</v>
      </c>
      <c r="AC5" s="142" t="s">
        <v>1191</v>
      </c>
      <c r="AD5" s="143">
        <f>IF(AB5="IVA Incluido",(AA5/1.19),AA5)</f>
        <v>35000</v>
      </c>
      <c r="AE5" s="144">
        <f t="shared" si="4"/>
        <v>6650</v>
      </c>
      <c r="AF5" s="144">
        <f t="shared" si="5"/>
        <v>41650</v>
      </c>
      <c r="AG5" s="144">
        <f t="shared" si="6"/>
        <v>35000</v>
      </c>
      <c r="AH5" s="144">
        <f t="shared" si="7"/>
        <v>41650</v>
      </c>
      <c r="AI5" s="145" t="s">
        <v>1186</v>
      </c>
      <c r="AJ5" s="146">
        <v>46155</v>
      </c>
      <c r="AK5" s="147" t="s">
        <v>1202</v>
      </c>
      <c r="AL5" s="148" t="s">
        <v>1188</v>
      </c>
      <c r="AM5" s="149" t="s">
        <v>1203</v>
      </c>
      <c r="AN5" s="150">
        <v>36600</v>
      </c>
      <c r="AO5" s="150" t="s">
        <v>1197</v>
      </c>
      <c r="AP5" s="151" t="s">
        <v>1191</v>
      </c>
      <c r="AQ5" s="152">
        <f t="shared" si="8"/>
        <v>36600</v>
      </c>
      <c r="AR5" s="153">
        <f t="shared" si="9"/>
        <v>6954</v>
      </c>
      <c r="AS5" s="153">
        <f t="shared" si="10"/>
        <v>43554</v>
      </c>
      <c r="AT5" s="153">
        <f t="shared" si="11"/>
        <v>36600</v>
      </c>
      <c r="AU5" s="153">
        <f t="shared" si="12"/>
        <v>43554</v>
      </c>
      <c r="AV5" s="154">
        <f t="shared" si="13"/>
        <v>48810.333333333336</v>
      </c>
      <c r="AW5" s="154">
        <f t="shared" si="14"/>
        <v>48810.333333333336</v>
      </c>
      <c r="AX5" s="154">
        <f t="shared" si="15"/>
        <v>10795.207841136431</v>
      </c>
      <c r="AY5" s="155">
        <f t="shared" si="16"/>
        <v>0.22116644374080141</v>
      </c>
      <c r="AZ5" s="5"/>
      <c r="BA5" s="7">
        <f t="shared" si="17"/>
        <v>3</v>
      </c>
    </row>
    <row r="6" spans="1:53" ht="72.599999999999994" hidden="1" customHeight="1">
      <c r="A6" s="6" t="s">
        <v>1182</v>
      </c>
      <c r="B6" s="6" t="s">
        <v>1183</v>
      </c>
      <c r="C6" s="6">
        <v>82101502</v>
      </c>
      <c r="D6" s="6" t="s">
        <v>1208</v>
      </c>
      <c r="E6" s="127" t="s">
        <v>1209</v>
      </c>
      <c r="F6" s="128" t="s">
        <v>191</v>
      </c>
      <c r="G6" s="129">
        <v>1</v>
      </c>
      <c r="H6" s="128" t="s">
        <v>192</v>
      </c>
      <c r="I6" s="130" t="s">
        <v>1186</v>
      </c>
      <c r="J6" s="131">
        <v>46155</v>
      </c>
      <c r="K6" s="132" t="s">
        <v>1192</v>
      </c>
      <c r="L6" s="133" t="s">
        <v>1188</v>
      </c>
      <c r="M6" s="131" t="s">
        <v>1204</v>
      </c>
      <c r="N6" s="134">
        <v>340000</v>
      </c>
      <c r="O6" s="134" t="s">
        <v>1190</v>
      </c>
      <c r="P6" s="134" t="s">
        <v>1191</v>
      </c>
      <c r="Q6" s="135">
        <f t="shared" si="0"/>
        <v>285714.28571428574</v>
      </c>
      <c r="R6" s="136">
        <f t="shared" ref="R6:R12" si="18">IF(P6="Si tiene IVA",Q6*19%,0)</f>
        <v>54285.71428571429</v>
      </c>
      <c r="S6" s="136">
        <f t="shared" si="1"/>
        <v>340000</v>
      </c>
      <c r="T6" s="136">
        <f t="shared" si="2"/>
        <v>340000</v>
      </c>
      <c r="U6" s="136">
        <f t="shared" si="3"/>
        <v>340000</v>
      </c>
      <c r="V6" s="137" t="s">
        <v>1186</v>
      </c>
      <c r="W6" s="138">
        <v>46155</v>
      </c>
      <c r="X6" s="139" t="s">
        <v>1210</v>
      </c>
      <c r="Y6" s="140" t="s">
        <v>1188</v>
      </c>
      <c r="Z6" s="141" t="s">
        <v>1211</v>
      </c>
      <c r="AA6" s="142">
        <v>210000</v>
      </c>
      <c r="AB6" s="142" t="s">
        <v>1197</v>
      </c>
      <c r="AC6" s="142" t="s">
        <v>1191</v>
      </c>
      <c r="AD6" s="143">
        <f>IF(AB6="IVA Incluido",(AA6/1.19),AA6)</f>
        <v>210000</v>
      </c>
      <c r="AE6" s="144">
        <f t="shared" si="4"/>
        <v>39900</v>
      </c>
      <c r="AF6" s="144">
        <f t="shared" si="5"/>
        <v>249900</v>
      </c>
      <c r="AG6" s="144">
        <f t="shared" si="6"/>
        <v>210000</v>
      </c>
      <c r="AH6" s="144">
        <f t="shared" si="7"/>
        <v>249900</v>
      </c>
      <c r="AI6" s="145" t="s">
        <v>1186</v>
      </c>
      <c r="AJ6" s="146">
        <v>46155</v>
      </c>
      <c r="AK6" s="147" t="s">
        <v>1212</v>
      </c>
      <c r="AL6" s="148" t="s">
        <v>1188</v>
      </c>
      <c r="AM6" s="149" t="s">
        <v>1213</v>
      </c>
      <c r="AN6" s="150">
        <v>250000</v>
      </c>
      <c r="AO6" s="150" t="s">
        <v>1197</v>
      </c>
      <c r="AP6" s="151" t="s">
        <v>1191</v>
      </c>
      <c r="AQ6" s="152">
        <f t="shared" si="8"/>
        <v>250000</v>
      </c>
      <c r="AR6" s="153">
        <f t="shared" si="9"/>
        <v>47500</v>
      </c>
      <c r="AS6" s="153">
        <f t="shared" si="10"/>
        <v>297500</v>
      </c>
      <c r="AT6" s="153">
        <f t="shared" si="11"/>
        <v>250000</v>
      </c>
      <c r="AU6" s="153">
        <f t="shared" si="12"/>
        <v>297500</v>
      </c>
      <c r="AV6" s="154">
        <f t="shared" si="13"/>
        <v>295800</v>
      </c>
      <c r="AW6" s="154">
        <f t="shared" si="14"/>
        <v>295800</v>
      </c>
      <c r="AX6" s="154">
        <f t="shared" si="15"/>
        <v>45074.050184113694</v>
      </c>
      <c r="AY6" s="155">
        <f t="shared" si="16"/>
        <v>0.15238015613290634</v>
      </c>
      <c r="AZ6" s="5"/>
      <c r="BA6" s="7">
        <f t="shared" si="17"/>
        <v>3</v>
      </c>
    </row>
    <row r="7" spans="1:53" ht="116.1" hidden="1" customHeight="1">
      <c r="A7" s="6" t="s">
        <v>1182</v>
      </c>
      <c r="B7" s="6" t="s">
        <v>1183</v>
      </c>
      <c r="C7" s="6">
        <v>82101502</v>
      </c>
      <c r="D7" s="6" t="s">
        <v>1214</v>
      </c>
      <c r="E7" s="127" t="s">
        <v>1209</v>
      </c>
      <c r="F7" s="128" t="s">
        <v>191</v>
      </c>
      <c r="G7" s="129">
        <v>1</v>
      </c>
      <c r="H7" s="128" t="s">
        <v>192</v>
      </c>
      <c r="I7" s="130" t="s">
        <v>1186</v>
      </c>
      <c r="J7" s="131">
        <v>46147</v>
      </c>
      <c r="K7" s="132" t="s">
        <v>1207</v>
      </c>
      <c r="L7" s="133" t="s">
        <v>1188</v>
      </c>
      <c r="M7" s="131" t="s">
        <v>1204</v>
      </c>
      <c r="N7" s="134">
        <v>6500</v>
      </c>
      <c r="O7" s="134" t="s">
        <v>1190</v>
      </c>
      <c r="P7" s="134" t="s">
        <v>1191</v>
      </c>
      <c r="Q7" s="135">
        <f t="shared" si="0"/>
        <v>5462.1848739495799</v>
      </c>
      <c r="R7" s="136">
        <f t="shared" si="18"/>
        <v>1037.8151260504203</v>
      </c>
      <c r="S7" s="136">
        <f t="shared" si="1"/>
        <v>6500</v>
      </c>
      <c r="T7" s="136">
        <f t="shared" si="2"/>
        <v>6500</v>
      </c>
      <c r="U7" s="136">
        <f t="shared" si="3"/>
        <v>6500</v>
      </c>
      <c r="V7" s="137" t="s">
        <v>1186</v>
      </c>
      <c r="W7" s="138">
        <v>46147</v>
      </c>
      <c r="X7" s="139" t="s">
        <v>1215</v>
      </c>
      <c r="Y7" s="140" t="s">
        <v>1188</v>
      </c>
      <c r="Z7" s="141" t="s">
        <v>1216</v>
      </c>
      <c r="AA7" s="142">
        <v>7000</v>
      </c>
      <c r="AB7" s="142" t="s">
        <v>1197</v>
      </c>
      <c r="AC7" s="142" t="s">
        <v>1217</v>
      </c>
      <c r="AD7" s="143">
        <f>IF(AB7="IVA Incluido",(AA7/1.19),AA7)</f>
        <v>7000</v>
      </c>
      <c r="AE7" s="144">
        <f t="shared" si="4"/>
        <v>0</v>
      </c>
      <c r="AF7" s="144">
        <f t="shared" si="5"/>
        <v>7000</v>
      </c>
      <c r="AG7" s="144">
        <f t="shared" si="6"/>
        <v>7000</v>
      </c>
      <c r="AH7" s="144">
        <f t="shared" si="7"/>
        <v>7000</v>
      </c>
      <c r="AI7" s="145" t="s">
        <v>1186</v>
      </c>
      <c r="AJ7" s="146">
        <v>46147</v>
      </c>
      <c r="AK7" s="147" t="s">
        <v>1200</v>
      </c>
      <c r="AL7" s="148" t="s">
        <v>1188</v>
      </c>
      <c r="AM7" s="149" t="s">
        <v>1196</v>
      </c>
      <c r="AN7" s="150">
        <v>7800</v>
      </c>
      <c r="AO7" s="150" t="s">
        <v>1197</v>
      </c>
      <c r="AP7" s="151" t="s">
        <v>1191</v>
      </c>
      <c r="AQ7" s="152">
        <f t="shared" si="8"/>
        <v>7800</v>
      </c>
      <c r="AR7" s="153">
        <f t="shared" si="9"/>
        <v>1482</v>
      </c>
      <c r="AS7" s="153">
        <f t="shared" si="10"/>
        <v>9282</v>
      </c>
      <c r="AT7" s="153">
        <f t="shared" si="11"/>
        <v>7800</v>
      </c>
      <c r="AU7" s="153">
        <f t="shared" si="12"/>
        <v>9282</v>
      </c>
      <c r="AV7" s="154">
        <f t="shared" si="13"/>
        <v>7594</v>
      </c>
      <c r="AW7" s="154">
        <f t="shared" si="14"/>
        <v>7594</v>
      </c>
      <c r="AX7" s="154">
        <f t="shared" si="15"/>
        <v>1483.0738349792298</v>
      </c>
      <c r="AY7" s="155">
        <f t="shared" si="16"/>
        <v>0.19529547471414666</v>
      </c>
      <c r="AZ7" s="5" t="s">
        <v>1218</v>
      </c>
      <c r="BA7" s="7">
        <f t="shared" si="17"/>
        <v>3</v>
      </c>
    </row>
    <row r="8" spans="1:53" ht="72.599999999999994" hidden="1" customHeight="1">
      <c r="A8" s="6" t="s">
        <v>1182</v>
      </c>
      <c r="B8" s="6" t="s">
        <v>1183</v>
      </c>
      <c r="C8" s="6">
        <v>82101502</v>
      </c>
      <c r="D8" s="6" t="s">
        <v>1219</v>
      </c>
      <c r="E8" s="127" t="s">
        <v>1220</v>
      </c>
      <c r="F8" s="128" t="s">
        <v>191</v>
      </c>
      <c r="G8" s="129">
        <v>1</v>
      </c>
      <c r="H8" s="128" t="s">
        <v>192</v>
      </c>
      <c r="I8" s="130" t="s">
        <v>1186</v>
      </c>
      <c r="J8" s="131">
        <v>46155</v>
      </c>
      <c r="K8" s="132" t="s">
        <v>1192</v>
      </c>
      <c r="L8" s="133" t="s">
        <v>1188</v>
      </c>
      <c r="M8" s="131" t="s">
        <v>1204</v>
      </c>
      <c r="N8" s="134">
        <v>910000</v>
      </c>
      <c r="O8" s="134" t="s">
        <v>1197</v>
      </c>
      <c r="P8" s="134" t="s">
        <v>1191</v>
      </c>
      <c r="Q8" s="135">
        <f t="shared" si="0"/>
        <v>910000</v>
      </c>
      <c r="R8" s="136">
        <f t="shared" si="18"/>
        <v>172900</v>
      </c>
      <c r="S8" s="136">
        <f t="shared" si="1"/>
        <v>1082900</v>
      </c>
      <c r="T8" s="136">
        <f t="shared" si="2"/>
        <v>910000</v>
      </c>
      <c r="U8" s="136">
        <f t="shared" si="3"/>
        <v>1082900</v>
      </c>
      <c r="V8" s="137" t="s">
        <v>1186</v>
      </c>
      <c r="W8" s="138">
        <v>46153</v>
      </c>
      <c r="X8" s="139" t="s">
        <v>1221</v>
      </c>
      <c r="Y8" s="140" t="s">
        <v>1188</v>
      </c>
      <c r="Z8" s="141" t="s">
        <v>1222</v>
      </c>
      <c r="AA8" s="142">
        <v>740000</v>
      </c>
      <c r="AB8" s="142" t="s">
        <v>1197</v>
      </c>
      <c r="AC8" s="142" t="s">
        <v>1191</v>
      </c>
      <c r="AD8" s="143">
        <v>740000</v>
      </c>
      <c r="AE8" s="144">
        <f t="shared" si="4"/>
        <v>140600</v>
      </c>
      <c r="AF8" s="144">
        <f t="shared" si="5"/>
        <v>880600</v>
      </c>
      <c r="AG8" s="144">
        <f t="shared" si="6"/>
        <v>740000</v>
      </c>
      <c r="AH8" s="144">
        <f t="shared" si="7"/>
        <v>880600</v>
      </c>
      <c r="AI8" s="145" t="s">
        <v>1186</v>
      </c>
      <c r="AJ8" s="146">
        <v>46155</v>
      </c>
      <c r="AK8" s="147" t="s">
        <v>1210</v>
      </c>
      <c r="AL8" s="148" t="s">
        <v>1188</v>
      </c>
      <c r="AM8" s="149" t="s">
        <v>1211</v>
      </c>
      <c r="AN8" s="150">
        <v>1000000</v>
      </c>
      <c r="AO8" s="150" t="s">
        <v>1197</v>
      </c>
      <c r="AP8" s="151" t="s">
        <v>1191</v>
      </c>
      <c r="AQ8" s="152">
        <f t="shared" si="8"/>
        <v>1000000</v>
      </c>
      <c r="AR8" s="153">
        <f t="shared" si="9"/>
        <v>190000</v>
      </c>
      <c r="AS8" s="153">
        <f t="shared" si="10"/>
        <v>1190000</v>
      </c>
      <c r="AT8" s="153">
        <f t="shared" si="11"/>
        <v>1000000</v>
      </c>
      <c r="AU8" s="153">
        <f t="shared" si="12"/>
        <v>1190000</v>
      </c>
      <c r="AV8" s="154">
        <f t="shared" si="13"/>
        <v>1051166.6666666667</v>
      </c>
      <c r="AW8" s="154">
        <f t="shared" si="14"/>
        <v>1051166.6666666667</v>
      </c>
      <c r="AX8" s="154">
        <f t="shared" si="15"/>
        <v>157122.06507468407</v>
      </c>
      <c r="AY8" s="155">
        <f t="shared" si="16"/>
        <v>0.14947397977613833</v>
      </c>
      <c r="AZ8" s="5"/>
      <c r="BA8" s="7">
        <f t="shared" si="17"/>
        <v>3</v>
      </c>
    </row>
    <row r="9" spans="1:53" ht="72.599999999999994" hidden="1" customHeight="1">
      <c r="A9" s="6" t="s">
        <v>1182</v>
      </c>
      <c r="B9" s="6" t="s">
        <v>1183</v>
      </c>
      <c r="C9" s="6">
        <v>82101502</v>
      </c>
      <c r="D9" s="6" t="s">
        <v>1223</v>
      </c>
      <c r="E9" s="127" t="s">
        <v>1206</v>
      </c>
      <c r="F9" s="128" t="s">
        <v>191</v>
      </c>
      <c r="G9" s="129">
        <v>1</v>
      </c>
      <c r="H9" s="128" t="s">
        <v>192</v>
      </c>
      <c r="I9" s="130" t="s">
        <v>1199</v>
      </c>
      <c r="J9" s="131">
        <v>46147</v>
      </c>
      <c r="K9" s="132" t="s">
        <v>1224</v>
      </c>
      <c r="L9" s="133" t="s">
        <v>1188</v>
      </c>
      <c r="M9" s="131" t="s">
        <v>1225</v>
      </c>
      <c r="N9" s="134">
        <v>1575</v>
      </c>
      <c r="O9" s="134" t="s">
        <v>1197</v>
      </c>
      <c r="P9" s="134" t="s">
        <v>1191</v>
      </c>
      <c r="Q9" s="135">
        <f t="shared" si="0"/>
        <v>1575</v>
      </c>
      <c r="R9" s="136">
        <f t="shared" si="18"/>
        <v>299.25</v>
      </c>
      <c r="S9" s="136">
        <f t="shared" si="1"/>
        <v>1874.25</v>
      </c>
      <c r="T9" s="136">
        <f t="shared" si="2"/>
        <v>1575</v>
      </c>
      <c r="U9" s="136">
        <f t="shared" si="3"/>
        <v>1874.25</v>
      </c>
      <c r="V9" s="137" t="s">
        <v>1201</v>
      </c>
      <c r="W9" s="138">
        <v>46147</v>
      </c>
      <c r="X9" s="139" t="s">
        <v>1187</v>
      </c>
      <c r="Y9" s="140" t="s">
        <v>1188</v>
      </c>
      <c r="Z9" s="141" t="s">
        <v>1187</v>
      </c>
      <c r="AA9" s="142">
        <v>1250</v>
      </c>
      <c r="AB9" s="142" t="s">
        <v>1197</v>
      </c>
      <c r="AC9" s="142" t="s">
        <v>1191</v>
      </c>
      <c r="AD9" s="143">
        <f>IF(AB9="IVA Incluido",(AA9/1.19),AA9)</f>
        <v>1250</v>
      </c>
      <c r="AE9" s="144">
        <f t="shared" si="4"/>
        <v>237.5</v>
      </c>
      <c r="AF9" s="144">
        <f t="shared" si="5"/>
        <v>1487.5</v>
      </c>
      <c r="AG9" s="144">
        <f t="shared" si="6"/>
        <v>1250</v>
      </c>
      <c r="AH9" s="144">
        <f t="shared" si="7"/>
        <v>1487.5</v>
      </c>
      <c r="AI9" s="145" t="s">
        <v>1199</v>
      </c>
      <c r="AJ9" s="146">
        <v>46147</v>
      </c>
      <c r="AK9" s="147" t="s">
        <v>1226</v>
      </c>
      <c r="AL9" s="148" t="s">
        <v>1188</v>
      </c>
      <c r="AM9" s="149" t="s">
        <v>1227</v>
      </c>
      <c r="AN9" s="150">
        <v>1500</v>
      </c>
      <c r="AO9" s="150" t="s">
        <v>1197</v>
      </c>
      <c r="AP9" s="151" t="s">
        <v>1217</v>
      </c>
      <c r="AQ9" s="152">
        <f t="shared" si="8"/>
        <v>1500</v>
      </c>
      <c r="AR9" s="153">
        <f t="shared" si="9"/>
        <v>0</v>
      </c>
      <c r="AS9" s="153">
        <f t="shared" si="10"/>
        <v>1500</v>
      </c>
      <c r="AT9" s="153">
        <f t="shared" si="11"/>
        <v>1500</v>
      </c>
      <c r="AU9" s="153">
        <f t="shared" si="12"/>
        <v>1500</v>
      </c>
      <c r="AV9" s="154">
        <f t="shared" si="13"/>
        <v>1620.5833333333333</v>
      </c>
      <c r="AW9" s="154">
        <f t="shared" si="14"/>
        <v>1620.5833333333333</v>
      </c>
      <c r="AX9" s="154">
        <f t="shared" si="15"/>
        <v>219.77066645331331</v>
      </c>
      <c r="AY9" s="155">
        <f t="shared" si="16"/>
        <v>0.13561207371007147</v>
      </c>
      <c r="AZ9" s="5"/>
      <c r="BA9" s="7">
        <f t="shared" si="17"/>
        <v>3</v>
      </c>
    </row>
    <row r="10" spans="1:53" ht="130.5" hidden="1" customHeight="1">
      <c r="A10" s="6" t="s">
        <v>1182</v>
      </c>
      <c r="B10" s="6" t="s">
        <v>1183</v>
      </c>
      <c r="C10" s="6" t="s">
        <v>1228</v>
      </c>
      <c r="D10" s="6" t="s">
        <v>212</v>
      </c>
      <c r="E10" s="127" t="s">
        <v>1229</v>
      </c>
      <c r="F10" s="128" t="s">
        <v>191</v>
      </c>
      <c r="G10" s="129">
        <v>1</v>
      </c>
      <c r="H10" s="128" t="s">
        <v>192</v>
      </c>
      <c r="I10" s="130" t="s">
        <v>1230</v>
      </c>
      <c r="J10" s="131">
        <v>46072</v>
      </c>
      <c r="K10" s="132" t="s">
        <v>1231</v>
      </c>
      <c r="L10" s="133" t="s">
        <v>1193</v>
      </c>
      <c r="M10" s="131" t="s">
        <v>1211</v>
      </c>
      <c r="N10" s="134">
        <v>26000</v>
      </c>
      <c r="O10" s="134" t="s">
        <v>1197</v>
      </c>
      <c r="P10" s="134" t="s">
        <v>1191</v>
      </c>
      <c r="Q10" s="135">
        <f t="shared" si="0"/>
        <v>26000</v>
      </c>
      <c r="R10" s="136">
        <f t="shared" si="18"/>
        <v>4940</v>
      </c>
      <c r="S10" s="136">
        <f t="shared" si="1"/>
        <v>30940</v>
      </c>
      <c r="T10" s="136">
        <f t="shared" si="2"/>
        <v>26000</v>
      </c>
      <c r="U10" s="136">
        <f t="shared" si="3"/>
        <v>30940</v>
      </c>
      <c r="V10" s="137" t="s">
        <v>1230</v>
      </c>
      <c r="W10" s="138">
        <v>46071</v>
      </c>
      <c r="X10" s="139" t="s">
        <v>1215</v>
      </c>
      <c r="Y10" s="140" t="s">
        <v>1193</v>
      </c>
      <c r="Z10" s="141" t="s">
        <v>1216</v>
      </c>
      <c r="AA10" s="142">
        <v>35000</v>
      </c>
      <c r="AB10" s="142" t="s">
        <v>1197</v>
      </c>
      <c r="AC10" s="142" t="s">
        <v>1217</v>
      </c>
      <c r="AD10" s="143">
        <f>IF(AB10="IVA Incluido",(AA10/1.19),AA10)</f>
        <v>35000</v>
      </c>
      <c r="AE10" s="144">
        <f t="shared" si="4"/>
        <v>0</v>
      </c>
      <c r="AF10" s="144">
        <f t="shared" si="5"/>
        <v>35000</v>
      </c>
      <c r="AG10" s="144">
        <f t="shared" si="6"/>
        <v>35000</v>
      </c>
      <c r="AH10" s="144">
        <f t="shared" si="7"/>
        <v>35000</v>
      </c>
      <c r="AI10" s="145" t="s">
        <v>1230</v>
      </c>
      <c r="AJ10" s="146">
        <v>46072</v>
      </c>
      <c r="AK10" s="147" t="s">
        <v>1232</v>
      </c>
      <c r="AL10" s="148" t="s">
        <v>1193</v>
      </c>
      <c r="AM10" s="149" t="s">
        <v>1233</v>
      </c>
      <c r="AN10" s="150">
        <v>29000</v>
      </c>
      <c r="AO10" s="150" t="s">
        <v>1197</v>
      </c>
      <c r="AP10" s="151" t="s">
        <v>1217</v>
      </c>
      <c r="AQ10" s="152">
        <f t="shared" si="8"/>
        <v>29000</v>
      </c>
      <c r="AR10" s="153">
        <f t="shared" si="9"/>
        <v>0</v>
      </c>
      <c r="AS10" s="153">
        <f t="shared" si="10"/>
        <v>29000</v>
      </c>
      <c r="AT10" s="153">
        <f t="shared" si="11"/>
        <v>29000</v>
      </c>
      <c r="AU10" s="153">
        <f t="shared" si="12"/>
        <v>29000</v>
      </c>
      <c r="AV10" s="154">
        <f t="shared" si="13"/>
        <v>31646.666666666668</v>
      </c>
      <c r="AW10" s="154">
        <f t="shared" si="14"/>
        <v>31646.666666666668</v>
      </c>
      <c r="AX10" s="154">
        <f t="shared" si="15"/>
        <v>3061.7859711830502</v>
      </c>
      <c r="AY10" s="155">
        <f t="shared" si="16"/>
        <v>9.6749082721183377E-2</v>
      </c>
      <c r="AZ10" s="5"/>
      <c r="BA10" s="7">
        <f t="shared" si="17"/>
        <v>3</v>
      </c>
    </row>
    <row r="11" spans="1:53" ht="145.15" hidden="1" customHeight="1">
      <c r="A11" s="6" t="s">
        <v>1182</v>
      </c>
      <c r="B11" s="6" t="s">
        <v>1183</v>
      </c>
      <c r="C11" s="6">
        <v>44112005</v>
      </c>
      <c r="D11" s="6" t="s">
        <v>1234</v>
      </c>
      <c r="E11" s="127" t="s">
        <v>1235</v>
      </c>
      <c r="F11" s="128" t="s">
        <v>191</v>
      </c>
      <c r="G11" s="129">
        <v>1</v>
      </c>
      <c r="H11" s="128" t="s">
        <v>192</v>
      </c>
      <c r="I11" s="130" t="s">
        <v>1230</v>
      </c>
      <c r="J11" s="131">
        <v>46070</v>
      </c>
      <c r="K11" s="132" t="s">
        <v>1200</v>
      </c>
      <c r="L11" s="133" t="s">
        <v>1193</v>
      </c>
      <c r="M11" s="131" t="s">
        <v>1196</v>
      </c>
      <c r="N11" s="134">
        <v>28000</v>
      </c>
      <c r="O11" s="134" t="s">
        <v>1197</v>
      </c>
      <c r="P11" s="134" t="s">
        <v>1191</v>
      </c>
      <c r="Q11" s="135">
        <f t="shared" si="0"/>
        <v>28000</v>
      </c>
      <c r="R11" s="136">
        <f t="shared" si="18"/>
        <v>5320</v>
      </c>
      <c r="S11" s="136">
        <f t="shared" si="1"/>
        <v>33320</v>
      </c>
      <c r="T11" s="136">
        <f t="shared" si="2"/>
        <v>28000</v>
      </c>
      <c r="U11" s="136">
        <f t="shared" si="3"/>
        <v>33320</v>
      </c>
      <c r="V11" s="137" t="s">
        <v>1230</v>
      </c>
      <c r="W11" s="138">
        <v>46071</v>
      </c>
      <c r="X11" s="139" t="s">
        <v>1192</v>
      </c>
      <c r="Y11" s="140" t="s">
        <v>1193</v>
      </c>
      <c r="Z11" s="141" t="s">
        <v>1204</v>
      </c>
      <c r="AA11" s="142">
        <v>31600</v>
      </c>
      <c r="AB11" s="142" t="s">
        <v>1190</v>
      </c>
      <c r="AC11" s="142" t="s">
        <v>1191</v>
      </c>
      <c r="AD11" s="143">
        <f>IF(AB11="IVA Incluido",(AA11/1.19),AA11)</f>
        <v>26554.621848739498</v>
      </c>
      <c r="AE11" s="144">
        <f t="shared" si="4"/>
        <v>5045.3781512605046</v>
      </c>
      <c r="AF11" s="144">
        <f t="shared" si="5"/>
        <v>31600.000000000004</v>
      </c>
      <c r="AG11" s="144">
        <f t="shared" si="6"/>
        <v>31600</v>
      </c>
      <c r="AH11" s="144">
        <f t="shared" si="7"/>
        <v>31600.000000000004</v>
      </c>
      <c r="AI11" s="145" t="s">
        <v>1230</v>
      </c>
      <c r="AJ11" s="146">
        <v>46071</v>
      </c>
      <c r="AK11" s="147" t="s">
        <v>1215</v>
      </c>
      <c r="AL11" s="148" t="s">
        <v>1193</v>
      </c>
      <c r="AM11" s="149" t="s">
        <v>1216</v>
      </c>
      <c r="AN11" s="150">
        <v>30000</v>
      </c>
      <c r="AO11" s="150" t="s">
        <v>1197</v>
      </c>
      <c r="AP11" s="151" t="s">
        <v>1217</v>
      </c>
      <c r="AQ11" s="152">
        <f t="shared" si="8"/>
        <v>30000</v>
      </c>
      <c r="AR11" s="153">
        <f t="shared" si="9"/>
        <v>0</v>
      </c>
      <c r="AS11" s="153">
        <f t="shared" si="10"/>
        <v>30000</v>
      </c>
      <c r="AT11" s="153">
        <f t="shared" si="11"/>
        <v>30000</v>
      </c>
      <c r="AU11" s="153">
        <f t="shared" si="12"/>
        <v>30000</v>
      </c>
      <c r="AV11" s="154">
        <f t="shared" si="13"/>
        <v>31640</v>
      </c>
      <c r="AW11" s="154">
        <f t="shared" si="14"/>
        <v>31640</v>
      </c>
      <c r="AX11" s="154">
        <f t="shared" si="15"/>
        <v>1660.3614064413807</v>
      </c>
      <c r="AY11" s="155">
        <f t="shared" si="16"/>
        <v>5.2476656335062599E-2</v>
      </c>
      <c r="AZ11" s="5"/>
      <c r="BA11" s="7">
        <f t="shared" si="17"/>
        <v>3</v>
      </c>
    </row>
    <row r="12" spans="1:53" ht="72.599999999999994" hidden="1" customHeight="1">
      <c r="A12" s="6" t="s">
        <v>1182</v>
      </c>
      <c r="B12" s="6" t="s">
        <v>1236</v>
      </c>
      <c r="C12" s="6">
        <v>80141607</v>
      </c>
      <c r="D12" s="6" t="s">
        <v>510</v>
      </c>
      <c r="E12" s="127" t="s">
        <v>511</v>
      </c>
      <c r="F12" s="128" t="s">
        <v>1237</v>
      </c>
      <c r="G12" s="129">
        <v>1</v>
      </c>
      <c r="H12" s="128" t="s">
        <v>192</v>
      </c>
      <c r="I12" s="130" t="s">
        <v>1186</v>
      </c>
      <c r="J12" s="131">
        <v>46086</v>
      </c>
      <c r="K12" s="132" t="s">
        <v>1238</v>
      </c>
      <c r="L12" s="133" t="s">
        <v>1193</v>
      </c>
      <c r="M12" s="131" t="s">
        <v>1239</v>
      </c>
      <c r="N12" s="134">
        <v>15800</v>
      </c>
      <c r="O12" s="134" t="s">
        <v>1190</v>
      </c>
      <c r="P12" s="134" t="s">
        <v>1191</v>
      </c>
      <c r="Q12" s="135">
        <f t="shared" si="0"/>
        <v>13277.310924369749</v>
      </c>
      <c r="R12" s="136">
        <f t="shared" si="18"/>
        <v>2522.6890756302523</v>
      </c>
      <c r="S12" s="136">
        <f t="shared" si="1"/>
        <v>15800.000000000002</v>
      </c>
      <c r="T12" s="136">
        <f t="shared" si="2"/>
        <v>15800</v>
      </c>
      <c r="U12" s="136">
        <f t="shared" si="3"/>
        <v>15800.000000000002</v>
      </c>
      <c r="V12" s="137" t="s">
        <v>1186</v>
      </c>
      <c r="W12" s="138">
        <v>46086</v>
      </c>
      <c r="X12" s="139" t="s">
        <v>1240</v>
      </c>
      <c r="Y12" s="140" t="s">
        <v>1193</v>
      </c>
      <c r="Z12" s="141" t="s">
        <v>1241</v>
      </c>
      <c r="AA12" s="142">
        <v>19480</v>
      </c>
      <c r="AB12" s="142" t="s">
        <v>1190</v>
      </c>
      <c r="AC12" s="142" t="s">
        <v>1191</v>
      </c>
      <c r="AD12" s="143">
        <f>IF(AB12="IVA Incluido",(AA12/1.19),AA12)</f>
        <v>16369.747899159665</v>
      </c>
      <c r="AE12" s="144">
        <f t="shared" si="4"/>
        <v>3110.2521008403364</v>
      </c>
      <c r="AF12" s="144">
        <f t="shared" si="5"/>
        <v>19480</v>
      </c>
      <c r="AG12" s="144">
        <f t="shared" si="6"/>
        <v>19480</v>
      </c>
      <c r="AH12" s="144">
        <f t="shared" si="7"/>
        <v>19480</v>
      </c>
      <c r="AI12" s="145" t="s">
        <v>1186</v>
      </c>
      <c r="AJ12" s="146">
        <v>46086</v>
      </c>
      <c r="AK12" s="147" t="s">
        <v>1242</v>
      </c>
      <c r="AL12" s="148" t="s">
        <v>1193</v>
      </c>
      <c r="AM12" s="149" t="s">
        <v>1243</v>
      </c>
      <c r="AN12" s="150">
        <v>17400</v>
      </c>
      <c r="AO12" s="150" t="s">
        <v>1190</v>
      </c>
      <c r="AP12" s="151" t="s">
        <v>1191</v>
      </c>
      <c r="AQ12" s="152">
        <f t="shared" si="8"/>
        <v>14621.848739495799</v>
      </c>
      <c r="AR12" s="153">
        <f t="shared" si="9"/>
        <v>2778.1512605042017</v>
      </c>
      <c r="AS12" s="153">
        <f t="shared" si="10"/>
        <v>17400</v>
      </c>
      <c r="AT12" s="153">
        <f t="shared" si="11"/>
        <v>17400</v>
      </c>
      <c r="AU12" s="153">
        <f t="shared" si="12"/>
        <v>17400</v>
      </c>
      <c r="AV12" s="154">
        <f t="shared" si="13"/>
        <v>17560</v>
      </c>
      <c r="AW12" s="154">
        <f t="shared" si="14"/>
        <v>17560</v>
      </c>
      <c r="AX12" s="154">
        <f t="shared" si="15"/>
        <v>1845.2100151473264</v>
      </c>
      <c r="AY12" s="155">
        <f t="shared" si="16"/>
        <v>0.10508029699016665</v>
      </c>
      <c r="AZ12" s="5" t="s">
        <v>1244</v>
      </c>
      <c r="BA12" s="7">
        <f t="shared" si="17"/>
        <v>3</v>
      </c>
    </row>
    <row r="13" spans="1:53" ht="348" hidden="1" customHeight="1">
      <c r="A13" s="6" t="s">
        <v>569</v>
      </c>
      <c r="B13" s="6" t="s">
        <v>569</v>
      </c>
      <c r="C13" s="6" t="s">
        <v>569</v>
      </c>
      <c r="D13" s="6" t="s">
        <v>1245</v>
      </c>
      <c r="E13" s="127" t="s">
        <v>1246</v>
      </c>
      <c r="F13" s="128" t="s">
        <v>1247</v>
      </c>
      <c r="G13" s="129">
        <v>1</v>
      </c>
      <c r="H13" s="128"/>
      <c r="I13" s="130" t="s">
        <v>569</v>
      </c>
      <c r="J13" s="131" t="s">
        <v>569</v>
      </c>
      <c r="K13" s="132" t="s">
        <v>569</v>
      </c>
      <c r="L13" s="133" t="s">
        <v>569</v>
      </c>
      <c r="M13" s="131" t="s">
        <v>569</v>
      </c>
      <c r="N13" s="134"/>
      <c r="O13" s="134"/>
      <c r="P13" s="134"/>
      <c r="Q13" s="135" t="s">
        <v>1248</v>
      </c>
      <c r="R13" s="136" t="s">
        <v>1248</v>
      </c>
      <c r="S13" s="136" t="s">
        <v>1248</v>
      </c>
      <c r="T13" s="136" t="s">
        <v>1248</v>
      </c>
      <c r="U13" s="136" t="s">
        <v>1248</v>
      </c>
      <c r="V13" s="137" t="s">
        <v>569</v>
      </c>
      <c r="W13" s="138" t="s">
        <v>569</v>
      </c>
      <c r="X13" s="139" t="s">
        <v>569</v>
      </c>
      <c r="Y13" s="140" t="s">
        <v>569</v>
      </c>
      <c r="Z13" s="141" t="s">
        <v>1249</v>
      </c>
      <c r="AA13" s="142" t="s">
        <v>569</v>
      </c>
      <c r="AB13" s="142" t="s">
        <v>569</v>
      </c>
      <c r="AC13" s="142" t="s">
        <v>569</v>
      </c>
      <c r="AD13" s="143" t="s">
        <v>569</v>
      </c>
      <c r="AE13" s="144" t="s">
        <v>569</v>
      </c>
      <c r="AF13" s="144">
        <v>2040</v>
      </c>
      <c r="AG13" s="144">
        <v>5.5599999999999997E-2</v>
      </c>
      <c r="AH13" s="144">
        <v>2153</v>
      </c>
      <c r="AI13" s="145" t="s">
        <v>569</v>
      </c>
      <c r="AJ13" s="146" t="s">
        <v>569</v>
      </c>
      <c r="AK13" s="147" t="s">
        <v>569</v>
      </c>
      <c r="AL13" s="148" t="s">
        <v>569</v>
      </c>
      <c r="AM13" s="149" t="s">
        <v>1250</v>
      </c>
      <c r="AN13" s="150" t="s">
        <v>569</v>
      </c>
      <c r="AO13" s="150" t="s">
        <v>569</v>
      </c>
      <c r="AP13" s="151" t="s">
        <v>569</v>
      </c>
      <c r="AQ13" s="152">
        <v>1783</v>
      </c>
      <c r="AR13" s="153">
        <v>339</v>
      </c>
      <c r="AS13" s="153">
        <v>2122</v>
      </c>
      <c r="AT13" s="153">
        <v>1783</v>
      </c>
      <c r="AU13" s="153">
        <v>2122</v>
      </c>
      <c r="AV13" s="154">
        <v>2138</v>
      </c>
      <c r="AW13" s="154">
        <v>2138</v>
      </c>
      <c r="AX13" s="154">
        <v>22.5</v>
      </c>
      <c r="AY13" s="155">
        <v>1.0500000000000001E-2</v>
      </c>
      <c r="AZ13" s="5"/>
      <c r="BA13" s="7"/>
    </row>
    <row r="14" spans="1:53" ht="101.65" hidden="1" customHeight="1">
      <c r="A14" s="6" t="s">
        <v>1182</v>
      </c>
      <c r="B14" s="6" t="s">
        <v>1251</v>
      </c>
      <c r="C14" s="6">
        <v>60121702</v>
      </c>
      <c r="D14" s="6" t="s">
        <v>1252</v>
      </c>
      <c r="E14" s="127" t="s">
        <v>1253</v>
      </c>
      <c r="F14" s="128" t="s">
        <v>191</v>
      </c>
      <c r="G14" s="129">
        <v>1</v>
      </c>
      <c r="H14" s="128" t="s">
        <v>192</v>
      </c>
      <c r="I14" s="130" t="s">
        <v>1199</v>
      </c>
      <c r="J14" s="131">
        <v>46070</v>
      </c>
      <c r="K14" s="132" t="s">
        <v>1254</v>
      </c>
      <c r="L14" s="133" t="s">
        <v>1193</v>
      </c>
      <c r="M14" s="131" t="s">
        <v>1255</v>
      </c>
      <c r="N14" s="134">
        <v>3300.27</v>
      </c>
      <c r="O14" s="134" t="s">
        <v>1190</v>
      </c>
      <c r="P14" s="134" t="s">
        <v>1191</v>
      </c>
      <c r="Q14" s="135">
        <f>IF(O14="IVA Incluido",(N14/1.19),N14)</f>
        <v>2773.3361344537816</v>
      </c>
      <c r="R14" s="136">
        <f>IF(P14="Si tiene IVA",Q14*19%,0)</f>
        <v>526.9338655462185</v>
      </c>
      <c r="S14" s="136">
        <f t="shared" ref="S14:S20" si="19">Q14+R14</f>
        <v>3300.27</v>
      </c>
      <c r="T14" s="136">
        <f>IF(B14="","",(N14*G14))</f>
        <v>3300.27</v>
      </c>
      <c r="U14" s="136">
        <f>IF(B14="","",(S14*G14))</f>
        <v>3300.27</v>
      </c>
      <c r="V14" s="137" t="s">
        <v>1199</v>
      </c>
      <c r="W14" s="138">
        <v>46070</v>
      </c>
      <c r="X14" s="139" t="s">
        <v>1256</v>
      </c>
      <c r="Y14" s="140" t="s">
        <v>1193</v>
      </c>
      <c r="Z14" s="141" t="s">
        <v>1257</v>
      </c>
      <c r="AA14" s="142">
        <v>2600</v>
      </c>
      <c r="AB14" s="142" t="s">
        <v>1197</v>
      </c>
      <c r="AC14" s="142" t="s">
        <v>1191</v>
      </c>
      <c r="AD14" s="143">
        <f>IF(AB14="IVA Incluido",(AA14/1.19),AA14)</f>
        <v>2600</v>
      </c>
      <c r="AE14" s="144">
        <f>IF(AC14="Si tiene IVA",AD14*19%,0)</f>
        <v>494</v>
      </c>
      <c r="AF14" s="144">
        <f t="shared" ref="AF14:AF20" si="20">AD14+AE14</f>
        <v>3094</v>
      </c>
      <c r="AG14" s="144">
        <f>IF(O14="","",(AA14*G14))</f>
        <v>2600</v>
      </c>
      <c r="AH14" s="144">
        <f>IF(O14="","",(AF14*G14))</f>
        <v>3094</v>
      </c>
      <c r="AI14" s="145" t="s">
        <v>1199</v>
      </c>
      <c r="AJ14" s="146">
        <v>46070</v>
      </c>
      <c r="AK14" s="147" t="s">
        <v>1258</v>
      </c>
      <c r="AL14" s="148" t="s">
        <v>1193</v>
      </c>
      <c r="AM14" s="149" t="s">
        <v>1259</v>
      </c>
      <c r="AN14" s="150">
        <v>3500</v>
      </c>
      <c r="AO14" s="150" t="s">
        <v>1190</v>
      </c>
      <c r="AP14" s="151" t="s">
        <v>1191</v>
      </c>
      <c r="AQ14" s="152">
        <f>IF(AO14="IVA Incluido",(AN14/1.19),AN14)</f>
        <v>2941.1764705882356</v>
      </c>
      <c r="AR14" s="153">
        <f>IF(AP14="Si tiene IVA",AQ14*19%,0)</f>
        <v>558.82352941176475</v>
      </c>
      <c r="AS14" s="153">
        <f>AQ14+AR14</f>
        <v>3500.0000000000005</v>
      </c>
      <c r="AT14" s="153">
        <f>IF(AB14="","",(AN14*G14))</f>
        <v>3500</v>
      </c>
      <c r="AU14" s="153">
        <f>IF(AB14="","",(AS14*G14))</f>
        <v>3500.0000000000005</v>
      </c>
      <c r="AV14" s="154">
        <f t="shared" ref="AV14:AV20" si="21">IF(A14="","",AVERAGE(S14,AF14,AS14))</f>
        <v>3298.09</v>
      </c>
      <c r="AW14" s="154">
        <f t="shared" ref="AW14:AW20" si="22">IF(A14="","",AVERAGE(U14,AH14,AU14))</f>
        <v>3298.09</v>
      </c>
      <c r="AX14" s="154">
        <f t="shared" ref="AX14:AX20" si="23">IF(N14="","",STDEV(U14,AH14,AU14))</f>
        <v>203.00877887421541</v>
      </c>
      <c r="AY14" s="155">
        <f t="shared" ref="AY14:AY20" si="24">IF(N14="","",(AX14/AW14))</f>
        <v>6.1553438163972296E-2</v>
      </c>
      <c r="AZ14" s="5"/>
      <c r="BA14" s="7">
        <f t="shared" ref="BA14:BA20" si="25">COUNTA(M14,Z14,AM14)</f>
        <v>3</v>
      </c>
    </row>
    <row r="15" spans="1:53" ht="87" hidden="1" customHeight="1">
      <c r="A15" s="6" t="s">
        <v>1182</v>
      </c>
      <c r="B15" s="6" t="s">
        <v>1236</v>
      </c>
      <c r="C15" s="6">
        <v>90101603</v>
      </c>
      <c r="D15" s="6" t="s">
        <v>1009</v>
      </c>
      <c r="E15" s="127" t="s">
        <v>1010</v>
      </c>
      <c r="F15" s="128" t="s">
        <v>1011</v>
      </c>
      <c r="G15" s="129">
        <v>1</v>
      </c>
      <c r="H15" s="128" t="s">
        <v>192</v>
      </c>
      <c r="I15" s="130" t="s">
        <v>1186</v>
      </c>
      <c r="J15" s="131">
        <v>46134</v>
      </c>
      <c r="K15" s="132" t="s">
        <v>1260</v>
      </c>
      <c r="L15" s="133" t="s">
        <v>1193</v>
      </c>
      <c r="M15" s="131" t="s">
        <v>1261</v>
      </c>
      <c r="N15" s="134">
        <v>37000</v>
      </c>
      <c r="O15" s="134" t="s">
        <v>1262</v>
      </c>
      <c r="P15" s="134" t="s">
        <v>1263</v>
      </c>
      <c r="Q15" s="135">
        <f>IF(O15="IVA Incluido",(N15/1.19),IF(O15="Ipoconsumo Incluido",(N15/1.08),N15))</f>
        <v>37000</v>
      </c>
      <c r="R15" s="136">
        <f>IF(P15="Si tiene IVA",Q15*19%,IF(P15="Si tiene IPOCONSUMO",Q15*8%,0))</f>
        <v>2960</v>
      </c>
      <c r="S15" s="136">
        <f t="shared" si="19"/>
        <v>39960</v>
      </c>
      <c r="T15" s="136">
        <f>IF(R15="IVA Incluido",(Q15/1.19),IF(R15="Ipoconsumo Incluido",(Q15/1.08),Q15))</f>
        <v>37000</v>
      </c>
      <c r="U15" s="136">
        <f>Q15+R15</f>
        <v>39960</v>
      </c>
      <c r="V15" s="137" t="s">
        <v>1186</v>
      </c>
      <c r="W15" s="138">
        <v>46134</v>
      </c>
      <c r="X15" s="139" t="s">
        <v>1264</v>
      </c>
      <c r="Y15" s="140" t="s">
        <v>1193</v>
      </c>
      <c r="Z15" s="141" t="s">
        <v>1265</v>
      </c>
      <c r="AA15" s="142">
        <v>45000</v>
      </c>
      <c r="AB15" s="142" t="s">
        <v>1262</v>
      </c>
      <c r="AC15" s="142" t="s">
        <v>1263</v>
      </c>
      <c r="AD15" s="143">
        <f>IF(AB15="IVA Incluido",(AA15/1.19),IF(AB15="Ipoconsumo Incluido",(AA15/1.08),AA15))</f>
        <v>45000</v>
      </c>
      <c r="AE15" s="144">
        <f>IF(AC15="Si tiene IVA",AD15*19%,IF(AC15="Si tiene IPOCONSUMO",AD15*8%,0))</f>
        <v>3600</v>
      </c>
      <c r="AF15" s="144">
        <f t="shared" si="20"/>
        <v>48600</v>
      </c>
      <c r="AG15" s="144">
        <f>IF(AE15="IVA Incluido",(AD15/1.19),IF(AE15="Ipoconsumo Incluido",(AD15/1.08),AD15))</f>
        <v>45000</v>
      </c>
      <c r="AH15" s="144">
        <f>AD15+AE15</f>
        <v>48600</v>
      </c>
      <c r="AI15" s="145" t="s">
        <v>1186</v>
      </c>
      <c r="AJ15" s="146">
        <v>46134</v>
      </c>
      <c r="AK15" s="147" t="s">
        <v>1266</v>
      </c>
      <c r="AL15" s="148" t="s">
        <v>1193</v>
      </c>
      <c r="AM15" s="149" t="s">
        <v>515</v>
      </c>
      <c r="AN15" s="150">
        <v>31512</v>
      </c>
      <c r="AO15" s="150" t="s">
        <v>1262</v>
      </c>
      <c r="AP15" s="151" t="s">
        <v>1263</v>
      </c>
      <c r="AQ15" s="152">
        <f>IF(AO15="IVA Incluido",(AN15/1.19),IF(AO15="Ipoconsumo Incluido",(AN15/1.08),AN15))</f>
        <v>31512</v>
      </c>
      <c r="AR15" s="153">
        <f>IF(AP15="Si tiene IVA",AQ15*19%,IF(AP15="Si tiene IPOCONSUMO",AQ15*8%,0))</f>
        <v>2520.96</v>
      </c>
      <c r="AS15" s="153">
        <f>AQ15+AR15</f>
        <v>34032.959999999999</v>
      </c>
      <c r="AT15" s="153">
        <f>IF(AR15="IVA Incluido",(AQ15/1.19),IF(AR15="Ipoconsumo Incluido",(AQ15/1.08),AQ15))</f>
        <v>31512</v>
      </c>
      <c r="AU15" s="153">
        <f>AQ15+AR15</f>
        <v>34032.959999999999</v>
      </c>
      <c r="AV15" s="154">
        <f t="shared" si="21"/>
        <v>40864.32</v>
      </c>
      <c r="AW15" s="154">
        <f t="shared" si="22"/>
        <v>40864.32</v>
      </c>
      <c r="AX15" s="154">
        <f t="shared" si="23"/>
        <v>7325.5040500432569</v>
      </c>
      <c r="AY15" s="155">
        <f t="shared" si="24"/>
        <v>0.17926406336978706</v>
      </c>
      <c r="AZ15" s="5"/>
      <c r="BA15" s="7">
        <f t="shared" si="25"/>
        <v>3</v>
      </c>
    </row>
    <row r="16" spans="1:53" ht="72.599999999999994" hidden="1" customHeight="1">
      <c r="A16" s="6" t="s">
        <v>1182</v>
      </c>
      <c r="B16" s="6" t="s">
        <v>1236</v>
      </c>
      <c r="C16" s="6">
        <v>90101603</v>
      </c>
      <c r="D16" s="6" t="s">
        <v>1267</v>
      </c>
      <c r="E16" s="127" t="s">
        <v>1268</v>
      </c>
      <c r="F16" s="128" t="s">
        <v>1011</v>
      </c>
      <c r="G16" s="129">
        <v>1</v>
      </c>
      <c r="H16" s="128" t="s">
        <v>192</v>
      </c>
      <c r="I16" s="130" t="s">
        <v>1186</v>
      </c>
      <c r="J16" s="131">
        <v>46134</v>
      </c>
      <c r="K16" s="132" t="s">
        <v>1260</v>
      </c>
      <c r="L16" s="133" t="s">
        <v>1193</v>
      </c>
      <c r="M16" s="131" t="s">
        <v>1261</v>
      </c>
      <c r="N16" s="134">
        <v>32000</v>
      </c>
      <c r="O16" s="134" t="s">
        <v>1262</v>
      </c>
      <c r="P16" s="134" t="s">
        <v>1263</v>
      </c>
      <c r="Q16" s="135">
        <f>IF(O16="IVA Incluido",(N16/1.19),IF(O16="Ipoconsumo Incluido",(N16/1.08),N16))</f>
        <v>32000</v>
      </c>
      <c r="R16" s="136">
        <f>IF(P16="Si tiene IVA",Q16*19%,IF(P16="Si tiene IPOCONSUMO",Q16*8%,0))</f>
        <v>2560</v>
      </c>
      <c r="S16" s="136">
        <f t="shared" si="19"/>
        <v>34560</v>
      </c>
      <c r="T16" s="136">
        <f>IF(R16="IVA Incluido",(Q16/1.19),IF(R16="Ipoconsumo Incluido",(Q16/1.08),Q16))</f>
        <v>32000</v>
      </c>
      <c r="U16" s="136">
        <f>Q16+R16</f>
        <v>34560</v>
      </c>
      <c r="V16" s="137" t="s">
        <v>1186</v>
      </c>
      <c r="W16" s="138">
        <v>46134</v>
      </c>
      <c r="X16" s="139" t="s">
        <v>1264</v>
      </c>
      <c r="Y16" s="140" t="s">
        <v>1193</v>
      </c>
      <c r="Z16" s="141" t="s">
        <v>1265</v>
      </c>
      <c r="AA16" s="142">
        <v>45000</v>
      </c>
      <c r="AB16" s="142" t="s">
        <v>1262</v>
      </c>
      <c r="AC16" s="142" t="s">
        <v>1263</v>
      </c>
      <c r="AD16" s="143">
        <f>IF(AB16="IVA Incluido",(AA16/1.19),IF(AB16="Ipoconsumo Incluido",(AA16/1.08),AA16))</f>
        <v>45000</v>
      </c>
      <c r="AE16" s="144">
        <f>IF(AC16="Si tiene IVA",AD16*19%,IF(AC16="Si tiene IPOCONSUMO",AD16*8%,0))</f>
        <v>3600</v>
      </c>
      <c r="AF16" s="144">
        <f t="shared" si="20"/>
        <v>48600</v>
      </c>
      <c r="AG16" s="144">
        <f>IF(AE16="IVA Incluido",(AD16/1.19),IF(AE16="Ipoconsumo Incluido",(AD16/1.08),AD16))</f>
        <v>45000</v>
      </c>
      <c r="AH16" s="144">
        <f>AD16+AE16</f>
        <v>48600</v>
      </c>
      <c r="AI16" s="145"/>
      <c r="AJ16" s="146"/>
      <c r="AK16" s="147"/>
      <c r="AL16" s="148"/>
      <c r="AM16" s="149"/>
      <c r="AN16" s="150"/>
      <c r="AO16" s="150"/>
      <c r="AP16" s="151"/>
      <c r="AQ16" s="152"/>
      <c r="AR16" s="153"/>
      <c r="AS16" s="153"/>
      <c r="AT16" s="153"/>
      <c r="AU16" s="153"/>
      <c r="AV16" s="154">
        <f t="shared" si="21"/>
        <v>41580</v>
      </c>
      <c r="AW16" s="154">
        <f t="shared" si="22"/>
        <v>41580</v>
      </c>
      <c r="AX16" s="154">
        <f t="shared" si="23"/>
        <v>9927.7792078591265</v>
      </c>
      <c r="AY16" s="155">
        <f t="shared" si="24"/>
        <v>0.23876332871234071</v>
      </c>
      <c r="AZ16" s="5"/>
      <c r="BA16" s="7">
        <f t="shared" si="25"/>
        <v>2</v>
      </c>
    </row>
    <row r="17" spans="1:53" ht="87" hidden="1" customHeight="1">
      <c r="A17" s="6" t="s">
        <v>1182</v>
      </c>
      <c r="B17" s="6" t="s">
        <v>1236</v>
      </c>
      <c r="C17" s="6">
        <v>90101603</v>
      </c>
      <c r="D17" s="6" t="s">
        <v>1269</v>
      </c>
      <c r="E17" s="127" t="s">
        <v>1270</v>
      </c>
      <c r="F17" s="128" t="s">
        <v>1011</v>
      </c>
      <c r="G17" s="129">
        <v>1</v>
      </c>
      <c r="H17" s="128" t="s">
        <v>192</v>
      </c>
      <c r="I17" s="130" t="s">
        <v>1186</v>
      </c>
      <c r="J17" s="131">
        <v>46134</v>
      </c>
      <c r="K17" s="132" t="s">
        <v>1260</v>
      </c>
      <c r="L17" s="133" t="s">
        <v>1193</v>
      </c>
      <c r="M17" s="131" t="s">
        <v>1261</v>
      </c>
      <c r="N17" s="134">
        <v>30000</v>
      </c>
      <c r="O17" s="134" t="s">
        <v>1262</v>
      </c>
      <c r="P17" s="134" t="s">
        <v>1263</v>
      </c>
      <c r="Q17" s="135">
        <f>IF(O17="IVA Incluido",(N17/1.19),IF(O17="Ipoconsumo Incluido",(N17/1.08),N17))</f>
        <v>30000</v>
      </c>
      <c r="R17" s="136">
        <f>IF(P17="Si tiene IVA",Q17*19%,IF(P17="Si tiene IPOCONSUMO",Q17*8%,0))</f>
        <v>2400</v>
      </c>
      <c r="S17" s="136">
        <f t="shared" si="19"/>
        <v>32400</v>
      </c>
      <c r="T17" s="136">
        <f>IF(R17="IVA Incluido",(Q17/1.19),IF(R17="Ipoconsumo Incluido",(Q17/1.08),Q17))</f>
        <v>30000</v>
      </c>
      <c r="U17" s="136">
        <f>Q17+R17</f>
        <v>32400</v>
      </c>
      <c r="V17" s="137" t="s">
        <v>1186</v>
      </c>
      <c r="W17" s="138">
        <v>46149</v>
      </c>
      <c r="X17" s="139" t="s">
        <v>1264</v>
      </c>
      <c r="Y17" s="140" t="s">
        <v>1188</v>
      </c>
      <c r="Z17" s="141" t="s">
        <v>1265</v>
      </c>
      <c r="AA17" s="142">
        <v>45000</v>
      </c>
      <c r="AB17" s="142" t="s">
        <v>1262</v>
      </c>
      <c r="AC17" s="142" t="s">
        <v>1263</v>
      </c>
      <c r="AD17" s="143">
        <f>IF(AB17="IVA Incluido",(AA17/1.19),IF(AB17="Ipoconsumo Incluido",(AA17/1.08),AA17))</f>
        <v>45000</v>
      </c>
      <c r="AE17" s="144">
        <f>IF(AC17="Si tiene IVA",AD17*19%,IF(AC17="Si tiene IPOCONSUMO",AD17*8%,0))</f>
        <v>3600</v>
      </c>
      <c r="AF17" s="144">
        <f t="shared" si="20"/>
        <v>48600</v>
      </c>
      <c r="AG17" s="144">
        <f>IF(O17="","",(AA17*G17))</f>
        <v>45000</v>
      </c>
      <c r="AH17" s="144">
        <f>IF(O17="","",(AF17*G17))</f>
        <v>48600</v>
      </c>
      <c r="AI17" s="145" t="s">
        <v>1186</v>
      </c>
      <c r="AJ17" s="146">
        <v>46149</v>
      </c>
      <c r="AK17" s="147" t="s">
        <v>1266</v>
      </c>
      <c r="AL17" s="148" t="s">
        <v>1188</v>
      </c>
      <c r="AM17" s="149" t="s">
        <v>515</v>
      </c>
      <c r="AN17" s="150">
        <v>33445</v>
      </c>
      <c r="AO17" s="150" t="s">
        <v>1262</v>
      </c>
      <c r="AP17" s="151" t="s">
        <v>1263</v>
      </c>
      <c r="AQ17" s="152">
        <f>IF(AO17="IVA Incluido",(AN17/1.19),IF(AO17="Ipoconsumo Incluido",(AN17/1.08),AN17))</f>
        <v>33445</v>
      </c>
      <c r="AR17" s="153">
        <f>IF(AP17="Si tiene IVA",AQ17*19%,IF(AP17="Si tiene IPOCONSUMO",AQ17*8%,0))</f>
        <v>2675.6</v>
      </c>
      <c r="AS17" s="153">
        <f>AQ17+AR17</f>
        <v>36120.6</v>
      </c>
      <c r="AT17" s="153">
        <f>IF(AR17="IVA Incluido",(AQ17/1.19),IF(AR17="Ipoconsumo Incluido",(AQ17/1.08),AQ17))</f>
        <v>33445</v>
      </c>
      <c r="AU17" s="153">
        <f>AQ17+AR17</f>
        <v>36120.6</v>
      </c>
      <c r="AV17" s="154">
        <f t="shared" si="21"/>
        <v>39040.200000000004</v>
      </c>
      <c r="AW17" s="154">
        <f t="shared" si="22"/>
        <v>39040.200000000004</v>
      </c>
      <c r="AX17" s="154">
        <f t="shared" si="23"/>
        <v>8485.4609845311224</v>
      </c>
      <c r="AY17" s="155">
        <f t="shared" si="24"/>
        <v>0.21735188304699057</v>
      </c>
      <c r="AZ17" s="5"/>
      <c r="BA17" s="7">
        <f t="shared" si="25"/>
        <v>3</v>
      </c>
    </row>
    <row r="18" spans="1:53" ht="87" hidden="1" customHeight="1">
      <c r="A18" s="6" t="s">
        <v>1182</v>
      </c>
      <c r="B18" s="6" t="s">
        <v>1236</v>
      </c>
      <c r="C18" s="6">
        <v>90101603</v>
      </c>
      <c r="D18" s="6" t="s">
        <v>1013</v>
      </c>
      <c r="E18" s="127" t="s">
        <v>1014</v>
      </c>
      <c r="F18" s="128" t="s">
        <v>1011</v>
      </c>
      <c r="G18" s="129">
        <v>1</v>
      </c>
      <c r="H18" s="128" t="s">
        <v>192</v>
      </c>
      <c r="I18" s="130" t="s">
        <v>1186</v>
      </c>
      <c r="J18" s="131">
        <v>46134</v>
      </c>
      <c r="K18" s="132" t="s">
        <v>1260</v>
      </c>
      <c r="L18" s="133" t="s">
        <v>1193</v>
      </c>
      <c r="M18" s="131" t="s">
        <v>1261</v>
      </c>
      <c r="N18" s="134">
        <v>34000</v>
      </c>
      <c r="O18" s="134" t="s">
        <v>1262</v>
      </c>
      <c r="P18" s="134" t="s">
        <v>1263</v>
      </c>
      <c r="Q18" s="135">
        <f>IF(O18="IVA Incluido",(N18/1.19),IF(O18="Ipoconsumo Incluido",(N18/1.08),N18))</f>
        <v>34000</v>
      </c>
      <c r="R18" s="136">
        <f>IF(P18="Si tiene IVA",Q18*19%,IF(P18="Si tiene IPOCONSUMO",Q18*8%,0))</f>
        <v>2720</v>
      </c>
      <c r="S18" s="136">
        <f t="shared" si="19"/>
        <v>36720</v>
      </c>
      <c r="T18" s="136">
        <f>IF(R18="IVA Incluido",(Q18/1.19),IF(R18="Ipoconsumo Incluido",(Q18/1.08),Q18))</f>
        <v>34000</v>
      </c>
      <c r="U18" s="136">
        <f>Q18+R18</f>
        <v>36720</v>
      </c>
      <c r="V18" s="137" t="s">
        <v>1186</v>
      </c>
      <c r="W18" s="138">
        <v>46134</v>
      </c>
      <c r="X18" s="139" t="s">
        <v>1264</v>
      </c>
      <c r="Y18" s="140" t="s">
        <v>1193</v>
      </c>
      <c r="Z18" s="141" t="s">
        <v>1265</v>
      </c>
      <c r="AA18" s="142">
        <v>45000</v>
      </c>
      <c r="AB18" s="142" t="s">
        <v>1262</v>
      </c>
      <c r="AC18" s="142" t="s">
        <v>1263</v>
      </c>
      <c r="AD18" s="143">
        <f>IF(AB18="IVA Incluido",(AA18/1.19),IF(AB18="Ipoconsumo Incluido",(AA18/1.08),AA18))</f>
        <v>45000</v>
      </c>
      <c r="AE18" s="144">
        <f>IF(AC18="Si tiene IVA",AD18*19%,IF(AC18="Si tiene IPOCONSUMO",AD18*8%,0))</f>
        <v>3600</v>
      </c>
      <c r="AF18" s="144">
        <f t="shared" si="20"/>
        <v>48600</v>
      </c>
      <c r="AG18" s="144">
        <f>IF(AE18="IVA Incluido",(AD18/1.19),IF(AE18="Ipoconsumo Incluido",(AD18/1.08),AD18))</f>
        <v>45000</v>
      </c>
      <c r="AH18" s="144">
        <f>AD18+AE18</f>
        <v>48600</v>
      </c>
      <c r="AI18" s="145" t="s">
        <v>1186</v>
      </c>
      <c r="AJ18" s="146">
        <v>46094</v>
      </c>
      <c r="AK18" s="147" t="s">
        <v>1266</v>
      </c>
      <c r="AL18" s="148" t="s">
        <v>1193</v>
      </c>
      <c r="AM18" s="149" t="s">
        <v>515</v>
      </c>
      <c r="AN18" s="150">
        <v>33445</v>
      </c>
      <c r="AO18" s="150" t="s">
        <v>1262</v>
      </c>
      <c r="AP18" s="151" t="s">
        <v>1263</v>
      </c>
      <c r="AQ18" s="152">
        <f>IF(AO18="IVA Incluido",(AN18/1.19),IF(AO18="Ipoconsumo Incluido",(AN18/1.08),AN18))</f>
        <v>33445</v>
      </c>
      <c r="AR18" s="153">
        <f>IF(AP18="Si tiene IVA",AQ18*19%,IF(AP18="Si tiene IPOCONSUMO",AQ18*8%,0))</f>
        <v>2675.6</v>
      </c>
      <c r="AS18" s="153">
        <f>AQ18+AR18</f>
        <v>36120.6</v>
      </c>
      <c r="AT18" s="153">
        <f>IF(AR18="IVA Incluido",(AQ18/1.19),IF(AR18="Ipoconsumo Incluido",(AQ18/1.08),AQ18))</f>
        <v>33445</v>
      </c>
      <c r="AU18" s="153">
        <f>AQ18+AR18</f>
        <v>36120.6</v>
      </c>
      <c r="AV18" s="154">
        <f t="shared" si="21"/>
        <v>40480.200000000004</v>
      </c>
      <c r="AW18" s="154">
        <f t="shared" si="22"/>
        <v>40480.200000000004</v>
      </c>
      <c r="AX18" s="154">
        <f t="shared" si="23"/>
        <v>7038.3367438621381</v>
      </c>
      <c r="AY18" s="155">
        <f t="shared" si="24"/>
        <v>0.17387109608801679</v>
      </c>
      <c r="AZ18" s="5"/>
      <c r="BA18" s="7">
        <f t="shared" si="25"/>
        <v>3</v>
      </c>
    </row>
    <row r="19" spans="1:53" ht="101.65" hidden="1" customHeight="1">
      <c r="A19" s="6" t="s">
        <v>1182</v>
      </c>
      <c r="B19" s="6" t="s">
        <v>1236</v>
      </c>
      <c r="C19" s="6" t="s">
        <v>1271</v>
      </c>
      <c r="D19" s="6" t="s">
        <v>1272</v>
      </c>
      <c r="E19" s="127" t="s">
        <v>1273</v>
      </c>
      <c r="F19" s="128" t="s">
        <v>191</v>
      </c>
      <c r="G19" s="129">
        <v>1</v>
      </c>
      <c r="H19" s="128" t="s">
        <v>305</v>
      </c>
      <c r="I19" s="130" t="s">
        <v>1186</v>
      </c>
      <c r="J19" s="131">
        <v>46153</v>
      </c>
      <c r="K19" s="132" t="s">
        <v>1274</v>
      </c>
      <c r="L19" s="133" t="s">
        <v>1193</v>
      </c>
      <c r="M19" s="131" t="s">
        <v>1275</v>
      </c>
      <c r="N19" s="134">
        <v>3750000</v>
      </c>
      <c r="O19" s="134" t="s">
        <v>1197</v>
      </c>
      <c r="P19" s="134" t="s">
        <v>1191</v>
      </c>
      <c r="Q19" s="135">
        <f>IF(O19="IVA Incluido",(N19/1.19),N19)</f>
        <v>3750000</v>
      </c>
      <c r="R19" s="136">
        <f>IF(P19="Si tiene IVA",Q19*19%,0)</f>
        <v>712500</v>
      </c>
      <c r="S19" s="136">
        <f t="shared" si="19"/>
        <v>4462500</v>
      </c>
      <c r="T19" s="136">
        <f>IF(B19="","",(N19*G19))</f>
        <v>3750000</v>
      </c>
      <c r="U19" s="136">
        <f>IF(B19="","",(S19*G19))</f>
        <v>4462500</v>
      </c>
      <c r="V19" s="137" t="s">
        <v>1186</v>
      </c>
      <c r="W19" s="138">
        <v>46153</v>
      </c>
      <c r="X19" s="139" t="s">
        <v>1276</v>
      </c>
      <c r="Y19" s="140" t="s">
        <v>1193</v>
      </c>
      <c r="Z19" s="141" t="s">
        <v>1277</v>
      </c>
      <c r="AA19" s="142">
        <v>5000000</v>
      </c>
      <c r="AB19" s="142" t="s">
        <v>1197</v>
      </c>
      <c r="AC19" s="142" t="s">
        <v>1191</v>
      </c>
      <c r="AD19" s="143">
        <f>IF(AB19="IVA Incluido",(AA19/1.19),AA19)</f>
        <v>5000000</v>
      </c>
      <c r="AE19" s="144">
        <f>IF(AC19="Si tiene IVA",AD19*19%,0)</f>
        <v>950000</v>
      </c>
      <c r="AF19" s="144">
        <f t="shared" si="20"/>
        <v>5950000</v>
      </c>
      <c r="AG19" s="144">
        <f>IF(O19="","",(AA19*G19))</f>
        <v>5000000</v>
      </c>
      <c r="AH19" s="144">
        <f>IF(O19="","",(AF19*G19))</f>
        <v>5950000</v>
      </c>
      <c r="AI19" s="145" t="s">
        <v>1186</v>
      </c>
      <c r="AJ19" s="146">
        <v>46153</v>
      </c>
      <c r="AK19" s="147" t="s">
        <v>1278</v>
      </c>
      <c r="AL19" s="148" t="s">
        <v>1193</v>
      </c>
      <c r="AM19" s="149" t="s">
        <v>1279</v>
      </c>
      <c r="AN19" s="150">
        <v>4200000</v>
      </c>
      <c r="AO19" s="150" t="s">
        <v>1197</v>
      </c>
      <c r="AP19" s="151" t="s">
        <v>1191</v>
      </c>
      <c r="AQ19" s="152">
        <f>IF(AO19="IVA Incluido",(AN19/1.19),AN19)</f>
        <v>4200000</v>
      </c>
      <c r="AR19" s="153">
        <f>IF(AP19="Si tiene IVA",AQ19*19%,0)</f>
        <v>798000</v>
      </c>
      <c r="AS19" s="153">
        <f>AQ19+AR19</f>
        <v>4998000</v>
      </c>
      <c r="AT19" s="153">
        <f>IF(AB19="","",(AN19*G19))</f>
        <v>4200000</v>
      </c>
      <c r="AU19" s="153">
        <f>IF(AB19="","",(AS19*G19))</f>
        <v>4998000</v>
      </c>
      <c r="AV19" s="154">
        <f t="shared" si="21"/>
        <v>5136833.333333333</v>
      </c>
      <c r="AW19" s="154">
        <f t="shared" si="22"/>
        <v>5136833.333333333</v>
      </c>
      <c r="AX19" s="154">
        <f t="shared" si="23"/>
        <v>753405.65655783075</v>
      </c>
      <c r="AY19" s="155">
        <f t="shared" si="24"/>
        <v>0.14666733523724035</v>
      </c>
      <c r="AZ19" s="5"/>
      <c r="BA19" s="7">
        <f t="shared" si="25"/>
        <v>3</v>
      </c>
    </row>
    <row r="20" spans="1:53" ht="58.15" hidden="1" customHeight="1">
      <c r="A20" s="6" t="s">
        <v>1182</v>
      </c>
      <c r="B20" s="6" t="s">
        <v>1236</v>
      </c>
      <c r="C20" s="6" t="s">
        <v>1280</v>
      </c>
      <c r="D20" s="6" t="s">
        <v>519</v>
      </c>
      <c r="E20" s="127" t="s">
        <v>520</v>
      </c>
      <c r="F20" s="128" t="s">
        <v>1011</v>
      </c>
      <c r="G20" s="129">
        <v>1</v>
      </c>
      <c r="H20" s="128" t="s">
        <v>305</v>
      </c>
      <c r="I20" s="130" t="s">
        <v>1186</v>
      </c>
      <c r="J20" s="131">
        <v>46134</v>
      </c>
      <c r="K20" s="132" t="s">
        <v>1281</v>
      </c>
      <c r="L20" s="133" t="s">
        <v>1193</v>
      </c>
      <c r="M20" s="131" t="s">
        <v>1282</v>
      </c>
      <c r="N20" s="134">
        <v>1020000</v>
      </c>
      <c r="O20" s="134" t="s">
        <v>1197</v>
      </c>
      <c r="P20" s="134" t="s">
        <v>1217</v>
      </c>
      <c r="Q20" s="135">
        <v>1360000</v>
      </c>
      <c r="R20" s="136">
        <f>IF(P20="Si tiene IVA",Q20*19%,0)</f>
        <v>0</v>
      </c>
      <c r="S20" s="136">
        <f t="shared" si="19"/>
        <v>1360000</v>
      </c>
      <c r="T20" s="136">
        <f>IF(B20="","",(N20*G20))</f>
        <v>1020000</v>
      </c>
      <c r="U20" s="136">
        <f>IF(B20="","",(S20*G20))</f>
        <v>1360000</v>
      </c>
      <c r="V20" s="137" t="s">
        <v>1186</v>
      </c>
      <c r="W20" s="138">
        <v>46134</v>
      </c>
      <c r="X20" s="139" t="s">
        <v>1266</v>
      </c>
      <c r="Y20" s="140" t="s">
        <v>1193</v>
      </c>
      <c r="Z20" s="141" t="s">
        <v>515</v>
      </c>
      <c r="AA20" s="142">
        <v>1280000</v>
      </c>
      <c r="AB20" s="142" t="s">
        <v>1197</v>
      </c>
      <c r="AC20" s="142" t="s">
        <v>1217</v>
      </c>
      <c r="AD20" s="143">
        <f>IF(AB20="IVA Incluido",(AA20/1.19),AA20)</f>
        <v>1280000</v>
      </c>
      <c r="AE20" s="144">
        <f>IF(AC20="Si tiene IVA",AD20*19%,0)</f>
        <v>0</v>
      </c>
      <c r="AF20" s="144">
        <f t="shared" si="20"/>
        <v>1280000</v>
      </c>
      <c r="AG20" s="144">
        <f>IF(O20="","",(AA20*G20))</f>
        <v>1280000</v>
      </c>
      <c r="AH20" s="144">
        <f>IF(O20="","",(AF20*G20))</f>
        <v>1280000</v>
      </c>
      <c r="AI20" s="145" t="s">
        <v>1186</v>
      </c>
      <c r="AJ20" s="146">
        <v>46134</v>
      </c>
      <c r="AK20" s="147" t="s">
        <v>1283</v>
      </c>
      <c r="AL20" s="148" t="s">
        <v>1193</v>
      </c>
      <c r="AM20" s="149" t="s">
        <v>1283</v>
      </c>
      <c r="AN20" s="150">
        <v>1394000</v>
      </c>
      <c r="AO20" s="150" t="s">
        <v>1197</v>
      </c>
      <c r="AP20" s="151" t="s">
        <v>1217</v>
      </c>
      <c r="AQ20" s="152">
        <f>IF(AO20="IVA Incluido",(AN20/1.19),AN20)</f>
        <v>1394000</v>
      </c>
      <c r="AR20" s="153">
        <f>IF(AP20="Si tiene IVA",AQ20*19%,0)</f>
        <v>0</v>
      </c>
      <c r="AS20" s="153">
        <f>AQ20+AR20</f>
        <v>1394000</v>
      </c>
      <c r="AT20" s="153">
        <f>IF(AB20="","",(AN20*G20))</f>
        <v>1394000</v>
      </c>
      <c r="AU20" s="153">
        <f>IF(AB20="","",(AS20*G20))</f>
        <v>1394000</v>
      </c>
      <c r="AV20" s="154">
        <f t="shared" si="21"/>
        <v>1344666.6666666667</v>
      </c>
      <c r="AW20" s="154">
        <f t="shared" si="22"/>
        <v>1344666.6666666667</v>
      </c>
      <c r="AX20" s="154">
        <f t="shared" si="23"/>
        <v>58526.347343169582</v>
      </c>
      <c r="AY20" s="155">
        <f t="shared" si="24"/>
        <v>4.3524799709843513E-2</v>
      </c>
      <c r="AZ20" s="5"/>
      <c r="BA20" s="7">
        <f t="shared" si="25"/>
        <v>3</v>
      </c>
    </row>
    <row r="21" spans="1:53" ht="348" hidden="1" customHeight="1">
      <c r="A21" s="6" t="s">
        <v>569</v>
      </c>
      <c r="B21" s="6" t="s">
        <v>569</v>
      </c>
      <c r="C21" s="6" t="s">
        <v>569</v>
      </c>
      <c r="D21" s="6" t="s">
        <v>1284</v>
      </c>
      <c r="E21" s="127" t="s">
        <v>1285</v>
      </c>
      <c r="F21" s="128" t="s">
        <v>1247</v>
      </c>
      <c r="G21" s="129">
        <v>1</v>
      </c>
      <c r="H21" s="128"/>
      <c r="I21" s="130" t="s">
        <v>569</v>
      </c>
      <c r="J21" s="131" t="s">
        <v>569</v>
      </c>
      <c r="K21" s="132" t="s">
        <v>569</v>
      </c>
      <c r="L21" s="133" t="s">
        <v>569</v>
      </c>
      <c r="M21" s="131" t="s">
        <v>569</v>
      </c>
      <c r="N21" s="134"/>
      <c r="O21" s="134"/>
      <c r="P21" s="134"/>
      <c r="Q21" s="135" t="s">
        <v>1248</v>
      </c>
      <c r="R21" s="136" t="s">
        <v>1248</v>
      </c>
      <c r="S21" s="136" t="s">
        <v>1248</v>
      </c>
      <c r="T21" s="136" t="s">
        <v>1248</v>
      </c>
      <c r="U21" s="136" t="s">
        <v>1248</v>
      </c>
      <c r="V21" s="137" t="s">
        <v>569</v>
      </c>
      <c r="W21" s="138" t="s">
        <v>569</v>
      </c>
      <c r="X21" s="139" t="s">
        <v>569</v>
      </c>
      <c r="Y21" s="140" t="s">
        <v>569</v>
      </c>
      <c r="Z21" s="141" t="s">
        <v>1249</v>
      </c>
      <c r="AA21" s="142" t="s">
        <v>569</v>
      </c>
      <c r="AB21" s="142" t="s">
        <v>569</v>
      </c>
      <c r="AC21" s="142" t="s">
        <v>569</v>
      </c>
      <c r="AD21" s="143" t="s">
        <v>569</v>
      </c>
      <c r="AE21" s="144" t="s">
        <v>569</v>
      </c>
      <c r="AF21" s="144">
        <v>3681341</v>
      </c>
      <c r="AG21" s="144">
        <v>5.5599999999999997E-2</v>
      </c>
      <c r="AH21" s="144">
        <v>3886024</v>
      </c>
      <c r="AI21" s="145" t="s">
        <v>569</v>
      </c>
      <c r="AJ21" s="146" t="s">
        <v>569</v>
      </c>
      <c r="AK21" s="147" t="s">
        <v>569</v>
      </c>
      <c r="AL21" s="148" t="s">
        <v>569</v>
      </c>
      <c r="AM21" s="149" t="s">
        <v>1250</v>
      </c>
      <c r="AN21" s="150" t="s">
        <v>569</v>
      </c>
      <c r="AO21" s="150" t="s">
        <v>569</v>
      </c>
      <c r="AP21" s="151" t="s">
        <v>569</v>
      </c>
      <c r="AQ21" s="152">
        <v>3155435</v>
      </c>
      <c r="AR21" s="153">
        <v>599533</v>
      </c>
      <c r="AS21" s="153">
        <v>3754968</v>
      </c>
      <c r="AT21" s="153">
        <v>3155435</v>
      </c>
      <c r="AU21" s="153">
        <v>3754968</v>
      </c>
      <c r="AV21" s="154">
        <v>3820496</v>
      </c>
      <c r="AW21" s="154">
        <v>3820496</v>
      </c>
      <c r="AX21" s="154">
        <v>92670.41</v>
      </c>
      <c r="AY21" s="155">
        <v>2.4299999999999999E-2</v>
      </c>
      <c r="AZ21" s="5"/>
      <c r="BA21" s="7"/>
    </row>
    <row r="22" spans="1:53" ht="348" hidden="1" customHeight="1">
      <c r="A22" s="6" t="s">
        <v>569</v>
      </c>
      <c r="B22" s="6" t="s">
        <v>569</v>
      </c>
      <c r="C22" s="6" t="s">
        <v>569</v>
      </c>
      <c r="D22" s="6" t="s">
        <v>1286</v>
      </c>
      <c r="E22" s="127" t="s">
        <v>1287</v>
      </c>
      <c r="F22" s="128" t="s">
        <v>1247</v>
      </c>
      <c r="G22" s="129">
        <v>1</v>
      </c>
      <c r="H22" s="128"/>
      <c r="I22" s="130" t="s">
        <v>569</v>
      </c>
      <c r="J22" s="131" t="s">
        <v>569</v>
      </c>
      <c r="K22" s="132" t="s">
        <v>569</v>
      </c>
      <c r="L22" s="133" t="s">
        <v>569</v>
      </c>
      <c r="M22" s="131" t="s">
        <v>569</v>
      </c>
      <c r="N22" s="134"/>
      <c r="O22" s="134"/>
      <c r="P22" s="134"/>
      <c r="Q22" s="135" t="s">
        <v>1248</v>
      </c>
      <c r="R22" s="136" t="s">
        <v>1248</v>
      </c>
      <c r="S22" s="136" t="s">
        <v>1248</v>
      </c>
      <c r="T22" s="136" t="s">
        <v>1248</v>
      </c>
      <c r="U22" s="136" t="s">
        <v>1248</v>
      </c>
      <c r="V22" s="137" t="s">
        <v>569</v>
      </c>
      <c r="W22" s="138" t="s">
        <v>569</v>
      </c>
      <c r="X22" s="139" t="s">
        <v>569</v>
      </c>
      <c r="Y22" s="140" t="s">
        <v>569</v>
      </c>
      <c r="Z22" s="141" t="s">
        <v>1249</v>
      </c>
      <c r="AA22" s="142" t="s">
        <v>569</v>
      </c>
      <c r="AB22" s="142" t="s">
        <v>569</v>
      </c>
      <c r="AC22" s="142" t="s">
        <v>569</v>
      </c>
      <c r="AD22" s="143" t="s">
        <v>569</v>
      </c>
      <c r="AE22" s="144" t="s">
        <v>569</v>
      </c>
      <c r="AF22" s="144">
        <v>448270</v>
      </c>
      <c r="AG22" s="144">
        <v>5.5599999999999997E-2</v>
      </c>
      <c r="AH22" s="144">
        <v>473194</v>
      </c>
      <c r="AI22" s="145" t="s">
        <v>569</v>
      </c>
      <c r="AJ22" s="146" t="s">
        <v>569</v>
      </c>
      <c r="AK22" s="147" t="s">
        <v>569</v>
      </c>
      <c r="AL22" s="148" t="s">
        <v>569</v>
      </c>
      <c r="AM22" s="149" t="s">
        <v>1250</v>
      </c>
      <c r="AN22" s="150" t="s">
        <v>569</v>
      </c>
      <c r="AO22" s="150" t="s">
        <v>569</v>
      </c>
      <c r="AP22" s="151" t="s">
        <v>569</v>
      </c>
      <c r="AQ22" s="152">
        <v>395532</v>
      </c>
      <c r="AR22" s="153">
        <v>75151</v>
      </c>
      <c r="AS22" s="153">
        <v>470684</v>
      </c>
      <c r="AT22" s="153">
        <v>395532</v>
      </c>
      <c r="AU22" s="153">
        <v>470684</v>
      </c>
      <c r="AV22" s="154">
        <v>471939</v>
      </c>
      <c r="AW22" s="154">
        <v>471939</v>
      </c>
      <c r="AX22" s="154">
        <v>1775.06</v>
      </c>
      <c r="AY22" s="155">
        <v>3.8E-3</v>
      </c>
      <c r="AZ22" s="5"/>
      <c r="BA22" s="7"/>
    </row>
    <row r="23" spans="1:53" ht="348" hidden="1" customHeight="1">
      <c r="A23" s="6" t="s">
        <v>569</v>
      </c>
      <c r="B23" s="6" t="s">
        <v>569</v>
      </c>
      <c r="C23" s="6" t="s">
        <v>569</v>
      </c>
      <c r="D23" s="6" t="s">
        <v>1288</v>
      </c>
      <c r="E23" s="127" t="s">
        <v>1289</v>
      </c>
      <c r="F23" s="128" t="s">
        <v>1247</v>
      </c>
      <c r="G23" s="129">
        <v>1</v>
      </c>
      <c r="H23" s="128"/>
      <c r="I23" s="130" t="s">
        <v>569</v>
      </c>
      <c r="J23" s="131" t="s">
        <v>569</v>
      </c>
      <c r="K23" s="132" t="s">
        <v>569</v>
      </c>
      <c r="L23" s="133" t="s">
        <v>569</v>
      </c>
      <c r="M23" s="131" t="s">
        <v>569</v>
      </c>
      <c r="N23" s="134"/>
      <c r="O23" s="134"/>
      <c r="P23" s="134"/>
      <c r="Q23" s="135" t="s">
        <v>1248</v>
      </c>
      <c r="R23" s="136" t="s">
        <v>1248</v>
      </c>
      <c r="S23" s="136" t="s">
        <v>1248</v>
      </c>
      <c r="T23" s="136" t="s">
        <v>1248</v>
      </c>
      <c r="U23" s="136" t="s">
        <v>1248</v>
      </c>
      <c r="V23" s="137" t="s">
        <v>569</v>
      </c>
      <c r="W23" s="138" t="s">
        <v>569</v>
      </c>
      <c r="X23" s="139" t="s">
        <v>569</v>
      </c>
      <c r="Y23" s="140" t="s">
        <v>569</v>
      </c>
      <c r="Z23" s="141" t="s">
        <v>1249</v>
      </c>
      <c r="AA23" s="142" t="s">
        <v>569</v>
      </c>
      <c r="AB23" s="142" t="s">
        <v>569</v>
      </c>
      <c r="AC23" s="142" t="s">
        <v>569</v>
      </c>
      <c r="AD23" s="143" t="s">
        <v>569</v>
      </c>
      <c r="AE23" s="144" t="s">
        <v>569</v>
      </c>
      <c r="AF23" s="144">
        <v>251033</v>
      </c>
      <c r="AG23" s="144">
        <v>5.5599999999999997E-2</v>
      </c>
      <c r="AH23" s="144">
        <v>264990</v>
      </c>
      <c r="AI23" s="145" t="s">
        <v>569</v>
      </c>
      <c r="AJ23" s="146" t="s">
        <v>569</v>
      </c>
      <c r="AK23" s="147" t="s">
        <v>569</v>
      </c>
      <c r="AL23" s="148" t="s">
        <v>569</v>
      </c>
      <c r="AM23" s="149" t="s">
        <v>1250</v>
      </c>
      <c r="AN23" s="150" t="s">
        <v>569</v>
      </c>
      <c r="AO23" s="150" t="s">
        <v>569</v>
      </c>
      <c r="AP23" s="151" t="s">
        <v>569</v>
      </c>
      <c r="AQ23" s="152">
        <v>221500</v>
      </c>
      <c r="AR23" s="153">
        <v>42085</v>
      </c>
      <c r="AS23" s="153">
        <v>263585</v>
      </c>
      <c r="AT23" s="153">
        <v>221500</v>
      </c>
      <c r="AU23" s="153">
        <v>263585</v>
      </c>
      <c r="AV23" s="154">
        <v>264288</v>
      </c>
      <c r="AW23" s="154">
        <v>264288</v>
      </c>
      <c r="AX23" s="154">
        <v>994.04</v>
      </c>
      <c r="AY23" s="155">
        <v>3.8E-3</v>
      </c>
      <c r="AZ23" s="5"/>
      <c r="BA23" s="7"/>
    </row>
    <row r="24" spans="1:53" ht="348" hidden="1" customHeight="1">
      <c r="A24" s="6" t="s">
        <v>569</v>
      </c>
      <c r="B24" s="6" t="s">
        <v>569</v>
      </c>
      <c r="C24" s="6" t="s">
        <v>569</v>
      </c>
      <c r="D24" s="6" t="s">
        <v>1290</v>
      </c>
      <c r="E24" s="127" t="s">
        <v>1291</v>
      </c>
      <c r="F24" s="128" t="s">
        <v>1247</v>
      </c>
      <c r="G24" s="129">
        <v>1</v>
      </c>
      <c r="H24" s="128"/>
      <c r="I24" s="130" t="s">
        <v>569</v>
      </c>
      <c r="J24" s="131" t="s">
        <v>569</v>
      </c>
      <c r="K24" s="132" t="s">
        <v>569</v>
      </c>
      <c r="L24" s="133" t="s">
        <v>569</v>
      </c>
      <c r="M24" s="131" t="s">
        <v>569</v>
      </c>
      <c r="N24" s="134"/>
      <c r="O24" s="134"/>
      <c r="P24" s="134"/>
      <c r="Q24" s="135" t="s">
        <v>1248</v>
      </c>
      <c r="R24" s="136" t="s">
        <v>1248</v>
      </c>
      <c r="S24" s="136" t="s">
        <v>1248</v>
      </c>
      <c r="T24" s="136" t="s">
        <v>1248</v>
      </c>
      <c r="U24" s="136" t="s">
        <v>1248</v>
      </c>
      <c r="V24" s="137" t="s">
        <v>569</v>
      </c>
      <c r="W24" s="138" t="s">
        <v>569</v>
      </c>
      <c r="X24" s="139" t="s">
        <v>569</v>
      </c>
      <c r="Y24" s="140" t="s">
        <v>569</v>
      </c>
      <c r="Z24" s="141" t="s">
        <v>1249</v>
      </c>
      <c r="AA24" s="142" t="s">
        <v>569</v>
      </c>
      <c r="AB24" s="142" t="s">
        <v>569</v>
      </c>
      <c r="AC24" s="142" t="s">
        <v>569</v>
      </c>
      <c r="AD24" s="143" t="s">
        <v>569</v>
      </c>
      <c r="AE24" s="144" t="s">
        <v>569</v>
      </c>
      <c r="AF24" s="144">
        <v>1588837</v>
      </c>
      <c r="AG24" s="144">
        <v>5.5599999999999997E-2</v>
      </c>
      <c r="AH24" s="144">
        <v>1677176</v>
      </c>
      <c r="AI24" s="145" t="s">
        <v>569</v>
      </c>
      <c r="AJ24" s="146" t="s">
        <v>569</v>
      </c>
      <c r="AK24" s="147" t="s">
        <v>569</v>
      </c>
      <c r="AL24" s="148" t="s">
        <v>569</v>
      </c>
      <c r="AM24" s="149" t="s">
        <v>1250</v>
      </c>
      <c r="AN24" s="150" t="s">
        <v>569</v>
      </c>
      <c r="AO24" s="150" t="s">
        <v>569</v>
      </c>
      <c r="AP24" s="151" t="s">
        <v>569</v>
      </c>
      <c r="AQ24" s="152">
        <v>1361860</v>
      </c>
      <c r="AR24" s="153">
        <v>258753</v>
      </c>
      <c r="AS24" s="153">
        <v>1620614</v>
      </c>
      <c r="AT24" s="153">
        <v>1361860</v>
      </c>
      <c r="AU24" s="153">
        <v>1620614</v>
      </c>
      <c r="AV24" s="154">
        <v>1648895</v>
      </c>
      <c r="AW24" s="154">
        <v>1648895</v>
      </c>
      <c r="AX24" s="154">
        <v>39995.800000000003</v>
      </c>
      <c r="AY24" s="155">
        <v>2.4299999999999999E-2</v>
      </c>
      <c r="AZ24" s="5"/>
      <c r="BA24" s="7"/>
    </row>
    <row r="25" spans="1:53" ht="348" hidden="1" customHeight="1">
      <c r="A25" s="6" t="s">
        <v>569</v>
      </c>
      <c r="B25" s="6" t="s">
        <v>569</v>
      </c>
      <c r="C25" s="6" t="s">
        <v>569</v>
      </c>
      <c r="D25" s="6" t="s">
        <v>1292</v>
      </c>
      <c r="E25" s="127" t="s">
        <v>1293</v>
      </c>
      <c r="F25" s="128" t="s">
        <v>1247</v>
      </c>
      <c r="G25" s="129">
        <v>1</v>
      </c>
      <c r="H25" s="128"/>
      <c r="I25" s="130" t="s">
        <v>569</v>
      </c>
      <c r="J25" s="131" t="s">
        <v>569</v>
      </c>
      <c r="K25" s="132" t="s">
        <v>569</v>
      </c>
      <c r="L25" s="133" t="s">
        <v>569</v>
      </c>
      <c r="M25" s="131" t="s">
        <v>569</v>
      </c>
      <c r="N25" s="134"/>
      <c r="O25" s="134"/>
      <c r="P25" s="134"/>
      <c r="Q25" s="135" t="s">
        <v>1248</v>
      </c>
      <c r="R25" s="136" t="s">
        <v>1248</v>
      </c>
      <c r="S25" s="136" t="s">
        <v>1248</v>
      </c>
      <c r="T25" s="136" t="s">
        <v>1248</v>
      </c>
      <c r="U25" s="136" t="s">
        <v>1248</v>
      </c>
      <c r="V25" s="137" t="s">
        <v>569</v>
      </c>
      <c r="W25" s="138" t="s">
        <v>569</v>
      </c>
      <c r="X25" s="139" t="s">
        <v>569</v>
      </c>
      <c r="Y25" s="140" t="s">
        <v>569</v>
      </c>
      <c r="Z25" s="141" t="s">
        <v>1249</v>
      </c>
      <c r="AA25" s="142" t="s">
        <v>569</v>
      </c>
      <c r="AB25" s="142" t="s">
        <v>569</v>
      </c>
      <c r="AC25" s="142" t="s">
        <v>569</v>
      </c>
      <c r="AD25" s="143" t="s">
        <v>569</v>
      </c>
      <c r="AE25" s="144" t="s">
        <v>569</v>
      </c>
      <c r="AF25" s="144">
        <v>373500</v>
      </c>
      <c r="AG25" s="144">
        <v>5.5599999999999997E-2</v>
      </c>
      <c r="AH25" s="144">
        <v>394267</v>
      </c>
      <c r="AI25" s="145" t="s">
        <v>569</v>
      </c>
      <c r="AJ25" s="146" t="s">
        <v>569</v>
      </c>
      <c r="AK25" s="147" t="s">
        <v>569</v>
      </c>
      <c r="AL25" s="148" t="s">
        <v>569</v>
      </c>
      <c r="AM25" s="149" t="s">
        <v>1250</v>
      </c>
      <c r="AN25" s="150" t="s">
        <v>569</v>
      </c>
      <c r="AO25" s="150" t="s">
        <v>569</v>
      </c>
      <c r="AP25" s="151" t="s">
        <v>569</v>
      </c>
      <c r="AQ25" s="152">
        <v>326420</v>
      </c>
      <c r="AR25" s="153">
        <v>62020</v>
      </c>
      <c r="AS25" s="153">
        <v>388440</v>
      </c>
      <c r="AT25" s="153">
        <v>326420</v>
      </c>
      <c r="AU25" s="153">
        <v>388440</v>
      </c>
      <c r="AV25" s="154">
        <v>391353</v>
      </c>
      <c r="AW25" s="154">
        <v>391353</v>
      </c>
      <c r="AX25" s="154">
        <v>4120.03</v>
      </c>
      <c r="AY25" s="155">
        <v>1.0500000000000001E-2</v>
      </c>
      <c r="AZ25" s="5"/>
      <c r="BA25" s="7"/>
    </row>
    <row r="26" spans="1:53" ht="348" hidden="1" customHeight="1">
      <c r="A26" s="6" t="s">
        <v>569</v>
      </c>
      <c r="B26" s="6" t="s">
        <v>569</v>
      </c>
      <c r="C26" s="6" t="s">
        <v>569</v>
      </c>
      <c r="D26" s="6" t="s">
        <v>1294</v>
      </c>
      <c r="E26" s="127" t="s">
        <v>1295</v>
      </c>
      <c r="F26" s="128" t="s">
        <v>1247</v>
      </c>
      <c r="G26" s="129">
        <v>1</v>
      </c>
      <c r="H26" s="128"/>
      <c r="I26" s="130" t="s">
        <v>569</v>
      </c>
      <c r="J26" s="131" t="s">
        <v>569</v>
      </c>
      <c r="K26" s="132" t="s">
        <v>569</v>
      </c>
      <c r="L26" s="133" t="s">
        <v>569</v>
      </c>
      <c r="M26" s="131" t="s">
        <v>569</v>
      </c>
      <c r="N26" s="134"/>
      <c r="O26" s="134"/>
      <c r="P26" s="134"/>
      <c r="Q26" s="135" t="s">
        <v>1248</v>
      </c>
      <c r="R26" s="136" t="s">
        <v>1248</v>
      </c>
      <c r="S26" s="136" t="s">
        <v>1248</v>
      </c>
      <c r="T26" s="136" t="s">
        <v>1248</v>
      </c>
      <c r="U26" s="136" t="s">
        <v>1248</v>
      </c>
      <c r="V26" s="137" t="s">
        <v>569</v>
      </c>
      <c r="W26" s="138" t="s">
        <v>569</v>
      </c>
      <c r="X26" s="139" t="s">
        <v>569</v>
      </c>
      <c r="Y26" s="140" t="s">
        <v>569</v>
      </c>
      <c r="Z26" s="141" t="s">
        <v>1249</v>
      </c>
      <c r="AA26" s="142" t="s">
        <v>569</v>
      </c>
      <c r="AB26" s="142" t="s">
        <v>569</v>
      </c>
      <c r="AC26" s="142" t="s">
        <v>569</v>
      </c>
      <c r="AD26" s="143" t="s">
        <v>569</v>
      </c>
      <c r="AE26" s="144" t="s">
        <v>569</v>
      </c>
      <c r="AF26" s="144">
        <v>435000</v>
      </c>
      <c r="AG26" s="144">
        <v>5.5599999999999997E-2</v>
      </c>
      <c r="AH26" s="144">
        <v>459186</v>
      </c>
      <c r="AI26" s="145" t="s">
        <v>569</v>
      </c>
      <c r="AJ26" s="146" t="s">
        <v>569</v>
      </c>
      <c r="AK26" s="147" t="s">
        <v>569</v>
      </c>
      <c r="AL26" s="148" t="s">
        <v>569</v>
      </c>
      <c r="AM26" s="149" t="s">
        <v>1250</v>
      </c>
      <c r="AN26" s="150" t="s">
        <v>569</v>
      </c>
      <c r="AO26" s="150" t="s">
        <v>569</v>
      </c>
      <c r="AP26" s="151" t="s">
        <v>569</v>
      </c>
      <c r="AQ26" s="152">
        <v>380168</v>
      </c>
      <c r="AR26" s="153">
        <v>72232</v>
      </c>
      <c r="AS26" s="153">
        <v>452400</v>
      </c>
      <c r="AT26" s="153">
        <v>380168</v>
      </c>
      <c r="AU26" s="153">
        <v>452400</v>
      </c>
      <c r="AV26" s="154">
        <v>455793</v>
      </c>
      <c r="AW26" s="154">
        <v>455793</v>
      </c>
      <c r="AX26" s="154">
        <v>4798.43</v>
      </c>
      <c r="AY26" s="155">
        <v>1.0500000000000001E-2</v>
      </c>
      <c r="AZ26" s="5"/>
      <c r="BA26" s="7"/>
    </row>
    <row r="27" spans="1:53" ht="58.15" hidden="1" customHeight="1">
      <c r="A27" s="6" t="s">
        <v>1182</v>
      </c>
      <c r="B27" s="6" t="s">
        <v>1236</v>
      </c>
      <c r="C27" s="6">
        <v>49121503</v>
      </c>
      <c r="D27" s="6" t="s">
        <v>1296</v>
      </c>
      <c r="E27" s="127" t="s">
        <v>1297</v>
      </c>
      <c r="F27" s="128" t="s">
        <v>191</v>
      </c>
      <c r="G27" s="129">
        <v>1</v>
      </c>
      <c r="H27" s="128" t="s">
        <v>305</v>
      </c>
      <c r="I27" s="130" t="s">
        <v>1230</v>
      </c>
      <c r="J27" s="131">
        <v>46153</v>
      </c>
      <c r="K27" s="132" t="s">
        <v>1298</v>
      </c>
      <c r="L27" s="133" t="s">
        <v>1193</v>
      </c>
      <c r="M27" s="131" t="s">
        <v>1299</v>
      </c>
      <c r="N27" s="134">
        <v>450000</v>
      </c>
      <c r="O27" s="134" t="s">
        <v>1197</v>
      </c>
      <c r="P27" s="134" t="s">
        <v>1191</v>
      </c>
      <c r="Q27" s="135">
        <f>IF(O27="IVA Incluido",(N27/1.19),N27)</f>
        <v>450000</v>
      </c>
      <c r="R27" s="136">
        <f>IF(P27="Si tiene IVA",Q27*19%,0)</f>
        <v>85500</v>
      </c>
      <c r="S27" s="136">
        <f>Q27+R27</f>
        <v>535500</v>
      </c>
      <c r="T27" s="136">
        <f>IF(B27="","",(N27*G27))</f>
        <v>450000</v>
      </c>
      <c r="U27" s="136">
        <f>IF(B27="","",(S27*G27))</f>
        <v>535500</v>
      </c>
      <c r="V27" s="137" t="s">
        <v>1186</v>
      </c>
      <c r="W27" s="138">
        <v>46153</v>
      </c>
      <c r="X27" s="139" t="s">
        <v>1266</v>
      </c>
      <c r="Y27" s="140" t="s">
        <v>1188</v>
      </c>
      <c r="Z27" s="141" t="s">
        <v>515</v>
      </c>
      <c r="AA27" s="142">
        <v>304500</v>
      </c>
      <c r="AB27" s="142" t="s">
        <v>1197</v>
      </c>
      <c r="AC27" s="142" t="s">
        <v>1191</v>
      </c>
      <c r="AD27" s="143">
        <f>IF(AB27="IVA Incluido",(AA27/1.19),AA27)</f>
        <v>304500</v>
      </c>
      <c r="AE27" s="144">
        <f>IF(AC27="Si tiene IVA",AD27*19%,0)</f>
        <v>57855</v>
      </c>
      <c r="AF27" s="144">
        <f>AD27+AE27</f>
        <v>362355</v>
      </c>
      <c r="AG27" s="144">
        <f>IF(O27="","",(AA27*G27))</f>
        <v>304500</v>
      </c>
      <c r="AH27" s="144">
        <f>IF(O27="","",(AF27*G27))</f>
        <v>362355</v>
      </c>
      <c r="AI27" s="145" t="s">
        <v>1300</v>
      </c>
      <c r="AJ27" s="146">
        <v>46135</v>
      </c>
      <c r="AK27" s="147" t="s">
        <v>1301</v>
      </c>
      <c r="AL27" s="148" t="s">
        <v>1188</v>
      </c>
      <c r="AM27" s="149" t="s">
        <v>1302</v>
      </c>
      <c r="AN27" s="150">
        <v>315126</v>
      </c>
      <c r="AO27" s="150" t="s">
        <v>1197</v>
      </c>
      <c r="AP27" s="151" t="s">
        <v>1191</v>
      </c>
      <c r="AQ27" s="152">
        <f>IF(AO27="IVA Incluido",(AN27/1.19),AN27)</f>
        <v>315126</v>
      </c>
      <c r="AR27" s="153">
        <f>IF(AP27="Si tiene IVA",AQ27*19%,0)</f>
        <v>59873.94</v>
      </c>
      <c r="AS27" s="153">
        <f>AQ27+AR27</f>
        <v>374999.94</v>
      </c>
      <c r="AT27" s="153">
        <f>IF(AB27="","",(AN27*G27))</f>
        <v>315126</v>
      </c>
      <c r="AU27" s="153">
        <f>IF(AB27="","",(AS27*G27))</f>
        <v>374999.94</v>
      </c>
      <c r="AV27" s="154">
        <f>IF(A27="","",AVERAGE(S27,AF27,AS27))</f>
        <v>424284.98</v>
      </c>
      <c r="AW27" s="154">
        <f>IF(A27="","",AVERAGE(U27,AH27,AU27))</f>
        <v>424284.98</v>
      </c>
      <c r="AX27" s="154">
        <f>IF(N27="","",STDEV(U27,AH27,AU27))</f>
        <v>96522.324527029632</v>
      </c>
      <c r="AY27" s="155">
        <f>IF(N27="","",(AX27/AW27))</f>
        <v>0.22749408788175729</v>
      </c>
      <c r="AZ27" s="5"/>
      <c r="BA27" s="7">
        <f>COUNTA(M27,Z27,AM27)</f>
        <v>3</v>
      </c>
    </row>
    <row r="28" spans="1:53" ht="348" hidden="1" customHeight="1">
      <c r="A28" s="6" t="s">
        <v>569</v>
      </c>
      <c r="B28" s="6" t="s">
        <v>569</v>
      </c>
      <c r="C28" s="6" t="s">
        <v>569</v>
      </c>
      <c r="D28" s="6" t="s">
        <v>1303</v>
      </c>
      <c r="E28" s="127" t="s">
        <v>1304</v>
      </c>
      <c r="F28" s="128" t="s">
        <v>1247</v>
      </c>
      <c r="G28" s="129">
        <v>1</v>
      </c>
      <c r="H28" s="128"/>
      <c r="I28" s="130" t="s">
        <v>569</v>
      </c>
      <c r="J28" s="131" t="s">
        <v>569</v>
      </c>
      <c r="K28" s="132" t="s">
        <v>569</v>
      </c>
      <c r="L28" s="133" t="s">
        <v>569</v>
      </c>
      <c r="M28" s="131" t="s">
        <v>569</v>
      </c>
      <c r="N28" s="134"/>
      <c r="O28" s="134"/>
      <c r="P28" s="134"/>
      <c r="Q28" s="135" t="s">
        <v>1248</v>
      </c>
      <c r="R28" s="136" t="s">
        <v>1248</v>
      </c>
      <c r="S28" s="136" t="s">
        <v>1248</v>
      </c>
      <c r="T28" s="136" t="s">
        <v>1248</v>
      </c>
      <c r="U28" s="136" t="s">
        <v>1248</v>
      </c>
      <c r="V28" s="137" t="s">
        <v>569</v>
      </c>
      <c r="W28" s="138" t="s">
        <v>569</v>
      </c>
      <c r="X28" s="139" t="s">
        <v>569</v>
      </c>
      <c r="Y28" s="140" t="s">
        <v>569</v>
      </c>
      <c r="Z28" s="141" t="s">
        <v>1249</v>
      </c>
      <c r="AA28" s="142" t="s">
        <v>569</v>
      </c>
      <c r="AB28" s="142" t="s">
        <v>569</v>
      </c>
      <c r="AC28" s="142" t="s">
        <v>569</v>
      </c>
      <c r="AD28" s="143" t="s">
        <v>569</v>
      </c>
      <c r="AE28" s="144" t="s">
        <v>569</v>
      </c>
      <c r="AF28" s="144">
        <v>2812500</v>
      </c>
      <c r="AG28" s="144">
        <v>5.5599999999999997E-2</v>
      </c>
      <c r="AH28" s="144">
        <v>2968875</v>
      </c>
      <c r="AI28" s="145" t="s">
        <v>569</v>
      </c>
      <c r="AJ28" s="146" t="s">
        <v>569</v>
      </c>
      <c r="AK28" s="147" t="s">
        <v>569</v>
      </c>
      <c r="AL28" s="148" t="s">
        <v>569</v>
      </c>
      <c r="AM28" s="149" t="s">
        <v>1250</v>
      </c>
      <c r="AN28" s="150" t="s">
        <v>569</v>
      </c>
      <c r="AO28" s="150" t="s">
        <v>569</v>
      </c>
      <c r="AP28" s="151" t="s">
        <v>569</v>
      </c>
      <c r="AQ28" s="152">
        <v>2457983</v>
      </c>
      <c r="AR28" s="153">
        <v>467017</v>
      </c>
      <c r="AS28" s="153">
        <v>2925000</v>
      </c>
      <c r="AT28" s="153">
        <v>2457983</v>
      </c>
      <c r="AU28" s="153">
        <v>2925000</v>
      </c>
      <c r="AV28" s="154">
        <v>2946938</v>
      </c>
      <c r="AW28" s="154">
        <v>2946938</v>
      </c>
      <c r="AX28" s="154">
        <v>31024.31</v>
      </c>
      <c r="AY28" s="155">
        <v>1.0500000000000001E-2</v>
      </c>
      <c r="AZ28" s="5"/>
      <c r="BA28" s="7"/>
    </row>
    <row r="29" spans="1:53" ht="348" hidden="1" customHeight="1">
      <c r="A29" s="6" t="s">
        <v>569</v>
      </c>
      <c r="B29" s="6" t="s">
        <v>569</v>
      </c>
      <c r="C29" s="6" t="s">
        <v>569</v>
      </c>
      <c r="D29" s="6" t="s">
        <v>301</v>
      </c>
      <c r="E29" s="127" t="s">
        <v>1305</v>
      </c>
      <c r="F29" s="128" t="s">
        <v>1247</v>
      </c>
      <c r="G29" s="129">
        <v>1</v>
      </c>
      <c r="H29" s="128"/>
      <c r="I29" s="130" t="s">
        <v>569</v>
      </c>
      <c r="J29" s="131" t="s">
        <v>569</v>
      </c>
      <c r="K29" s="132" t="s">
        <v>569</v>
      </c>
      <c r="L29" s="133" t="s">
        <v>569</v>
      </c>
      <c r="M29" s="131" t="s">
        <v>569</v>
      </c>
      <c r="N29" s="134"/>
      <c r="O29" s="134"/>
      <c r="P29" s="134"/>
      <c r="Q29" s="135" t="s">
        <v>1248</v>
      </c>
      <c r="R29" s="136" t="s">
        <v>1248</v>
      </c>
      <c r="S29" s="136" t="s">
        <v>1248</v>
      </c>
      <c r="T29" s="136" t="s">
        <v>1248</v>
      </c>
      <c r="U29" s="136" t="s">
        <v>1248</v>
      </c>
      <c r="V29" s="137" t="s">
        <v>569</v>
      </c>
      <c r="W29" s="138" t="s">
        <v>569</v>
      </c>
      <c r="X29" s="139" t="s">
        <v>569</v>
      </c>
      <c r="Y29" s="140" t="s">
        <v>569</v>
      </c>
      <c r="Z29" s="141" t="s">
        <v>1249</v>
      </c>
      <c r="AA29" s="142" t="s">
        <v>569</v>
      </c>
      <c r="AB29" s="142" t="s">
        <v>569</v>
      </c>
      <c r="AC29" s="142" t="s">
        <v>569</v>
      </c>
      <c r="AD29" s="143" t="s">
        <v>569</v>
      </c>
      <c r="AE29" s="144" t="s">
        <v>569</v>
      </c>
      <c r="AF29" s="144">
        <v>507500</v>
      </c>
      <c r="AG29" s="144">
        <v>5.5599999999999997E-2</v>
      </c>
      <c r="AH29" s="144">
        <v>535717</v>
      </c>
      <c r="AI29" s="145" t="s">
        <v>569</v>
      </c>
      <c r="AJ29" s="146" t="s">
        <v>569</v>
      </c>
      <c r="AK29" s="147" t="s">
        <v>569</v>
      </c>
      <c r="AL29" s="148" t="s">
        <v>569</v>
      </c>
      <c r="AM29" s="149" t="s">
        <v>1250</v>
      </c>
      <c r="AN29" s="150" t="s">
        <v>569</v>
      </c>
      <c r="AO29" s="150" t="s">
        <v>569</v>
      </c>
      <c r="AP29" s="151" t="s">
        <v>569</v>
      </c>
      <c r="AQ29" s="152">
        <v>443529</v>
      </c>
      <c r="AR29" s="153">
        <v>84271</v>
      </c>
      <c r="AS29" s="153">
        <v>527800</v>
      </c>
      <c r="AT29" s="153">
        <v>443529</v>
      </c>
      <c r="AU29" s="153">
        <v>527800</v>
      </c>
      <c r="AV29" s="154">
        <v>531759</v>
      </c>
      <c r="AW29" s="154">
        <v>531759</v>
      </c>
      <c r="AX29" s="154">
        <v>5598.16</v>
      </c>
      <c r="AY29" s="155">
        <v>1.0500000000000001E-2</v>
      </c>
      <c r="AZ29" s="5"/>
      <c r="BA29" s="7"/>
    </row>
    <row r="30" spans="1:53" ht="58.15" hidden="1" customHeight="1">
      <c r="A30" s="6" t="s">
        <v>569</v>
      </c>
      <c r="B30" s="6" t="s">
        <v>569</v>
      </c>
      <c r="C30" s="6" t="s">
        <v>569</v>
      </c>
      <c r="D30" s="6" t="s">
        <v>1306</v>
      </c>
      <c r="E30" s="127" t="s">
        <v>1307</v>
      </c>
      <c r="F30" s="128" t="s">
        <v>1247</v>
      </c>
      <c r="G30" s="129">
        <v>1</v>
      </c>
      <c r="H30" s="128"/>
      <c r="I30" s="130" t="s">
        <v>569</v>
      </c>
      <c r="J30" s="131" t="s">
        <v>569</v>
      </c>
      <c r="K30" s="132" t="s">
        <v>569</v>
      </c>
      <c r="L30" s="133" t="s">
        <v>569</v>
      </c>
      <c r="M30" s="156" t="s">
        <v>1308</v>
      </c>
      <c r="N30" s="134"/>
      <c r="O30" s="134"/>
      <c r="P30" s="134"/>
      <c r="Q30" s="135">
        <v>4436.79</v>
      </c>
      <c r="R30" s="136">
        <v>843</v>
      </c>
      <c r="S30" s="136">
        <v>5280</v>
      </c>
      <c r="T30" s="136">
        <v>4437</v>
      </c>
      <c r="U30" s="136">
        <v>5280</v>
      </c>
      <c r="V30" s="137" t="s">
        <v>569</v>
      </c>
      <c r="W30" s="138" t="s">
        <v>569</v>
      </c>
      <c r="X30" s="139" t="s">
        <v>569</v>
      </c>
      <c r="Y30" s="140" t="s">
        <v>569</v>
      </c>
      <c r="Z30" s="141" t="s">
        <v>1250</v>
      </c>
      <c r="AA30" s="142" t="s">
        <v>569</v>
      </c>
      <c r="AB30" s="142" t="s">
        <v>569</v>
      </c>
      <c r="AC30" s="142" t="s">
        <v>569</v>
      </c>
      <c r="AD30" s="143" t="s">
        <v>569</v>
      </c>
      <c r="AE30" s="144" t="s">
        <v>569</v>
      </c>
      <c r="AF30" s="144">
        <v>4997</v>
      </c>
      <c r="AG30" s="144">
        <v>4199</v>
      </c>
      <c r="AH30" s="144">
        <v>4997</v>
      </c>
      <c r="AI30" s="145" t="s">
        <v>569</v>
      </c>
      <c r="AJ30" s="146" t="s">
        <v>569</v>
      </c>
      <c r="AK30" s="147" t="s">
        <v>569</v>
      </c>
      <c r="AL30" s="148" t="s">
        <v>569</v>
      </c>
      <c r="AM30" s="149" t="s">
        <v>1302</v>
      </c>
      <c r="AN30" s="150" t="s">
        <v>569</v>
      </c>
      <c r="AO30" s="150" t="s">
        <v>569</v>
      </c>
      <c r="AP30" s="151" t="s">
        <v>569</v>
      </c>
      <c r="AQ30" s="152">
        <v>4033.61</v>
      </c>
      <c r="AR30" s="153">
        <v>766.39</v>
      </c>
      <c r="AS30" s="153">
        <v>4800</v>
      </c>
      <c r="AT30" s="153">
        <v>4034</v>
      </c>
      <c r="AU30" s="153">
        <v>4800</v>
      </c>
      <c r="AV30" s="154">
        <v>5025</v>
      </c>
      <c r="AW30" s="154">
        <v>5025</v>
      </c>
      <c r="AX30" s="154">
        <v>241.19</v>
      </c>
      <c r="AY30" s="155">
        <v>4.8000000000000001E-2</v>
      </c>
      <c r="AZ30" s="5"/>
      <c r="BA30" s="7"/>
    </row>
    <row r="31" spans="1:53" ht="348" hidden="1" customHeight="1">
      <c r="A31" s="6" t="s">
        <v>569</v>
      </c>
      <c r="B31" s="6" t="s">
        <v>569</v>
      </c>
      <c r="C31" s="6" t="s">
        <v>569</v>
      </c>
      <c r="D31" s="6" t="s">
        <v>1309</v>
      </c>
      <c r="E31" s="127" t="s">
        <v>1310</v>
      </c>
      <c r="F31" s="128" t="s">
        <v>1247</v>
      </c>
      <c r="G31" s="129">
        <v>1</v>
      </c>
      <c r="H31" s="128"/>
      <c r="I31" s="130" t="s">
        <v>569</v>
      </c>
      <c r="J31" s="131" t="s">
        <v>569</v>
      </c>
      <c r="K31" s="132" t="s">
        <v>569</v>
      </c>
      <c r="L31" s="133" t="s">
        <v>569</v>
      </c>
      <c r="M31" s="131" t="s">
        <v>569</v>
      </c>
      <c r="N31" s="134"/>
      <c r="O31" s="134"/>
      <c r="P31" s="134"/>
      <c r="Q31" s="135" t="s">
        <v>1248</v>
      </c>
      <c r="R31" s="136" t="s">
        <v>1248</v>
      </c>
      <c r="S31" s="136" t="s">
        <v>1248</v>
      </c>
      <c r="T31" s="136" t="s">
        <v>1248</v>
      </c>
      <c r="U31" s="136" t="s">
        <v>1248</v>
      </c>
      <c r="V31" s="137" t="s">
        <v>569</v>
      </c>
      <c r="W31" s="138" t="s">
        <v>569</v>
      </c>
      <c r="X31" s="139" t="s">
        <v>569</v>
      </c>
      <c r="Y31" s="140" t="s">
        <v>569</v>
      </c>
      <c r="Z31" s="141" t="s">
        <v>1249</v>
      </c>
      <c r="AA31" s="142" t="s">
        <v>569</v>
      </c>
      <c r="AB31" s="142" t="s">
        <v>569</v>
      </c>
      <c r="AC31" s="142" t="s">
        <v>569</v>
      </c>
      <c r="AD31" s="143" t="s">
        <v>569</v>
      </c>
      <c r="AE31" s="144" t="s">
        <v>569</v>
      </c>
      <c r="AF31" s="144">
        <v>25183</v>
      </c>
      <c r="AG31" s="144">
        <v>5.5599999999999997E-2</v>
      </c>
      <c r="AH31" s="144">
        <v>26583</v>
      </c>
      <c r="AI31" s="145" t="s">
        <v>569</v>
      </c>
      <c r="AJ31" s="146" t="s">
        <v>569</v>
      </c>
      <c r="AK31" s="147" t="s">
        <v>569</v>
      </c>
      <c r="AL31" s="148" t="s">
        <v>569</v>
      </c>
      <c r="AM31" s="149" t="s">
        <v>1250</v>
      </c>
      <c r="AN31" s="150" t="s">
        <v>569</v>
      </c>
      <c r="AO31" s="150" t="s">
        <v>569</v>
      </c>
      <c r="AP31" s="151" t="s">
        <v>569</v>
      </c>
      <c r="AQ31" s="152">
        <v>22009</v>
      </c>
      <c r="AR31" s="153">
        <v>4182</v>
      </c>
      <c r="AS31" s="153">
        <v>26191</v>
      </c>
      <c r="AT31" s="153">
        <v>22009</v>
      </c>
      <c r="AU31" s="153">
        <v>26191</v>
      </c>
      <c r="AV31" s="154">
        <v>26387</v>
      </c>
      <c r="AW31" s="154">
        <v>26387</v>
      </c>
      <c r="AX31" s="154">
        <v>277.79000000000002</v>
      </c>
      <c r="AY31" s="155">
        <v>1.0500000000000001E-2</v>
      </c>
      <c r="AZ31" s="5"/>
      <c r="BA31" s="7"/>
    </row>
    <row r="32" spans="1:53" ht="348" hidden="1" customHeight="1">
      <c r="A32" s="6" t="s">
        <v>569</v>
      </c>
      <c r="B32" s="6" t="s">
        <v>569</v>
      </c>
      <c r="C32" s="6" t="s">
        <v>569</v>
      </c>
      <c r="D32" s="6" t="s">
        <v>1311</v>
      </c>
      <c r="E32" s="127" t="s">
        <v>1312</v>
      </c>
      <c r="F32" s="128" t="s">
        <v>1247</v>
      </c>
      <c r="G32" s="129">
        <v>1</v>
      </c>
      <c r="H32" s="128"/>
      <c r="I32" s="130" t="s">
        <v>569</v>
      </c>
      <c r="J32" s="131" t="s">
        <v>569</v>
      </c>
      <c r="K32" s="132" t="s">
        <v>569</v>
      </c>
      <c r="L32" s="133" t="s">
        <v>569</v>
      </c>
      <c r="M32" s="131" t="s">
        <v>569</v>
      </c>
      <c r="N32" s="134"/>
      <c r="O32" s="134"/>
      <c r="P32" s="134"/>
      <c r="Q32" s="135" t="s">
        <v>1248</v>
      </c>
      <c r="R32" s="136" t="s">
        <v>1248</v>
      </c>
      <c r="S32" s="136" t="s">
        <v>1248</v>
      </c>
      <c r="T32" s="136" t="s">
        <v>1248</v>
      </c>
      <c r="U32" s="136" t="s">
        <v>1248</v>
      </c>
      <c r="V32" s="137" t="s">
        <v>569</v>
      </c>
      <c r="W32" s="138" t="s">
        <v>569</v>
      </c>
      <c r="X32" s="139" t="s">
        <v>569</v>
      </c>
      <c r="Y32" s="140" t="s">
        <v>569</v>
      </c>
      <c r="Z32" s="141" t="s">
        <v>1249</v>
      </c>
      <c r="AA32" s="142" t="s">
        <v>569</v>
      </c>
      <c r="AB32" s="142" t="s">
        <v>569</v>
      </c>
      <c r="AC32" s="142" t="s">
        <v>569</v>
      </c>
      <c r="AD32" s="143" t="s">
        <v>569</v>
      </c>
      <c r="AE32" s="144" t="s">
        <v>569</v>
      </c>
      <c r="AF32" s="144">
        <v>2539333</v>
      </c>
      <c r="AG32" s="144">
        <v>5.5599999999999997E-2</v>
      </c>
      <c r="AH32" s="144">
        <v>2680520</v>
      </c>
      <c r="AI32" s="145" t="s">
        <v>569</v>
      </c>
      <c r="AJ32" s="146" t="s">
        <v>569</v>
      </c>
      <c r="AK32" s="147" t="s">
        <v>569</v>
      </c>
      <c r="AL32" s="148" t="s">
        <v>569</v>
      </c>
      <c r="AM32" s="149" t="s">
        <v>1250</v>
      </c>
      <c r="AN32" s="150" t="s">
        <v>569</v>
      </c>
      <c r="AO32" s="150" t="s">
        <v>569</v>
      </c>
      <c r="AP32" s="151" t="s">
        <v>569</v>
      </c>
      <c r="AQ32" s="152">
        <v>2240588</v>
      </c>
      <c r="AR32" s="153">
        <v>425712</v>
      </c>
      <c r="AS32" s="153">
        <v>2666300</v>
      </c>
      <c r="AT32" s="153">
        <v>2240588</v>
      </c>
      <c r="AU32" s="153">
        <v>2666300</v>
      </c>
      <c r="AV32" s="154">
        <v>2673410</v>
      </c>
      <c r="AW32" s="154">
        <v>2673410</v>
      </c>
      <c r="AX32" s="154">
        <v>10055.25</v>
      </c>
      <c r="AY32" s="155">
        <v>3.8E-3</v>
      </c>
      <c r="AZ32" s="5"/>
      <c r="BA32" s="7"/>
    </row>
    <row r="33" spans="1:53" ht="348" hidden="1" customHeight="1">
      <c r="A33" s="6" t="s">
        <v>569</v>
      </c>
      <c r="B33" s="6" t="s">
        <v>569</v>
      </c>
      <c r="C33" s="6" t="s">
        <v>569</v>
      </c>
      <c r="D33" s="6" t="s">
        <v>1313</v>
      </c>
      <c r="E33" s="127" t="s">
        <v>1314</v>
      </c>
      <c r="F33" s="128" t="s">
        <v>1247</v>
      </c>
      <c r="G33" s="129">
        <v>1</v>
      </c>
      <c r="H33" s="128"/>
      <c r="I33" s="130" t="s">
        <v>569</v>
      </c>
      <c r="J33" s="131" t="s">
        <v>569</v>
      </c>
      <c r="K33" s="132" t="s">
        <v>569</v>
      </c>
      <c r="L33" s="133" t="s">
        <v>569</v>
      </c>
      <c r="M33" s="131" t="s">
        <v>569</v>
      </c>
      <c r="N33" s="134"/>
      <c r="O33" s="134"/>
      <c r="P33" s="134"/>
      <c r="Q33" s="135" t="s">
        <v>1248</v>
      </c>
      <c r="R33" s="136" t="s">
        <v>1248</v>
      </c>
      <c r="S33" s="136" t="s">
        <v>1248</v>
      </c>
      <c r="T33" s="136" t="s">
        <v>1248</v>
      </c>
      <c r="U33" s="136" t="s">
        <v>1248</v>
      </c>
      <c r="V33" s="137" t="s">
        <v>569</v>
      </c>
      <c r="W33" s="138" t="s">
        <v>569</v>
      </c>
      <c r="X33" s="139" t="s">
        <v>569</v>
      </c>
      <c r="Y33" s="140" t="s">
        <v>569</v>
      </c>
      <c r="Z33" s="141" t="s">
        <v>1249</v>
      </c>
      <c r="AA33" s="142" t="s">
        <v>569</v>
      </c>
      <c r="AB33" s="142" t="s">
        <v>569</v>
      </c>
      <c r="AC33" s="142" t="s">
        <v>569</v>
      </c>
      <c r="AD33" s="143" t="s">
        <v>569</v>
      </c>
      <c r="AE33" s="144" t="s">
        <v>569</v>
      </c>
      <c r="AF33" s="144">
        <v>125450</v>
      </c>
      <c r="AG33" s="144">
        <v>5.5599999999999997E-2</v>
      </c>
      <c r="AH33" s="144">
        <v>132425</v>
      </c>
      <c r="AI33" s="145" t="s">
        <v>569</v>
      </c>
      <c r="AJ33" s="146" t="s">
        <v>569</v>
      </c>
      <c r="AK33" s="147" t="s">
        <v>569</v>
      </c>
      <c r="AL33" s="148" t="s">
        <v>569</v>
      </c>
      <c r="AM33" s="149" t="s">
        <v>1250</v>
      </c>
      <c r="AN33" s="150" t="s">
        <v>569</v>
      </c>
      <c r="AO33" s="150" t="s">
        <v>569</v>
      </c>
      <c r="AP33" s="151" t="s">
        <v>569</v>
      </c>
      <c r="AQ33" s="152">
        <v>107529</v>
      </c>
      <c r="AR33" s="153">
        <v>20430</v>
      </c>
      <c r="AS33" s="153">
        <v>127959</v>
      </c>
      <c r="AT33" s="153">
        <v>107529</v>
      </c>
      <c r="AU33" s="153">
        <v>127959</v>
      </c>
      <c r="AV33" s="154">
        <v>130192</v>
      </c>
      <c r="AW33" s="154">
        <v>130192</v>
      </c>
      <c r="AX33" s="154">
        <v>3157.95</v>
      </c>
      <c r="AY33" s="155">
        <v>2.4299999999999999E-2</v>
      </c>
      <c r="AZ33" s="5"/>
      <c r="BA33" s="7"/>
    </row>
    <row r="34" spans="1:53" ht="348" hidden="1" customHeight="1">
      <c r="A34" s="6" t="s">
        <v>569</v>
      </c>
      <c r="B34" s="6" t="s">
        <v>569</v>
      </c>
      <c r="C34" s="6" t="s">
        <v>569</v>
      </c>
      <c r="D34" s="6" t="s">
        <v>1313</v>
      </c>
      <c r="E34" s="127" t="s">
        <v>1315</v>
      </c>
      <c r="F34" s="128" t="s">
        <v>1247</v>
      </c>
      <c r="G34" s="129">
        <v>1</v>
      </c>
      <c r="H34" s="128"/>
      <c r="I34" s="130" t="s">
        <v>569</v>
      </c>
      <c r="J34" s="131" t="s">
        <v>569</v>
      </c>
      <c r="K34" s="132" t="s">
        <v>569</v>
      </c>
      <c r="L34" s="133" t="s">
        <v>569</v>
      </c>
      <c r="M34" s="131" t="s">
        <v>569</v>
      </c>
      <c r="N34" s="134"/>
      <c r="O34" s="134"/>
      <c r="P34" s="134"/>
      <c r="Q34" s="135" t="s">
        <v>1248</v>
      </c>
      <c r="R34" s="136" t="s">
        <v>1248</v>
      </c>
      <c r="S34" s="136" t="s">
        <v>1248</v>
      </c>
      <c r="T34" s="136" t="s">
        <v>1248</v>
      </c>
      <c r="U34" s="136" t="s">
        <v>1248</v>
      </c>
      <c r="V34" s="137" t="s">
        <v>569</v>
      </c>
      <c r="W34" s="138" t="s">
        <v>569</v>
      </c>
      <c r="X34" s="139" t="s">
        <v>569</v>
      </c>
      <c r="Y34" s="140" t="s">
        <v>569</v>
      </c>
      <c r="Z34" s="141" t="s">
        <v>1249</v>
      </c>
      <c r="AA34" s="142" t="s">
        <v>569</v>
      </c>
      <c r="AB34" s="142" t="s">
        <v>569</v>
      </c>
      <c r="AC34" s="142" t="s">
        <v>569</v>
      </c>
      <c r="AD34" s="143" t="s">
        <v>569</v>
      </c>
      <c r="AE34" s="144" t="s">
        <v>569</v>
      </c>
      <c r="AF34" s="144">
        <v>288399</v>
      </c>
      <c r="AG34" s="144">
        <v>5.5599999999999997E-2</v>
      </c>
      <c r="AH34" s="144">
        <v>304434</v>
      </c>
      <c r="AI34" s="145" t="s">
        <v>569</v>
      </c>
      <c r="AJ34" s="146" t="s">
        <v>569</v>
      </c>
      <c r="AK34" s="147" t="s">
        <v>569</v>
      </c>
      <c r="AL34" s="148" t="s">
        <v>569</v>
      </c>
      <c r="AM34" s="149" t="s">
        <v>1250</v>
      </c>
      <c r="AN34" s="150" t="s">
        <v>569</v>
      </c>
      <c r="AO34" s="150" t="s">
        <v>569</v>
      </c>
      <c r="AP34" s="151" t="s">
        <v>569</v>
      </c>
      <c r="AQ34" s="152">
        <v>247199</v>
      </c>
      <c r="AR34" s="153">
        <v>46968</v>
      </c>
      <c r="AS34" s="153">
        <v>294167</v>
      </c>
      <c r="AT34" s="153">
        <v>247199</v>
      </c>
      <c r="AU34" s="153">
        <v>294167</v>
      </c>
      <c r="AV34" s="154">
        <v>299300</v>
      </c>
      <c r="AW34" s="154">
        <v>299300</v>
      </c>
      <c r="AX34" s="154">
        <v>7259.87</v>
      </c>
      <c r="AY34" s="155">
        <v>2.4299999999999999E-2</v>
      </c>
      <c r="AZ34" s="5"/>
      <c r="BA34" s="7"/>
    </row>
    <row r="35" spans="1:53" ht="348" hidden="1" customHeight="1">
      <c r="A35" s="6" t="s">
        <v>569</v>
      </c>
      <c r="B35" s="6" t="s">
        <v>569</v>
      </c>
      <c r="C35" s="6" t="s">
        <v>569</v>
      </c>
      <c r="D35" s="6" t="s">
        <v>1313</v>
      </c>
      <c r="E35" s="127" t="s">
        <v>1316</v>
      </c>
      <c r="F35" s="128" t="s">
        <v>1247</v>
      </c>
      <c r="G35" s="129">
        <v>1</v>
      </c>
      <c r="H35" s="128"/>
      <c r="I35" s="130" t="s">
        <v>569</v>
      </c>
      <c r="J35" s="131" t="s">
        <v>569</v>
      </c>
      <c r="K35" s="132" t="s">
        <v>569</v>
      </c>
      <c r="L35" s="133" t="s">
        <v>569</v>
      </c>
      <c r="M35" s="131" t="s">
        <v>569</v>
      </c>
      <c r="N35" s="134"/>
      <c r="O35" s="134"/>
      <c r="P35" s="134"/>
      <c r="Q35" s="135" t="s">
        <v>1248</v>
      </c>
      <c r="R35" s="136" t="s">
        <v>1248</v>
      </c>
      <c r="S35" s="136" t="s">
        <v>1248</v>
      </c>
      <c r="T35" s="136" t="s">
        <v>1248</v>
      </c>
      <c r="U35" s="136" t="s">
        <v>1248</v>
      </c>
      <c r="V35" s="137" t="s">
        <v>569</v>
      </c>
      <c r="W35" s="138" t="s">
        <v>569</v>
      </c>
      <c r="X35" s="139" t="s">
        <v>569</v>
      </c>
      <c r="Y35" s="140" t="s">
        <v>569</v>
      </c>
      <c r="Z35" s="141" t="s">
        <v>1249</v>
      </c>
      <c r="AA35" s="142" t="s">
        <v>569</v>
      </c>
      <c r="AB35" s="142" t="s">
        <v>569</v>
      </c>
      <c r="AC35" s="142" t="s">
        <v>569</v>
      </c>
      <c r="AD35" s="143" t="s">
        <v>569</v>
      </c>
      <c r="AE35" s="144" t="s">
        <v>569</v>
      </c>
      <c r="AF35" s="144">
        <v>344099</v>
      </c>
      <c r="AG35" s="144">
        <v>5.5599999999999997E-2</v>
      </c>
      <c r="AH35" s="144">
        <v>363230</v>
      </c>
      <c r="AI35" s="145" t="s">
        <v>569</v>
      </c>
      <c r="AJ35" s="146" t="s">
        <v>569</v>
      </c>
      <c r="AK35" s="147" t="s">
        <v>569</v>
      </c>
      <c r="AL35" s="148" t="s">
        <v>569</v>
      </c>
      <c r="AM35" s="149" t="s">
        <v>1250</v>
      </c>
      <c r="AN35" s="150" t="s">
        <v>569</v>
      </c>
      <c r="AO35" s="150" t="s">
        <v>569</v>
      </c>
      <c r="AP35" s="151" t="s">
        <v>569</v>
      </c>
      <c r="AQ35" s="152">
        <v>294942</v>
      </c>
      <c r="AR35" s="153">
        <v>56039</v>
      </c>
      <c r="AS35" s="153">
        <v>350980</v>
      </c>
      <c r="AT35" s="153">
        <v>294942</v>
      </c>
      <c r="AU35" s="153">
        <v>350980</v>
      </c>
      <c r="AV35" s="154">
        <v>357105</v>
      </c>
      <c r="AW35" s="154">
        <v>357105</v>
      </c>
      <c r="AX35" s="154">
        <v>8661.99</v>
      </c>
      <c r="AY35" s="155">
        <v>2.4299999999999999E-2</v>
      </c>
      <c r="AZ35" s="5"/>
      <c r="BA35" s="7"/>
    </row>
    <row r="36" spans="1:53" ht="348" hidden="1" customHeight="1">
      <c r="A36" s="6" t="s">
        <v>569</v>
      </c>
      <c r="B36" s="6" t="s">
        <v>569</v>
      </c>
      <c r="C36" s="6" t="s">
        <v>569</v>
      </c>
      <c r="D36" s="6" t="s">
        <v>1313</v>
      </c>
      <c r="E36" s="127" t="s">
        <v>1317</v>
      </c>
      <c r="F36" s="128" t="s">
        <v>1247</v>
      </c>
      <c r="G36" s="129">
        <v>1</v>
      </c>
      <c r="H36" s="128"/>
      <c r="I36" s="130" t="s">
        <v>569</v>
      </c>
      <c r="J36" s="131" t="s">
        <v>569</v>
      </c>
      <c r="K36" s="132" t="s">
        <v>569</v>
      </c>
      <c r="L36" s="133" t="s">
        <v>569</v>
      </c>
      <c r="M36" s="131" t="s">
        <v>569</v>
      </c>
      <c r="N36" s="134"/>
      <c r="O36" s="134"/>
      <c r="P36" s="134"/>
      <c r="Q36" s="135" t="s">
        <v>1248</v>
      </c>
      <c r="R36" s="136" t="s">
        <v>1248</v>
      </c>
      <c r="S36" s="136" t="s">
        <v>1248</v>
      </c>
      <c r="T36" s="136" t="s">
        <v>1248</v>
      </c>
      <c r="U36" s="136" t="s">
        <v>1248</v>
      </c>
      <c r="V36" s="137" t="s">
        <v>569</v>
      </c>
      <c r="W36" s="138" t="s">
        <v>569</v>
      </c>
      <c r="X36" s="139" t="s">
        <v>569</v>
      </c>
      <c r="Y36" s="140" t="s">
        <v>569</v>
      </c>
      <c r="Z36" s="141" t="s">
        <v>1249</v>
      </c>
      <c r="AA36" s="142" t="s">
        <v>569</v>
      </c>
      <c r="AB36" s="142" t="s">
        <v>569</v>
      </c>
      <c r="AC36" s="142" t="s">
        <v>569</v>
      </c>
      <c r="AD36" s="143" t="s">
        <v>569</v>
      </c>
      <c r="AE36" s="144" t="s">
        <v>569</v>
      </c>
      <c r="AF36" s="144">
        <v>137350</v>
      </c>
      <c r="AG36" s="144">
        <v>5.5599999999999997E-2</v>
      </c>
      <c r="AH36" s="144">
        <v>144987</v>
      </c>
      <c r="AI36" s="145" t="s">
        <v>569</v>
      </c>
      <c r="AJ36" s="146" t="s">
        <v>569</v>
      </c>
      <c r="AK36" s="147" t="s">
        <v>569</v>
      </c>
      <c r="AL36" s="148" t="s">
        <v>569</v>
      </c>
      <c r="AM36" s="149" t="s">
        <v>1250</v>
      </c>
      <c r="AN36" s="150" t="s">
        <v>569</v>
      </c>
      <c r="AO36" s="150" t="s">
        <v>569</v>
      </c>
      <c r="AP36" s="151" t="s">
        <v>569</v>
      </c>
      <c r="AQ36" s="152">
        <v>117729</v>
      </c>
      <c r="AR36" s="153">
        <v>22368</v>
      </c>
      <c r="AS36" s="153">
        <v>140097</v>
      </c>
      <c r="AT36" s="153">
        <v>117729</v>
      </c>
      <c r="AU36" s="153">
        <v>140097</v>
      </c>
      <c r="AV36" s="154">
        <v>142542</v>
      </c>
      <c r="AW36" s="154">
        <v>142542</v>
      </c>
      <c r="AX36" s="154">
        <v>3457.51</v>
      </c>
      <c r="AY36" s="155">
        <v>2.4299999999999999E-2</v>
      </c>
      <c r="AZ36" s="5"/>
      <c r="BA36" s="7"/>
    </row>
    <row r="37" spans="1:53" ht="348" hidden="1" customHeight="1">
      <c r="A37" s="6" t="s">
        <v>569</v>
      </c>
      <c r="B37" s="6" t="s">
        <v>569</v>
      </c>
      <c r="C37" s="6" t="s">
        <v>569</v>
      </c>
      <c r="D37" s="6" t="s">
        <v>1313</v>
      </c>
      <c r="E37" s="127" t="s">
        <v>1318</v>
      </c>
      <c r="F37" s="128" t="s">
        <v>1247</v>
      </c>
      <c r="G37" s="129">
        <v>1</v>
      </c>
      <c r="H37" s="128"/>
      <c r="I37" s="130" t="s">
        <v>569</v>
      </c>
      <c r="J37" s="131" t="s">
        <v>569</v>
      </c>
      <c r="K37" s="132" t="s">
        <v>569</v>
      </c>
      <c r="L37" s="133" t="s">
        <v>569</v>
      </c>
      <c r="M37" s="131" t="s">
        <v>569</v>
      </c>
      <c r="N37" s="134"/>
      <c r="O37" s="134"/>
      <c r="P37" s="134"/>
      <c r="Q37" s="135" t="s">
        <v>1248</v>
      </c>
      <c r="R37" s="136" t="s">
        <v>1248</v>
      </c>
      <c r="S37" s="136" t="s">
        <v>1248</v>
      </c>
      <c r="T37" s="136" t="s">
        <v>1248</v>
      </c>
      <c r="U37" s="136" t="s">
        <v>1248</v>
      </c>
      <c r="V37" s="137" t="s">
        <v>569</v>
      </c>
      <c r="W37" s="138" t="s">
        <v>569</v>
      </c>
      <c r="X37" s="139" t="s">
        <v>569</v>
      </c>
      <c r="Y37" s="140" t="s">
        <v>569</v>
      </c>
      <c r="Z37" s="141" t="s">
        <v>1249</v>
      </c>
      <c r="AA37" s="142" t="s">
        <v>569</v>
      </c>
      <c r="AB37" s="142" t="s">
        <v>569</v>
      </c>
      <c r="AC37" s="142" t="s">
        <v>569</v>
      </c>
      <c r="AD37" s="143" t="s">
        <v>569</v>
      </c>
      <c r="AE37" s="144" t="s">
        <v>569</v>
      </c>
      <c r="AF37" s="144">
        <v>291599</v>
      </c>
      <c r="AG37" s="144">
        <v>5.5599999999999997E-2</v>
      </c>
      <c r="AH37" s="144">
        <v>307811</v>
      </c>
      <c r="AI37" s="145" t="s">
        <v>569</v>
      </c>
      <c r="AJ37" s="146" t="s">
        <v>569</v>
      </c>
      <c r="AK37" s="147" t="s">
        <v>569</v>
      </c>
      <c r="AL37" s="148" t="s">
        <v>569</v>
      </c>
      <c r="AM37" s="149" t="s">
        <v>1250</v>
      </c>
      <c r="AN37" s="150" t="s">
        <v>569</v>
      </c>
      <c r="AO37" s="150" t="s">
        <v>569</v>
      </c>
      <c r="AP37" s="151" t="s">
        <v>569</v>
      </c>
      <c r="AQ37" s="152">
        <v>249942</v>
      </c>
      <c r="AR37" s="153">
        <v>47489</v>
      </c>
      <c r="AS37" s="153">
        <v>297430</v>
      </c>
      <c r="AT37" s="153">
        <v>249942</v>
      </c>
      <c r="AU37" s="153">
        <v>297430</v>
      </c>
      <c r="AV37" s="154">
        <v>302621</v>
      </c>
      <c r="AW37" s="154">
        <v>302621</v>
      </c>
      <c r="AX37" s="154">
        <v>7340.41</v>
      </c>
      <c r="AY37" s="155">
        <v>2.4299999999999999E-2</v>
      </c>
      <c r="AZ37" s="5"/>
      <c r="BA37" s="7"/>
    </row>
    <row r="38" spans="1:53" ht="348" hidden="1" customHeight="1">
      <c r="A38" s="6" t="s">
        <v>569</v>
      </c>
      <c r="B38" s="6" t="s">
        <v>569</v>
      </c>
      <c r="C38" s="6" t="s">
        <v>569</v>
      </c>
      <c r="D38" s="6" t="s">
        <v>1313</v>
      </c>
      <c r="E38" s="127" t="s">
        <v>1319</v>
      </c>
      <c r="F38" s="128" t="s">
        <v>1247</v>
      </c>
      <c r="G38" s="129">
        <v>1</v>
      </c>
      <c r="H38" s="128"/>
      <c r="I38" s="130" t="s">
        <v>569</v>
      </c>
      <c r="J38" s="131" t="s">
        <v>569</v>
      </c>
      <c r="K38" s="132" t="s">
        <v>569</v>
      </c>
      <c r="L38" s="133" t="s">
        <v>569</v>
      </c>
      <c r="M38" s="131" t="s">
        <v>569</v>
      </c>
      <c r="N38" s="134"/>
      <c r="O38" s="134"/>
      <c r="P38" s="134"/>
      <c r="Q38" s="135" t="s">
        <v>1248</v>
      </c>
      <c r="R38" s="136" t="s">
        <v>1248</v>
      </c>
      <c r="S38" s="136" t="s">
        <v>1248</v>
      </c>
      <c r="T38" s="136" t="s">
        <v>1248</v>
      </c>
      <c r="U38" s="136" t="s">
        <v>1248</v>
      </c>
      <c r="V38" s="137" t="s">
        <v>569</v>
      </c>
      <c r="W38" s="138" t="s">
        <v>569</v>
      </c>
      <c r="X38" s="139" t="s">
        <v>569</v>
      </c>
      <c r="Y38" s="140" t="s">
        <v>569</v>
      </c>
      <c r="Z38" s="141" t="s">
        <v>1249</v>
      </c>
      <c r="AA38" s="142" t="s">
        <v>569</v>
      </c>
      <c r="AB38" s="142" t="s">
        <v>569</v>
      </c>
      <c r="AC38" s="142" t="s">
        <v>569</v>
      </c>
      <c r="AD38" s="143" t="s">
        <v>569</v>
      </c>
      <c r="AE38" s="144" t="s">
        <v>569</v>
      </c>
      <c r="AF38" s="144">
        <v>344099</v>
      </c>
      <c r="AG38" s="144">
        <v>5.5599999999999997E-2</v>
      </c>
      <c r="AH38" s="144">
        <v>363230</v>
      </c>
      <c r="AI38" s="145" t="s">
        <v>569</v>
      </c>
      <c r="AJ38" s="146" t="s">
        <v>569</v>
      </c>
      <c r="AK38" s="147" t="s">
        <v>569</v>
      </c>
      <c r="AL38" s="148" t="s">
        <v>569</v>
      </c>
      <c r="AM38" s="149" t="s">
        <v>1250</v>
      </c>
      <c r="AN38" s="150" t="s">
        <v>569</v>
      </c>
      <c r="AO38" s="150" t="s">
        <v>569</v>
      </c>
      <c r="AP38" s="151" t="s">
        <v>569</v>
      </c>
      <c r="AQ38" s="152">
        <v>294942</v>
      </c>
      <c r="AR38" s="153">
        <v>56039</v>
      </c>
      <c r="AS38" s="153">
        <v>350980</v>
      </c>
      <c r="AT38" s="153">
        <v>294942</v>
      </c>
      <c r="AU38" s="153">
        <v>350980</v>
      </c>
      <c r="AV38" s="154">
        <v>357105</v>
      </c>
      <c r="AW38" s="154">
        <v>357105</v>
      </c>
      <c r="AX38" s="154">
        <v>8661.99</v>
      </c>
      <c r="AY38" s="155">
        <v>2.4299999999999999E-2</v>
      </c>
      <c r="AZ38" s="5"/>
      <c r="BA38" s="7"/>
    </row>
    <row r="39" spans="1:53" ht="348" hidden="1" customHeight="1">
      <c r="A39" s="6" t="s">
        <v>569</v>
      </c>
      <c r="B39" s="6" t="s">
        <v>569</v>
      </c>
      <c r="C39" s="6" t="s">
        <v>569</v>
      </c>
      <c r="D39" s="6" t="s">
        <v>1320</v>
      </c>
      <c r="E39" s="127" t="s">
        <v>1321</v>
      </c>
      <c r="F39" s="128" t="s">
        <v>1247</v>
      </c>
      <c r="G39" s="129">
        <v>1</v>
      </c>
      <c r="H39" s="128"/>
      <c r="I39" s="130" t="s">
        <v>569</v>
      </c>
      <c r="J39" s="131" t="s">
        <v>569</v>
      </c>
      <c r="K39" s="132" t="s">
        <v>569</v>
      </c>
      <c r="L39" s="133" t="s">
        <v>569</v>
      </c>
      <c r="M39" s="131" t="s">
        <v>569</v>
      </c>
      <c r="N39" s="134"/>
      <c r="O39" s="134"/>
      <c r="P39" s="134"/>
      <c r="Q39" s="135" t="s">
        <v>1248</v>
      </c>
      <c r="R39" s="136" t="s">
        <v>1248</v>
      </c>
      <c r="S39" s="136" t="s">
        <v>1248</v>
      </c>
      <c r="T39" s="136" t="s">
        <v>1248</v>
      </c>
      <c r="U39" s="136" t="s">
        <v>1248</v>
      </c>
      <c r="V39" s="137" t="s">
        <v>569</v>
      </c>
      <c r="W39" s="138" t="s">
        <v>569</v>
      </c>
      <c r="X39" s="139" t="s">
        <v>569</v>
      </c>
      <c r="Y39" s="140" t="s">
        <v>569</v>
      </c>
      <c r="Z39" s="141" t="s">
        <v>1249</v>
      </c>
      <c r="AA39" s="142" t="s">
        <v>569</v>
      </c>
      <c r="AB39" s="142" t="s">
        <v>569</v>
      </c>
      <c r="AC39" s="142" t="s">
        <v>569</v>
      </c>
      <c r="AD39" s="143" t="s">
        <v>569</v>
      </c>
      <c r="AE39" s="144" t="s">
        <v>569</v>
      </c>
      <c r="AF39" s="144">
        <v>912849</v>
      </c>
      <c r="AG39" s="144">
        <v>5.5599999999999997E-2</v>
      </c>
      <c r="AH39" s="144">
        <v>963603</v>
      </c>
      <c r="AI39" s="145" t="s">
        <v>569</v>
      </c>
      <c r="AJ39" s="146" t="s">
        <v>569</v>
      </c>
      <c r="AK39" s="147" t="s">
        <v>569</v>
      </c>
      <c r="AL39" s="148" t="s">
        <v>569</v>
      </c>
      <c r="AM39" s="149" t="s">
        <v>1250</v>
      </c>
      <c r="AN39" s="150" t="s">
        <v>569</v>
      </c>
      <c r="AO39" s="150" t="s">
        <v>569</v>
      </c>
      <c r="AP39" s="151" t="s">
        <v>569</v>
      </c>
      <c r="AQ39" s="152">
        <v>805455</v>
      </c>
      <c r="AR39" s="153">
        <v>153036</v>
      </c>
      <c r="AS39" s="153">
        <v>958491</v>
      </c>
      <c r="AT39" s="153">
        <v>805455</v>
      </c>
      <c r="AU39" s="153">
        <v>958491</v>
      </c>
      <c r="AV39" s="154">
        <v>961047</v>
      </c>
      <c r="AW39" s="154">
        <v>961047</v>
      </c>
      <c r="AX39" s="154">
        <v>3614.7</v>
      </c>
      <c r="AY39" s="155">
        <v>3.8E-3</v>
      </c>
      <c r="AZ39" s="5"/>
      <c r="BA39" s="7"/>
    </row>
    <row r="40" spans="1:53" ht="348" hidden="1" customHeight="1">
      <c r="A40" s="6" t="s">
        <v>569</v>
      </c>
      <c r="B40" s="6" t="s">
        <v>569</v>
      </c>
      <c r="C40" s="6" t="s">
        <v>569</v>
      </c>
      <c r="D40" s="6" t="s">
        <v>1322</v>
      </c>
      <c r="E40" s="127" t="s">
        <v>1323</v>
      </c>
      <c r="F40" s="128" t="s">
        <v>1247</v>
      </c>
      <c r="G40" s="129">
        <v>1</v>
      </c>
      <c r="H40" s="128"/>
      <c r="I40" s="130" t="s">
        <v>569</v>
      </c>
      <c r="J40" s="131" t="s">
        <v>569</v>
      </c>
      <c r="K40" s="132" t="s">
        <v>569</v>
      </c>
      <c r="L40" s="133" t="s">
        <v>569</v>
      </c>
      <c r="M40" s="131" t="s">
        <v>569</v>
      </c>
      <c r="N40" s="134"/>
      <c r="O40" s="134"/>
      <c r="P40" s="134"/>
      <c r="Q40" s="135" t="s">
        <v>1248</v>
      </c>
      <c r="R40" s="136" t="s">
        <v>1248</v>
      </c>
      <c r="S40" s="136" t="s">
        <v>1248</v>
      </c>
      <c r="T40" s="136" t="s">
        <v>1248</v>
      </c>
      <c r="U40" s="136" t="s">
        <v>1248</v>
      </c>
      <c r="V40" s="137" t="s">
        <v>569</v>
      </c>
      <c r="W40" s="138" t="s">
        <v>569</v>
      </c>
      <c r="X40" s="139" t="s">
        <v>569</v>
      </c>
      <c r="Y40" s="140" t="s">
        <v>569</v>
      </c>
      <c r="Z40" s="141" t="s">
        <v>1249</v>
      </c>
      <c r="AA40" s="142" t="s">
        <v>569</v>
      </c>
      <c r="AB40" s="142" t="s">
        <v>569</v>
      </c>
      <c r="AC40" s="142" t="s">
        <v>569</v>
      </c>
      <c r="AD40" s="143" t="s">
        <v>569</v>
      </c>
      <c r="AE40" s="144" t="s">
        <v>569</v>
      </c>
      <c r="AF40" s="144">
        <v>4178599</v>
      </c>
      <c r="AG40" s="144">
        <v>5.5599999999999997E-2</v>
      </c>
      <c r="AH40" s="144">
        <v>4410929</v>
      </c>
      <c r="AI40" s="145" t="s">
        <v>569</v>
      </c>
      <c r="AJ40" s="146" t="s">
        <v>569</v>
      </c>
      <c r="AK40" s="147" t="s">
        <v>569</v>
      </c>
      <c r="AL40" s="148" t="s">
        <v>569</v>
      </c>
      <c r="AM40" s="149" t="s">
        <v>1250</v>
      </c>
      <c r="AN40" s="150" t="s">
        <v>569</v>
      </c>
      <c r="AO40" s="150" t="s">
        <v>569</v>
      </c>
      <c r="AP40" s="151" t="s">
        <v>569</v>
      </c>
      <c r="AQ40" s="152">
        <v>3686999</v>
      </c>
      <c r="AR40" s="153">
        <v>700530</v>
      </c>
      <c r="AS40" s="153">
        <v>4387529</v>
      </c>
      <c r="AT40" s="153">
        <v>3686999</v>
      </c>
      <c r="AU40" s="153">
        <v>4387529</v>
      </c>
      <c r="AV40" s="154">
        <v>4399229</v>
      </c>
      <c r="AW40" s="154">
        <v>4399229</v>
      </c>
      <c r="AX40" s="154">
        <v>16546.41</v>
      </c>
      <c r="AY40" s="155">
        <v>3.8E-3</v>
      </c>
      <c r="AZ40" s="5"/>
      <c r="BA40" s="7"/>
    </row>
    <row r="41" spans="1:53" ht="348" hidden="1" customHeight="1">
      <c r="A41" s="6" t="s">
        <v>569</v>
      </c>
      <c r="B41" s="6" t="s">
        <v>569</v>
      </c>
      <c r="C41" s="6" t="s">
        <v>569</v>
      </c>
      <c r="D41" s="6" t="s">
        <v>1324</v>
      </c>
      <c r="E41" s="127" t="s">
        <v>1325</v>
      </c>
      <c r="F41" s="128" t="s">
        <v>1247</v>
      </c>
      <c r="G41" s="129">
        <v>1</v>
      </c>
      <c r="H41" s="128"/>
      <c r="I41" s="130" t="s">
        <v>569</v>
      </c>
      <c r="J41" s="131" t="s">
        <v>569</v>
      </c>
      <c r="K41" s="132" t="s">
        <v>569</v>
      </c>
      <c r="L41" s="133" t="s">
        <v>569</v>
      </c>
      <c r="M41" s="131" t="s">
        <v>569</v>
      </c>
      <c r="N41" s="134"/>
      <c r="O41" s="134"/>
      <c r="P41" s="134"/>
      <c r="Q41" s="135" t="s">
        <v>1248</v>
      </c>
      <c r="R41" s="136" t="s">
        <v>1248</v>
      </c>
      <c r="S41" s="136" t="s">
        <v>1248</v>
      </c>
      <c r="T41" s="136" t="s">
        <v>1248</v>
      </c>
      <c r="U41" s="136" t="s">
        <v>1248</v>
      </c>
      <c r="V41" s="137" t="s">
        <v>569</v>
      </c>
      <c r="W41" s="138" t="s">
        <v>569</v>
      </c>
      <c r="X41" s="139" t="s">
        <v>569</v>
      </c>
      <c r="Y41" s="140" t="s">
        <v>569</v>
      </c>
      <c r="Z41" s="141" t="s">
        <v>1249</v>
      </c>
      <c r="AA41" s="142" t="s">
        <v>569</v>
      </c>
      <c r="AB41" s="142" t="s">
        <v>569</v>
      </c>
      <c r="AC41" s="142" t="s">
        <v>569</v>
      </c>
      <c r="AD41" s="143" t="s">
        <v>569</v>
      </c>
      <c r="AE41" s="144" t="s">
        <v>569</v>
      </c>
      <c r="AF41" s="144">
        <v>60462</v>
      </c>
      <c r="AG41" s="144">
        <v>5.5599999999999997E-2</v>
      </c>
      <c r="AH41" s="144">
        <v>63823</v>
      </c>
      <c r="AI41" s="145" t="s">
        <v>569</v>
      </c>
      <c r="AJ41" s="146" t="s">
        <v>569</v>
      </c>
      <c r="AK41" s="147" t="s">
        <v>569</v>
      </c>
      <c r="AL41" s="148" t="s">
        <v>569</v>
      </c>
      <c r="AM41" s="149" t="s">
        <v>1250</v>
      </c>
      <c r="AN41" s="150" t="s">
        <v>569</v>
      </c>
      <c r="AO41" s="150" t="s">
        <v>569</v>
      </c>
      <c r="AP41" s="151" t="s">
        <v>569</v>
      </c>
      <c r="AQ41" s="152">
        <v>53348</v>
      </c>
      <c r="AR41" s="153">
        <v>10136</v>
      </c>
      <c r="AS41" s="153">
        <v>63485</v>
      </c>
      <c r="AT41" s="153">
        <v>53348</v>
      </c>
      <c r="AU41" s="153">
        <v>63485</v>
      </c>
      <c r="AV41" s="154">
        <v>63654</v>
      </c>
      <c r="AW41" s="154">
        <v>63654</v>
      </c>
      <c r="AX41" s="154">
        <v>239.42</v>
      </c>
      <c r="AY41" s="155">
        <v>3.8E-3</v>
      </c>
      <c r="AZ41" s="5"/>
      <c r="BA41" s="7"/>
    </row>
    <row r="42" spans="1:53" ht="348" hidden="1" customHeight="1">
      <c r="A42" s="6" t="s">
        <v>569</v>
      </c>
      <c r="B42" s="6" t="s">
        <v>569</v>
      </c>
      <c r="C42" s="6" t="s">
        <v>569</v>
      </c>
      <c r="D42" s="6" t="s">
        <v>1326</v>
      </c>
      <c r="E42" s="127" t="s">
        <v>1327</v>
      </c>
      <c r="F42" s="128" t="s">
        <v>1247</v>
      </c>
      <c r="G42" s="129">
        <v>1</v>
      </c>
      <c r="H42" s="128"/>
      <c r="I42" s="130" t="s">
        <v>569</v>
      </c>
      <c r="J42" s="131" t="s">
        <v>569</v>
      </c>
      <c r="K42" s="132" t="s">
        <v>569</v>
      </c>
      <c r="L42" s="133" t="s">
        <v>569</v>
      </c>
      <c r="M42" s="131" t="s">
        <v>569</v>
      </c>
      <c r="N42" s="134"/>
      <c r="O42" s="134"/>
      <c r="P42" s="134"/>
      <c r="Q42" s="135" t="s">
        <v>1248</v>
      </c>
      <c r="R42" s="136" t="s">
        <v>1248</v>
      </c>
      <c r="S42" s="136" t="s">
        <v>1248</v>
      </c>
      <c r="T42" s="136" t="s">
        <v>1248</v>
      </c>
      <c r="U42" s="136" t="s">
        <v>1248</v>
      </c>
      <c r="V42" s="137" t="s">
        <v>569</v>
      </c>
      <c r="W42" s="138" t="s">
        <v>569</v>
      </c>
      <c r="X42" s="139" t="s">
        <v>569</v>
      </c>
      <c r="Y42" s="140" t="s">
        <v>569</v>
      </c>
      <c r="Z42" s="141" t="s">
        <v>1249</v>
      </c>
      <c r="AA42" s="142" t="s">
        <v>569</v>
      </c>
      <c r="AB42" s="142" t="s">
        <v>569</v>
      </c>
      <c r="AC42" s="142" t="s">
        <v>569</v>
      </c>
      <c r="AD42" s="143" t="s">
        <v>569</v>
      </c>
      <c r="AE42" s="144" t="s">
        <v>569</v>
      </c>
      <c r="AF42" s="144">
        <v>1272504</v>
      </c>
      <c r="AG42" s="144">
        <v>5.5599999999999997E-2</v>
      </c>
      <c r="AH42" s="144">
        <v>1343255</v>
      </c>
      <c r="AI42" s="145" t="s">
        <v>569</v>
      </c>
      <c r="AJ42" s="146" t="s">
        <v>569</v>
      </c>
      <c r="AK42" s="147" t="s">
        <v>569</v>
      </c>
      <c r="AL42" s="148" t="s">
        <v>569</v>
      </c>
      <c r="AM42" s="149" t="s">
        <v>1250</v>
      </c>
      <c r="AN42" s="150" t="s">
        <v>569</v>
      </c>
      <c r="AO42" s="150" t="s">
        <v>569</v>
      </c>
      <c r="AP42" s="151" t="s">
        <v>569</v>
      </c>
      <c r="AQ42" s="152">
        <v>1090717</v>
      </c>
      <c r="AR42" s="153">
        <v>207236</v>
      </c>
      <c r="AS42" s="153">
        <v>1297954</v>
      </c>
      <c r="AT42" s="153">
        <v>1090717</v>
      </c>
      <c r="AU42" s="153">
        <v>1297954</v>
      </c>
      <c r="AV42" s="154">
        <v>1320604</v>
      </c>
      <c r="AW42" s="154">
        <v>1320604</v>
      </c>
      <c r="AX42" s="154">
        <v>32032.73</v>
      </c>
      <c r="AY42" s="155">
        <v>2.4299999999999999E-2</v>
      </c>
      <c r="AZ42" s="5"/>
      <c r="BA42" s="7"/>
    </row>
    <row r="43" spans="1:53" ht="348" hidden="1" customHeight="1">
      <c r="A43" s="6" t="s">
        <v>569</v>
      </c>
      <c r="B43" s="6" t="s">
        <v>569</v>
      </c>
      <c r="C43" s="6" t="s">
        <v>569</v>
      </c>
      <c r="D43" s="6" t="s">
        <v>1328</v>
      </c>
      <c r="E43" s="127" t="s">
        <v>1329</v>
      </c>
      <c r="F43" s="128" t="s">
        <v>1247</v>
      </c>
      <c r="G43" s="129">
        <v>1</v>
      </c>
      <c r="H43" s="128"/>
      <c r="I43" s="130" t="s">
        <v>569</v>
      </c>
      <c r="J43" s="131" t="s">
        <v>569</v>
      </c>
      <c r="K43" s="132" t="s">
        <v>569</v>
      </c>
      <c r="L43" s="133" t="s">
        <v>569</v>
      </c>
      <c r="M43" s="131" t="s">
        <v>569</v>
      </c>
      <c r="N43" s="134"/>
      <c r="O43" s="134"/>
      <c r="P43" s="134"/>
      <c r="Q43" s="135" t="s">
        <v>1248</v>
      </c>
      <c r="R43" s="136" t="s">
        <v>1248</v>
      </c>
      <c r="S43" s="136" t="s">
        <v>1248</v>
      </c>
      <c r="T43" s="136" t="s">
        <v>1248</v>
      </c>
      <c r="U43" s="136" t="s">
        <v>1248</v>
      </c>
      <c r="V43" s="137" t="s">
        <v>569</v>
      </c>
      <c r="W43" s="138" t="s">
        <v>569</v>
      </c>
      <c r="X43" s="139" t="s">
        <v>569</v>
      </c>
      <c r="Y43" s="140" t="s">
        <v>569</v>
      </c>
      <c r="Z43" s="141" t="s">
        <v>1249</v>
      </c>
      <c r="AA43" s="142" t="s">
        <v>569</v>
      </c>
      <c r="AB43" s="142" t="s">
        <v>569</v>
      </c>
      <c r="AC43" s="142" t="s">
        <v>569</v>
      </c>
      <c r="AD43" s="143" t="s">
        <v>569</v>
      </c>
      <c r="AE43" s="144" t="s">
        <v>569</v>
      </c>
      <c r="AF43" s="144">
        <v>2539756</v>
      </c>
      <c r="AG43" s="144">
        <v>5.5599999999999997E-2</v>
      </c>
      <c r="AH43" s="144">
        <v>2680966</v>
      </c>
      <c r="AI43" s="145" t="s">
        <v>569</v>
      </c>
      <c r="AJ43" s="146" t="s">
        <v>569</v>
      </c>
      <c r="AK43" s="147" t="s">
        <v>569</v>
      </c>
      <c r="AL43" s="148" t="s">
        <v>569</v>
      </c>
      <c r="AM43" s="149" t="s">
        <v>1250</v>
      </c>
      <c r="AN43" s="150" t="s">
        <v>569</v>
      </c>
      <c r="AO43" s="150" t="s">
        <v>569</v>
      </c>
      <c r="AP43" s="151" t="s">
        <v>569</v>
      </c>
      <c r="AQ43" s="152">
        <v>2176933</v>
      </c>
      <c r="AR43" s="153">
        <v>413617</v>
      </c>
      <c r="AS43" s="153">
        <v>2590551</v>
      </c>
      <c r="AT43" s="153">
        <v>2176933</v>
      </c>
      <c r="AU43" s="153">
        <v>2590551</v>
      </c>
      <c r="AV43" s="154">
        <v>2635758</v>
      </c>
      <c r="AW43" s="154">
        <v>2635758</v>
      </c>
      <c r="AX43" s="154">
        <v>63933.27</v>
      </c>
      <c r="AY43" s="155">
        <v>2.4299999999999999E-2</v>
      </c>
      <c r="AZ43" s="5"/>
      <c r="BA43" s="7"/>
    </row>
    <row r="44" spans="1:53" ht="348" hidden="1" customHeight="1">
      <c r="A44" s="6" t="s">
        <v>569</v>
      </c>
      <c r="B44" s="6" t="s">
        <v>569</v>
      </c>
      <c r="C44" s="6" t="s">
        <v>569</v>
      </c>
      <c r="D44" s="6" t="s">
        <v>1330</v>
      </c>
      <c r="E44" s="127" t="s">
        <v>1331</v>
      </c>
      <c r="F44" s="128" t="s">
        <v>1247</v>
      </c>
      <c r="G44" s="129">
        <v>1</v>
      </c>
      <c r="H44" s="128"/>
      <c r="I44" s="130" t="s">
        <v>569</v>
      </c>
      <c r="J44" s="131" t="s">
        <v>569</v>
      </c>
      <c r="K44" s="132" t="s">
        <v>569</v>
      </c>
      <c r="L44" s="133" t="s">
        <v>569</v>
      </c>
      <c r="M44" s="131" t="s">
        <v>569</v>
      </c>
      <c r="N44" s="134"/>
      <c r="O44" s="134"/>
      <c r="P44" s="134"/>
      <c r="Q44" s="135" t="s">
        <v>1248</v>
      </c>
      <c r="R44" s="136" t="s">
        <v>1248</v>
      </c>
      <c r="S44" s="136" t="s">
        <v>1248</v>
      </c>
      <c r="T44" s="136" t="s">
        <v>1248</v>
      </c>
      <c r="U44" s="136" t="s">
        <v>1248</v>
      </c>
      <c r="V44" s="137" t="s">
        <v>569</v>
      </c>
      <c r="W44" s="138" t="s">
        <v>569</v>
      </c>
      <c r="X44" s="139" t="s">
        <v>569</v>
      </c>
      <c r="Y44" s="140" t="s">
        <v>569</v>
      </c>
      <c r="Z44" s="141" t="s">
        <v>1249</v>
      </c>
      <c r="AA44" s="142" t="s">
        <v>569</v>
      </c>
      <c r="AB44" s="142" t="s">
        <v>569</v>
      </c>
      <c r="AC44" s="142" t="s">
        <v>569</v>
      </c>
      <c r="AD44" s="143" t="s">
        <v>569</v>
      </c>
      <c r="AE44" s="144" t="s">
        <v>569</v>
      </c>
      <c r="AF44" s="144">
        <v>3224896</v>
      </c>
      <c r="AG44" s="144">
        <v>5.5599999999999997E-2</v>
      </c>
      <c r="AH44" s="144">
        <v>3404200</v>
      </c>
      <c r="AI44" s="145" t="s">
        <v>569</v>
      </c>
      <c r="AJ44" s="146" t="s">
        <v>569</v>
      </c>
      <c r="AK44" s="147" t="s">
        <v>569</v>
      </c>
      <c r="AL44" s="148" t="s">
        <v>569</v>
      </c>
      <c r="AM44" s="149" t="s">
        <v>1250</v>
      </c>
      <c r="AN44" s="150" t="s">
        <v>569</v>
      </c>
      <c r="AO44" s="150" t="s">
        <v>569</v>
      </c>
      <c r="AP44" s="151" t="s">
        <v>569</v>
      </c>
      <c r="AQ44" s="152">
        <v>2764196</v>
      </c>
      <c r="AR44" s="153">
        <v>525197</v>
      </c>
      <c r="AS44" s="153">
        <v>3289393</v>
      </c>
      <c r="AT44" s="153">
        <v>2764196</v>
      </c>
      <c r="AU44" s="153">
        <v>3289393</v>
      </c>
      <c r="AV44" s="154">
        <v>3346797</v>
      </c>
      <c r="AW44" s="154">
        <v>3346797</v>
      </c>
      <c r="AX44" s="154">
        <v>81180.3</v>
      </c>
      <c r="AY44" s="155">
        <v>2.4299999999999999E-2</v>
      </c>
      <c r="AZ44" s="5"/>
      <c r="BA44" s="7"/>
    </row>
    <row r="45" spans="1:53" ht="348" hidden="1" customHeight="1">
      <c r="A45" s="6" t="s">
        <v>569</v>
      </c>
      <c r="B45" s="6" t="s">
        <v>569</v>
      </c>
      <c r="C45" s="6" t="s">
        <v>569</v>
      </c>
      <c r="D45" s="6" t="s">
        <v>1332</v>
      </c>
      <c r="E45" s="127" t="s">
        <v>1333</v>
      </c>
      <c r="F45" s="128" t="s">
        <v>1247</v>
      </c>
      <c r="G45" s="129">
        <v>1</v>
      </c>
      <c r="H45" s="128"/>
      <c r="I45" s="130" t="s">
        <v>569</v>
      </c>
      <c r="J45" s="131" t="s">
        <v>569</v>
      </c>
      <c r="K45" s="132" t="s">
        <v>569</v>
      </c>
      <c r="L45" s="133" t="s">
        <v>569</v>
      </c>
      <c r="M45" s="131" t="s">
        <v>569</v>
      </c>
      <c r="N45" s="134"/>
      <c r="O45" s="134"/>
      <c r="P45" s="134"/>
      <c r="Q45" s="135" t="s">
        <v>1248</v>
      </c>
      <c r="R45" s="136" t="s">
        <v>1248</v>
      </c>
      <c r="S45" s="136" t="s">
        <v>1248</v>
      </c>
      <c r="T45" s="136" t="s">
        <v>1248</v>
      </c>
      <c r="U45" s="136" t="s">
        <v>1248</v>
      </c>
      <c r="V45" s="137" t="s">
        <v>569</v>
      </c>
      <c r="W45" s="138" t="s">
        <v>569</v>
      </c>
      <c r="X45" s="139" t="s">
        <v>569</v>
      </c>
      <c r="Y45" s="140" t="s">
        <v>569</v>
      </c>
      <c r="Z45" s="141" t="s">
        <v>1249</v>
      </c>
      <c r="AA45" s="142" t="s">
        <v>569</v>
      </c>
      <c r="AB45" s="142" t="s">
        <v>569</v>
      </c>
      <c r="AC45" s="142" t="s">
        <v>569</v>
      </c>
      <c r="AD45" s="143" t="s">
        <v>569</v>
      </c>
      <c r="AE45" s="144" t="s">
        <v>569</v>
      </c>
      <c r="AF45" s="144">
        <v>3624891</v>
      </c>
      <c r="AG45" s="144">
        <v>5.5599999999999997E-2</v>
      </c>
      <c r="AH45" s="144">
        <v>3826434</v>
      </c>
      <c r="AI45" s="145" t="s">
        <v>569</v>
      </c>
      <c r="AJ45" s="146" t="s">
        <v>569</v>
      </c>
      <c r="AK45" s="147" t="s">
        <v>569</v>
      </c>
      <c r="AL45" s="148" t="s">
        <v>569</v>
      </c>
      <c r="AM45" s="149" t="s">
        <v>1250</v>
      </c>
      <c r="AN45" s="150" t="s">
        <v>569</v>
      </c>
      <c r="AO45" s="150" t="s">
        <v>569</v>
      </c>
      <c r="AP45" s="151" t="s">
        <v>569</v>
      </c>
      <c r="AQ45" s="152">
        <v>3107049</v>
      </c>
      <c r="AR45" s="153">
        <v>590339</v>
      </c>
      <c r="AS45" s="153">
        <v>3697388</v>
      </c>
      <c r="AT45" s="153">
        <v>3107049</v>
      </c>
      <c r="AU45" s="153">
        <v>3697388</v>
      </c>
      <c r="AV45" s="154">
        <v>3761911</v>
      </c>
      <c r="AW45" s="154">
        <v>3761911</v>
      </c>
      <c r="AX45" s="154">
        <v>91249.37</v>
      </c>
      <c r="AY45" s="155">
        <v>2.4299999999999999E-2</v>
      </c>
      <c r="AZ45" s="5"/>
      <c r="BA45" s="7"/>
    </row>
    <row r="46" spans="1:53" ht="72.599999999999994" hidden="1" customHeight="1">
      <c r="A46" s="6" t="s">
        <v>1182</v>
      </c>
      <c r="B46" s="6" t="s">
        <v>1236</v>
      </c>
      <c r="C46" s="6" t="s">
        <v>1334</v>
      </c>
      <c r="D46" s="6" t="s">
        <v>1335</v>
      </c>
      <c r="E46" s="127" t="s">
        <v>1336</v>
      </c>
      <c r="F46" s="128" t="s">
        <v>1011</v>
      </c>
      <c r="G46" s="129">
        <v>1</v>
      </c>
      <c r="H46" s="128" t="s">
        <v>305</v>
      </c>
      <c r="I46" s="130" t="s">
        <v>1186</v>
      </c>
      <c r="J46" s="131">
        <v>46134</v>
      </c>
      <c r="K46" s="132" t="s">
        <v>1337</v>
      </c>
      <c r="L46" s="133" t="s">
        <v>1193</v>
      </c>
      <c r="M46" s="131" t="s">
        <v>1338</v>
      </c>
      <c r="N46" s="134">
        <v>1320000</v>
      </c>
      <c r="O46" s="134" t="s">
        <v>1197</v>
      </c>
      <c r="P46" s="134" t="s">
        <v>1191</v>
      </c>
      <c r="Q46" s="135">
        <f>IF(O46="IVA Incluido",(N46/1.19),N46)</f>
        <v>1320000</v>
      </c>
      <c r="R46" s="136">
        <f>IF(P46="Si tiene IVA",Q46*19%,0)</f>
        <v>250800</v>
      </c>
      <c r="S46" s="136">
        <f>Q46+R46</f>
        <v>1570800</v>
      </c>
      <c r="T46" s="136">
        <f>IF(B46="","",(N46*G46))</f>
        <v>1320000</v>
      </c>
      <c r="U46" s="136">
        <f>IF(B46="","",(S46*G46))</f>
        <v>1570800</v>
      </c>
      <c r="V46" s="137" t="s">
        <v>1186</v>
      </c>
      <c r="W46" s="138">
        <v>46134</v>
      </c>
      <c r="X46" s="139" t="s">
        <v>1266</v>
      </c>
      <c r="Y46" s="140" t="s">
        <v>1193</v>
      </c>
      <c r="Z46" s="141" t="s">
        <v>515</v>
      </c>
      <c r="AA46" s="142">
        <v>1261500</v>
      </c>
      <c r="AB46" s="142" t="s">
        <v>1197</v>
      </c>
      <c r="AC46" s="142" t="s">
        <v>1191</v>
      </c>
      <c r="AD46" s="143">
        <f>IF(AB46="IVA Incluido",(AA46/1.19),AA46)</f>
        <v>1261500</v>
      </c>
      <c r="AE46" s="144">
        <f>IF(AC46="Si tiene IVA",AD46*19%,0)</f>
        <v>239685</v>
      </c>
      <c r="AF46" s="144">
        <f>AD46+AE46</f>
        <v>1501185</v>
      </c>
      <c r="AG46" s="144">
        <f>IF(O46="","",(AA46*G46))</f>
        <v>1261500</v>
      </c>
      <c r="AH46" s="144">
        <f>IF(O46="","",(AF46*G46))</f>
        <v>1501185</v>
      </c>
      <c r="AI46" s="145" t="s">
        <v>1186</v>
      </c>
      <c r="AJ46" s="146">
        <v>46080</v>
      </c>
      <c r="AK46" s="147" t="s">
        <v>1298</v>
      </c>
      <c r="AL46" s="148" t="s">
        <v>1193</v>
      </c>
      <c r="AM46" s="149" t="s">
        <v>1299</v>
      </c>
      <c r="AN46" s="150">
        <v>1600000</v>
      </c>
      <c r="AO46" s="150" t="s">
        <v>1197</v>
      </c>
      <c r="AP46" s="151" t="s">
        <v>1191</v>
      </c>
      <c r="AQ46" s="152">
        <f>IF(AO46="IVA Incluido",(AN46/1.19),AN46)</f>
        <v>1600000</v>
      </c>
      <c r="AR46" s="153">
        <f>IF(AP46="Si tiene IVA",AQ46*19%,0)</f>
        <v>304000</v>
      </c>
      <c r="AS46" s="153">
        <f>AQ46+AR46</f>
        <v>1904000</v>
      </c>
      <c r="AT46" s="153">
        <f>IF(AB46="","",(AN46*G46))</f>
        <v>1600000</v>
      </c>
      <c r="AU46" s="153">
        <f>IF(AB46="","",(AS46*G46))</f>
        <v>1904000</v>
      </c>
      <c r="AV46" s="154">
        <f>IF(A46="","",AVERAGE(S46,AF46,AS46))</f>
        <v>1658661.6666666667</v>
      </c>
      <c r="AW46" s="154">
        <f>IF(A46="","",AVERAGE(U46,AH46,AU46))</f>
        <v>1658661.6666666667</v>
      </c>
      <c r="AX46" s="154">
        <f>IF(N46="","",STDEV(U46,AH46,AU46))</f>
        <v>215301.49885296548</v>
      </c>
      <c r="AY46" s="155">
        <f>IF(N46="","",(AX46/AW46))</f>
        <v>0.12980434960292211</v>
      </c>
      <c r="AZ46" s="5"/>
      <c r="BA46" s="7">
        <f>COUNTA(M46,Z46,AM46)</f>
        <v>3</v>
      </c>
    </row>
    <row r="47" spans="1:53" ht="348" hidden="1" customHeight="1">
      <c r="A47" s="6" t="s">
        <v>569</v>
      </c>
      <c r="B47" s="6" t="s">
        <v>569</v>
      </c>
      <c r="C47" s="6" t="s">
        <v>569</v>
      </c>
      <c r="D47" s="6" t="s">
        <v>1339</v>
      </c>
      <c r="E47" s="127" t="s">
        <v>1340</v>
      </c>
      <c r="F47" s="128" t="s">
        <v>1247</v>
      </c>
      <c r="G47" s="129">
        <v>1</v>
      </c>
      <c r="H47" s="128"/>
      <c r="I47" s="130" t="s">
        <v>569</v>
      </c>
      <c r="J47" s="131" t="s">
        <v>569</v>
      </c>
      <c r="K47" s="132" t="s">
        <v>569</v>
      </c>
      <c r="L47" s="133" t="s">
        <v>569</v>
      </c>
      <c r="M47" s="131" t="s">
        <v>569</v>
      </c>
      <c r="N47" s="134"/>
      <c r="O47" s="134"/>
      <c r="P47" s="134"/>
      <c r="Q47" s="135" t="s">
        <v>1248</v>
      </c>
      <c r="R47" s="136" t="s">
        <v>1248</v>
      </c>
      <c r="S47" s="136" t="s">
        <v>1248</v>
      </c>
      <c r="T47" s="136" t="s">
        <v>1248</v>
      </c>
      <c r="U47" s="136" t="s">
        <v>1248</v>
      </c>
      <c r="V47" s="137" t="s">
        <v>569</v>
      </c>
      <c r="W47" s="138" t="s">
        <v>569</v>
      </c>
      <c r="X47" s="139" t="s">
        <v>569</v>
      </c>
      <c r="Y47" s="140" t="s">
        <v>569</v>
      </c>
      <c r="Z47" s="141" t="s">
        <v>1249</v>
      </c>
      <c r="AA47" s="142" t="s">
        <v>569</v>
      </c>
      <c r="AB47" s="142" t="s">
        <v>569</v>
      </c>
      <c r="AC47" s="142" t="s">
        <v>569</v>
      </c>
      <c r="AD47" s="143" t="s">
        <v>569</v>
      </c>
      <c r="AE47" s="144" t="s">
        <v>569</v>
      </c>
      <c r="AF47" s="144">
        <v>1841264</v>
      </c>
      <c r="AG47" s="144">
        <v>5.5599999999999997E-2</v>
      </c>
      <c r="AH47" s="144">
        <v>1943638</v>
      </c>
      <c r="AI47" s="145" t="s">
        <v>569</v>
      </c>
      <c r="AJ47" s="146" t="s">
        <v>569</v>
      </c>
      <c r="AK47" s="147" t="s">
        <v>569</v>
      </c>
      <c r="AL47" s="148" t="s">
        <v>569</v>
      </c>
      <c r="AM47" s="149" t="s">
        <v>1250</v>
      </c>
      <c r="AN47" s="150" t="s">
        <v>569</v>
      </c>
      <c r="AO47" s="150" t="s">
        <v>569</v>
      </c>
      <c r="AP47" s="151" t="s">
        <v>569</v>
      </c>
      <c r="AQ47" s="152">
        <v>1578226</v>
      </c>
      <c r="AR47" s="153">
        <v>299863</v>
      </c>
      <c r="AS47" s="153">
        <v>1878089</v>
      </c>
      <c r="AT47" s="153">
        <v>1578226</v>
      </c>
      <c r="AU47" s="153">
        <v>1878089</v>
      </c>
      <c r="AV47" s="154">
        <v>1910863</v>
      </c>
      <c r="AW47" s="154">
        <v>1910863</v>
      </c>
      <c r="AX47" s="154">
        <v>46350.13</v>
      </c>
      <c r="AY47" s="155">
        <v>2.4299999999999999E-2</v>
      </c>
      <c r="AZ47" s="5"/>
      <c r="BA47" s="7"/>
    </row>
    <row r="48" spans="1:53" ht="348" hidden="1" customHeight="1">
      <c r="A48" s="6" t="s">
        <v>569</v>
      </c>
      <c r="B48" s="6" t="s">
        <v>569</v>
      </c>
      <c r="C48" s="6" t="s">
        <v>569</v>
      </c>
      <c r="D48" s="6" t="s">
        <v>1341</v>
      </c>
      <c r="E48" s="127" t="s">
        <v>1342</v>
      </c>
      <c r="F48" s="128" t="s">
        <v>1247</v>
      </c>
      <c r="G48" s="129">
        <v>1</v>
      </c>
      <c r="H48" s="128"/>
      <c r="I48" s="130" t="s">
        <v>569</v>
      </c>
      <c r="J48" s="131" t="s">
        <v>569</v>
      </c>
      <c r="K48" s="132" t="s">
        <v>569</v>
      </c>
      <c r="L48" s="133" t="s">
        <v>569</v>
      </c>
      <c r="M48" s="131" t="s">
        <v>569</v>
      </c>
      <c r="N48" s="134"/>
      <c r="O48" s="134"/>
      <c r="P48" s="134"/>
      <c r="Q48" s="135" t="s">
        <v>1248</v>
      </c>
      <c r="R48" s="136" t="s">
        <v>1248</v>
      </c>
      <c r="S48" s="136" t="s">
        <v>1248</v>
      </c>
      <c r="T48" s="136" t="s">
        <v>1248</v>
      </c>
      <c r="U48" s="136" t="s">
        <v>1248</v>
      </c>
      <c r="V48" s="137" t="s">
        <v>569</v>
      </c>
      <c r="W48" s="138" t="s">
        <v>569</v>
      </c>
      <c r="X48" s="139" t="s">
        <v>569</v>
      </c>
      <c r="Y48" s="140" t="s">
        <v>569</v>
      </c>
      <c r="Z48" s="141" t="s">
        <v>1249</v>
      </c>
      <c r="AA48" s="142" t="s">
        <v>569</v>
      </c>
      <c r="AB48" s="142" t="s">
        <v>569</v>
      </c>
      <c r="AC48" s="142" t="s">
        <v>569</v>
      </c>
      <c r="AD48" s="143" t="s">
        <v>569</v>
      </c>
      <c r="AE48" s="144" t="s">
        <v>569</v>
      </c>
      <c r="AF48" s="144">
        <v>207999</v>
      </c>
      <c r="AG48" s="144">
        <v>5.5599999999999997E-2</v>
      </c>
      <c r="AH48" s="144">
        <v>219563</v>
      </c>
      <c r="AI48" s="145" t="s">
        <v>569</v>
      </c>
      <c r="AJ48" s="146" t="s">
        <v>569</v>
      </c>
      <c r="AK48" s="147" t="s">
        <v>569</v>
      </c>
      <c r="AL48" s="148" t="s">
        <v>569</v>
      </c>
      <c r="AM48" s="149" t="s">
        <v>1250</v>
      </c>
      <c r="AN48" s="150" t="s">
        <v>569</v>
      </c>
      <c r="AO48" s="150" t="s">
        <v>569</v>
      </c>
      <c r="AP48" s="151" t="s">
        <v>569</v>
      </c>
      <c r="AQ48" s="152">
        <v>178284</v>
      </c>
      <c r="AR48" s="153">
        <v>33874</v>
      </c>
      <c r="AS48" s="153">
        <v>212158</v>
      </c>
      <c r="AT48" s="153">
        <v>178284</v>
      </c>
      <c r="AU48" s="153">
        <v>212158</v>
      </c>
      <c r="AV48" s="154">
        <v>215861</v>
      </c>
      <c r="AW48" s="154">
        <v>215861</v>
      </c>
      <c r="AX48" s="154">
        <v>5235.95</v>
      </c>
      <c r="AY48" s="155">
        <v>2.4299999999999999E-2</v>
      </c>
      <c r="AZ48" s="5"/>
      <c r="BA48" s="7"/>
    </row>
    <row r="49" spans="1:53" ht="348" hidden="1" customHeight="1">
      <c r="A49" s="6" t="s">
        <v>569</v>
      </c>
      <c r="B49" s="6" t="s">
        <v>569</v>
      </c>
      <c r="C49" s="6" t="s">
        <v>569</v>
      </c>
      <c r="D49" s="6" t="s">
        <v>1343</v>
      </c>
      <c r="E49" s="127" t="s">
        <v>1344</v>
      </c>
      <c r="F49" s="128" t="s">
        <v>1247</v>
      </c>
      <c r="G49" s="129">
        <v>1</v>
      </c>
      <c r="H49" s="128"/>
      <c r="I49" s="130" t="s">
        <v>569</v>
      </c>
      <c r="J49" s="131" t="s">
        <v>569</v>
      </c>
      <c r="K49" s="132" t="s">
        <v>569</v>
      </c>
      <c r="L49" s="133" t="s">
        <v>569</v>
      </c>
      <c r="M49" s="131" t="s">
        <v>569</v>
      </c>
      <c r="N49" s="134"/>
      <c r="O49" s="134"/>
      <c r="P49" s="134"/>
      <c r="Q49" s="135" t="s">
        <v>1248</v>
      </c>
      <c r="R49" s="136" t="s">
        <v>1248</v>
      </c>
      <c r="S49" s="136" t="s">
        <v>1248</v>
      </c>
      <c r="T49" s="136" t="s">
        <v>1248</v>
      </c>
      <c r="U49" s="136" t="s">
        <v>1248</v>
      </c>
      <c r="V49" s="137" t="s">
        <v>569</v>
      </c>
      <c r="W49" s="138" t="s">
        <v>569</v>
      </c>
      <c r="X49" s="139" t="s">
        <v>569</v>
      </c>
      <c r="Y49" s="140" t="s">
        <v>569</v>
      </c>
      <c r="Z49" s="141" t="s">
        <v>1249</v>
      </c>
      <c r="AA49" s="142" t="s">
        <v>569</v>
      </c>
      <c r="AB49" s="142" t="s">
        <v>569</v>
      </c>
      <c r="AC49" s="142" t="s">
        <v>569</v>
      </c>
      <c r="AD49" s="143" t="s">
        <v>569</v>
      </c>
      <c r="AE49" s="144" t="s">
        <v>569</v>
      </c>
      <c r="AF49" s="144">
        <v>91344</v>
      </c>
      <c r="AG49" s="144">
        <v>5.5599999999999997E-2</v>
      </c>
      <c r="AH49" s="144">
        <v>96423</v>
      </c>
      <c r="AI49" s="145" t="s">
        <v>569</v>
      </c>
      <c r="AJ49" s="146" t="s">
        <v>569</v>
      </c>
      <c r="AK49" s="147" t="s">
        <v>569</v>
      </c>
      <c r="AL49" s="148" t="s">
        <v>569</v>
      </c>
      <c r="AM49" s="149" t="s">
        <v>1250</v>
      </c>
      <c r="AN49" s="150" t="s">
        <v>569</v>
      </c>
      <c r="AO49" s="150" t="s">
        <v>569</v>
      </c>
      <c r="AP49" s="151" t="s">
        <v>569</v>
      </c>
      <c r="AQ49" s="152">
        <v>78295</v>
      </c>
      <c r="AR49" s="153">
        <v>14876</v>
      </c>
      <c r="AS49" s="153">
        <v>93171</v>
      </c>
      <c r="AT49" s="153">
        <v>78295</v>
      </c>
      <c r="AU49" s="153">
        <v>93171</v>
      </c>
      <c r="AV49" s="154">
        <v>94797</v>
      </c>
      <c r="AW49" s="154">
        <v>94797</v>
      </c>
      <c r="AX49" s="154">
        <v>2299.4</v>
      </c>
      <c r="AY49" s="155">
        <v>2.4299999999999999E-2</v>
      </c>
      <c r="AZ49" s="5"/>
      <c r="BA49" s="7"/>
    </row>
    <row r="50" spans="1:53" ht="348" hidden="1" customHeight="1">
      <c r="A50" s="6" t="s">
        <v>569</v>
      </c>
      <c r="B50" s="6" t="s">
        <v>569</v>
      </c>
      <c r="C50" s="6" t="s">
        <v>569</v>
      </c>
      <c r="D50" s="6" t="s">
        <v>1345</v>
      </c>
      <c r="E50" s="127" t="s">
        <v>1346</v>
      </c>
      <c r="F50" s="128" t="s">
        <v>1247</v>
      </c>
      <c r="G50" s="129">
        <v>1</v>
      </c>
      <c r="H50" s="128"/>
      <c r="I50" s="130" t="s">
        <v>569</v>
      </c>
      <c r="J50" s="131" t="s">
        <v>569</v>
      </c>
      <c r="K50" s="132" t="s">
        <v>569</v>
      </c>
      <c r="L50" s="133" t="s">
        <v>569</v>
      </c>
      <c r="M50" s="131" t="s">
        <v>569</v>
      </c>
      <c r="N50" s="134"/>
      <c r="O50" s="134"/>
      <c r="P50" s="134"/>
      <c r="Q50" s="135" t="s">
        <v>1248</v>
      </c>
      <c r="R50" s="136" t="s">
        <v>1248</v>
      </c>
      <c r="S50" s="136" t="s">
        <v>1248</v>
      </c>
      <c r="T50" s="136" t="s">
        <v>1248</v>
      </c>
      <c r="U50" s="136" t="s">
        <v>1248</v>
      </c>
      <c r="V50" s="137" t="s">
        <v>569</v>
      </c>
      <c r="W50" s="138" t="s">
        <v>569</v>
      </c>
      <c r="X50" s="139" t="s">
        <v>569</v>
      </c>
      <c r="Y50" s="140" t="s">
        <v>569</v>
      </c>
      <c r="Z50" s="141" t="s">
        <v>1249</v>
      </c>
      <c r="AA50" s="142" t="s">
        <v>569</v>
      </c>
      <c r="AB50" s="142" t="s">
        <v>569</v>
      </c>
      <c r="AC50" s="142" t="s">
        <v>569</v>
      </c>
      <c r="AD50" s="143" t="s">
        <v>569</v>
      </c>
      <c r="AE50" s="144" t="s">
        <v>569</v>
      </c>
      <c r="AF50" s="144">
        <v>1100084</v>
      </c>
      <c r="AG50" s="144">
        <v>5.5599999999999997E-2</v>
      </c>
      <c r="AH50" s="144">
        <v>1161248</v>
      </c>
      <c r="AI50" s="145" t="s">
        <v>569</v>
      </c>
      <c r="AJ50" s="146" t="s">
        <v>569</v>
      </c>
      <c r="AK50" s="147" t="s">
        <v>569</v>
      </c>
      <c r="AL50" s="148" t="s">
        <v>569</v>
      </c>
      <c r="AM50" s="149" t="s">
        <v>1250</v>
      </c>
      <c r="AN50" s="150" t="s">
        <v>569</v>
      </c>
      <c r="AO50" s="150" t="s">
        <v>569</v>
      </c>
      <c r="AP50" s="151" t="s">
        <v>569</v>
      </c>
      <c r="AQ50" s="152">
        <v>961418</v>
      </c>
      <c r="AR50" s="153">
        <v>182669</v>
      </c>
      <c r="AS50" s="153">
        <v>1144087</v>
      </c>
      <c r="AT50" s="153">
        <v>961418</v>
      </c>
      <c r="AU50" s="153">
        <v>1144087</v>
      </c>
      <c r="AV50" s="154">
        <v>1152667</v>
      </c>
      <c r="AW50" s="154">
        <v>1152667</v>
      </c>
      <c r="AX50" s="154">
        <v>12134.87</v>
      </c>
      <c r="AY50" s="155">
        <v>1.0500000000000001E-2</v>
      </c>
      <c r="AZ50" s="5"/>
      <c r="BA50" s="7"/>
    </row>
    <row r="51" spans="1:53" ht="87" hidden="1" customHeight="1">
      <c r="A51" s="6" t="s">
        <v>1182</v>
      </c>
      <c r="B51" s="6" t="s">
        <v>1236</v>
      </c>
      <c r="C51" s="6" t="s">
        <v>1271</v>
      </c>
      <c r="D51" s="6" t="s">
        <v>1347</v>
      </c>
      <c r="E51" s="127" t="s">
        <v>1348</v>
      </c>
      <c r="F51" s="128" t="s">
        <v>191</v>
      </c>
      <c r="G51" s="129">
        <v>1</v>
      </c>
      <c r="H51" s="128" t="s">
        <v>305</v>
      </c>
      <c r="I51" s="130" t="s">
        <v>1186</v>
      </c>
      <c r="J51" s="131">
        <v>46152</v>
      </c>
      <c r="K51" s="132" t="s">
        <v>1274</v>
      </c>
      <c r="L51" s="133" t="s">
        <v>1188</v>
      </c>
      <c r="M51" s="131" t="s">
        <v>1275</v>
      </c>
      <c r="N51" s="134">
        <v>1150000</v>
      </c>
      <c r="O51" s="134" t="s">
        <v>1197</v>
      </c>
      <c r="P51" s="134" t="s">
        <v>1191</v>
      </c>
      <c r="Q51" s="135">
        <f>IF(O51="IVA Incluido",(N51/1.19),N51)</f>
        <v>1150000</v>
      </c>
      <c r="R51" s="136">
        <f>IF(P51="Si tiene IVA",Q51*19%,0)</f>
        <v>218500</v>
      </c>
      <c r="S51" s="136">
        <f>Q51+R51</f>
        <v>1368500</v>
      </c>
      <c r="T51" s="136">
        <f>IF(B51="","",(N51*G51))</f>
        <v>1150000</v>
      </c>
      <c r="U51" s="136">
        <f>IF(B51="","",(S51*G51))</f>
        <v>1368500</v>
      </c>
      <c r="V51" s="137" t="s">
        <v>1186</v>
      </c>
      <c r="W51" s="138">
        <v>46152</v>
      </c>
      <c r="X51" s="139" t="s">
        <v>1349</v>
      </c>
      <c r="Y51" s="140" t="s">
        <v>1193</v>
      </c>
      <c r="Z51" s="141" t="s">
        <v>517</v>
      </c>
      <c r="AA51" s="142">
        <v>1008403</v>
      </c>
      <c r="AB51" s="142" t="s">
        <v>1197</v>
      </c>
      <c r="AC51" s="142" t="s">
        <v>1191</v>
      </c>
      <c r="AD51" s="143">
        <f>IF(AB51="IVA Incluido",(AA51/1.19),AA51)</f>
        <v>1008403</v>
      </c>
      <c r="AE51" s="144">
        <f>IF(AC51="Si tiene IVA",AD51*19%,0)</f>
        <v>191596.57</v>
      </c>
      <c r="AF51" s="144">
        <f>AD51+AE51</f>
        <v>1199999.57</v>
      </c>
      <c r="AG51" s="144">
        <f>IF(O51="","",(AA51*G51))</f>
        <v>1008403</v>
      </c>
      <c r="AH51" s="144">
        <f>IF(O51="","",(AF51*G51))</f>
        <v>1199999.57</v>
      </c>
      <c r="AI51" s="145" t="s">
        <v>1350</v>
      </c>
      <c r="AJ51" s="146">
        <v>46071</v>
      </c>
      <c r="AK51" s="147" t="s">
        <v>1278</v>
      </c>
      <c r="AL51" s="148" t="s">
        <v>1193</v>
      </c>
      <c r="AM51" s="149" t="s">
        <v>1279</v>
      </c>
      <c r="AN51" s="150">
        <v>1100000</v>
      </c>
      <c r="AO51" s="150" t="s">
        <v>1197</v>
      </c>
      <c r="AP51" s="151" t="s">
        <v>1191</v>
      </c>
      <c r="AQ51" s="152">
        <f>IF(AO51="IVA Incluido",(AN51/1.19),AN51)</f>
        <v>1100000</v>
      </c>
      <c r="AR51" s="153">
        <f>IF(AP51="Si tiene IVA",AQ51*19%,0)</f>
        <v>209000</v>
      </c>
      <c r="AS51" s="153">
        <f>AQ51+AR51</f>
        <v>1309000</v>
      </c>
      <c r="AT51" s="153">
        <f>IF(AB51="","",(AN51*G51))</f>
        <v>1100000</v>
      </c>
      <c r="AU51" s="153">
        <f>IF(AB51="","",(AS51*G51))</f>
        <v>1309000</v>
      </c>
      <c r="AV51" s="154">
        <f>IF(A51="","",AVERAGE(S51,AF51,AS51))</f>
        <v>1292499.8566666667</v>
      </c>
      <c r="AW51" s="154">
        <f>IF(A51="","",AVERAGE(U51,AH51,AU51))</f>
        <v>1292499.8566666667</v>
      </c>
      <c r="AX51" s="154">
        <f>IF(N51="","",STDEV(U51,AH51,AU51))</f>
        <v>85453.436297562817</v>
      </c>
      <c r="AY51" s="155">
        <f>IF(N51="","",(AX51/AW51))</f>
        <v>6.6114851662688504E-2</v>
      </c>
      <c r="AZ51" s="5"/>
      <c r="BA51" s="7">
        <f>COUNTA(M51,Z51,AM51)</f>
        <v>3</v>
      </c>
    </row>
    <row r="52" spans="1:53" ht="348" hidden="1" customHeight="1">
      <c r="A52" s="6" t="s">
        <v>569</v>
      </c>
      <c r="B52" s="6" t="s">
        <v>569</v>
      </c>
      <c r="C52" s="6" t="s">
        <v>569</v>
      </c>
      <c r="D52" s="6" t="s">
        <v>1351</v>
      </c>
      <c r="E52" s="127" t="s">
        <v>1352</v>
      </c>
      <c r="F52" s="128" t="s">
        <v>1247</v>
      </c>
      <c r="G52" s="129">
        <v>1</v>
      </c>
      <c r="H52" s="128"/>
      <c r="I52" s="130" t="s">
        <v>569</v>
      </c>
      <c r="J52" s="131" t="s">
        <v>569</v>
      </c>
      <c r="K52" s="132" t="s">
        <v>569</v>
      </c>
      <c r="L52" s="133" t="s">
        <v>569</v>
      </c>
      <c r="M52" s="131" t="s">
        <v>569</v>
      </c>
      <c r="N52" s="134"/>
      <c r="O52" s="134"/>
      <c r="P52" s="134"/>
      <c r="Q52" s="135" t="s">
        <v>1248</v>
      </c>
      <c r="R52" s="136" t="s">
        <v>1248</v>
      </c>
      <c r="S52" s="136" t="s">
        <v>1248</v>
      </c>
      <c r="T52" s="136" t="s">
        <v>1248</v>
      </c>
      <c r="U52" s="136" t="s">
        <v>1248</v>
      </c>
      <c r="V52" s="137" t="s">
        <v>569</v>
      </c>
      <c r="W52" s="138" t="s">
        <v>569</v>
      </c>
      <c r="X52" s="139" t="s">
        <v>569</v>
      </c>
      <c r="Y52" s="140" t="s">
        <v>569</v>
      </c>
      <c r="Z52" s="141" t="s">
        <v>1249</v>
      </c>
      <c r="AA52" s="142" t="s">
        <v>569</v>
      </c>
      <c r="AB52" s="142" t="s">
        <v>569</v>
      </c>
      <c r="AC52" s="142" t="s">
        <v>569</v>
      </c>
      <c r="AD52" s="143" t="s">
        <v>569</v>
      </c>
      <c r="AE52" s="144" t="s">
        <v>569</v>
      </c>
      <c r="AF52" s="144">
        <v>2251784</v>
      </c>
      <c r="AG52" s="144">
        <v>5.5599999999999997E-2</v>
      </c>
      <c r="AH52" s="144">
        <v>2376983</v>
      </c>
      <c r="AI52" s="145" t="s">
        <v>569</v>
      </c>
      <c r="AJ52" s="146" t="s">
        <v>569</v>
      </c>
      <c r="AK52" s="147" t="s">
        <v>569</v>
      </c>
      <c r="AL52" s="148" t="s">
        <v>569</v>
      </c>
      <c r="AM52" s="149" t="s">
        <v>1250</v>
      </c>
      <c r="AN52" s="150" t="s">
        <v>569</v>
      </c>
      <c r="AO52" s="150" t="s">
        <v>569</v>
      </c>
      <c r="AP52" s="151" t="s">
        <v>569</v>
      </c>
      <c r="AQ52" s="152">
        <v>1986868</v>
      </c>
      <c r="AR52" s="153">
        <v>377505</v>
      </c>
      <c r="AS52" s="153">
        <v>2364373</v>
      </c>
      <c r="AT52" s="153">
        <v>1986868</v>
      </c>
      <c r="AU52" s="153">
        <v>2364373</v>
      </c>
      <c r="AV52" s="154">
        <v>2370678</v>
      </c>
      <c r="AW52" s="154">
        <v>2370678</v>
      </c>
      <c r="AX52" s="154">
        <v>8916.61</v>
      </c>
      <c r="AY52" s="155">
        <v>3.8E-3</v>
      </c>
      <c r="AZ52" s="5"/>
      <c r="BA52" s="7"/>
    </row>
    <row r="53" spans="1:53" ht="348" hidden="1" customHeight="1">
      <c r="A53" s="6" t="s">
        <v>569</v>
      </c>
      <c r="B53" s="6" t="s">
        <v>569</v>
      </c>
      <c r="C53" s="6" t="s">
        <v>569</v>
      </c>
      <c r="D53" s="6" t="s">
        <v>1353</v>
      </c>
      <c r="E53" s="127" t="s">
        <v>1354</v>
      </c>
      <c r="F53" s="128" t="s">
        <v>1247</v>
      </c>
      <c r="G53" s="129">
        <v>1</v>
      </c>
      <c r="H53" s="128"/>
      <c r="I53" s="130" t="s">
        <v>569</v>
      </c>
      <c r="J53" s="131" t="s">
        <v>569</v>
      </c>
      <c r="K53" s="132" t="s">
        <v>569</v>
      </c>
      <c r="L53" s="133" t="s">
        <v>569</v>
      </c>
      <c r="M53" s="131" t="s">
        <v>569</v>
      </c>
      <c r="N53" s="134"/>
      <c r="O53" s="134"/>
      <c r="P53" s="134"/>
      <c r="Q53" s="135" t="s">
        <v>1248</v>
      </c>
      <c r="R53" s="136" t="s">
        <v>1248</v>
      </c>
      <c r="S53" s="136" t="s">
        <v>1248</v>
      </c>
      <c r="T53" s="136" t="s">
        <v>1248</v>
      </c>
      <c r="U53" s="136" t="s">
        <v>1248</v>
      </c>
      <c r="V53" s="137" t="s">
        <v>569</v>
      </c>
      <c r="W53" s="138" t="s">
        <v>569</v>
      </c>
      <c r="X53" s="139" t="s">
        <v>569</v>
      </c>
      <c r="Y53" s="140" t="s">
        <v>569</v>
      </c>
      <c r="Z53" s="141" t="s">
        <v>1249</v>
      </c>
      <c r="AA53" s="142" t="s">
        <v>569</v>
      </c>
      <c r="AB53" s="142" t="s">
        <v>569</v>
      </c>
      <c r="AC53" s="142" t="s">
        <v>569</v>
      </c>
      <c r="AD53" s="143" t="s">
        <v>569</v>
      </c>
      <c r="AE53" s="144" t="s">
        <v>569</v>
      </c>
      <c r="AF53" s="144">
        <v>2664284</v>
      </c>
      <c r="AG53" s="144">
        <v>5.5599999999999997E-2</v>
      </c>
      <c r="AH53" s="144">
        <v>2812418</v>
      </c>
      <c r="AI53" s="145" t="s">
        <v>569</v>
      </c>
      <c r="AJ53" s="146" t="s">
        <v>569</v>
      </c>
      <c r="AK53" s="147" t="s">
        <v>569</v>
      </c>
      <c r="AL53" s="148" t="s">
        <v>569</v>
      </c>
      <c r="AM53" s="149" t="s">
        <v>1250</v>
      </c>
      <c r="AN53" s="150" t="s">
        <v>569</v>
      </c>
      <c r="AO53" s="150" t="s">
        <v>569</v>
      </c>
      <c r="AP53" s="151" t="s">
        <v>569</v>
      </c>
      <c r="AQ53" s="152">
        <v>2350838</v>
      </c>
      <c r="AR53" s="153">
        <v>446659</v>
      </c>
      <c r="AS53" s="153">
        <v>2797498</v>
      </c>
      <c r="AT53" s="153">
        <v>2350838</v>
      </c>
      <c r="AU53" s="153">
        <v>2797498</v>
      </c>
      <c r="AV53" s="154">
        <v>2804958</v>
      </c>
      <c r="AW53" s="154">
        <v>2804958</v>
      </c>
      <c r="AX53" s="154">
        <v>10550.02</v>
      </c>
      <c r="AY53" s="155">
        <v>3.8E-3</v>
      </c>
      <c r="AZ53" s="5"/>
      <c r="BA53" s="7"/>
    </row>
    <row r="54" spans="1:53" ht="58.15" customHeight="1">
      <c r="A54" s="6" t="s">
        <v>1182</v>
      </c>
      <c r="B54" s="6" t="s">
        <v>1236</v>
      </c>
      <c r="C54" s="6" t="s">
        <v>1355</v>
      </c>
      <c r="D54" s="6" t="s">
        <v>1356</v>
      </c>
      <c r="E54" s="127" t="s">
        <v>514</v>
      </c>
      <c r="F54" s="128" t="s">
        <v>191</v>
      </c>
      <c r="G54" s="129">
        <v>1</v>
      </c>
      <c r="H54" s="128" t="s">
        <v>305</v>
      </c>
      <c r="I54" s="130" t="s">
        <v>1357</v>
      </c>
      <c r="J54" s="131">
        <v>46056</v>
      </c>
      <c r="K54" s="132" t="s">
        <v>1358</v>
      </c>
      <c r="L54" s="133" t="s">
        <v>1193</v>
      </c>
      <c r="M54" s="131" t="s">
        <v>515</v>
      </c>
      <c r="N54" s="134">
        <v>1050000</v>
      </c>
      <c r="O54" s="134" t="s">
        <v>1197</v>
      </c>
      <c r="P54" s="134" t="s">
        <v>1191</v>
      </c>
      <c r="Q54" s="135">
        <f>IF(O54="IVA Incluido",(N54/1.19),N54)</f>
        <v>1050000</v>
      </c>
      <c r="R54" s="136">
        <f>IF(P54="Si tiene IVA",Q54*19%,0)</f>
        <v>199500</v>
      </c>
      <c r="S54" s="136">
        <f>Q54+R54</f>
        <v>1249500</v>
      </c>
      <c r="T54" s="136">
        <f>IF(B54="","",(N54*G54))</f>
        <v>1050000</v>
      </c>
      <c r="U54" s="136">
        <f>IF(B54="","",(S54*G54))</f>
        <v>1249500</v>
      </c>
      <c r="V54" s="137" t="s">
        <v>1357</v>
      </c>
      <c r="W54" s="138">
        <v>46070</v>
      </c>
      <c r="X54" s="139" t="s">
        <v>1359</v>
      </c>
      <c r="Y54" s="140" t="s">
        <v>1193</v>
      </c>
      <c r="Z54" s="141" t="s">
        <v>516</v>
      </c>
      <c r="AA54" s="142">
        <v>1500000</v>
      </c>
      <c r="AB54" s="142" t="s">
        <v>1197</v>
      </c>
      <c r="AC54" s="142" t="s">
        <v>1191</v>
      </c>
      <c r="AD54" s="143">
        <f>IF(AB54="IVA Incluido",(AA54/1.19),AA54)</f>
        <v>1500000</v>
      </c>
      <c r="AE54" s="144">
        <f>IF(AC54="Si tiene IVA",AD54*19%,0)</f>
        <v>285000</v>
      </c>
      <c r="AF54" s="144">
        <f>AD54+AE54</f>
        <v>1785000</v>
      </c>
      <c r="AG54" s="144">
        <f>IF(O54="","",(AA54*G54))</f>
        <v>1500000</v>
      </c>
      <c r="AH54" s="144">
        <f>IF(O54="","",(AF54*G54))</f>
        <v>1785000</v>
      </c>
      <c r="AI54" s="145" t="s">
        <v>1357</v>
      </c>
      <c r="AJ54" s="146">
        <v>46105</v>
      </c>
      <c r="AK54" s="147" t="s">
        <v>1349</v>
      </c>
      <c r="AL54" s="148" t="s">
        <v>1193</v>
      </c>
      <c r="AM54" s="149" t="s">
        <v>517</v>
      </c>
      <c r="AN54" s="150">
        <v>1260504</v>
      </c>
      <c r="AO54" s="150" t="s">
        <v>1197</v>
      </c>
      <c r="AP54" s="151" t="s">
        <v>1191</v>
      </c>
      <c r="AQ54" s="152">
        <f>IF(AO54="IVA Incluido",(AN54/1.19),AN54)</f>
        <v>1260504</v>
      </c>
      <c r="AR54" s="153">
        <f>IF(AP54="Si tiene IVA",AQ54*19%,0)</f>
        <v>239495.76</v>
      </c>
      <c r="AS54" s="153">
        <f>AQ54+AR54</f>
        <v>1499999.76</v>
      </c>
      <c r="AT54" s="153">
        <f>IF(AB54="","",(AN54*G54))</f>
        <v>1260504</v>
      </c>
      <c r="AU54" s="153">
        <f>IF(AB54="","",(AS54*G54))</f>
        <v>1499999.76</v>
      </c>
      <c r="AV54" s="154">
        <f>IF(A54="","",AVERAGE(S54,AF54,AS54))</f>
        <v>1511499.92</v>
      </c>
      <c r="AW54" s="154">
        <f>IF(A54="","",AVERAGE(U54,AH54,AU54))</f>
        <v>1511499.92</v>
      </c>
      <c r="AX54" s="154">
        <f>IF(N54="","",STDEV(U54,AH54,AU54))</f>
        <v>267935.1652172957</v>
      </c>
      <c r="AY54" s="155">
        <f>IF(N54="","",(AX54/AW54))</f>
        <v>0.17726442566883874</v>
      </c>
      <c r="AZ54" s="5"/>
      <c r="BA54" s="7">
        <f>COUNTA(M54,Z54,AM54)</f>
        <v>3</v>
      </c>
    </row>
    <row r="55" spans="1:53" ht="58.15" customHeight="1">
      <c r="A55" s="6" t="s">
        <v>1182</v>
      </c>
      <c r="B55" s="6" t="s">
        <v>1236</v>
      </c>
      <c r="C55" s="6" t="s">
        <v>1355</v>
      </c>
      <c r="D55" s="6" t="s">
        <v>1360</v>
      </c>
      <c r="E55" s="127" t="s">
        <v>1361</v>
      </c>
      <c r="F55" s="128" t="s">
        <v>191</v>
      </c>
      <c r="G55" s="129">
        <v>1</v>
      </c>
      <c r="H55" s="128" t="s">
        <v>305</v>
      </c>
      <c r="I55" s="130" t="s">
        <v>1357</v>
      </c>
      <c r="J55" s="131">
        <v>46056</v>
      </c>
      <c r="K55" s="132" t="s">
        <v>1358</v>
      </c>
      <c r="L55" s="133" t="s">
        <v>1193</v>
      </c>
      <c r="M55" s="131" t="s">
        <v>515</v>
      </c>
      <c r="N55" s="134">
        <v>1050000</v>
      </c>
      <c r="O55" s="134" t="s">
        <v>1197</v>
      </c>
      <c r="P55" s="134" t="s">
        <v>1191</v>
      </c>
      <c r="Q55" s="135">
        <f>IF(O55="IVA Incluido",(N55/1.19),N55)</f>
        <v>1050000</v>
      </c>
      <c r="R55" s="136">
        <f>IF(P55="Si tiene IVA",Q55*19%,0)</f>
        <v>199500</v>
      </c>
      <c r="S55" s="136">
        <f>Q55+R55</f>
        <v>1249500</v>
      </c>
      <c r="T55" s="136">
        <f>IF(B55="","",(N55*G55))</f>
        <v>1050000</v>
      </c>
      <c r="U55" s="136">
        <f>IF(B55="","",(S55*G55))</f>
        <v>1249500</v>
      </c>
      <c r="V55" s="137" t="s">
        <v>1357</v>
      </c>
      <c r="W55" s="138">
        <v>46070</v>
      </c>
      <c r="X55" s="139" t="s">
        <v>1359</v>
      </c>
      <c r="Y55" s="140" t="s">
        <v>1193</v>
      </c>
      <c r="Z55" s="141" t="s">
        <v>516</v>
      </c>
      <c r="AA55" s="142">
        <v>1500000</v>
      </c>
      <c r="AB55" s="142" t="s">
        <v>1197</v>
      </c>
      <c r="AC55" s="142" t="s">
        <v>1191</v>
      </c>
      <c r="AD55" s="143">
        <f>IF(AB55="IVA Incluido",(AA55/1.19),AA55)</f>
        <v>1500000</v>
      </c>
      <c r="AE55" s="144">
        <f>IF(AC55="Si tiene IVA",AD55*19%,0)</f>
        <v>285000</v>
      </c>
      <c r="AF55" s="144">
        <f>AD55+AE55</f>
        <v>1785000</v>
      </c>
      <c r="AG55" s="144">
        <f>IF(O55="","",(AA55*G55))</f>
        <v>1500000</v>
      </c>
      <c r="AH55" s="144">
        <f>IF(O55="","",(AF55*G55))</f>
        <v>1785000</v>
      </c>
      <c r="AI55" s="145" t="s">
        <v>1357</v>
      </c>
      <c r="AJ55" s="146">
        <v>46105</v>
      </c>
      <c r="AK55" s="147" t="s">
        <v>1349</v>
      </c>
      <c r="AL55" s="148" t="s">
        <v>1193</v>
      </c>
      <c r="AM55" s="149" t="s">
        <v>517</v>
      </c>
      <c r="AN55" s="150">
        <v>1260504</v>
      </c>
      <c r="AO55" s="150" t="s">
        <v>1197</v>
      </c>
      <c r="AP55" s="151" t="s">
        <v>1191</v>
      </c>
      <c r="AQ55" s="152">
        <f>IF(AO55="IVA Incluido",(AN55/1.19),AN55)</f>
        <v>1260504</v>
      </c>
      <c r="AR55" s="153">
        <f>IF(AP55="Si tiene IVA",AQ55*19%,0)</f>
        <v>239495.76</v>
      </c>
      <c r="AS55" s="153">
        <f>AQ55+AR55</f>
        <v>1499999.76</v>
      </c>
      <c r="AT55" s="153">
        <f>IF(AB55="","",(AN55*G55))</f>
        <v>1260504</v>
      </c>
      <c r="AU55" s="153">
        <f>IF(AB55="","",(AS55*G55))</f>
        <v>1499999.76</v>
      </c>
      <c r="AV55" s="154">
        <f>IF(A55="","",AVERAGE(S55,AF55,AS55))</f>
        <v>1511499.92</v>
      </c>
      <c r="AW55" s="154">
        <f>IF(A55="","",AVERAGE(U55,AH55,AU55))</f>
        <v>1511499.92</v>
      </c>
      <c r="AX55" s="154">
        <f>IF(N55="","",STDEV(U55,AH55,AU55))</f>
        <v>267935.1652172957</v>
      </c>
      <c r="AY55" s="155">
        <f>IF(N55="","",(AX55/AW55))</f>
        <v>0.17726442566883874</v>
      </c>
      <c r="AZ55" s="5"/>
      <c r="BA55" s="7">
        <f>COUNTA(M55,Z55,AM55)</f>
        <v>3</v>
      </c>
    </row>
    <row r="56" spans="1:53" ht="130.5" hidden="1" customHeight="1">
      <c r="A56" s="6" t="s">
        <v>1182</v>
      </c>
      <c r="B56" s="6" t="s">
        <v>1236</v>
      </c>
      <c r="C56" s="6" t="s">
        <v>1355</v>
      </c>
      <c r="D56" s="6" t="s">
        <v>1362</v>
      </c>
      <c r="E56" s="127" t="s">
        <v>1363</v>
      </c>
      <c r="F56" s="128" t="s">
        <v>191</v>
      </c>
      <c r="G56" s="129">
        <v>1</v>
      </c>
      <c r="H56" s="128" t="s">
        <v>305</v>
      </c>
      <c r="I56" s="130" t="s">
        <v>1186</v>
      </c>
      <c r="J56" s="131">
        <v>46134</v>
      </c>
      <c r="K56" s="132" t="s">
        <v>1266</v>
      </c>
      <c r="L56" s="133" t="s">
        <v>1193</v>
      </c>
      <c r="M56" s="131" t="s">
        <v>515</v>
      </c>
      <c r="N56" s="134">
        <v>4590000</v>
      </c>
      <c r="O56" s="134" t="s">
        <v>1197</v>
      </c>
      <c r="P56" s="134" t="s">
        <v>1191</v>
      </c>
      <c r="Q56" s="135">
        <f>IF(O56="IVA Incluido",(N56/1.19),N56)</f>
        <v>4590000</v>
      </c>
      <c r="R56" s="136">
        <f>IF(P56="Si tiene IVA",Q56*19%,0)</f>
        <v>872100</v>
      </c>
      <c r="S56" s="136">
        <f>Q56+R56</f>
        <v>5462100</v>
      </c>
      <c r="T56" s="136">
        <f>IF(B56="","",(N56*G56))</f>
        <v>4590000</v>
      </c>
      <c r="U56" s="136">
        <f>IF(B56="","",(S56*G56))</f>
        <v>5462100</v>
      </c>
      <c r="V56" s="137" t="s">
        <v>1186</v>
      </c>
      <c r="W56" s="138">
        <v>46134</v>
      </c>
      <c r="X56" s="139" t="s">
        <v>1364</v>
      </c>
      <c r="Y56" s="140" t="s">
        <v>1193</v>
      </c>
      <c r="Z56" s="141" t="s">
        <v>1283</v>
      </c>
      <c r="AA56" s="142">
        <v>4550000</v>
      </c>
      <c r="AB56" s="142" t="s">
        <v>1190</v>
      </c>
      <c r="AC56" s="142" t="s">
        <v>1191</v>
      </c>
      <c r="AD56" s="143">
        <f>IF(AB56="IVA Incluido",(AA56/1.19),AA56)</f>
        <v>3823529.411764706</v>
      </c>
      <c r="AE56" s="144">
        <f>IF(AC56="Si tiene IVA",AD56*19%,0)</f>
        <v>726470.5882352941</v>
      </c>
      <c r="AF56" s="144">
        <f>AD56+AE56</f>
        <v>4550000</v>
      </c>
      <c r="AG56" s="144">
        <f>IF(O56="","",(AA56*G56))</f>
        <v>4550000</v>
      </c>
      <c r="AH56" s="144">
        <f>IF(O56="","",(AF56*G56))</f>
        <v>4550000</v>
      </c>
      <c r="AI56" s="145"/>
      <c r="AJ56" s="146"/>
      <c r="AK56" s="147"/>
      <c r="AL56" s="148"/>
      <c r="AM56" s="149"/>
      <c r="AN56" s="150"/>
      <c r="AO56" s="150"/>
      <c r="AP56" s="151"/>
      <c r="AQ56" s="152"/>
      <c r="AR56" s="153"/>
      <c r="AS56" s="153"/>
      <c r="AT56" s="153"/>
      <c r="AU56" s="153"/>
      <c r="AV56" s="154">
        <f>IF(A56="","",AVERAGE(S56,AF56))</f>
        <v>5006050</v>
      </c>
      <c r="AW56" s="154">
        <f>IF(A56="","",AVERAGE(U56,AH56))</f>
        <v>5006050</v>
      </c>
      <c r="AX56" s="154">
        <f>IF(N56="","",STDEV(U56,AH56))</f>
        <v>644952.09512025001</v>
      </c>
      <c r="AY56" s="155">
        <f>IF(N56="","",(AX56/AW56))</f>
        <v>0.12883452924366517</v>
      </c>
      <c r="AZ56" s="5"/>
      <c r="BA56" s="7">
        <f>COUNTA(M56,Z56,AM56)</f>
        <v>2</v>
      </c>
    </row>
    <row r="57" spans="1:53" ht="348" hidden="1" customHeight="1">
      <c r="A57" s="6" t="s">
        <v>569</v>
      </c>
      <c r="B57" s="6" t="s">
        <v>569</v>
      </c>
      <c r="C57" s="6" t="s">
        <v>569</v>
      </c>
      <c r="D57" s="6" t="s">
        <v>1365</v>
      </c>
      <c r="E57" s="127" t="s">
        <v>1366</v>
      </c>
      <c r="F57" s="128" t="s">
        <v>1247</v>
      </c>
      <c r="G57" s="129">
        <v>1</v>
      </c>
      <c r="H57" s="128"/>
      <c r="I57" s="130" t="s">
        <v>569</v>
      </c>
      <c r="J57" s="131" t="s">
        <v>569</v>
      </c>
      <c r="K57" s="132" t="s">
        <v>569</v>
      </c>
      <c r="L57" s="133" t="s">
        <v>569</v>
      </c>
      <c r="M57" s="131" t="s">
        <v>569</v>
      </c>
      <c r="N57" s="134"/>
      <c r="O57" s="134"/>
      <c r="P57" s="134"/>
      <c r="Q57" s="135" t="s">
        <v>1248</v>
      </c>
      <c r="R57" s="136" t="s">
        <v>1248</v>
      </c>
      <c r="S57" s="136" t="s">
        <v>1248</v>
      </c>
      <c r="T57" s="136" t="s">
        <v>1248</v>
      </c>
      <c r="U57" s="136" t="s">
        <v>1248</v>
      </c>
      <c r="V57" s="137" t="s">
        <v>569</v>
      </c>
      <c r="W57" s="138" t="s">
        <v>569</v>
      </c>
      <c r="X57" s="139" t="s">
        <v>569</v>
      </c>
      <c r="Y57" s="140" t="s">
        <v>569</v>
      </c>
      <c r="Z57" s="141" t="s">
        <v>1249</v>
      </c>
      <c r="AA57" s="142" t="s">
        <v>569</v>
      </c>
      <c r="AB57" s="142" t="s">
        <v>569</v>
      </c>
      <c r="AC57" s="142" t="s">
        <v>569</v>
      </c>
      <c r="AD57" s="143" t="s">
        <v>569</v>
      </c>
      <c r="AE57" s="144" t="s">
        <v>569</v>
      </c>
      <c r="AF57" s="144">
        <v>3035117</v>
      </c>
      <c r="AG57" s="144">
        <v>5.5599999999999997E-2</v>
      </c>
      <c r="AH57" s="144">
        <v>3203870</v>
      </c>
      <c r="AI57" s="145" t="s">
        <v>569</v>
      </c>
      <c r="AJ57" s="146" t="s">
        <v>569</v>
      </c>
      <c r="AK57" s="147" t="s">
        <v>569</v>
      </c>
      <c r="AL57" s="148" t="s">
        <v>569</v>
      </c>
      <c r="AM57" s="149" t="s">
        <v>1250</v>
      </c>
      <c r="AN57" s="150" t="s">
        <v>569</v>
      </c>
      <c r="AO57" s="150" t="s">
        <v>569</v>
      </c>
      <c r="AP57" s="151" t="s">
        <v>569</v>
      </c>
      <c r="AQ57" s="152">
        <v>2601529</v>
      </c>
      <c r="AR57" s="153">
        <v>494290</v>
      </c>
      <c r="AS57" s="153">
        <v>3095819</v>
      </c>
      <c r="AT57" s="153">
        <v>2601529</v>
      </c>
      <c r="AU57" s="153">
        <v>3095819</v>
      </c>
      <c r="AV57" s="154">
        <v>3149844</v>
      </c>
      <c r="AW57" s="154">
        <v>3149844</v>
      </c>
      <c r="AX57" s="154">
        <v>76403</v>
      </c>
      <c r="AY57" s="155">
        <v>2.4299999999999999E-2</v>
      </c>
      <c r="AZ57" s="5"/>
      <c r="BA57" s="7"/>
    </row>
    <row r="58" spans="1:53" ht="58.15" hidden="1" customHeight="1">
      <c r="A58" s="6" t="s">
        <v>1182</v>
      </c>
      <c r="B58" s="6" t="s">
        <v>1236</v>
      </c>
      <c r="C58" s="6" t="s">
        <v>1355</v>
      </c>
      <c r="D58" s="6" t="s">
        <v>1367</v>
      </c>
      <c r="E58" s="127" t="s">
        <v>1368</v>
      </c>
      <c r="F58" s="128" t="s">
        <v>191</v>
      </c>
      <c r="G58" s="129">
        <v>1</v>
      </c>
      <c r="H58" s="128" t="s">
        <v>305</v>
      </c>
      <c r="I58" s="130" t="s">
        <v>1357</v>
      </c>
      <c r="J58" s="131">
        <v>46056</v>
      </c>
      <c r="K58" s="132" t="s">
        <v>1358</v>
      </c>
      <c r="L58" s="133" t="s">
        <v>1193</v>
      </c>
      <c r="M58" s="131" t="s">
        <v>515</v>
      </c>
      <c r="N58" s="134">
        <v>1650000</v>
      </c>
      <c r="O58" s="134" t="s">
        <v>1197</v>
      </c>
      <c r="P58" s="134" t="s">
        <v>1191</v>
      </c>
      <c r="Q58" s="135">
        <f>IF(O58="IVA Incluido",(N58/1.19),N58)</f>
        <v>1650000</v>
      </c>
      <c r="R58" s="136">
        <f>IF(P58="Si tiene IVA",Q58*19%,0)</f>
        <v>313500</v>
      </c>
      <c r="S58" s="136">
        <f>Q58+R58</f>
        <v>1963500</v>
      </c>
      <c r="T58" s="136">
        <f>IF(B58="","",(N58*G58))</f>
        <v>1650000</v>
      </c>
      <c r="U58" s="136">
        <f>IF(B58="","",(S58*G58))</f>
        <v>1963500</v>
      </c>
      <c r="V58" s="137" t="s">
        <v>1369</v>
      </c>
      <c r="W58" s="138">
        <v>46070</v>
      </c>
      <c r="X58" s="139" t="s">
        <v>1359</v>
      </c>
      <c r="Y58" s="140" t="s">
        <v>1193</v>
      </c>
      <c r="Z58" s="141" t="s">
        <v>516</v>
      </c>
      <c r="AA58" s="142">
        <v>2000000</v>
      </c>
      <c r="AB58" s="142" t="s">
        <v>1197</v>
      </c>
      <c r="AC58" s="142" t="s">
        <v>1191</v>
      </c>
      <c r="AD58" s="143">
        <f>IF(AB58="IVA Incluido",(AA58/1.19),AA58)</f>
        <v>2000000</v>
      </c>
      <c r="AE58" s="144">
        <f>IF(AC58="Si tiene IVA",AD58*19%,0)</f>
        <v>380000</v>
      </c>
      <c r="AF58" s="144">
        <f>AD58+AE58</f>
        <v>2380000</v>
      </c>
      <c r="AG58" s="144">
        <f>IF(O58="","",(AA58*G58))</f>
        <v>2000000</v>
      </c>
      <c r="AH58" s="144">
        <f>IF(O58="","",(AF58*G58))</f>
        <v>2380000</v>
      </c>
      <c r="AI58" s="145" t="s">
        <v>1357</v>
      </c>
      <c r="AJ58" s="146">
        <v>46105</v>
      </c>
      <c r="AK58" s="147" t="s">
        <v>1349</v>
      </c>
      <c r="AL58" s="148" t="s">
        <v>1193</v>
      </c>
      <c r="AM58" s="149" t="s">
        <v>517</v>
      </c>
      <c r="AN58" s="150">
        <v>1680672</v>
      </c>
      <c r="AO58" s="150" t="s">
        <v>1197</v>
      </c>
      <c r="AP58" s="151" t="s">
        <v>1191</v>
      </c>
      <c r="AQ58" s="152">
        <f>IF(AO58="IVA Incluido",(AN58/1.19),AN58)</f>
        <v>1680672</v>
      </c>
      <c r="AR58" s="153">
        <f>IF(AP58="Si tiene IVA",AQ58*19%,0)</f>
        <v>319327.68</v>
      </c>
      <c r="AS58" s="153">
        <f>AQ58+AR58</f>
        <v>1999999.68</v>
      </c>
      <c r="AT58" s="153">
        <f>IF(AB58="","",(AN58*G58))</f>
        <v>1680672</v>
      </c>
      <c r="AU58" s="153">
        <f>IF(AB58="","",(AS58*G58))</f>
        <v>1999999.68</v>
      </c>
      <c r="AV58" s="154">
        <f>IF(A58="","",AVERAGE(S58,AF58,AS58))</f>
        <v>2114499.8933333331</v>
      </c>
      <c r="AW58" s="154">
        <f>IF(A58="","",AVERAGE(U58,AH58,AU58))</f>
        <v>2114499.8933333331</v>
      </c>
      <c r="AX58" s="154">
        <f>IF(N58="","",STDEV(U58,AH58,AU58))</f>
        <v>230652.95714565236</v>
      </c>
      <c r="AY58" s="155">
        <f>IF(N58="","",(AX58/AW58))</f>
        <v>0.10908156480540047</v>
      </c>
      <c r="AZ58" s="5"/>
      <c r="BA58" s="7">
        <f>COUNTA(M58,Z58,AM58)</f>
        <v>3</v>
      </c>
    </row>
    <row r="59" spans="1:53" ht="58.15" hidden="1" customHeight="1">
      <c r="A59" s="6" t="s">
        <v>1182</v>
      </c>
      <c r="B59" s="6" t="s">
        <v>1236</v>
      </c>
      <c r="C59" s="6" t="s">
        <v>1355</v>
      </c>
      <c r="D59" s="6" t="s">
        <v>1370</v>
      </c>
      <c r="E59" s="127" t="s">
        <v>1371</v>
      </c>
      <c r="F59" s="128" t="s">
        <v>191</v>
      </c>
      <c r="G59" s="129">
        <v>1</v>
      </c>
      <c r="H59" s="128" t="s">
        <v>305</v>
      </c>
      <c r="I59" s="130" t="s">
        <v>1357</v>
      </c>
      <c r="J59" s="131">
        <v>46056</v>
      </c>
      <c r="K59" s="132" t="s">
        <v>1358</v>
      </c>
      <c r="L59" s="133" t="s">
        <v>1193</v>
      </c>
      <c r="M59" s="131" t="s">
        <v>515</v>
      </c>
      <c r="N59" s="134">
        <v>1650000</v>
      </c>
      <c r="O59" s="134" t="s">
        <v>1197</v>
      </c>
      <c r="P59" s="134" t="s">
        <v>1191</v>
      </c>
      <c r="Q59" s="135">
        <f>IF(O59="IVA Incluido",(N59/1.19),N59)</f>
        <v>1650000</v>
      </c>
      <c r="R59" s="136">
        <f>IF(P59="Si tiene IVA",Q59*19%,0)</f>
        <v>313500</v>
      </c>
      <c r="S59" s="136">
        <f>Q59+R59</f>
        <v>1963500</v>
      </c>
      <c r="T59" s="136">
        <f>IF(B59="","",(N59*G59))</f>
        <v>1650000</v>
      </c>
      <c r="U59" s="136">
        <f>IF(B59="","",(S59*G59))</f>
        <v>1963500</v>
      </c>
      <c r="V59" s="137" t="s">
        <v>1357</v>
      </c>
      <c r="W59" s="138">
        <v>46070</v>
      </c>
      <c r="X59" s="139" t="s">
        <v>1359</v>
      </c>
      <c r="Y59" s="140" t="s">
        <v>1193</v>
      </c>
      <c r="Z59" s="141" t="s">
        <v>516</v>
      </c>
      <c r="AA59" s="142">
        <v>2000000</v>
      </c>
      <c r="AB59" s="142" t="s">
        <v>1197</v>
      </c>
      <c r="AC59" s="142" t="s">
        <v>1191</v>
      </c>
      <c r="AD59" s="143">
        <f>IF(AB59="IVA Incluido",(AA59/1.19),AA59)</f>
        <v>2000000</v>
      </c>
      <c r="AE59" s="144">
        <f>IF(AC59="Si tiene IVA",AD59*19%,0)</f>
        <v>380000</v>
      </c>
      <c r="AF59" s="144">
        <f>AD59+AE59</f>
        <v>2380000</v>
      </c>
      <c r="AG59" s="144">
        <f>IF(AB59="","",(AA59*G59))</f>
        <v>2000000</v>
      </c>
      <c r="AH59" s="144">
        <f>IF(O59="","",(AF59*G59))</f>
        <v>2380000</v>
      </c>
      <c r="AI59" s="145" t="s">
        <v>1357</v>
      </c>
      <c r="AJ59" s="146">
        <v>46105</v>
      </c>
      <c r="AK59" s="147" t="s">
        <v>1349</v>
      </c>
      <c r="AL59" s="148" t="s">
        <v>1193</v>
      </c>
      <c r="AM59" s="149" t="s">
        <v>517</v>
      </c>
      <c r="AN59" s="150">
        <v>1680672</v>
      </c>
      <c r="AO59" s="150" t="s">
        <v>1197</v>
      </c>
      <c r="AP59" s="151" t="s">
        <v>1191</v>
      </c>
      <c r="AQ59" s="152">
        <f>IF(AO59="IVA Incluido",(AN59/1.19),AN59)</f>
        <v>1680672</v>
      </c>
      <c r="AR59" s="153">
        <f>IF(AP59="Si tiene IVA",AQ59*19%,0)</f>
        <v>319327.68</v>
      </c>
      <c r="AS59" s="153">
        <f>AQ59+AR59</f>
        <v>1999999.68</v>
      </c>
      <c r="AT59" s="153">
        <f>IF(AB59="","",(AN59*G59))</f>
        <v>1680672</v>
      </c>
      <c r="AU59" s="153">
        <f>IF(AB59="","",(AS59*G59))</f>
        <v>1999999.68</v>
      </c>
      <c r="AV59" s="154">
        <f>IF(A59="","",AVERAGE(S59,AF59,AS59))</f>
        <v>2114499.8933333331</v>
      </c>
      <c r="AW59" s="154">
        <f>IF(A59="","",AVERAGE(U59,AH59,AU59))</f>
        <v>2114499.8933333331</v>
      </c>
      <c r="AX59" s="154">
        <f>IF(N59="","",STDEV(U59,AH59,AU59))</f>
        <v>230652.95714565236</v>
      </c>
      <c r="AY59" s="155">
        <f>IF(N59="","",(AX59/AW59))</f>
        <v>0.10908156480540047</v>
      </c>
      <c r="AZ59" s="5"/>
      <c r="BA59" s="7">
        <f>COUNTA(M59,Z59,AM59)</f>
        <v>3</v>
      </c>
    </row>
    <row r="60" spans="1:53" ht="188.65" hidden="1" customHeight="1">
      <c r="A60" s="6" t="s">
        <v>1182</v>
      </c>
      <c r="B60" s="6" t="s">
        <v>1236</v>
      </c>
      <c r="C60" s="6" t="s">
        <v>1355</v>
      </c>
      <c r="D60" s="6" t="s">
        <v>1372</v>
      </c>
      <c r="E60" s="127" t="s">
        <v>1373</v>
      </c>
      <c r="F60" s="128" t="s">
        <v>191</v>
      </c>
      <c r="G60" s="129">
        <v>1</v>
      </c>
      <c r="H60" s="128" t="s">
        <v>305</v>
      </c>
      <c r="I60" s="130" t="s">
        <v>1357</v>
      </c>
      <c r="J60" s="131">
        <v>46056</v>
      </c>
      <c r="K60" s="132" t="s">
        <v>1358</v>
      </c>
      <c r="L60" s="133" t="s">
        <v>1193</v>
      </c>
      <c r="M60" s="131" t="s">
        <v>515</v>
      </c>
      <c r="N60" s="134">
        <v>2150000</v>
      </c>
      <c r="O60" s="134" t="s">
        <v>1197</v>
      </c>
      <c r="P60" s="134" t="s">
        <v>1191</v>
      </c>
      <c r="Q60" s="135">
        <f>IF(O60="IVA Incluido",(N60/1.19),N60)</f>
        <v>2150000</v>
      </c>
      <c r="R60" s="136">
        <f>IF(P60="Si tiene IVA",Q60*19%,0)</f>
        <v>408500</v>
      </c>
      <c r="S60" s="136">
        <f>Q60+R60</f>
        <v>2558500</v>
      </c>
      <c r="T60" s="136">
        <f>IF(B60="","",(N60*G60))</f>
        <v>2150000</v>
      </c>
      <c r="U60" s="136">
        <f>IF(B60="","",(S60*G60))</f>
        <v>2558500</v>
      </c>
      <c r="V60" s="137" t="s">
        <v>1357</v>
      </c>
      <c r="W60" s="138">
        <v>46070</v>
      </c>
      <c r="X60" s="139" t="s">
        <v>1359</v>
      </c>
      <c r="Y60" s="140" t="s">
        <v>1193</v>
      </c>
      <c r="Z60" s="141" t="s">
        <v>516</v>
      </c>
      <c r="AA60" s="142">
        <v>3000000</v>
      </c>
      <c r="AB60" s="142" t="s">
        <v>1197</v>
      </c>
      <c r="AC60" s="142" t="s">
        <v>1191</v>
      </c>
      <c r="AD60" s="143">
        <f>IF(AB60="IVA Incluido",(AA60/1.19),AA60)</f>
        <v>3000000</v>
      </c>
      <c r="AE60" s="144">
        <f>IF(AC60="Si tiene IVA",AD60*19%,0)</f>
        <v>570000</v>
      </c>
      <c r="AF60" s="144">
        <f>AD60+AE60</f>
        <v>3570000</v>
      </c>
      <c r="AG60" s="144">
        <f>IF(AB60="","",(AA60*G60))</f>
        <v>3000000</v>
      </c>
      <c r="AH60" s="144">
        <f>IF(AB60="","",(AF60*G60))</f>
        <v>3570000</v>
      </c>
      <c r="AI60" s="145" t="s">
        <v>1357</v>
      </c>
      <c r="AJ60" s="146">
        <v>46105</v>
      </c>
      <c r="AK60" s="147" t="s">
        <v>1349</v>
      </c>
      <c r="AL60" s="148" t="s">
        <v>1193</v>
      </c>
      <c r="AM60" s="149" t="s">
        <v>517</v>
      </c>
      <c r="AN60" s="150">
        <v>2521008</v>
      </c>
      <c r="AO60" s="150" t="s">
        <v>1197</v>
      </c>
      <c r="AP60" s="151" t="s">
        <v>1191</v>
      </c>
      <c r="AQ60" s="152">
        <f>IF(AO60="IVA Incluido",(AN60/1.19),AN60)</f>
        <v>2521008</v>
      </c>
      <c r="AR60" s="153">
        <f>IF(AP60="Si tiene IVA",AQ60*19%,0)</f>
        <v>478991.52</v>
      </c>
      <c r="AS60" s="153">
        <f>AQ60+AR60</f>
        <v>2999999.52</v>
      </c>
      <c r="AT60" s="153">
        <f>IF(AB60="","",(AN60*G60))</f>
        <v>2521008</v>
      </c>
      <c r="AU60" s="153">
        <f>IF(AB60="","",(AS60*G60))</f>
        <v>2999999.52</v>
      </c>
      <c r="AV60" s="154">
        <f>IF(A60="","",AVERAGE(S60,AF60,AS60))</f>
        <v>3042833.1733333333</v>
      </c>
      <c r="AW60" s="154">
        <f>IF(A60="","",AVERAGE(U60,AH60,AU60))</f>
        <v>3042833.1733333333</v>
      </c>
      <c r="AX60" s="154">
        <f>IF(N60="","",STDEV(U60,AH60,AU60))</f>
        <v>507108.57209616574</v>
      </c>
      <c r="AY60" s="155">
        <f>IF(N60="","",(AX60/AW60))</f>
        <v>0.16665671208673047</v>
      </c>
      <c r="AZ60" s="5"/>
      <c r="BA60" s="7">
        <f>COUNTA(M60,Z60,AM60)</f>
        <v>3</v>
      </c>
    </row>
    <row r="61" spans="1:53" ht="348" hidden="1" customHeight="1">
      <c r="A61" s="6" t="s">
        <v>569</v>
      </c>
      <c r="B61" s="6" t="s">
        <v>569</v>
      </c>
      <c r="C61" s="6" t="s">
        <v>569</v>
      </c>
      <c r="D61" s="6" t="s">
        <v>1374</v>
      </c>
      <c r="E61" s="127" t="s">
        <v>1375</v>
      </c>
      <c r="F61" s="128" t="s">
        <v>1247</v>
      </c>
      <c r="G61" s="129">
        <v>1</v>
      </c>
      <c r="H61" s="128"/>
      <c r="I61" s="130" t="s">
        <v>569</v>
      </c>
      <c r="J61" s="131" t="s">
        <v>569</v>
      </c>
      <c r="K61" s="132" t="s">
        <v>569</v>
      </c>
      <c r="L61" s="133" t="s">
        <v>569</v>
      </c>
      <c r="M61" s="131" t="s">
        <v>569</v>
      </c>
      <c r="N61" s="134"/>
      <c r="O61" s="134"/>
      <c r="P61" s="134"/>
      <c r="Q61" s="135" t="s">
        <v>1248</v>
      </c>
      <c r="R61" s="136" t="s">
        <v>1248</v>
      </c>
      <c r="S61" s="136" t="s">
        <v>1248</v>
      </c>
      <c r="T61" s="136" t="s">
        <v>1248</v>
      </c>
      <c r="U61" s="136" t="s">
        <v>1248</v>
      </c>
      <c r="V61" s="137" t="s">
        <v>569</v>
      </c>
      <c r="W61" s="138" t="s">
        <v>569</v>
      </c>
      <c r="X61" s="139" t="s">
        <v>569</v>
      </c>
      <c r="Y61" s="140" t="s">
        <v>569</v>
      </c>
      <c r="Z61" s="141" t="s">
        <v>1249</v>
      </c>
      <c r="AA61" s="142" t="s">
        <v>569</v>
      </c>
      <c r="AB61" s="142" t="s">
        <v>569</v>
      </c>
      <c r="AC61" s="142" t="s">
        <v>569</v>
      </c>
      <c r="AD61" s="143" t="s">
        <v>569</v>
      </c>
      <c r="AE61" s="144" t="s">
        <v>569</v>
      </c>
      <c r="AF61" s="144">
        <v>4989117</v>
      </c>
      <c r="AG61" s="144">
        <v>5.5599999999999997E-2</v>
      </c>
      <c r="AH61" s="144">
        <v>5266512</v>
      </c>
      <c r="AI61" s="145" t="s">
        <v>569</v>
      </c>
      <c r="AJ61" s="146" t="s">
        <v>569</v>
      </c>
      <c r="AK61" s="147" t="s">
        <v>569</v>
      </c>
      <c r="AL61" s="148" t="s">
        <v>569</v>
      </c>
      <c r="AM61" s="149" t="s">
        <v>1250</v>
      </c>
      <c r="AN61" s="150" t="s">
        <v>569</v>
      </c>
      <c r="AO61" s="150" t="s">
        <v>569</v>
      </c>
      <c r="AP61" s="151" t="s">
        <v>569</v>
      </c>
      <c r="AQ61" s="152">
        <v>4276386</v>
      </c>
      <c r="AR61" s="153">
        <v>812513</v>
      </c>
      <c r="AS61" s="153">
        <v>5088899</v>
      </c>
      <c r="AT61" s="153">
        <v>4276386</v>
      </c>
      <c r="AU61" s="153">
        <v>5088899</v>
      </c>
      <c r="AV61" s="154">
        <v>5177706</v>
      </c>
      <c r="AW61" s="154">
        <v>5177706</v>
      </c>
      <c r="AX61" s="154">
        <v>125591.05</v>
      </c>
      <c r="AY61" s="155">
        <v>2.4299999999999999E-2</v>
      </c>
      <c r="AZ61" s="5"/>
      <c r="BA61" s="7"/>
    </row>
    <row r="62" spans="1:53" ht="348" hidden="1" customHeight="1">
      <c r="A62" s="6" t="s">
        <v>569</v>
      </c>
      <c r="B62" s="6" t="s">
        <v>569</v>
      </c>
      <c r="C62" s="6" t="s">
        <v>569</v>
      </c>
      <c r="D62" s="6" t="s">
        <v>1376</v>
      </c>
      <c r="E62" s="127" t="s">
        <v>1377</v>
      </c>
      <c r="F62" s="128" t="s">
        <v>1247</v>
      </c>
      <c r="G62" s="129">
        <v>1</v>
      </c>
      <c r="H62" s="128"/>
      <c r="I62" s="130" t="s">
        <v>569</v>
      </c>
      <c r="J62" s="131" t="s">
        <v>569</v>
      </c>
      <c r="K62" s="132" t="s">
        <v>569</v>
      </c>
      <c r="L62" s="133" t="s">
        <v>569</v>
      </c>
      <c r="M62" s="131" t="s">
        <v>569</v>
      </c>
      <c r="N62" s="134"/>
      <c r="O62" s="134"/>
      <c r="P62" s="134"/>
      <c r="Q62" s="135" t="s">
        <v>1248</v>
      </c>
      <c r="R62" s="136" t="s">
        <v>1248</v>
      </c>
      <c r="S62" s="136" t="s">
        <v>1248</v>
      </c>
      <c r="T62" s="136" t="s">
        <v>1248</v>
      </c>
      <c r="U62" s="136" t="s">
        <v>1248</v>
      </c>
      <c r="V62" s="137" t="s">
        <v>569</v>
      </c>
      <c r="W62" s="138" t="s">
        <v>569</v>
      </c>
      <c r="X62" s="139" t="s">
        <v>569</v>
      </c>
      <c r="Y62" s="140" t="s">
        <v>569</v>
      </c>
      <c r="Z62" s="141" t="s">
        <v>1249</v>
      </c>
      <c r="AA62" s="142" t="s">
        <v>569</v>
      </c>
      <c r="AB62" s="142" t="s">
        <v>569</v>
      </c>
      <c r="AC62" s="142" t="s">
        <v>569</v>
      </c>
      <c r="AD62" s="143" t="s">
        <v>569</v>
      </c>
      <c r="AE62" s="144" t="s">
        <v>569</v>
      </c>
      <c r="AF62" s="144">
        <v>5400011</v>
      </c>
      <c r="AG62" s="144">
        <v>5.5599999999999997E-2</v>
      </c>
      <c r="AH62" s="144">
        <v>5700252</v>
      </c>
      <c r="AI62" s="145" t="s">
        <v>569</v>
      </c>
      <c r="AJ62" s="146" t="s">
        <v>569</v>
      </c>
      <c r="AK62" s="147" t="s">
        <v>569</v>
      </c>
      <c r="AL62" s="148" t="s">
        <v>569</v>
      </c>
      <c r="AM62" s="149" t="s">
        <v>1250</v>
      </c>
      <c r="AN62" s="150" t="s">
        <v>569</v>
      </c>
      <c r="AO62" s="150" t="s">
        <v>569</v>
      </c>
      <c r="AP62" s="151" t="s">
        <v>569</v>
      </c>
      <c r="AQ62" s="152">
        <v>4628581</v>
      </c>
      <c r="AR62" s="153">
        <v>879430</v>
      </c>
      <c r="AS62" s="153">
        <v>5508011</v>
      </c>
      <c r="AT62" s="153">
        <v>4628581</v>
      </c>
      <c r="AU62" s="153">
        <v>5508011</v>
      </c>
      <c r="AV62" s="154">
        <v>5604132</v>
      </c>
      <c r="AW62" s="154">
        <v>5604132</v>
      </c>
      <c r="AX62" s="154">
        <v>135934.49</v>
      </c>
      <c r="AY62" s="155">
        <v>2.4299999999999999E-2</v>
      </c>
      <c r="AZ62" s="5"/>
      <c r="BA62" s="7"/>
    </row>
    <row r="63" spans="1:53" ht="348" hidden="1" customHeight="1">
      <c r="A63" s="6" t="s">
        <v>569</v>
      </c>
      <c r="B63" s="6" t="s">
        <v>569</v>
      </c>
      <c r="C63" s="6" t="s">
        <v>569</v>
      </c>
      <c r="D63" s="6" t="s">
        <v>1378</v>
      </c>
      <c r="E63" s="127" t="s">
        <v>1379</v>
      </c>
      <c r="F63" s="128" t="s">
        <v>1247</v>
      </c>
      <c r="G63" s="129">
        <v>1</v>
      </c>
      <c r="H63" s="128"/>
      <c r="I63" s="130" t="s">
        <v>569</v>
      </c>
      <c r="J63" s="131" t="s">
        <v>569</v>
      </c>
      <c r="K63" s="132" t="s">
        <v>569</v>
      </c>
      <c r="L63" s="133" t="s">
        <v>569</v>
      </c>
      <c r="M63" s="131" t="s">
        <v>569</v>
      </c>
      <c r="N63" s="134"/>
      <c r="O63" s="134"/>
      <c r="P63" s="134"/>
      <c r="Q63" s="135" t="s">
        <v>1248</v>
      </c>
      <c r="R63" s="136" t="s">
        <v>1248</v>
      </c>
      <c r="S63" s="136" t="s">
        <v>1248</v>
      </c>
      <c r="T63" s="136" t="s">
        <v>1248</v>
      </c>
      <c r="U63" s="136" t="s">
        <v>1248</v>
      </c>
      <c r="V63" s="137" t="s">
        <v>569</v>
      </c>
      <c r="W63" s="138" t="s">
        <v>569</v>
      </c>
      <c r="X63" s="139" t="s">
        <v>569</v>
      </c>
      <c r="Y63" s="140" t="s">
        <v>569</v>
      </c>
      <c r="Z63" s="141" t="s">
        <v>1249</v>
      </c>
      <c r="AA63" s="142" t="s">
        <v>569</v>
      </c>
      <c r="AB63" s="142" t="s">
        <v>569</v>
      </c>
      <c r="AC63" s="142" t="s">
        <v>569</v>
      </c>
      <c r="AD63" s="143" t="s">
        <v>569</v>
      </c>
      <c r="AE63" s="144" t="s">
        <v>569</v>
      </c>
      <c r="AF63" s="144">
        <v>7600023</v>
      </c>
      <c r="AG63" s="144">
        <v>5.5599999999999997E-2</v>
      </c>
      <c r="AH63" s="144">
        <v>8022584</v>
      </c>
      <c r="AI63" s="145" t="s">
        <v>569</v>
      </c>
      <c r="AJ63" s="146" t="s">
        <v>569</v>
      </c>
      <c r="AK63" s="147" t="s">
        <v>569</v>
      </c>
      <c r="AL63" s="148" t="s">
        <v>569</v>
      </c>
      <c r="AM63" s="149" t="s">
        <v>1250</v>
      </c>
      <c r="AN63" s="150" t="s">
        <v>569</v>
      </c>
      <c r="AO63" s="150" t="s">
        <v>569</v>
      </c>
      <c r="AP63" s="151" t="s">
        <v>569</v>
      </c>
      <c r="AQ63" s="152">
        <v>6705902</v>
      </c>
      <c r="AR63" s="153">
        <v>1274121</v>
      </c>
      <c r="AS63" s="153">
        <v>7980024</v>
      </c>
      <c r="AT63" s="153">
        <v>6705902</v>
      </c>
      <c r="AU63" s="153">
        <v>7980024</v>
      </c>
      <c r="AV63" s="154">
        <v>8001304</v>
      </c>
      <c r="AW63" s="154">
        <v>8001304</v>
      </c>
      <c r="AX63" s="154">
        <v>30094.55</v>
      </c>
      <c r="AY63" s="155">
        <v>3.8E-3</v>
      </c>
      <c r="AZ63" s="5"/>
      <c r="BA63" s="7"/>
    </row>
    <row r="64" spans="1:53" ht="348" hidden="1" customHeight="1">
      <c r="A64" s="6" t="s">
        <v>569</v>
      </c>
      <c r="B64" s="6" t="s">
        <v>569</v>
      </c>
      <c r="C64" s="6" t="s">
        <v>569</v>
      </c>
      <c r="D64" s="6" t="s">
        <v>1380</v>
      </c>
      <c r="E64" s="127" t="s">
        <v>1381</v>
      </c>
      <c r="F64" s="128" t="s">
        <v>1247</v>
      </c>
      <c r="G64" s="129">
        <v>1</v>
      </c>
      <c r="H64" s="128"/>
      <c r="I64" s="130" t="s">
        <v>569</v>
      </c>
      <c r="J64" s="131" t="s">
        <v>569</v>
      </c>
      <c r="K64" s="132" t="s">
        <v>569</v>
      </c>
      <c r="L64" s="133" t="s">
        <v>569</v>
      </c>
      <c r="M64" s="131" t="s">
        <v>569</v>
      </c>
      <c r="N64" s="134"/>
      <c r="O64" s="134"/>
      <c r="P64" s="134"/>
      <c r="Q64" s="135" t="s">
        <v>1248</v>
      </c>
      <c r="R64" s="136" t="s">
        <v>1248</v>
      </c>
      <c r="S64" s="136" t="s">
        <v>1248</v>
      </c>
      <c r="T64" s="136" t="s">
        <v>1248</v>
      </c>
      <c r="U64" s="136" t="s">
        <v>1248</v>
      </c>
      <c r="V64" s="137" t="s">
        <v>569</v>
      </c>
      <c r="W64" s="138" t="s">
        <v>569</v>
      </c>
      <c r="X64" s="139" t="s">
        <v>569</v>
      </c>
      <c r="Y64" s="140" t="s">
        <v>569</v>
      </c>
      <c r="Z64" s="141" t="s">
        <v>1249</v>
      </c>
      <c r="AA64" s="142" t="s">
        <v>569</v>
      </c>
      <c r="AB64" s="142" t="s">
        <v>569</v>
      </c>
      <c r="AC64" s="142" t="s">
        <v>569</v>
      </c>
      <c r="AD64" s="143" t="s">
        <v>569</v>
      </c>
      <c r="AE64" s="144" t="s">
        <v>569</v>
      </c>
      <c r="AF64" s="144">
        <v>99787</v>
      </c>
      <c r="AG64" s="144">
        <v>5.5599999999999997E-2</v>
      </c>
      <c r="AH64" s="144">
        <v>105335</v>
      </c>
      <c r="AI64" s="145" t="s">
        <v>569</v>
      </c>
      <c r="AJ64" s="146" t="s">
        <v>569</v>
      </c>
      <c r="AK64" s="147" t="s">
        <v>569</v>
      </c>
      <c r="AL64" s="148" t="s">
        <v>569</v>
      </c>
      <c r="AM64" s="149" t="s">
        <v>1250</v>
      </c>
      <c r="AN64" s="150" t="s">
        <v>569</v>
      </c>
      <c r="AO64" s="150" t="s">
        <v>569</v>
      </c>
      <c r="AP64" s="151" t="s">
        <v>569</v>
      </c>
      <c r="AQ64" s="152">
        <v>85532</v>
      </c>
      <c r="AR64" s="153">
        <v>16251</v>
      </c>
      <c r="AS64" s="153">
        <v>101783</v>
      </c>
      <c r="AT64" s="153">
        <v>85532</v>
      </c>
      <c r="AU64" s="153">
        <v>101783</v>
      </c>
      <c r="AV64" s="154">
        <v>103559</v>
      </c>
      <c r="AW64" s="154">
        <v>103559</v>
      </c>
      <c r="AX64" s="154">
        <v>2511.94</v>
      </c>
      <c r="AY64" s="155">
        <v>2.4299999999999999E-2</v>
      </c>
      <c r="AZ64" s="5"/>
      <c r="BA64" s="7"/>
    </row>
    <row r="65" spans="1:53" ht="101.65" hidden="1" customHeight="1">
      <c r="A65" s="6" t="s">
        <v>1182</v>
      </c>
      <c r="B65" s="6" t="s">
        <v>1236</v>
      </c>
      <c r="C65" s="6" t="s">
        <v>1271</v>
      </c>
      <c r="D65" s="6" t="s">
        <v>1382</v>
      </c>
      <c r="E65" s="127" t="s">
        <v>1383</v>
      </c>
      <c r="F65" s="128" t="s">
        <v>191</v>
      </c>
      <c r="G65" s="129">
        <v>1</v>
      </c>
      <c r="H65" s="128" t="s">
        <v>305</v>
      </c>
      <c r="I65" s="130" t="s">
        <v>1357</v>
      </c>
      <c r="J65" s="131">
        <v>46071</v>
      </c>
      <c r="K65" s="132" t="s">
        <v>1274</v>
      </c>
      <c r="L65" s="133" t="s">
        <v>1193</v>
      </c>
      <c r="M65" s="131" t="s">
        <v>1275</v>
      </c>
      <c r="N65" s="134">
        <v>3280000</v>
      </c>
      <c r="O65" s="134" t="s">
        <v>1197</v>
      </c>
      <c r="P65" s="134" t="s">
        <v>1191</v>
      </c>
      <c r="Q65" s="135">
        <f>IF(O65="IVA Incluido",(N65/1.19),N65)</f>
        <v>3280000</v>
      </c>
      <c r="R65" s="136">
        <f>IF(P65="Si tiene IVA",Q65*19%,0)</f>
        <v>623200</v>
      </c>
      <c r="S65" s="136">
        <f>Q65+R65</f>
        <v>3903200</v>
      </c>
      <c r="T65" s="136">
        <f>IF(B65="","",(N65*G65))</f>
        <v>3280000</v>
      </c>
      <c r="U65" s="136">
        <f>IF(B65="","",(S65*G65))</f>
        <v>3903200</v>
      </c>
      <c r="V65" s="137" t="s">
        <v>1350</v>
      </c>
      <c r="W65" s="138">
        <v>46071</v>
      </c>
      <c r="X65" s="139" t="s">
        <v>1276</v>
      </c>
      <c r="Y65" s="140" t="s">
        <v>1193</v>
      </c>
      <c r="Z65" s="141" t="s">
        <v>1277</v>
      </c>
      <c r="AA65" s="142">
        <v>5000000</v>
      </c>
      <c r="AB65" s="142" t="s">
        <v>1197</v>
      </c>
      <c r="AC65" s="142" t="s">
        <v>1191</v>
      </c>
      <c r="AD65" s="143">
        <f>IF(AB65="IVA Incluido",(AA65/1.19),AA65)</f>
        <v>5000000</v>
      </c>
      <c r="AE65" s="144">
        <f>IF(AC65="Si tiene IVA",AD65*19%,0)</f>
        <v>950000</v>
      </c>
      <c r="AF65" s="144">
        <f>AD65+AE65</f>
        <v>5950000</v>
      </c>
      <c r="AG65" s="144">
        <f>IF(O65="","",(AA65*G65))</f>
        <v>5000000</v>
      </c>
      <c r="AH65" s="144">
        <f>IF(O65="","",(AF65*G65))</f>
        <v>5950000</v>
      </c>
      <c r="AI65" s="145" t="s">
        <v>1350</v>
      </c>
      <c r="AJ65" s="146">
        <v>46071</v>
      </c>
      <c r="AK65" s="147" t="s">
        <v>1278</v>
      </c>
      <c r="AL65" s="148" t="s">
        <v>1193</v>
      </c>
      <c r="AM65" s="149" t="s">
        <v>1279</v>
      </c>
      <c r="AN65" s="150">
        <v>4200000</v>
      </c>
      <c r="AO65" s="150" t="s">
        <v>1197</v>
      </c>
      <c r="AP65" s="151" t="s">
        <v>1191</v>
      </c>
      <c r="AQ65" s="152">
        <f>IF(AO65="IVA Incluido",(AN65/1.19),AN65)</f>
        <v>4200000</v>
      </c>
      <c r="AR65" s="153">
        <f>IF(AP65="Si tiene IVA",AQ65*19%,0)</f>
        <v>798000</v>
      </c>
      <c r="AS65" s="153">
        <f>AQ65+AR65</f>
        <v>4998000</v>
      </c>
      <c r="AT65" s="153">
        <f>IF(AB65="","",(AN65*G65))</f>
        <v>4200000</v>
      </c>
      <c r="AU65" s="153">
        <f>IF(AB65="","",(AS65*G65))</f>
        <v>4998000</v>
      </c>
      <c r="AV65" s="154">
        <f>IF(A65="","",AVERAGE(S65,AF65,AS65))</f>
        <v>4950400</v>
      </c>
      <c r="AW65" s="154">
        <f>IF(A65="","",AVERAGE(U65,AH65,AU65))</f>
        <v>4950400</v>
      </c>
      <c r="AX65" s="154">
        <f>IF(N65="","",STDEV(U65,AH65,AU65))</f>
        <v>1024229.8960682607</v>
      </c>
      <c r="AY65" s="155">
        <f>IF(N65="","",(AX65/AW65))</f>
        <v>0.20689841145528859</v>
      </c>
      <c r="AZ65" s="5"/>
      <c r="BA65" s="7">
        <f>COUNTA(M65,Z65,AM65)</f>
        <v>3</v>
      </c>
    </row>
    <row r="66" spans="1:53" ht="130.5" hidden="1" customHeight="1">
      <c r="A66" s="6" t="s">
        <v>1182</v>
      </c>
      <c r="B66" s="6" t="s">
        <v>1236</v>
      </c>
      <c r="C66" s="6" t="s">
        <v>1271</v>
      </c>
      <c r="D66" s="6" t="s">
        <v>1384</v>
      </c>
      <c r="E66" s="127" t="s">
        <v>1385</v>
      </c>
      <c r="F66" s="128" t="s">
        <v>191</v>
      </c>
      <c r="G66" s="129">
        <v>1</v>
      </c>
      <c r="H66" s="128" t="s">
        <v>305</v>
      </c>
      <c r="I66" s="130" t="s">
        <v>1357</v>
      </c>
      <c r="J66" s="131">
        <v>46105</v>
      </c>
      <c r="K66" s="132" t="s">
        <v>1349</v>
      </c>
      <c r="L66" s="133" t="s">
        <v>1193</v>
      </c>
      <c r="M66" s="131" t="s">
        <v>517</v>
      </c>
      <c r="N66" s="134">
        <v>756303</v>
      </c>
      <c r="O66" s="134" t="s">
        <v>1197</v>
      </c>
      <c r="P66" s="134" t="s">
        <v>1191</v>
      </c>
      <c r="Q66" s="135">
        <f>IF(O66="IVA Incluido",(N66/1.19),N66)</f>
        <v>756303</v>
      </c>
      <c r="R66" s="136">
        <f>IF(P66="Si tiene IVA",Q66*19%,0)</f>
        <v>143697.57</v>
      </c>
      <c r="S66" s="136">
        <f>Q66+R66</f>
        <v>900000.57000000007</v>
      </c>
      <c r="T66" s="136">
        <f>IF(B66="","",(N66*G66))</f>
        <v>756303</v>
      </c>
      <c r="U66" s="136">
        <f>IF(B66="","",(S66*G66))</f>
        <v>900000.57000000007</v>
      </c>
      <c r="V66" s="137" t="s">
        <v>1357</v>
      </c>
      <c r="W66" s="138">
        <v>46056</v>
      </c>
      <c r="X66" s="139" t="s">
        <v>1358</v>
      </c>
      <c r="Y66" s="140" t="s">
        <v>1193</v>
      </c>
      <c r="Z66" s="141" t="s">
        <v>515</v>
      </c>
      <c r="AA66" s="142">
        <v>815000</v>
      </c>
      <c r="AB66" s="142" t="s">
        <v>1197</v>
      </c>
      <c r="AC66" s="142" t="s">
        <v>1191</v>
      </c>
      <c r="AD66" s="143">
        <f>IF(AB66="IVA Incluido",(AA66/1.19),AA66)</f>
        <v>815000</v>
      </c>
      <c r="AE66" s="144">
        <f>IF(AC66="Si tiene IVA",AD66*19%,0)</f>
        <v>154850</v>
      </c>
      <c r="AF66" s="144">
        <f>AD66+AE66</f>
        <v>969850</v>
      </c>
      <c r="AG66" s="144">
        <f>IF(AB66="","",(AA66*G66))</f>
        <v>815000</v>
      </c>
      <c r="AH66" s="144">
        <f>IF(AB66="","",(AF66*G66))</f>
        <v>969850</v>
      </c>
      <c r="AI66" s="145"/>
      <c r="AJ66" s="146"/>
      <c r="AK66" s="147"/>
      <c r="AL66" s="148"/>
      <c r="AM66" s="149"/>
      <c r="AN66" s="150"/>
      <c r="AO66" s="150"/>
      <c r="AP66" s="151"/>
      <c r="AQ66" s="152"/>
      <c r="AR66" s="153"/>
      <c r="AS66" s="153"/>
      <c r="AT66" s="153"/>
      <c r="AU66" s="153"/>
      <c r="AV66" s="154">
        <f>IF(A66="","",AVERAGE(S66,AF66,AS66))</f>
        <v>934925.28500000003</v>
      </c>
      <c r="AW66" s="154">
        <f>IF(A66="","",AVERAGE(U66,AH66,AU66))</f>
        <v>934925.28500000003</v>
      </c>
      <c r="AX66" s="154">
        <f>IF(N66="","",STDEV(U66,AH66,AU66))</f>
        <v>49391.005615015027</v>
      </c>
      <c r="AY66" s="155">
        <f>IF(N66="","",(AX66/AW66))</f>
        <v>5.2828826439339512E-2</v>
      </c>
      <c r="AZ66" s="5"/>
      <c r="BA66" s="7">
        <f>COUNTA(M66,Z66,AM66)</f>
        <v>2</v>
      </c>
    </row>
    <row r="67" spans="1:53" ht="130.5" hidden="1" customHeight="1">
      <c r="A67" s="6" t="s">
        <v>1182</v>
      </c>
      <c r="B67" s="6" t="s">
        <v>1236</v>
      </c>
      <c r="C67" s="6" t="s">
        <v>1271</v>
      </c>
      <c r="D67" s="6" t="s">
        <v>1386</v>
      </c>
      <c r="E67" s="127" t="s">
        <v>1387</v>
      </c>
      <c r="F67" s="128" t="s">
        <v>191</v>
      </c>
      <c r="G67" s="129">
        <v>1</v>
      </c>
      <c r="H67" s="128" t="s">
        <v>305</v>
      </c>
      <c r="I67" s="130" t="s">
        <v>1357</v>
      </c>
      <c r="J67" s="131">
        <v>46056</v>
      </c>
      <c r="K67" s="132" t="s">
        <v>1358</v>
      </c>
      <c r="L67" s="133" t="s">
        <v>1193</v>
      </c>
      <c r="M67" s="131" t="s">
        <v>515</v>
      </c>
      <c r="N67" s="134">
        <v>710000</v>
      </c>
      <c r="O67" s="134" t="s">
        <v>1197</v>
      </c>
      <c r="P67" s="134" t="s">
        <v>1191</v>
      </c>
      <c r="Q67" s="135">
        <f>IF(O67="IVA Incluido",(N67/1.19),N67)</f>
        <v>710000</v>
      </c>
      <c r="R67" s="136">
        <f>IF(P67="Si tiene IVA",Q67*19%,0)</f>
        <v>134900</v>
      </c>
      <c r="S67" s="136">
        <f>Q67+R67</f>
        <v>844900</v>
      </c>
      <c r="T67" s="136">
        <f>IF(B67="","",(N67*G67))</f>
        <v>710000</v>
      </c>
      <c r="U67" s="136">
        <f>IF(B67="","",(S67*G67))</f>
        <v>844900</v>
      </c>
      <c r="V67" s="137" t="s">
        <v>1357</v>
      </c>
      <c r="W67" s="138">
        <v>46105</v>
      </c>
      <c r="X67" s="139" t="s">
        <v>1349</v>
      </c>
      <c r="Y67" s="140" t="s">
        <v>1193</v>
      </c>
      <c r="Z67" s="141" t="s">
        <v>517</v>
      </c>
      <c r="AA67" s="142">
        <v>756303</v>
      </c>
      <c r="AB67" s="142" t="s">
        <v>1197</v>
      </c>
      <c r="AC67" s="142" t="s">
        <v>1191</v>
      </c>
      <c r="AD67" s="143">
        <f>IF(AB67="IVA Incluido",(AA67/1.19),AA67)</f>
        <v>756303</v>
      </c>
      <c r="AE67" s="144">
        <f>IF(AC67="Si tiene IVA",AD67*19%,0)</f>
        <v>143697.57</v>
      </c>
      <c r="AF67" s="144">
        <f>AD67+AE67</f>
        <v>900000.57000000007</v>
      </c>
      <c r="AG67" s="144">
        <f>IF(O67="","",(AA67*G67))</f>
        <v>756303</v>
      </c>
      <c r="AH67" s="144">
        <f>IF(O67="","",(AF67*G67))</f>
        <v>900000.57000000007</v>
      </c>
      <c r="AI67" s="145"/>
      <c r="AJ67" s="146"/>
      <c r="AK67" s="147"/>
      <c r="AL67" s="148"/>
      <c r="AM67" s="149"/>
      <c r="AN67" s="150"/>
      <c r="AO67" s="150"/>
      <c r="AP67" s="151"/>
      <c r="AQ67" s="152"/>
      <c r="AR67" s="153"/>
      <c r="AS67" s="153"/>
      <c r="AT67" s="153"/>
      <c r="AU67" s="153"/>
      <c r="AV67" s="154">
        <f>IF(A67="","",AVERAGE(S67,AF67,AS67))</f>
        <v>872450.28500000003</v>
      </c>
      <c r="AW67" s="154">
        <f>IF(A67="","",AVERAGE(U67,AH67,AU67))</f>
        <v>872450.28500000003</v>
      </c>
      <c r="AX67" s="154">
        <f>IF(N67="","",STDEV(U67,AH67,AU67))</f>
        <v>38961.986694244093</v>
      </c>
      <c r="AY67" s="155">
        <f>IF(N67="","",(AX67/AW67))</f>
        <v>4.465811675933385E-2</v>
      </c>
      <c r="AZ67" s="5"/>
      <c r="BA67" s="7">
        <f>COUNTA(M67,Z67,AM67)</f>
        <v>2</v>
      </c>
    </row>
    <row r="68" spans="1:53" ht="348" hidden="1" customHeight="1">
      <c r="A68" s="6" t="s">
        <v>569</v>
      </c>
      <c r="B68" s="6" t="s">
        <v>569</v>
      </c>
      <c r="C68" s="6" t="s">
        <v>569</v>
      </c>
      <c r="D68" s="6" t="s">
        <v>1388</v>
      </c>
      <c r="E68" s="127" t="s">
        <v>1389</v>
      </c>
      <c r="F68" s="128" t="s">
        <v>1247</v>
      </c>
      <c r="G68" s="129">
        <v>1</v>
      </c>
      <c r="H68" s="128"/>
      <c r="I68" s="130" t="s">
        <v>569</v>
      </c>
      <c r="J68" s="131" t="s">
        <v>569</v>
      </c>
      <c r="K68" s="132" t="s">
        <v>569</v>
      </c>
      <c r="L68" s="133" t="s">
        <v>569</v>
      </c>
      <c r="M68" s="131" t="s">
        <v>569</v>
      </c>
      <c r="N68" s="134"/>
      <c r="O68" s="134"/>
      <c r="P68" s="134"/>
      <c r="Q68" s="135" t="s">
        <v>1248</v>
      </c>
      <c r="R68" s="136" t="s">
        <v>1248</v>
      </c>
      <c r="S68" s="136" t="s">
        <v>1248</v>
      </c>
      <c r="T68" s="136" t="s">
        <v>1248</v>
      </c>
      <c r="U68" s="136" t="s">
        <v>1248</v>
      </c>
      <c r="V68" s="137" t="s">
        <v>569</v>
      </c>
      <c r="W68" s="138" t="s">
        <v>569</v>
      </c>
      <c r="X68" s="139" t="s">
        <v>569</v>
      </c>
      <c r="Y68" s="140" t="s">
        <v>569</v>
      </c>
      <c r="Z68" s="141" t="s">
        <v>1249</v>
      </c>
      <c r="AA68" s="142" t="s">
        <v>569</v>
      </c>
      <c r="AB68" s="142" t="s">
        <v>569</v>
      </c>
      <c r="AC68" s="142" t="s">
        <v>569</v>
      </c>
      <c r="AD68" s="143" t="s">
        <v>569</v>
      </c>
      <c r="AE68" s="144" t="s">
        <v>569</v>
      </c>
      <c r="AF68" s="144">
        <v>2226336</v>
      </c>
      <c r="AG68" s="144">
        <v>5.5599999999999997E-2</v>
      </c>
      <c r="AH68" s="144">
        <v>2350120</v>
      </c>
      <c r="AI68" s="145" t="s">
        <v>569</v>
      </c>
      <c r="AJ68" s="146" t="s">
        <v>569</v>
      </c>
      <c r="AK68" s="147" t="s">
        <v>569</v>
      </c>
      <c r="AL68" s="148" t="s">
        <v>569</v>
      </c>
      <c r="AM68" s="149" t="s">
        <v>1250</v>
      </c>
      <c r="AN68" s="150" t="s">
        <v>569</v>
      </c>
      <c r="AO68" s="150" t="s">
        <v>569</v>
      </c>
      <c r="AP68" s="151" t="s">
        <v>569</v>
      </c>
      <c r="AQ68" s="152">
        <v>1945705</v>
      </c>
      <c r="AR68" s="153">
        <v>369684</v>
      </c>
      <c r="AS68" s="153">
        <v>2315389</v>
      </c>
      <c r="AT68" s="153">
        <v>1945705</v>
      </c>
      <c r="AU68" s="153">
        <v>2315389</v>
      </c>
      <c r="AV68" s="154">
        <v>2332754</v>
      </c>
      <c r="AW68" s="154">
        <v>2332754</v>
      </c>
      <c r="AX68" s="154">
        <v>24558.41</v>
      </c>
      <c r="AY68" s="155">
        <v>1.0500000000000001E-2</v>
      </c>
      <c r="AZ68" s="5"/>
      <c r="BA68" s="7"/>
    </row>
    <row r="69" spans="1:53" ht="130.5" hidden="1" customHeight="1">
      <c r="A69" s="6" t="s">
        <v>1182</v>
      </c>
      <c r="B69" s="6" t="s">
        <v>1236</v>
      </c>
      <c r="C69" s="6" t="s">
        <v>1271</v>
      </c>
      <c r="D69" s="6" t="s">
        <v>1390</v>
      </c>
      <c r="E69" s="127" t="s">
        <v>1391</v>
      </c>
      <c r="F69" s="128" t="s">
        <v>191</v>
      </c>
      <c r="G69" s="129">
        <v>1</v>
      </c>
      <c r="H69" s="128" t="s">
        <v>305</v>
      </c>
      <c r="I69" s="130" t="s">
        <v>1357</v>
      </c>
      <c r="J69" s="131">
        <v>46056</v>
      </c>
      <c r="K69" s="132" t="s">
        <v>1358</v>
      </c>
      <c r="L69" s="133" t="s">
        <v>1193</v>
      </c>
      <c r="M69" s="131" t="s">
        <v>515</v>
      </c>
      <c r="N69" s="134">
        <v>890000</v>
      </c>
      <c r="O69" s="134" t="s">
        <v>1197</v>
      </c>
      <c r="P69" s="134" t="s">
        <v>1191</v>
      </c>
      <c r="Q69" s="135">
        <f>IF(O69="IVA Incluido",(N69/1.19),N69)</f>
        <v>890000</v>
      </c>
      <c r="R69" s="136">
        <f>IF(P69="Si tiene IVA",Q69*19%,0)</f>
        <v>169100</v>
      </c>
      <c r="S69" s="136">
        <f>Q69+R69</f>
        <v>1059100</v>
      </c>
      <c r="T69" s="136">
        <f>IF(B69="","",(N69*G69))</f>
        <v>890000</v>
      </c>
      <c r="U69" s="136">
        <f>IF(B69="","",(S69*G69))</f>
        <v>1059100</v>
      </c>
      <c r="V69" s="137" t="s">
        <v>1369</v>
      </c>
      <c r="W69" s="138">
        <v>46105</v>
      </c>
      <c r="X69" s="139" t="s">
        <v>1349</v>
      </c>
      <c r="Y69" s="140" t="s">
        <v>1193</v>
      </c>
      <c r="Z69" s="141" t="s">
        <v>517</v>
      </c>
      <c r="AA69" s="142">
        <v>840336</v>
      </c>
      <c r="AB69" s="142" t="s">
        <v>1197</v>
      </c>
      <c r="AC69" s="142" t="s">
        <v>1191</v>
      </c>
      <c r="AD69" s="143">
        <f>IF(AB69="IVA Incluido",(AA69/1.19),AA69)</f>
        <v>840336</v>
      </c>
      <c r="AE69" s="144">
        <f>IF(AC69="Si tiene IVA",AD69*19%,0)</f>
        <v>159663.84</v>
      </c>
      <c r="AF69" s="144">
        <f>AD69+AE69</f>
        <v>999999.84</v>
      </c>
      <c r="AG69" s="144">
        <f>IF(O69="","",(AA69*G69))</f>
        <v>840336</v>
      </c>
      <c r="AH69" s="144">
        <f>IF(O69="","",(AF69*G69))</f>
        <v>999999.84</v>
      </c>
      <c r="AI69" s="145" t="s">
        <v>1369</v>
      </c>
      <c r="AJ69" s="146">
        <v>46070</v>
      </c>
      <c r="AK69" s="147" t="s">
        <v>1392</v>
      </c>
      <c r="AL69" s="148" t="s">
        <v>1193</v>
      </c>
      <c r="AM69" s="149" t="s">
        <v>1393</v>
      </c>
      <c r="AN69" s="150">
        <v>650000</v>
      </c>
      <c r="AO69" s="150" t="s">
        <v>1197</v>
      </c>
      <c r="AP69" s="151" t="s">
        <v>1191</v>
      </c>
      <c r="AQ69" s="152">
        <f>IF(AO69="IVA Incluido",(AN69/1.19),AN69)</f>
        <v>650000</v>
      </c>
      <c r="AR69" s="153">
        <f>IF(AP69="Si tiene IVA",AQ69*19%,0)</f>
        <v>123500</v>
      </c>
      <c r="AS69" s="153">
        <f>AQ69+AR69</f>
        <v>773500</v>
      </c>
      <c r="AT69" s="153">
        <f>IF(AB69="","",(AN69*G69))</f>
        <v>650000</v>
      </c>
      <c r="AU69" s="153">
        <f>IF(AB69="","",(AS69*G69))</f>
        <v>773500</v>
      </c>
      <c r="AV69" s="154">
        <f>IF(A69="","",AVERAGE(S69,AF69,AS69))</f>
        <v>944199.94666666666</v>
      </c>
      <c r="AW69" s="154">
        <f>IF(A69="","",AVERAGE(U69,AH69,AU69))</f>
        <v>944199.94666666666</v>
      </c>
      <c r="AX69" s="154">
        <f>IF(N69="","",STDEV(U69,AH69,AU69))</f>
        <v>150754.97030615126</v>
      </c>
      <c r="AY69" s="155">
        <f>IF(N69="","",(AX69/AW69))</f>
        <v>0.15966424361531198</v>
      </c>
      <c r="AZ69" s="5"/>
      <c r="BA69" s="7">
        <f>COUNTA(M69,Z69,AM69)</f>
        <v>3</v>
      </c>
    </row>
    <row r="70" spans="1:53" ht="348" hidden="1" customHeight="1">
      <c r="A70" s="6" t="s">
        <v>569</v>
      </c>
      <c r="B70" s="6" t="s">
        <v>569</v>
      </c>
      <c r="C70" s="6" t="s">
        <v>569</v>
      </c>
      <c r="D70" s="6" t="s">
        <v>1394</v>
      </c>
      <c r="E70" s="127" t="s">
        <v>1395</v>
      </c>
      <c r="F70" s="128" t="s">
        <v>1247</v>
      </c>
      <c r="G70" s="129">
        <v>1</v>
      </c>
      <c r="H70" s="128"/>
      <c r="I70" s="130" t="s">
        <v>569</v>
      </c>
      <c r="J70" s="131" t="s">
        <v>569</v>
      </c>
      <c r="K70" s="132" t="s">
        <v>569</v>
      </c>
      <c r="L70" s="133" t="s">
        <v>569</v>
      </c>
      <c r="M70" s="131" t="s">
        <v>569</v>
      </c>
      <c r="N70" s="134"/>
      <c r="O70" s="134"/>
      <c r="P70" s="134"/>
      <c r="Q70" s="135" t="s">
        <v>1248</v>
      </c>
      <c r="R70" s="136" t="s">
        <v>1248</v>
      </c>
      <c r="S70" s="136" t="s">
        <v>1248</v>
      </c>
      <c r="T70" s="136" t="s">
        <v>1248</v>
      </c>
      <c r="U70" s="136" t="s">
        <v>1248</v>
      </c>
      <c r="V70" s="137" t="s">
        <v>569</v>
      </c>
      <c r="W70" s="138" t="s">
        <v>569</v>
      </c>
      <c r="X70" s="139" t="s">
        <v>569</v>
      </c>
      <c r="Y70" s="140" t="s">
        <v>569</v>
      </c>
      <c r="Z70" s="141" t="s">
        <v>1249</v>
      </c>
      <c r="AA70" s="142" t="s">
        <v>569</v>
      </c>
      <c r="AB70" s="142" t="s">
        <v>569</v>
      </c>
      <c r="AC70" s="142" t="s">
        <v>569</v>
      </c>
      <c r="AD70" s="143" t="s">
        <v>569</v>
      </c>
      <c r="AE70" s="144" t="s">
        <v>569</v>
      </c>
      <c r="AF70" s="144">
        <v>1373680</v>
      </c>
      <c r="AG70" s="144">
        <v>5.5599999999999997E-2</v>
      </c>
      <c r="AH70" s="144">
        <v>1450056</v>
      </c>
      <c r="AI70" s="145" t="s">
        <v>569</v>
      </c>
      <c r="AJ70" s="146" t="s">
        <v>569</v>
      </c>
      <c r="AK70" s="147" t="s">
        <v>569</v>
      </c>
      <c r="AL70" s="148" t="s">
        <v>569</v>
      </c>
      <c r="AM70" s="149" t="s">
        <v>1250</v>
      </c>
      <c r="AN70" s="150" t="s">
        <v>569</v>
      </c>
      <c r="AO70" s="150" t="s">
        <v>569</v>
      </c>
      <c r="AP70" s="151" t="s">
        <v>569</v>
      </c>
      <c r="AQ70" s="152">
        <v>1200527</v>
      </c>
      <c r="AR70" s="153">
        <v>228100</v>
      </c>
      <c r="AS70" s="153">
        <v>1428627</v>
      </c>
      <c r="AT70" s="153">
        <v>1200527</v>
      </c>
      <c r="AU70" s="153">
        <v>1428627</v>
      </c>
      <c r="AV70" s="154">
        <v>1439341</v>
      </c>
      <c r="AW70" s="154">
        <v>1439341</v>
      </c>
      <c r="AX70" s="154">
        <v>15152.87</v>
      </c>
      <c r="AY70" s="155">
        <v>1.0500000000000001E-2</v>
      </c>
      <c r="AZ70" s="5"/>
      <c r="BA70" s="7"/>
    </row>
    <row r="71" spans="1:53" ht="348" hidden="1" customHeight="1">
      <c r="A71" s="6" t="s">
        <v>569</v>
      </c>
      <c r="B71" s="6" t="s">
        <v>569</v>
      </c>
      <c r="C71" s="6" t="s">
        <v>569</v>
      </c>
      <c r="D71" s="6" t="s">
        <v>1396</v>
      </c>
      <c r="E71" s="127" t="s">
        <v>1397</v>
      </c>
      <c r="F71" s="128" t="s">
        <v>1247</v>
      </c>
      <c r="G71" s="129">
        <v>1</v>
      </c>
      <c r="H71" s="128"/>
      <c r="I71" s="130" t="s">
        <v>569</v>
      </c>
      <c r="J71" s="131" t="s">
        <v>569</v>
      </c>
      <c r="K71" s="132" t="s">
        <v>569</v>
      </c>
      <c r="L71" s="133" t="s">
        <v>569</v>
      </c>
      <c r="M71" s="131" t="s">
        <v>569</v>
      </c>
      <c r="N71" s="134"/>
      <c r="O71" s="134"/>
      <c r="P71" s="134"/>
      <c r="Q71" s="135" t="s">
        <v>1248</v>
      </c>
      <c r="R71" s="136" t="s">
        <v>1248</v>
      </c>
      <c r="S71" s="136" t="s">
        <v>1248</v>
      </c>
      <c r="T71" s="136" t="s">
        <v>1248</v>
      </c>
      <c r="U71" s="136" t="s">
        <v>1248</v>
      </c>
      <c r="V71" s="137" t="s">
        <v>569</v>
      </c>
      <c r="W71" s="138" t="s">
        <v>569</v>
      </c>
      <c r="X71" s="139" t="s">
        <v>569</v>
      </c>
      <c r="Y71" s="140" t="s">
        <v>569</v>
      </c>
      <c r="Z71" s="141" t="s">
        <v>1249</v>
      </c>
      <c r="AA71" s="142" t="s">
        <v>569</v>
      </c>
      <c r="AB71" s="142" t="s">
        <v>569</v>
      </c>
      <c r="AC71" s="142" t="s">
        <v>569</v>
      </c>
      <c r="AD71" s="143" t="s">
        <v>569</v>
      </c>
      <c r="AE71" s="144" t="s">
        <v>569</v>
      </c>
      <c r="AF71" s="144">
        <v>1930000</v>
      </c>
      <c r="AG71" s="144">
        <v>5.5599999999999997E-2</v>
      </c>
      <c r="AH71" s="144">
        <v>2037308</v>
      </c>
      <c r="AI71" s="145" t="s">
        <v>569</v>
      </c>
      <c r="AJ71" s="146" t="s">
        <v>569</v>
      </c>
      <c r="AK71" s="147" t="s">
        <v>569</v>
      </c>
      <c r="AL71" s="148" t="s">
        <v>569</v>
      </c>
      <c r="AM71" s="149" t="s">
        <v>1250</v>
      </c>
      <c r="AN71" s="150" t="s">
        <v>569</v>
      </c>
      <c r="AO71" s="150" t="s">
        <v>569</v>
      </c>
      <c r="AP71" s="151" t="s">
        <v>569</v>
      </c>
      <c r="AQ71" s="152">
        <v>1686723</v>
      </c>
      <c r="AR71" s="153">
        <v>320477</v>
      </c>
      <c r="AS71" s="153">
        <v>2007200</v>
      </c>
      <c r="AT71" s="153">
        <v>1686723</v>
      </c>
      <c r="AU71" s="153">
        <v>2007200</v>
      </c>
      <c r="AV71" s="154">
        <v>2022254</v>
      </c>
      <c r="AW71" s="154">
        <v>2022254</v>
      </c>
      <c r="AX71" s="154">
        <v>21289.57</v>
      </c>
      <c r="AY71" s="155">
        <v>1.0500000000000001E-2</v>
      </c>
      <c r="AZ71" s="5"/>
      <c r="BA71" s="7"/>
    </row>
    <row r="72" spans="1:53" ht="130.5" hidden="1" customHeight="1">
      <c r="A72" s="6" t="s">
        <v>569</v>
      </c>
      <c r="B72" s="6" t="s">
        <v>569</v>
      </c>
      <c r="C72" s="6" t="s">
        <v>569</v>
      </c>
      <c r="D72" s="6" t="s">
        <v>1398</v>
      </c>
      <c r="E72" s="127" t="s">
        <v>1399</v>
      </c>
      <c r="F72" s="128" t="s">
        <v>1247</v>
      </c>
      <c r="G72" s="129">
        <v>1</v>
      </c>
      <c r="H72" s="128"/>
      <c r="I72" s="130" t="s">
        <v>569</v>
      </c>
      <c r="J72" s="131" t="s">
        <v>569</v>
      </c>
      <c r="K72" s="132" t="s">
        <v>569</v>
      </c>
      <c r="L72" s="133" t="s">
        <v>569</v>
      </c>
      <c r="M72" s="131" t="s">
        <v>569</v>
      </c>
      <c r="N72" s="134"/>
      <c r="O72" s="134"/>
      <c r="P72" s="134"/>
      <c r="Q72" s="135">
        <v>1250000</v>
      </c>
      <c r="R72" s="136">
        <v>237500</v>
      </c>
      <c r="S72" s="136">
        <v>1487500</v>
      </c>
      <c r="T72" s="136">
        <v>1250000</v>
      </c>
      <c r="U72" s="136">
        <v>1487500</v>
      </c>
      <c r="V72" s="137" t="s">
        <v>569</v>
      </c>
      <c r="W72" s="138" t="s">
        <v>569</v>
      </c>
      <c r="X72" s="139" t="s">
        <v>569</v>
      </c>
      <c r="Y72" s="140" t="s">
        <v>569</v>
      </c>
      <c r="Z72" s="141" t="s">
        <v>517</v>
      </c>
      <c r="AA72" s="142" t="s">
        <v>569</v>
      </c>
      <c r="AB72" s="142" t="s">
        <v>569</v>
      </c>
      <c r="AC72" s="142" t="s">
        <v>569</v>
      </c>
      <c r="AD72" s="143" t="s">
        <v>569</v>
      </c>
      <c r="AE72" s="144" t="s">
        <v>569</v>
      </c>
      <c r="AF72" s="144">
        <v>1200000</v>
      </c>
      <c r="AG72" s="144">
        <v>1008403</v>
      </c>
      <c r="AH72" s="144">
        <v>1200000</v>
      </c>
      <c r="AI72" s="145" t="s">
        <v>569</v>
      </c>
      <c r="AJ72" s="146" t="s">
        <v>569</v>
      </c>
      <c r="AK72" s="147" t="s">
        <v>569</v>
      </c>
      <c r="AL72" s="148" t="s">
        <v>569</v>
      </c>
      <c r="AM72" s="149" t="s">
        <v>1393</v>
      </c>
      <c r="AN72" s="150" t="s">
        <v>569</v>
      </c>
      <c r="AO72" s="150" t="s">
        <v>569</v>
      </c>
      <c r="AP72" s="151" t="s">
        <v>569</v>
      </c>
      <c r="AQ72" s="152">
        <v>1100000</v>
      </c>
      <c r="AR72" s="153">
        <v>209000</v>
      </c>
      <c r="AS72" s="153">
        <v>1309000</v>
      </c>
      <c r="AT72" s="153">
        <v>1100000</v>
      </c>
      <c r="AU72" s="153">
        <v>1309000</v>
      </c>
      <c r="AV72" s="154">
        <v>1332167</v>
      </c>
      <c r="AW72" s="154">
        <v>1332167</v>
      </c>
      <c r="AX72" s="154">
        <v>145143.32</v>
      </c>
      <c r="AY72" s="155">
        <v>0.109</v>
      </c>
      <c r="AZ72" s="5"/>
      <c r="BA72" s="7"/>
    </row>
    <row r="73" spans="1:53" ht="130.5" hidden="1" customHeight="1">
      <c r="A73" s="6" t="s">
        <v>1182</v>
      </c>
      <c r="B73" s="6" t="s">
        <v>1236</v>
      </c>
      <c r="C73" s="6" t="s">
        <v>1271</v>
      </c>
      <c r="D73" s="6" t="s">
        <v>1400</v>
      </c>
      <c r="E73" s="127" t="s">
        <v>1399</v>
      </c>
      <c r="F73" s="128" t="s">
        <v>191</v>
      </c>
      <c r="G73" s="129">
        <v>1</v>
      </c>
      <c r="H73" s="128" t="s">
        <v>305</v>
      </c>
      <c r="I73" s="130" t="s">
        <v>1357</v>
      </c>
      <c r="J73" s="131">
        <v>46071</v>
      </c>
      <c r="K73" s="132" t="s">
        <v>1274</v>
      </c>
      <c r="L73" s="133" t="s">
        <v>1193</v>
      </c>
      <c r="M73" s="131" t="s">
        <v>1275</v>
      </c>
      <c r="N73" s="134">
        <v>1650000</v>
      </c>
      <c r="O73" s="134" t="s">
        <v>1197</v>
      </c>
      <c r="P73" s="134" t="s">
        <v>1191</v>
      </c>
      <c r="Q73" s="135">
        <v>1250000</v>
      </c>
      <c r="R73" s="136">
        <f>IF(P73="Si tiene IVA",Q73*19%,0)</f>
        <v>237500</v>
      </c>
      <c r="S73" s="136">
        <f>Q73+R73</f>
        <v>1487500</v>
      </c>
      <c r="T73" s="136">
        <f>IF(B73="","",(N73*G73))</f>
        <v>1650000</v>
      </c>
      <c r="U73" s="136">
        <f>IF(B73="","",(S73*G73))</f>
        <v>1487500</v>
      </c>
      <c r="V73" s="137" t="s">
        <v>1186</v>
      </c>
      <c r="W73" s="138">
        <v>46105</v>
      </c>
      <c r="X73" s="139" t="s">
        <v>1349</v>
      </c>
      <c r="Y73" s="140" t="s">
        <v>1193</v>
      </c>
      <c r="Z73" s="141" t="s">
        <v>517</v>
      </c>
      <c r="AA73" s="142">
        <v>1008403</v>
      </c>
      <c r="AB73" s="142" t="s">
        <v>1197</v>
      </c>
      <c r="AC73" s="142" t="s">
        <v>1191</v>
      </c>
      <c r="AD73" s="143">
        <f>IF(AB73="IVA Incluido",(AA73/1.19),AA73)</f>
        <v>1008403</v>
      </c>
      <c r="AE73" s="144">
        <f>IF(AC73="Si tiene IVA",AD73*19%,0)</f>
        <v>191596.57</v>
      </c>
      <c r="AF73" s="144">
        <f>AD73+AE73</f>
        <v>1199999.57</v>
      </c>
      <c r="AG73" s="144">
        <f>IF(O73="","",(AA73*G73))</f>
        <v>1008403</v>
      </c>
      <c r="AH73" s="144">
        <f>IF(O73="","",(AF73*G73))</f>
        <v>1199999.57</v>
      </c>
      <c r="AI73" s="145" t="s">
        <v>1350</v>
      </c>
      <c r="AJ73" s="146">
        <v>46071</v>
      </c>
      <c r="AK73" s="147" t="s">
        <v>1278</v>
      </c>
      <c r="AL73" s="148" t="s">
        <v>1193</v>
      </c>
      <c r="AM73" s="149" t="s">
        <v>1393</v>
      </c>
      <c r="AN73" s="150">
        <v>1100000</v>
      </c>
      <c r="AO73" s="150" t="s">
        <v>1197</v>
      </c>
      <c r="AP73" s="151" t="s">
        <v>1191</v>
      </c>
      <c r="AQ73" s="152">
        <f>IF(AO73="IVA Incluido",(AN73/1.19),AN73)</f>
        <v>1100000</v>
      </c>
      <c r="AR73" s="153">
        <f>IF(AP73="Si tiene IVA",AQ73*19%,0)</f>
        <v>209000</v>
      </c>
      <c r="AS73" s="153">
        <f>AQ73+AR73</f>
        <v>1309000</v>
      </c>
      <c r="AT73" s="153">
        <f>IF(AB73="","",(AN73*G73))</f>
        <v>1100000</v>
      </c>
      <c r="AU73" s="153">
        <f>IF(AB73="","",(AS73*G73))</f>
        <v>1309000</v>
      </c>
      <c r="AV73" s="154">
        <f>IF(A73="","",AVERAGE(S73,AF73,AS73))</f>
        <v>1332166.5233333334</v>
      </c>
      <c r="AW73" s="154">
        <f>IF(A73="","",AVERAGE(U73,AH73,AU73))</f>
        <v>1332166.5233333334</v>
      </c>
      <c r="AX73" s="154">
        <f>IF(N73="","",STDEV(U73,AH73,AU73))</f>
        <v>145143.51575272533</v>
      </c>
      <c r="AY73" s="155">
        <f>IF(N73="","",(AX73/AW73))</f>
        <v>0.10895298238657786</v>
      </c>
      <c r="AZ73" s="5"/>
      <c r="BA73" s="7">
        <f>COUNTA(M73,Z73,AM73)</f>
        <v>3</v>
      </c>
    </row>
    <row r="74" spans="1:53" ht="130.5" hidden="1" customHeight="1">
      <c r="A74" s="6" t="s">
        <v>1182</v>
      </c>
      <c r="B74" s="6" t="s">
        <v>1236</v>
      </c>
      <c r="C74" s="6" t="s">
        <v>1271</v>
      </c>
      <c r="D74" s="6" t="s">
        <v>1401</v>
      </c>
      <c r="E74" s="127" t="s">
        <v>1402</v>
      </c>
      <c r="F74" s="128" t="s">
        <v>191</v>
      </c>
      <c r="G74" s="129">
        <v>1</v>
      </c>
      <c r="H74" s="128" t="s">
        <v>305</v>
      </c>
      <c r="I74" s="130" t="s">
        <v>1357</v>
      </c>
      <c r="J74" s="131">
        <v>46056</v>
      </c>
      <c r="K74" s="132" t="s">
        <v>1358</v>
      </c>
      <c r="L74" s="133" t="s">
        <v>1193</v>
      </c>
      <c r="M74" s="131" t="s">
        <v>515</v>
      </c>
      <c r="N74" s="134">
        <v>987500</v>
      </c>
      <c r="O74" s="134" t="s">
        <v>1197</v>
      </c>
      <c r="P74" s="134" t="s">
        <v>1191</v>
      </c>
      <c r="Q74" s="135">
        <f>IF(O74="IVA Incluido",(N74/1.19),N74)</f>
        <v>987500</v>
      </c>
      <c r="R74" s="136">
        <f>IF(P74="Si tiene IVA",Q74*19%,0)</f>
        <v>187625</v>
      </c>
      <c r="S74" s="136">
        <f>Q74+R74</f>
        <v>1175125</v>
      </c>
      <c r="T74" s="136">
        <f>IF(B74="","",(N74*G74))</f>
        <v>987500</v>
      </c>
      <c r="U74" s="136">
        <f>IF(B74="","",(S74*G74))</f>
        <v>1175125</v>
      </c>
      <c r="V74" s="137" t="s">
        <v>1357</v>
      </c>
      <c r="W74" s="138">
        <v>46105</v>
      </c>
      <c r="X74" s="139" t="s">
        <v>1349</v>
      </c>
      <c r="Y74" s="140" t="s">
        <v>1193</v>
      </c>
      <c r="Z74" s="141" t="s">
        <v>517</v>
      </c>
      <c r="AA74" s="142">
        <v>1008403</v>
      </c>
      <c r="AB74" s="142" t="s">
        <v>1197</v>
      </c>
      <c r="AC74" s="142" t="s">
        <v>1191</v>
      </c>
      <c r="AD74" s="143">
        <f>IF(AB74="IVA Incluido",(AA74/1.19),AA74)</f>
        <v>1008403</v>
      </c>
      <c r="AE74" s="144">
        <f>IF(AC74="Si tiene IVA",AD74*19%,0)</f>
        <v>191596.57</v>
      </c>
      <c r="AF74" s="144">
        <f>AD74+AE74</f>
        <v>1199999.57</v>
      </c>
      <c r="AG74" s="144">
        <f>IF(O74="","",(AA74*G74))</f>
        <v>1008403</v>
      </c>
      <c r="AH74" s="144">
        <f>IF(O74="","",(AF74*G74))</f>
        <v>1199999.57</v>
      </c>
      <c r="AI74" s="145"/>
      <c r="AJ74" s="146"/>
      <c r="AK74" s="147"/>
      <c r="AL74" s="148"/>
      <c r="AM74" s="149"/>
      <c r="AN74" s="150"/>
      <c r="AO74" s="150"/>
      <c r="AP74" s="151"/>
      <c r="AQ74" s="152"/>
      <c r="AR74" s="153"/>
      <c r="AS74" s="153"/>
      <c r="AT74" s="153"/>
      <c r="AU74" s="153"/>
      <c r="AV74" s="154">
        <f>IF(A74="","",AVERAGE(S74,AF74,AS74))</f>
        <v>1187562.2850000001</v>
      </c>
      <c r="AW74" s="154">
        <f>IF(A74="","",AVERAGE(U74,AH74,AU74))</f>
        <v>1187562.2850000001</v>
      </c>
      <c r="AX74" s="154">
        <f>IF(N74="","",STDEV(U74,AH74,AU74))</f>
        <v>17588.977126099508</v>
      </c>
      <c r="AY74" s="155">
        <f>IF(N74="","",(AX74/AW74))</f>
        <v>1.4810993367054853E-2</v>
      </c>
      <c r="AZ74" s="5"/>
      <c r="BA74" s="7">
        <f>COUNTA(M74,Z74,AM74)</f>
        <v>2</v>
      </c>
    </row>
    <row r="75" spans="1:53" ht="101.65" hidden="1" customHeight="1">
      <c r="A75" s="6" t="s">
        <v>1182</v>
      </c>
      <c r="B75" s="6" t="s">
        <v>1236</v>
      </c>
      <c r="C75" s="6" t="s">
        <v>1271</v>
      </c>
      <c r="D75" s="6" t="s">
        <v>1403</v>
      </c>
      <c r="E75" s="127" t="s">
        <v>1404</v>
      </c>
      <c r="F75" s="128" t="s">
        <v>191</v>
      </c>
      <c r="G75" s="129">
        <v>1</v>
      </c>
      <c r="H75" s="128" t="s">
        <v>305</v>
      </c>
      <c r="I75" s="130" t="s">
        <v>1357</v>
      </c>
      <c r="J75" s="131">
        <v>46070</v>
      </c>
      <c r="K75" s="132" t="s">
        <v>1359</v>
      </c>
      <c r="L75" s="133" t="s">
        <v>1193</v>
      </c>
      <c r="M75" s="131" t="s">
        <v>516</v>
      </c>
      <c r="N75" s="134">
        <v>3800000</v>
      </c>
      <c r="O75" s="134" t="s">
        <v>1197</v>
      </c>
      <c r="P75" s="134" t="s">
        <v>1191</v>
      </c>
      <c r="Q75" s="135">
        <f>IF(O75="IVA Incluido",(N75/1.19),N75)</f>
        <v>3800000</v>
      </c>
      <c r="R75" s="136">
        <f>IF(P75="Si tiene IVA",Q75*19%,0)</f>
        <v>722000</v>
      </c>
      <c r="S75" s="136">
        <f>Q75+R75</f>
        <v>4522000</v>
      </c>
      <c r="T75" s="136">
        <f>IF(B75="","",(N75*G75))</f>
        <v>3800000</v>
      </c>
      <c r="U75" s="136">
        <f>IF(B75="","",(S75*G75))</f>
        <v>4522000</v>
      </c>
      <c r="V75" s="137" t="s">
        <v>1357</v>
      </c>
      <c r="W75" s="138">
        <v>46105</v>
      </c>
      <c r="X75" s="139" t="s">
        <v>1349</v>
      </c>
      <c r="Y75" s="140" t="s">
        <v>1193</v>
      </c>
      <c r="Z75" s="141" t="s">
        <v>517</v>
      </c>
      <c r="AA75" s="142">
        <v>2941177</v>
      </c>
      <c r="AB75" s="142" t="s">
        <v>1197</v>
      </c>
      <c r="AC75" s="142" t="s">
        <v>1191</v>
      </c>
      <c r="AD75" s="143">
        <f>IF(AB75="IVA Incluido",(AA75/1.19),AA75)</f>
        <v>2941177</v>
      </c>
      <c r="AE75" s="144">
        <f>IF(AC75="Si tiene IVA",AD75*19%,0)</f>
        <v>558823.63</v>
      </c>
      <c r="AF75" s="144">
        <f>AD75+AE75</f>
        <v>3500000.63</v>
      </c>
      <c r="AG75" s="144">
        <f>IF(O75="","",(AA75*G75))</f>
        <v>2941177</v>
      </c>
      <c r="AH75" s="144">
        <f>IF(O75="","",(AF75*G75))</f>
        <v>3500000.63</v>
      </c>
      <c r="AI75" s="145"/>
      <c r="AJ75" s="146"/>
      <c r="AK75" s="147"/>
      <c r="AL75" s="148"/>
      <c r="AM75" s="149"/>
      <c r="AN75" s="150"/>
      <c r="AO75" s="150"/>
      <c r="AP75" s="151"/>
      <c r="AQ75" s="152"/>
      <c r="AR75" s="153"/>
      <c r="AS75" s="153"/>
      <c r="AT75" s="153"/>
      <c r="AU75" s="153"/>
      <c r="AV75" s="154">
        <f>IF(A75="","",AVERAGE(S75,AF75,AS75))</f>
        <v>4011000.3149999999</v>
      </c>
      <c r="AW75" s="154">
        <f>IF(A75="","",AVERAGE(U75,AH75,AU75))</f>
        <v>4011000.3149999999</v>
      </c>
      <c r="AX75" s="154">
        <f>IF(N75="","",STDEV(U75,AH75,AU75))</f>
        <v>722662.68489537993</v>
      </c>
      <c r="AY75" s="155">
        <f>IF(N75="","",(AX75/AW75))</f>
        <v>0.18017018901564957</v>
      </c>
      <c r="AZ75" s="5"/>
      <c r="BA75" s="7">
        <f>COUNTA(M75,Z75,AM75)</f>
        <v>2</v>
      </c>
    </row>
    <row r="76" spans="1:53" ht="101.65" hidden="1" customHeight="1">
      <c r="A76" s="6" t="s">
        <v>1182</v>
      </c>
      <c r="B76" s="6" t="s">
        <v>1236</v>
      </c>
      <c r="C76" s="6" t="s">
        <v>1271</v>
      </c>
      <c r="D76" s="6" t="s">
        <v>1405</v>
      </c>
      <c r="E76" s="127" t="s">
        <v>1406</v>
      </c>
      <c r="F76" s="128" t="s">
        <v>191</v>
      </c>
      <c r="G76" s="129">
        <v>1</v>
      </c>
      <c r="H76" s="128" t="s">
        <v>305</v>
      </c>
      <c r="I76" s="130" t="s">
        <v>1357</v>
      </c>
      <c r="J76" s="131">
        <v>46070</v>
      </c>
      <c r="K76" s="132" t="s">
        <v>1359</v>
      </c>
      <c r="L76" s="133" t="s">
        <v>1193</v>
      </c>
      <c r="M76" s="131" t="s">
        <v>516</v>
      </c>
      <c r="N76" s="134">
        <v>3800000</v>
      </c>
      <c r="O76" s="134" t="s">
        <v>1197</v>
      </c>
      <c r="P76" s="134" t="s">
        <v>1191</v>
      </c>
      <c r="Q76" s="135">
        <f>IF(O76="IVA Incluido",(N76/1.19),N76)</f>
        <v>3800000</v>
      </c>
      <c r="R76" s="136">
        <f>IF(P76="Si tiene IVA",Q76*19%,0)</f>
        <v>722000</v>
      </c>
      <c r="S76" s="136">
        <f>Q76+R76</f>
        <v>4522000</v>
      </c>
      <c r="T76" s="136">
        <f>IF(B76="","",(N76*G76))</f>
        <v>3800000</v>
      </c>
      <c r="U76" s="136">
        <f>IF(B76="","",(S76*G76))</f>
        <v>4522000</v>
      </c>
      <c r="V76" s="137" t="s">
        <v>1357</v>
      </c>
      <c r="W76" s="138">
        <v>46105</v>
      </c>
      <c r="X76" s="139" t="s">
        <v>1349</v>
      </c>
      <c r="Y76" s="140" t="s">
        <v>1193</v>
      </c>
      <c r="Z76" s="141" t="s">
        <v>517</v>
      </c>
      <c r="AA76" s="142">
        <v>2941177</v>
      </c>
      <c r="AB76" s="142" t="s">
        <v>1197</v>
      </c>
      <c r="AC76" s="142" t="s">
        <v>1191</v>
      </c>
      <c r="AD76" s="143">
        <f>IF(AB76="IVA Incluido",(AA76/1.19),AA76)</f>
        <v>2941177</v>
      </c>
      <c r="AE76" s="144">
        <f>IF(AC76="Si tiene IVA",AD76*19%,0)</f>
        <v>558823.63</v>
      </c>
      <c r="AF76" s="144">
        <f>AD76+AE76</f>
        <v>3500000.63</v>
      </c>
      <c r="AG76" s="144">
        <f>IF(O76="","",(AA76*G76))</f>
        <v>2941177</v>
      </c>
      <c r="AH76" s="144">
        <f>IF(O76="","",(AF76*G76))</f>
        <v>3500000.63</v>
      </c>
      <c r="AI76" s="145"/>
      <c r="AJ76" s="146"/>
      <c r="AK76" s="147"/>
      <c r="AL76" s="148"/>
      <c r="AM76" s="149"/>
      <c r="AN76" s="150"/>
      <c r="AO76" s="150"/>
      <c r="AP76" s="151"/>
      <c r="AQ76" s="152"/>
      <c r="AR76" s="153"/>
      <c r="AS76" s="153"/>
      <c r="AT76" s="153"/>
      <c r="AU76" s="153"/>
      <c r="AV76" s="154">
        <f>IF(A76="","",AVERAGE(S76,AF76,AS76))</f>
        <v>4011000.3149999999</v>
      </c>
      <c r="AW76" s="154">
        <f>IF(A76="","",AVERAGE(U76,AH76,AU76))</f>
        <v>4011000.3149999999</v>
      </c>
      <c r="AX76" s="154">
        <f>IF(N76="","",STDEV(U76,AH76,AU76))</f>
        <v>722662.68489537993</v>
      </c>
      <c r="AY76" s="155">
        <f>IF(N76="","",(AX76/AW76))</f>
        <v>0.18017018901564957</v>
      </c>
      <c r="AZ76" s="5"/>
      <c r="BA76" s="7">
        <f>COUNTA(M76,Z76,AM76)</f>
        <v>2</v>
      </c>
    </row>
    <row r="77" spans="1:53" ht="348" hidden="1" customHeight="1">
      <c r="A77" s="6" t="s">
        <v>569</v>
      </c>
      <c r="B77" s="6" t="s">
        <v>569</v>
      </c>
      <c r="C77" s="6" t="s">
        <v>569</v>
      </c>
      <c r="D77" s="6" t="s">
        <v>1407</v>
      </c>
      <c r="E77" s="127" t="s">
        <v>1408</v>
      </c>
      <c r="F77" s="128" t="s">
        <v>1247</v>
      </c>
      <c r="G77" s="129">
        <v>1</v>
      </c>
      <c r="H77" s="128"/>
      <c r="I77" s="130" t="s">
        <v>569</v>
      </c>
      <c r="J77" s="131" t="s">
        <v>569</v>
      </c>
      <c r="K77" s="132" t="s">
        <v>569</v>
      </c>
      <c r="L77" s="133" t="s">
        <v>569</v>
      </c>
      <c r="M77" s="131" t="s">
        <v>569</v>
      </c>
      <c r="N77" s="134"/>
      <c r="O77" s="134"/>
      <c r="P77" s="134"/>
      <c r="Q77" s="135" t="s">
        <v>1248</v>
      </c>
      <c r="R77" s="136" t="s">
        <v>1248</v>
      </c>
      <c r="S77" s="136" t="s">
        <v>1248</v>
      </c>
      <c r="T77" s="136" t="s">
        <v>1248</v>
      </c>
      <c r="U77" s="136" t="s">
        <v>1248</v>
      </c>
      <c r="V77" s="137" t="s">
        <v>569</v>
      </c>
      <c r="W77" s="138" t="s">
        <v>569</v>
      </c>
      <c r="X77" s="139" t="s">
        <v>569</v>
      </c>
      <c r="Y77" s="140" t="s">
        <v>569</v>
      </c>
      <c r="Z77" s="141" t="s">
        <v>1249</v>
      </c>
      <c r="AA77" s="142" t="s">
        <v>569</v>
      </c>
      <c r="AB77" s="142" t="s">
        <v>569</v>
      </c>
      <c r="AC77" s="142" t="s">
        <v>569</v>
      </c>
      <c r="AD77" s="143" t="s">
        <v>569</v>
      </c>
      <c r="AE77" s="144" t="s">
        <v>569</v>
      </c>
      <c r="AF77" s="144">
        <v>4973014</v>
      </c>
      <c r="AG77" s="144">
        <v>5.5599999999999997E-2</v>
      </c>
      <c r="AH77" s="144">
        <v>5249514</v>
      </c>
      <c r="AI77" s="145" t="s">
        <v>569</v>
      </c>
      <c r="AJ77" s="146" t="s">
        <v>569</v>
      </c>
      <c r="AK77" s="147" t="s">
        <v>569</v>
      </c>
      <c r="AL77" s="148" t="s">
        <v>569</v>
      </c>
      <c r="AM77" s="149" t="s">
        <v>1250</v>
      </c>
      <c r="AN77" s="150" t="s">
        <v>569</v>
      </c>
      <c r="AO77" s="150" t="s">
        <v>569</v>
      </c>
      <c r="AP77" s="151" t="s">
        <v>569</v>
      </c>
      <c r="AQ77" s="152">
        <v>4387954</v>
      </c>
      <c r="AR77" s="153">
        <v>833711</v>
      </c>
      <c r="AS77" s="153">
        <v>5221665</v>
      </c>
      <c r="AT77" s="153">
        <v>4387954</v>
      </c>
      <c r="AU77" s="153">
        <v>5221665</v>
      </c>
      <c r="AV77" s="154">
        <v>5235589</v>
      </c>
      <c r="AW77" s="154">
        <v>5235589</v>
      </c>
      <c r="AX77" s="154">
        <v>19692.13</v>
      </c>
      <c r="AY77" s="155">
        <v>3.8E-3</v>
      </c>
      <c r="AZ77" s="5"/>
      <c r="BA77" s="7"/>
    </row>
    <row r="78" spans="1:53" ht="348" hidden="1" customHeight="1">
      <c r="A78" s="6" t="s">
        <v>569</v>
      </c>
      <c r="B78" s="6" t="s">
        <v>569</v>
      </c>
      <c r="C78" s="6" t="s">
        <v>569</v>
      </c>
      <c r="D78" s="6" t="s">
        <v>1409</v>
      </c>
      <c r="E78" s="127" t="s">
        <v>1410</v>
      </c>
      <c r="F78" s="128" t="s">
        <v>1247</v>
      </c>
      <c r="G78" s="129">
        <v>1</v>
      </c>
      <c r="H78" s="128"/>
      <c r="I78" s="130" t="s">
        <v>569</v>
      </c>
      <c r="J78" s="131" t="s">
        <v>569</v>
      </c>
      <c r="K78" s="132" t="s">
        <v>569</v>
      </c>
      <c r="L78" s="133" t="s">
        <v>569</v>
      </c>
      <c r="M78" s="131" t="s">
        <v>569</v>
      </c>
      <c r="N78" s="134"/>
      <c r="O78" s="134"/>
      <c r="P78" s="134"/>
      <c r="Q78" s="135" t="s">
        <v>1248</v>
      </c>
      <c r="R78" s="136" t="s">
        <v>1248</v>
      </c>
      <c r="S78" s="136" t="s">
        <v>1248</v>
      </c>
      <c r="T78" s="136" t="s">
        <v>1248</v>
      </c>
      <c r="U78" s="136" t="s">
        <v>1248</v>
      </c>
      <c r="V78" s="137" t="s">
        <v>569</v>
      </c>
      <c r="W78" s="138" t="s">
        <v>569</v>
      </c>
      <c r="X78" s="139" t="s">
        <v>569</v>
      </c>
      <c r="Y78" s="140" t="s">
        <v>569</v>
      </c>
      <c r="Z78" s="141" t="s">
        <v>1249</v>
      </c>
      <c r="AA78" s="142" t="s">
        <v>569</v>
      </c>
      <c r="AB78" s="142" t="s">
        <v>569</v>
      </c>
      <c r="AC78" s="142" t="s">
        <v>569</v>
      </c>
      <c r="AD78" s="143" t="s">
        <v>569</v>
      </c>
      <c r="AE78" s="144" t="s">
        <v>569</v>
      </c>
      <c r="AF78" s="144">
        <v>3638000</v>
      </c>
      <c r="AG78" s="144">
        <v>5.5599999999999997E-2</v>
      </c>
      <c r="AH78" s="144">
        <v>3840273</v>
      </c>
      <c r="AI78" s="145" t="s">
        <v>569</v>
      </c>
      <c r="AJ78" s="146" t="s">
        <v>569</v>
      </c>
      <c r="AK78" s="147" t="s">
        <v>569</v>
      </c>
      <c r="AL78" s="148" t="s">
        <v>569</v>
      </c>
      <c r="AM78" s="149" t="s">
        <v>1250</v>
      </c>
      <c r="AN78" s="150" t="s">
        <v>569</v>
      </c>
      <c r="AO78" s="150" t="s">
        <v>569</v>
      </c>
      <c r="AP78" s="151" t="s">
        <v>569</v>
      </c>
      <c r="AQ78" s="152">
        <v>3210000</v>
      </c>
      <c r="AR78" s="153">
        <v>609900</v>
      </c>
      <c r="AS78" s="153">
        <v>3819900</v>
      </c>
      <c r="AT78" s="153">
        <v>3210000</v>
      </c>
      <c r="AU78" s="153">
        <v>3819900</v>
      </c>
      <c r="AV78" s="154">
        <v>3830086</v>
      </c>
      <c r="AW78" s="154">
        <v>3830086</v>
      </c>
      <c r="AX78" s="154">
        <v>14405.75</v>
      </c>
      <c r="AY78" s="155">
        <v>3.8E-3</v>
      </c>
      <c r="AZ78" s="5"/>
      <c r="BA78" s="7"/>
    </row>
    <row r="79" spans="1:53" ht="348" hidden="1" customHeight="1">
      <c r="A79" s="6" t="s">
        <v>569</v>
      </c>
      <c r="B79" s="6" t="s">
        <v>569</v>
      </c>
      <c r="C79" s="6" t="s">
        <v>569</v>
      </c>
      <c r="D79" s="6" t="s">
        <v>1411</v>
      </c>
      <c r="E79" s="127" t="s">
        <v>1412</v>
      </c>
      <c r="F79" s="128" t="s">
        <v>1247</v>
      </c>
      <c r="G79" s="129">
        <v>1</v>
      </c>
      <c r="H79" s="128"/>
      <c r="I79" s="130" t="s">
        <v>569</v>
      </c>
      <c r="J79" s="131" t="s">
        <v>569</v>
      </c>
      <c r="K79" s="132" t="s">
        <v>569</v>
      </c>
      <c r="L79" s="133" t="s">
        <v>569</v>
      </c>
      <c r="M79" s="131" t="s">
        <v>569</v>
      </c>
      <c r="N79" s="134"/>
      <c r="O79" s="134"/>
      <c r="P79" s="134"/>
      <c r="Q79" s="135" t="s">
        <v>1248</v>
      </c>
      <c r="R79" s="136" t="s">
        <v>1248</v>
      </c>
      <c r="S79" s="136" t="s">
        <v>1248</v>
      </c>
      <c r="T79" s="136" t="s">
        <v>1248</v>
      </c>
      <c r="U79" s="136" t="s">
        <v>1248</v>
      </c>
      <c r="V79" s="137" t="s">
        <v>569</v>
      </c>
      <c r="W79" s="138" t="s">
        <v>569</v>
      </c>
      <c r="X79" s="139" t="s">
        <v>569</v>
      </c>
      <c r="Y79" s="140" t="s">
        <v>569</v>
      </c>
      <c r="Z79" s="141" t="s">
        <v>1249</v>
      </c>
      <c r="AA79" s="142" t="s">
        <v>569</v>
      </c>
      <c r="AB79" s="142" t="s">
        <v>569</v>
      </c>
      <c r="AC79" s="142" t="s">
        <v>569</v>
      </c>
      <c r="AD79" s="143" t="s">
        <v>569</v>
      </c>
      <c r="AE79" s="144" t="s">
        <v>569</v>
      </c>
      <c r="AF79" s="144">
        <v>37006</v>
      </c>
      <c r="AG79" s="144">
        <v>5.5599999999999997E-2</v>
      </c>
      <c r="AH79" s="144">
        <v>39064</v>
      </c>
      <c r="AI79" s="145" t="s">
        <v>569</v>
      </c>
      <c r="AJ79" s="146" t="s">
        <v>569</v>
      </c>
      <c r="AK79" s="147" t="s">
        <v>569</v>
      </c>
      <c r="AL79" s="148" t="s">
        <v>569</v>
      </c>
      <c r="AM79" s="149" t="s">
        <v>1250</v>
      </c>
      <c r="AN79" s="150" t="s">
        <v>569</v>
      </c>
      <c r="AO79" s="150" t="s">
        <v>569</v>
      </c>
      <c r="AP79" s="151" t="s">
        <v>569</v>
      </c>
      <c r="AQ79" s="152">
        <v>31719</v>
      </c>
      <c r="AR79" s="153">
        <v>6027</v>
      </c>
      <c r="AS79" s="153">
        <v>37746</v>
      </c>
      <c r="AT79" s="153">
        <v>31719</v>
      </c>
      <c r="AU79" s="153">
        <v>37746</v>
      </c>
      <c r="AV79" s="154">
        <v>38405</v>
      </c>
      <c r="AW79" s="154">
        <v>38405</v>
      </c>
      <c r="AX79" s="154">
        <v>931.55</v>
      </c>
      <c r="AY79" s="155">
        <v>2.4299999999999999E-2</v>
      </c>
      <c r="AZ79" s="5"/>
      <c r="BA79" s="7"/>
    </row>
    <row r="80" spans="1:53" ht="348" hidden="1" customHeight="1">
      <c r="A80" s="6" t="s">
        <v>569</v>
      </c>
      <c r="B80" s="6" t="s">
        <v>569</v>
      </c>
      <c r="C80" s="6" t="s">
        <v>569</v>
      </c>
      <c r="D80" s="6" t="s">
        <v>1413</v>
      </c>
      <c r="E80" s="127" t="s">
        <v>1414</v>
      </c>
      <c r="F80" s="128" t="s">
        <v>1247</v>
      </c>
      <c r="G80" s="129">
        <v>1</v>
      </c>
      <c r="H80" s="128"/>
      <c r="I80" s="130" t="s">
        <v>569</v>
      </c>
      <c r="J80" s="131" t="s">
        <v>569</v>
      </c>
      <c r="K80" s="132" t="s">
        <v>569</v>
      </c>
      <c r="L80" s="133" t="s">
        <v>569</v>
      </c>
      <c r="M80" s="131" t="s">
        <v>569</v>
      </c>
      <c r="N80" s="134"/>
      <c r="O80" s="134"/>
      <c r="P80" s="134"/>
      <c r="Q80" s="135" t="s">
        <v>1248</v>
      </c>
      <c r="R80" s="136" t="s">
        <v>1248</v>
      </c>
      <c r="S80" s="136" t="s">
        <v>1248</v>
      </c>
      <c r="T80" s="136" t="s">
        <v>1248</v>
      </c>
      <c r="U80" s="136" t="s">
        <v>1248</v>
      </c>
      <c r="V80" s="137" t="s">
        <v>569</v>
      </c>
      <c r="W80" s="138" t="s">
        <v>569</v>
      </c>
      <c r="X80" s="139" t="s">
        <v>569</v>
      </c>
      <c r="Y80" s="140" t="s">
        <v>569</v>
      </c>
      <c r="Z80" s="141" t="s">
        <v>1249</v>
      </c>
      <c r="AA80" s="142" t="s">
        <v>569</v>
      </c>
      <c r="AB80" s="142" t="s">
        <v>569</v>
      </c>
      <c r="AC80" s="142" t="s">
        <v>569</v>
      </c>
      <c r="AD80" s="143" t="s">
        <v>569</v>
      </c>
      <c r="AE80" s="144" t="s">
        <v>569</v>
      </c>
      <c r="AF80" s="144">
        <v>1519303</v>
      </c>
      <c r="AG80" s="144">
        <v>5.5599999999999997E-2</v>
      </c>
      <c r="AH80" s="144">
        <v>1603776</v>
      </c>
      <c r="AI80" s="145" t="s">
        <v>569</v>
      </c>
      <c r="AJ80" s="146" t="s">
        <v>569</v>
      </c>
      <c r="AK80" s="147" t="s">
        <v>569</v>
      </c>
      <c r="AL80" s="148" t="s">
        <v>569</v>
      </c>
      <c r="AM80" s="149" t="s">
        <v>1250</v>
      </c>
      <c r="AN80" s="150" t="s">
        <v>569</v>
      </c>
      <c r="AO80" s="150" t="s">
        <v>569</v>
      </c>
      <c r="AP80" s="151" t="s">
        <v>569</v>
      </c>
      <c r="AQ80" s="152">
        <v>1302260</v>
      </c>
      <c r="AR80" s="153">
        <v>247429</v>
      </c>
      <c r="AS80" s="153">
        <v>1549689</v>
      </c>
      <c r="AT80" s="153">
        <v>1302260</v>
      </c>
      <c r="AU80" s="153">
        <v>1549689</v>
      </c>
      <c r="AV80" s="154">
        <v>1576732</v>
      </c>
      <c r="AW80" s="154">
        <v>1576732</v>
      </c>
      <c r="AX80" s="154">
        <v>38245.410000000003</v>
      </c>
      <c r="AY80" s="155">
        <v>2.4299999999999999E-2</v>
      </c>
      <c r="AZ80" s="5"/>
      <c r="BA80" s="7"/>
    </row>
    <row r="81" spans="1:53" ht="348" hidden="1" customHeight="1">
      <c r="A81" s="6" t="s">
        <v>569</v>
      </c>
      <c r="B81" s="6" t="s">
        <v>569</v>
      </c>
      <c r="C81" s="6" t="s">
        <v>569</v>
      </c>
      <c r="D81" s="6" t="s">
        <v>1415</v>
      </c>
      <c r="E81" s="127" t="s">
        <v>1416</v>
      </c>
      <c r="F81" s="128" t="s">
        <v>1247</v>
      </c>
      <c r="G81" s="129">
        <v>1</v>
      </c>
      <c r="H81" s="128"/>
      <c r="I81" s="130" t="s">
        <v>569</v>
      </c>
      <c r="J81" s="131" t="s">
        <v>569</v>
      </c>
      <c r="K81" s="132" t="s">
        <v>569</v>
      </c>
      <c r="L81" s="133" t="s">
        <v>569</v>
      </c>
      <c r="M81" s="131" t="s">
        <v>569</v>
      </c>
      <c r="N81" s="134"/>
      <c r="O81" s="134"/>
      <c r="P81" s="134"/>
      <c r="Q81" s="135" t="s">
        <v>1248</v>
      </c>
      <c r="R81" s="136" t="s">
        <v>1248</v>
      </c>
      <c r="S81" s="136" t="s">
        <v>1248</v>
      </c>
      <c r="T81" s="136" t="s">
        <v>1248</v>
      </c>
      <c r="U81" s="136" t="s">
        <v>1248</v>
      </c>
      <c r="V81" s="137" t="s">
        <v>569</v>
      </c>
      <c r="W81" s="138" t="s">
        <v>569</v>
      </c>
      <c r="X81" s="139" t="s">
        <v>569</v>
      </c>
      <c r="Y81" s="140" t="s">
        <v>569</v>
      </c>
      <c r="Z81" s="141" t="s">
        <v>1249</v>
      </c>
      <c r="AA81" s="142" t="s">
        <v>569</v>
      </c>
      <c r="AB81" s="142" t="s">
        <v>569</v>
      </c>
      <c r="AC81" s="142" t="s">
        <v>569</v>
      </c>
      <c r="AD81" s="143" t="s">
        <v>569</v>
      </c>
      <c r="AE81" s="144" t="s">
        <v>569</v>
      </c>
      <c r="AF81" s="144">
        <v>136750</v>
      </c>
      <c r="AG81" s="144">
        <v>5.5599999999999997E-2</v>
      </c>
      <c r="AH81" s="144">
        <v>144353</v>
      </c>
      <c r="AI81" s="145" t="s">
        <v>569</v>
      </c>
      <c r="AJ81" s="146" t="s">
        <v>569</v>
      </c>
      <c r="AK81" s="147" t="s">
        <v>569</v>
      </c>
      <c r="AL81" s="148" t="s">
        <v>569</v>
      </c>
      <c r="AM81" s="149" t="s">
        <v>1250</v>
      </c>
      <c r="AN81" s="150" t="s">
        <v>569</v>
      </c>
      <c r="AO81" s="150" t="s">
        <v>569</v>
      </c>
      <c r="AP81" s="151" t="s">
        <v>569</v>
      </c>
      <c r="AQ81" s="152">
        <v>117214</v>
      </c>
      <c r="AR81" s="153">
        <v>22271</v>
      </c>
      <c r="AS81" s="153">
        <v>139485</v>
      </c>
      <c r="AT81" s="153">
        <v>117214</v>
      </c>
      <c r="AU81" s="153">
        <v>139485</v>
      </c>
      <c r="AV81" s="154">
        <v>141919</v>
      </c>
      <c r="AW81" s="154">
        <v>141919</v>
      </c>
      <c r="AX81" s="154">
        <v>3442.41</v>
      </c>
      <c r="AY81" s="155">
        <v>2.4299999999999999E-2</v>
      </c>
      <c r="AZ81" s="5"/>
      <c r="BA81" s="7"/>
    </row>
    <row r="82" spans="1:53" ht="348" hidden="1" customHeight="1">
      <c r="A82" s="6" t="s">
        <v>569</v>
      </c>
      <c r="B82" s="6" t="s">
        <v>569</v>
      </c>
      <c r="C82" s="6" t="s">
        <v>569</v>
      </c>
      <c r="D82" s="6" t="s">
        <v>1417</v>
      </c>
      <c r="E82" s="127" t="s">
        <v>1418</v>
      </c>
      <c r="F82" s="128" t="s">
        <v>1247</v>
      </c>
      <c r="G82" s="129">
        <v>1</v>
      </c>
      <c r="H82" s="128"/>
      <c r="I82" s="130" t="s">
        <v>569</v>
      </c>
      <c r="J82" s="131" t="s">
        <v>569</v>
      </c>
      <c r="K82" s="132" t="s">
        <v>569</v>
      </c>
      <c r="L82" s="133" t="s">
        <v>569</v>
      </c>
      <c r="M82" s="131" t="s">
        <v>569</v>
      </c>
      <c r="N82" s="134"/>
      <c r="O82" s="134"/>
      <c r="P82" s="134"/>
      <c r="Q82" s="135" t="s">
        <v>1248</v>
      </c>
      <c r="R82" s="136" t="s">
        <v>1248</v>
      </c>
      <c r="S82" s="136" t="s">
        <v>1248</v>
      </c>
      <c r="T82" s="136" t="s">
        <v>1248</v>
      </c>
      <c r="U82" s="136" t="s">
        <v>1248</v>
      </c>
      <c r="V82" s="137" t="s">
        <v>569</v>
      </c>
      <c r="W82" s="138" t="s">
        <v>569</v>
      </c>
      <c r="X82" s="139" t="s">
        <v>569</v>
      </c>
      <c r="Y82" s="140" t="s">
        <v>569</v>
      </c>
      <c r="Z82" s="141" t="s">
        <v>1249</v>
      </c>
      <c r="AA82" s="142" t="s">
        <v>569</v>
      </c>
      <c r="AB82" s="142" t="s">
        <v>569</v>
      </c>
      <c r="AC82" s="142" t="s">
        <v>569</v>
      </c>
      <c r="AD82" s="143" t="s">
        <v>569</v>
      </c>
      <c r="AE82" s="144" t="s">
        <v>569</v>
      </c>
      <c r="AF82" s="144">
        <v>580284</v>
      </c>
      <c r="AG82" s="144">
        <v>5.5599999999999997E-2</v>
      </c>
      <c r="AH82" s="144">
        <v>612547</v>
      </c>
      <c r="AI82" s="145" t="s">
        <v>569</v>
      </c>
      <c r="AJ82" s="146" t="s">
        <v>569</v>
      </c>
      <c r="AK82" s="147" t="s">
        <v>569</v>
      </c>
      <c r="AL82" s="148" t="s">
        <v>569</v>
      </c>
      <c r="AM82" s="149" t="s">
        <v>1250</v>
      </c>
      <c r="AN82" s="150" t="s">
        <v>569</v>
      </c>
      <c r="AO82" s="150" t="s">
        <v>569</v>
      </c>
      <c r="AP82" s="151" t="s">
        <v>569</v>
      </c>
      <c r="AQ82" s="152">
        <v>497386</v>
      </c>
      <c r="AR82" s="153">
        <v>94503</v>
      </c>
      <c r="AS82" s="153">
        <v>591889</v>
      </c>
      <c r="AT82" s="153">
        <v>497386</v>
      </c>
      <c r="AU82" s="153">
        <v>591889</v>
      </c>
      <c r="AV82" s="154">
        <v>602218</v>
      </c>
      <c r="AW82" s="154">
        <v>602218</v>
      </c>
      <c r="AX82" s="154">
        <v>14607.48</v>
      </c>
      <c r="AY82" s="155">
        <v>2.4299999999999999E-2</v>
      </c>
      <c r="AZ82" s="5"/>
      <c r="BA82" s="7"/>
    </row>
    <row r="83" spans="1:53" ht="58.15" hidden="1" customHeight="1">
      <c r="A83" s="6" t="s">
        <v>1182</v>
      </c>
      <c r="B83" s="6" t="s">
        <v>1251</v>
      </c>
      <c r="C83" s="6">
        <v>11111808</v>
      </c>
      <c r="D83" s="6" t="s">
        <v>1419</v>
      </c>
      <c r="E83" s="127" t="s">
        <v>1420</v>
      </c>
      <c r="F83" s="128" t="s">
        <v>191</v>
      </c>
      <c r="G83" s="129">
        <v>1</v>
      </c>
      <c r="H83" s="128" t="s">
        <v>192</v>
      </c>
      <c r="I83" s="130" t="s">
        <v>1199</v>
      </c>
      <c r="J83" s="131">
        <v>46070</v>
      </c>
      <c r="K83" s="132" t="s">
        <v>1256</v>
      </c>
      <c r="L83" s="133" t="s">
        <v>1193</v>
      </c>
      <c r="M83" s="131" t="s">
        <v>1257</v>
      </c>
      <c r="N83" s="134">
        <v>4000</v>
      </c>
      <c r="O83" s="134" t="s">
        <v>1197</v>
      </c>
      <c r="P83" s="134" t="s">
        <v>1191</v>
      </c>
      <c r="Q83" s="135">
        <f>IF(O83="IVA Incluido",(N83/1.19),N83)</f>
        <v>4000</v>
      </c>
      <c r="R83" s="136">
        <f>IF(P83="Si tiene IVA",Q83*19%,0)</f>
        <v>760</v>
      </c>
      <c r="S83" s="136">
        <f>Q83+R83</f>
        <v>4760</v>
      </c>
      <c r="T83" s="136">
        <f>IF(B83="","",(N83*G83))</f>
        <v>4000</v>
      </c>
      <c r="U83" s="136">
        <f>IF(B83="","",(S83*G83))</f>
        <v>4760</v>
      </c>
      <c r="V83" s="137" t="s">
        <v>1199</v>
      </c>
      <c r="W83" s="138">
        <v>46062</v>
      </c>
      <c r="X83" s="139" t="s">
        <v>1421</v>
      </c>
      <c r="Y83" s="140" t="s">
        <v>1193</v>
      </c>
      <c r="Z83" s="141" t="s">
        <v>1422</v>
      </c>
      <c r="AA83" s="142">
        <v>5600</v>
      </c>
      <c r="AB83" s="142" t="s">
        <v>1190</v>
      </c>
      <c r="AC83" s="142" t="s">
        <v>1191</v>
      </c>
      <c r="AD83" s="143">
        <f>IF(AB83="IVA Incluido",(AA83/1.19),AA83)</f>
        <v>4705.8823529411766</v>
      </c>
      <c r="AE83" s="144">
        <f>IF(AC83="Si tiene IVA",AD83*19%,0)</f>
        <v>894.11764705882354</v>
      </c>
      <c r="AF83" s="144">
        <f>AD83+AE83</f>
        <v>5600</v>
      </c>
      <c r="AG83" s="144">
        <f>IF(O83="","",(AA83*G83))</f>
        <v>5600</v>
      </c>
      <c r="AH83" s="144">
        <f>IF(O83="","",(AF83*G83))</f>
        <v>5600</v>
      </c>
      <c r="AI83" s="145" t="s">
        <v>1199</v>
      </c>
      <c r="AJ83" s="146">
        <v>46064</v>
      </c>
      <c r="AK83" s="147" t="s">
        <v>1423</v>
      </c>
      <c r="AL83" s="148" t="s">
        <v>1193</v>
      </c>
      <c r="AM83" s="149" t="s">
        <v>1424</v>
      </c>
      <c r="AN83" s="150">
        <v>5500</v>
      </c>
      <c r="AO83" s="150" t="s">
        <v>1190</v>
      </c>
      <c r="AP83" s="151" t="s">
        <v>1191</v>
      </c>
      <c r="AQ83" s="152">
        <f>IF(AO83="IVA Incluido",(AN83/1.19),AN83)</f>
        <v>4621.8487394957983</v>
      </c>
      <c r="AR83" s="153">
        <f>IF(AP83="Si tiene IVA",AQ83*19%,0)</f>
        <v>878.15126050420167</v>
      </c>
      <c r="AS83" s="153">
        <f>AQ83+AR83</f>
        <v>5500</v>
      </c>
      <c r="AT83" s="153">
        <f>IF(AB83="","",(AN83*G83))</f>
        <v>5500</v>
      </c>
      <c r="AU83" s="153">
        <f>IF(AB83="","",(AS83*G83))</f>
        <v>5500</v>
      </c>
      <c r="AV83" s="154">
        <f>IF(A83="","",AVERAGE(S83,AF83,AS83))</f>
        <v>5286.666666666667</v>
      </c>
      <c r="AW83" s="154">
        <f>IF(A83="","",AVERAGE(U83,AH83,AU83))</f>
        <v>5286.666666666667</v>
      </c>
      <c r="AX83" s="154">
        <f>IF(N83="","",STDEV(U83,AH83,AU83))</f>
        <v>458.83911486852702</v>
      </c>
      <c r="AY83" s="155">
        <f>IF(N83="","",(AX83/AW83))</f>
        <v>8.6791761954954666E-2</v>
      </c>
      <c r="AZ83" s="5"/>
      <c r="BA83" s="7">
        <f>COUNTA(M83,Z83,AM83)</f>
        <v>3</v>
      </c>
    </row>
    <row r="84" spans="1:53" ht="348" hidden="1" customHeight="1">
      <c r="A84" s="6" t="s">
        <v>569</v>
      </c>
      <c r="B84" s="6" t="s">
        <v>569</v>
      </c>
      <c r="C84" s="6" t="s">
        <v>569</v>
      </c>
      <c r="D84" s="6" t="s">
        <v>1425</v>
      </c>
      <c r="E84" s="127" t="s">
        <v>1426</v>
      </c>
      <c r="F84" s="128" t="s">
        <v>1247</v>
      </c>
      <c r="G84" s="129">
        <v>1</v>
      </c>
      <c r="H84" s="128"/>
      <c r="I84" s="130" t="s">
        <v>569</v>
      </c>
      <c r="J84" s="131" t="s">
        <v>569</v>
      </c>
      <c r="K84" s="132" t="s">
        <v>569</v>
      </c>
      <c r="L84" s="133" t="s">
        <v>569</v>
      </c>
      <c r="M84" s="131" t="s">
        <v>569</v>
      </c>
      <c r="N84" s="134"/>
      <c r="O84" s="134"/>
      <c r="P84" s="134"/>
      <c r="Q84" s="135" t="s">
        <v>1248</v>
      </c>
      <c r="R84" s="136" t="s">
        <v>1248</v>
      </c>
      <c r="S84" s="136" t="s">
        <v>1248</v>
      </c>
      <c r="T84" s="136" t="s">
        <v>1248</v>
      </c>
      <c r="U84" s="136" t="s">
        <v>1248</v>
      </c>
      <c r="V84" s="137" t="s">
        <v>569</v>
      </c>
      <c r="W84" s="138" t="s">
        <v>569</v>
      </c>
      <c r="X84" s="139" t="s">
        <v>569</v>
      </c>
      <c r="Y84" s="140" t="s">
        <v>569</v>
      </c>
      <c r="Z84" s="141" t="s">
        <v>1249</v>
      </c>
      <c r="AA84" s="142" t="s">
        <v>569</v>
      </c>
      <c r="AB84" s="142" t="s">
        <v>569</v>
      </c>
      <c r="AC84" s="142" t="s">
        <v>569</v>
      </c>
      <c r="AD84" s="143" t="s">
        <v>569</v>
      </c>
      <c r="AE84" s="144" t="s">
        <v>569</v>
      </c>
      <c r="AF84" s="144">
        <v>3950000</v>
      </c>
      <c r="AG84" s="144">
        <v>5.5599999999999997E-2</v>
      </c>
      <c r="AH84" s="144">
        <v>4169620</v>
      </c>
      <c r="AI84" s="145" t="s">
        <v>569</v>
      </c>
      <c r="AJ84" s="146" t="s">
        <v>569</v>
      </c>
      <c r="AK84" s="147" t="s">
        <v>569</v>
      </c>
      <c r="AL84" s="148" t="s">
        <v>569</v>
      </c>
      <c r="AM84" s="149" t="s">
        <v>1250</v>
      </c>
      <c r="AN84" s="150" t="s">
        <v>569</v>
      </c>
      <c r="AO84" s="150" t="s">
        <v>569</v>
      </c>
      <c r="AP84" s="151" t="s">
        <v>569</v>
      </c>
      <c r="AQ84" s="152">
        <v>3402311</v>
      </c>
      <c r="AR84" s="153">
        <v>646439</v>
      </c>
      <c r="AS84" s="153">
        <v>4048750</v>
      </c>
      <c r="AT84" s="153">
        <v>3402311</v>
      </c>
      <c r="AU84" s="153">
        <v>4048750</v>
      </c>
      <c r="AV84" s="154">
        <v>4109185</v>
      </c>
      <c r="AW84" s="154">
        <v>4109185</v>
      </c>
      <c r="AX84" s="154">
        <v>85468</v>
      </c>
      <c r="AY84" s="155">
        <v>2.0799999999999999E-2</v>
      </c>
      <c r="AZ84" s="5"/>
      <c r="BA84" s="7"/>
    </row>
    <row r="85" spans="1:53" ht="348" hidden="1" customHeight="1">
      <c r="A85" s="6" t="s">
        <v>569</v>
      </c>
      <c r="B85" s="6" t="s">
        <v>569</v>
      </c>
      <c r="C85" s="6" t="s">
        <v>569</v>
      </c>
      <c r="D85" s="6" t="s">
        <v>1427</v>
      </c>
      <c r="E85" s="127" t="s">
        <v>1428</v>
      </c>
      <c r="F85" s="128" t="s">
        <v>1247</v>
      </c>
      <c r="G85" s="129">
        <v>1</v>
      </c>
      <c r="H85" s="128"/>
      <c r="I85" s="130" t="s">
        <v>569</v>
      </c>
      <c r="J85" s="131" t="s">
        <v>569</v>
      </c>
      <c r="K85" s="132" t="s">
        <v>569</v>
      </c>
      <c r="L85" s="133" t="s">
        <v>569</v>
      </c>
      <c r="M85" s="131" t="s">
        <v>569</v>
      </c>
      <c r="N85" s="134"/>
      <c r="O85" s="134"/>
      <c r="P85" s="134"/>
      <c r="Q85" s="135" t="s">
        <v>1248</v>
      </c>
      <c r="R85" s="136" t="s">
        <v>1248</v>
      </c>
      <c r="S85" s="136" t="s">
        <v>1248</v>
      </c>
      <c r="T85" s="136" t="s">
        <v>1248</v>
      </c>
      <c r="U85" s="136" t="s">
        <v>1248</v>
      </c>
      <c r="V85" s="137" t="s">
        <v>569</v>
      </c>
      <c r="W85" s="138" t="s">
        <v>569</v>
      </c>
      <c r="X85" s="139" t="s">
        <v>569</v>
      </c>
      <c r="Y85" s="140" t="s">
        <v>569</v>
      </c>
      <c r="Z85" s="141" t="s">
        <v>1249</v>
      </c>
      <c r="AA85" s="142" t="s">
        <v>569</v>
      </c>
      <c r="AB85" s="142" t="s">
        <v>569</v>
      </c>
      <c r="AC85" s="142" t="s">
        <v>569</v>
      </c>
      <c r="AD85" s="143" t="s">
        <v>569</v>
      </c>
      <c r="AE85" s="144" t="s">
        <v>569</v>
      </c>
      <c r="AF85" s="144">
        <v>2593150</v>
      </c>
      <c r="AG85" s="144">
        <v>5.5599999999999997E-2</v>
      </c>
      <c r="AH85" s="144">
        <v>2737329</v>
      </c>
      <c r="AI85" s="145" t="s">
        <v>569</v>
      </c>
      <c r="AJ85" s="146" t="s">
        <v>569</v>
      </c>
      <c r="AK85" s="147" t="s">
        <v>569</v>
      </c>
      <c r="AL85" s="148" t="s">
        <v>569</v>
      </c>
      <c r="AM85" s="149" t="s">
        <v>1250</v>
      </c>
      <c r="AN85" s="150" t="s">
        <v>569</v>
      </c>
      <c r="AO85" s="150" t="s">
        <v>569</v>
      </c>
      <c r="AP85" s="151" t="s">
        <v>569</v>
      </c>
      <c r="AQ85" s="152">
        <v>2233596</v>
      </c>
      <c r="AR85" s="153">
        <v>424383</v>
      </c>
      <c r="AS85" s="153">
        <v>2657979</v>
      </c>
      <c r="AT85" s="153">
        <v>2233596</v>
      </c>
      <c r="AU85" s="153">
        <v>2657979</v>
      </c>
      <c r="AV85" s="154">
        <v>2697654</v>
      </c>
      <c r="AW85" s="154">
        <v>2697654</v>
      </c>
      <c r="AX85" s="154">
        <v>56109.2</v>
      </c>
      <c r="AY85" s="155">
        <v>2.0799999999999999E-2</v>
      </c>
      <c r="AZ85" s="5"/>
      <c r="BA85" s="7"/>
    </row>
    <row r="86" spans="1:53" ht="188.65" hidden="1" customHeight="1">
      <c r="A86" s="6" t="s">
        <v>1182</v>
      </c>
      <c r="B86" s="6" t="s">
        <v>1429</v>
      </c>
      <c r="C86" s="6" t="s">
        <v>1430</v>
      </c>
      <c r="D86" s="6" t="s">
        <v>1431</v>
      </c>
      <c r="E86" s="127" t="s">
        <v>1432</v>
      </c>
      <c r="F86" s="128" t="s">
        <v>191</v>
      </c>
      <c r="G86" s="129">
        <v>1</v>
      </c>
      <c r="H86" s="128" t="s">
        <v>305</v>
      </c>
      <c r="I86" s="130" t="s">
        <v>1433</v>
      </c>
      <c r="J86" s="131">
        <v>46149</v>
      </c>
      <c r="K86" s="132" t="s">
        <v>1434</v>
      </c>
      <c r="L86" s="133" t="s">
        <v>1188</v>
      </c>
      <c r="M86" s="131" t="s">
        <v>1435</v>
      </c>
      <c r="N86" s="134">
        <v>2200000</v>
      </c>
      <c r="O86" s="134" t="s">
        <v>1197</v>
      </c>
      <c r="P86" s="134" t="s">
        <v>1191</v>
      </c>
      <c r="Q86" s="135">
        <f>IF(O86="IVA Incluido",(N86/1.19),N86)</f>
        <v>2200000</v>
      </c>
      <c r="R86" s="136">
        <f>IF(P86="Si tiene IVA",Q86*19%,0)</f>
        <v>418000</v>
      </c>
      <c r="S86" s="136">
        <f>Q86+R86</f>
        <v>2618000</v>
      </c>
      <c r="T86" s="136">
        <f>IF(B86="","",(N86*G86))</f>
        <v>2200000</v>
      </c>
      <c r="U86" s="136">
        <f>IF(B86="","",(S86*G86))</f>
        <v>2618000</v>
      </c>
      <c r="V86" s="137" t="s">
        <v>1186</v>
      </c>
      <c r="W86" s="138">
        <v>46078</v>
      </c>
      <c r="X86" s="139" t="s">
        <v>1436</v>
      </c>
      <c r="Y86" s="140" t="s">
        <v>1188</v>
      </c>
      <c r="Z86" s="141" t="s">
        <v>1437</v>
      </c>
      <c r="AA86" s="142">
        <v>1848742</v>
      </c>
      <c r="AB86" s="142" t="s">
        <v>1197</v>
      </c>
      <c r="AC86" s="142" t="s">
        <v>1191</v>
      </c>
      <c r="AD86" s="143">
        <f>IF(AB86="IVA Incluido",(AA86/1.19),AA86)</f>
        <v>1848742</v>
      </c>
      <c r="AE86" s="144">
        <f>IF(AC86="Si tiene IVA",AD86*19%,0)</f>
        <v>351260.98</v>
      </c>
      <c r="AF86" s="144">
        <f>AD86+AE86</f>
        <v>2200002.98</v>
      </c>
      <c r="AG86" s="144">
        <f>IF(O86="","",(AA86*G86))</f>
        <v>1848742</v>
      </c>
      <c r="AH86" s="144">
        <f>IF(O86="","",(AF86*G86))</f>
        <v>2200002.98</v>
      </c>
      <c r="AI86" s="145" t="s">
        <v>1199</v>
      </c>
      <c r="AJ86" s="146">
        <v>46142</v>
      </c>
      <c r="AK86" s="147" t="s">
        <v>1438</v>
      </c>
      <c r="AL86" s="148" t="s">
        <v>1188</v>
      </c>
      <c r="AM86" s="149" t="s">
        <v>1439</v>
      </c>
      <c r="AN86" s="150">
        <v>1583193</v>
      </c>
      <c r="AO86" s="150" t="s">
        <v>1197</v>
      </c>
      <c r="AP86" s="151" t="s">
        <v>1191</v>
      </c>
      <c r="AQ86" s="152">
        <f>IF(AO86="IVA Incluido",(AN86/1.19),AN86)</f>
        <v>1583193</v>
      </c>
      <c r="AR86" s="153">
        <f>IF(AP86="Si tiene IVA",AQ86*19%,0)</f>
        <v>300806.67</v>
      </c>
      <c r="AS86" s="153">
        <f>AQ86+AR86</f>
        <v>1883999.67</v>
      </c>
      <c r="AT86" s="153">
        <f>IF(AB86="","",(AN86*G86))</f>
        <v>1583193</v>
      </c>
      <c r="AU86" s="153">
        <f>IF(AB86="","",(AS86*G86))</f>
        <v>1883999.67</v>
      </c>
      <c r="AV86" s="154">
        <f>IF(A86="","",AVERAGE(S86,AF86,AS86))</f>
        <v>2234000.8833333333</v>
      </c>
      <c r="AW86" s="154">
        <f>IF(A86="","",AVERAGE(U86,AH86,AU86))</f>
        <v>2234000.8833333333</v>
      </c>
      <c r="AX86" s="154">
        <f>IF(N86="","",STDEV(U86,AH86,AU86))</f>
        <v>368179.32340548711</v>
      </c>
      <c r="AY86" s="155">
        <f>IF(N86="","",(AX86/AW86))</f>
        <v>0.16480715211541455</v>
      </c>
      <c r="AZ86" s="5"/>
      <c r="BA86" s="7">
        <f>COUNTA(M86,Z86,AM86)</f>
        <v>3</v>
      </c>
    </row>
    <row r="87" spans="1:53" ht="348" hidden="1" customHeight="1">
      <c r="A87" s="6" t="s">
        <v>569</v>
      </c>
      <c r="B87" s="6" t="s">
        <v>569</v>
      </c>
      <c r="C87" s="6" t="s">
        <v>569</v>
      </c>
      <c r="D87" s="6" t="s">
        <v>1440</v>
      </c>
      <c r="E87" s="127" t="s">
        <v>1441</v>
      </c>
      <c r="F87" s="128" t="s">
        <v>1247</v>
      </c>
      <c r="G87" s="129">
        <v>1</v>
      </c>
      <c r="H87" s="128"/>
      <c r="I87" s="130" t="s">
        <v>569</v>
      </c>
      <c r="J87" s="131" t="s">
        <v>569</v>
      </c>
      <c r="K87" s="132" t="s">
        <v>569</v>
      </c>
      <c r="L87" s="133" t="s">
        <v>569</v>
      </c>
      <c r="M87" s="131" t="s">
        <v>569</v>
      </c>
      <c r="N87" s="134"/>
      <c r="O87" s="134"/>
      <c r="P87" s="134"/>
      <c r="Q87" s="135" t="s">
        <v>1248</v>
      </c>
      <c r="R87" s="136" t="s">
        <v>1248</v>
      </c>
      <c r="S87" s="136" t="s">
        <v>1248</v>
      </c>
      <c r="T87" s="136" t="s">
        <v>1248</v>
      </c>
      <c r="U87" s="136" t="s">
        <v>1248</v>
      </c>
      <c r="V87" s="137" t="s">
        <v>569</v>
      </c>
      <c r="W87" s="138" t="s">
        <v>569</v>
      </c>
      <c r="X87" s="139" t="s">
        <v>569</v>
      </c>
      <c r="Y87" s="140" t="s">
        <v>569</v>
      </c>
      <c r="Z87" s="141" t="s">
        <v>1249</v>
      </c>
      <c r="AA87" s="142" t="s">
        <v>569</v>
      </c>
      <c r="AB87" s="142" t="s">
        <v>569</v>
      </c>
      <c r="AC87" s="142" t="s">
        <v>569</v>
      </c>
      <c r="AD87" s="143" t="s">
        <v>569</v>
      </c>
      <c r="AE87" s="144" t="s">
        <v>569</v>
      </c>
      <c r="AF87" s="144">
        <v>1762650</v>
      </c>
      <c r="AG87" s="144">
        <v>5.5599999999999997E-2</v>
      </c>
      <c r="AH87" s="144">
        <v>1860653</v>
      </c>
      <c r="AI87" s="145" t="s">
        <v>569</v>
      </c>
      <c r="AJ87" s="146" t="s">
        <v>569</v>
      </c>
      <c r="AK87" s="147" t="s">
        <v>569</v>
      </c>
      <c r="AL87" s="148" t="s">
        <v>569</v>
      </c>
      <c r="AM87" s="149" t="s">
        <v>1250</v>
      </c>
      <c r="AN87" s="150" t="s">
        <v>569</v>
      </c>
      <c r="AO87" s="150" t="s">
        <v>569</v>
      </c>
      <c r="AP87" s="151" t="s">
        <v>569</v>
      </c>
      <c r="AQ87" s="152">
        <v>1518249</v>
      </c>
      <c r="AR87" s="153">
        <v>288467</v>
      </c>
      <c r="AS87" s="153">
        <v>1806716</v>
      </c>
      <c r="AT87" s="153">
        <v>1518249</v>
      </c>
      <c r="AU87" s="153">
        <v>1806716</v>
      </c>
      <c r="AV87" s="154">
        <v>1833685</v>
      </c>
      <c r="AW87" s="154">
        <v>1833685</v>
      </c>
      <c r="AX87" s="154">
        <v>38139.279999999999</v>
      </c>
      <c r="AY87" s="155">
        <v>2.0799999999999999E-2</v>
      </c>
      <c r="AZ87" s="5"/>
      <c r="BA87" s="7"/>
    </row>
    <row r="88" spans="1:53" ht="145.15" hidden="1" customHeight="1">
      <c r="A88" s="6" t="s">
        <v>1182</v>
      </c>
      <c r="B88" s="6" t="s">
        <v>1429</v>
      </c>
      <c r="C88" s="6" t="s">
        <v>1430</v>
      </c>
      <c r="D88" s="6" t="s">
        <v>299</v>
      </c>
      <c r="E88" s="127" t="s">
        <v>1442</v>
      </c>
      <c r="F88" s="128" t="s">
        <v>191</v>
      </c>
      <c r="G88" s="129">
        <v>1</v>
      </c>
      <c r="H88" s="128" t="s">
        <v>305</v>
      </c>
      <c r="I88" s="130" t="s">
        <v>1357</v>
      </c>
      <c r="J88" s="131">
        <v>46056</v>
      </c>
      <c r="K88" s="132" t="s">
        <v>1358</v>
      </c>
      <c r="L88" s="133" t="s">
        <v>1193</v>
      </c>
      <c r="M88" s="131" t="s">
        <v>515</v>
      </c>
      <c r="N88" s="134">
        <v>3150000</v>
      </c>
      <c r="O88" s="134" t="s">
        <v>1197</v>
      </c>
      <c r="P88" s="134" t="s">
        <v>1191</v>
      </c>
      <c r="Q88" s="135">
        <f t="shared" ref="Q88:Q105" si="26">IF(O88="IVA Incluido",(N88/1.19),N88)</f>
        <v>3150000</v>
      </c>
      <c r="R88" s="136">
        <f t="shared" ref="R88:R96" si="27">IF(P88="Si tiene IVA",Q88*19%,0)</f>
        <v>598500</v>
      </c>
      <c r="S88" s="136">
        <f t="shared" ref="S88:S105" si="28">Q88+R88</f>
        <v>3748500</v>
      </c>
      <c r="T88" s="136">
        <f t="shared" ref="T88:T105" si="29">IF(B88="","",(N88*G88))</f>
        <v>3150000</v>
      </c>
      <c r="U88" s="136">
        <f t="shared" ref="U88:U105" si="30">IF(B88="","",(S88*G88))</f>
        <v>3748500</v>
      </c>
      <c r="V88" s="137" t="s">
        <v>1199</v>
      </c>
      <c r="W88" s="138">
        <v>46142</v>
      </c>
      <c r="X88" s="139" t="s">
        <v>1349</v>
      </c>
      <c r="Y88" s="140" t="s">
        <v>1188</v>
      </c>
      <c r="Z88" s="141" t="s">
        <v>1006</v>
      </c>
      <c r="AA88" s="142">
        <v>3200000</v>
      </c>
      <c r="AB88" s="142" t="s">
        <v>1197</v>
      </c>
      <c r="AC88" s="142" t="s">
        <v>1191</v>
      </c>
      <c r="AD88" s="143">
        <f t="shared" ref="AD88:AD105" si="31">IF(AB88="IVA Incluido",(AA88/1.19),AA88)</f>
        <v>3200000</v>
      </c>
      <c r="AE88" s="144">
        <f t="shared" ref="AE88:AE105" si="32">IF(AC88="Si tiene IVA",AD88*19%,0)</f>
        <v>608000</v>
      </c>
      <c r="AF88" s="144">
        <f t="shared" ref="AF88:AF105" si="33">AD88+AE88</f>
        <v>3808000</v>
      </c>
      <c r="AG88" s="144">
        <f t="shared" ref="AG88:AG105" si="34">IF(O88="","",(AA88*G88))</f>
        <v>3200000</v>
      </c>
      <c r="AH88" s="144">
        <f t="shared" ref="AH88:AH105" si="35">IF(O88="","",(AF88*G88))</f>
        <v>3808000</v>
      </c>
      <c r="AI88" s="145" t="s">
        <v>1443</v>
      </c>
      <c r="AJ88" s="146">
        <v>46132</v>
      </c>
      <c r="AK88" s="147" t="s">
        <v>1444</v>
      </c>
      <c r="AL88" s="148" t="s">
        <v>1188</v>
      </c>
      <c r="AM88" s="149" t="s">
        <v>1445</v>
      </c>
      <c r="AN88" s="150">
        <v>2865546.22</v>
      </c>
      <c r="AO88" s="150" t="s">
        <v>1197</v>
      </c>
      <c r="AP88" s="151" t="s">
        <v>1191</v>
      </c>
      <c r="AQ88" s="152">
        <f t="shared" ref="AQ88:AQ105" si="36">IF(AO88="IVA Incluido",(AN88/1.19),AN88)</f>
        <v>2865546.22</v>
      </c>
      <c r="AR88" s="153">
        <f t="shared" ref="AR88:AR105" si="37">IF(AP88="Si tiene IVA",AQ88*19%,0)</f>
        <v>544453.7818</v>
      </c>
      <c r="AS88" s="153">
        <f t="shared" ref="AS88:AS105" si="38">AQ88+AR88</f>
        <v>3410000.0018000002</v>
      </c>
      <c r="AT88" s="153">
        <f t="shared" ref="AT88:AT105" si="39">IF(AB88="","",(AN88*G88))</f>
        <v>2865546.22</v>
      </c>
      <c r="AU88" s="153">
        <f t="shared" ref="AU88:AU105" si="40">IF(AB88="","",(AS88*G88))</f>
        <v>3410000.0018000002</v>
      </c>
      <c r="AV88" s="154">
        <f t="shared" ref="AV88:AV105" si="41">IF(A88="","",AVERAGE(S88,AF88,AS88))</f>
        <v>3655500.0006000004</v>
      </c>
      <c r="AW88" s="154">
        <f t="shared" ref="AW88:AW105" si="42">IF(A88="","",AVERAGE(U88,AH88,AU88))</f>
        <v>3655500.0006000004</v>
      </c>
      <c r="AX88" s="154">
        <f t="shared" ref="AX88:AX105" si="43">IF(N88="","",STDEV(U88,AH88,AU88))</f>
        <v>214680.57564227824</v>
      </c>
      <c r="AY88" s="155">
        <f t="shared" ref="AY88:AY105" si="44">IF(N88="","",(AX88/AW88))</f>
        <v>5.872810165696659E-2</v>
      </c>
      <c r="AZ88" s="5"/>
      <c r="BA88" s="7">
        <f t="shared" ref="BA88:BA105" si="45">COUNTA(M88,Z88,AM88)</f>
        <v>3</v>
      </c>
    </row>
    <row r="89" spans="1:53" ht="130.5" hidden="1" customHeight="1">
      <c r="A89" s="6" t="s">
        <v>1182</v>
      </c>
      <c r="B89" s="6" t="s">
        <v>1251</v>
      </c>
      <c r="C89" s="6"/>
      <c r="D89" s="6" t="s">
        <v>233</v>
      </c>
      <c r="E89" s="127" t="s">
        <v>1446</v>
      </c>
      <c r="F89" s="128" t="s">
        <v>191</v>
      </c>
      <c r="G89" s="129">
        <v>1</v>
      </c>
      <c r="H89" s="128" t="s">
        <v>192</v>
      </c>
      <c r="I89" s="130" t="s">
        <v>1199</v>
      </c>
      <c r="J89" s="131">
        <v>46069</v>
      </c>
      <c r="K89" s="132" t="s">
        <v>1447</v>
      </c>
      <c r="L89" s="133" t="s">
        <v>1193</v>
      </c>
      <c r="M89" s="131" t="s">
        <v>1448</v>
      </c>
      <c r="N89" s="134">
        <v>10990</v>
      </c>
      <c r="O89" s="134" t="s">
        <v>1190</v>
      </c>
      <c r="P89" s="134" t="s">
        <v>1191</v>
      </c>
      <c r="Q89" s="135">
        <f t="shared" si="26"/>
        <v>9235.2941176470595</v>
      </c>
      <c r="R89" s="136">
        <f t="shared" si="27"/>
        <v>1754.7058823529412</v>
      </c>
      <c r="S89" s="136">
        <f t="shared" si="28"/>
        <v>10990</v>
      </c>
      <c r="T89" s="136">
        <f t="shared" si="29"/>
        <v>10990</v>
      </c>
      <c r="U89" s="136">
        <f t="shared" si="30"/>
        <v>10990</v>
      </c>
      <c r="V89" s="137" t="s">
        <v>1199</v>
      </c>
      <c r="W89" s="138">
        <v>46069</v>
      </c>
      <c r="X89" s="139" t="s">
        <v>1449</v>
      </c>
      <c r="Y89" s="140" t="s">
        <v>1193</v>
      </c>
      <c r="Z89" s="141" t="s">
        <v>1450</v>
      </c>
      <c r="AA89" s="142">
        <v>10725</v>
      </c>
      <c r="AB89" s="142" t="s">
        <v>1190</v>
      </c>
      <c r="AC89" s="142" t="s">
        <v>1191</v>
      </c>
      <c r="AD89" s="143">
        <f t="shared" si="31"/>
        <v>9012.6050420168067</v>
      </c>
      <c r="AE89" s="144">
        <f t="shared" si="32"/>
        <v>1712.3949579831933</v>
      </c>
      <c r="AF89" s="144">
        <f t="shared" si="33"/>
        <v>10725</v>
      </c>
      <c r="AG89" s="144">
        <f t="shared" si="34"/>
        <v>10725</v>
      </c>
      <c r="AH89" s="144">
        <f t="shared" si="35"/>
        <v>10725</v>
      </c>
      <c r="AI89" s="145" t="s">
        <v>1199</v>
      </c>
      <c r="AJ89" s="146">
        <v>46069</v>
      </c>
      <c r="AK89" s="147" t="s">
        <v>1451</v>
      </c>
      <c r="AL89" s="148" t="s">
        <v>1193</v>
      </c>
      <c r="AM89" s="149" t="s">
        <v>1452</v>
      </c>
      <c r="AN89" s="150">
        <v>9990</v>
      </c>
      <c r="AO89" s="150" t="s">
        <v>1190</v>
      </c>
      <c r="AP89" s="151" t="s">
        <v>1191</v>
      </c>
      <c r="AQ89" s="152">
        <f t="shared" si="36"/>
        <v>8394.957983193277</v>
      </c>
      <c r="AR89" s="153">
        <f t="shared" si="37"/>
        <v>1595.0420168067226</v>
      </c>
      <c r="AS89" s="153">
        <f t="shared" si="38"/>
        <v>9990</v>
      </c>
      <c r="AT89" s="153">
        <f t="shared" si="39"/>
        <v>9990</v>
      </c>
      <c r="AU89" s="153">
        <f t="shared" si="40"/>
        <v>9990</v>
      </c>
      <c r="AV89" s="154">
        <f t="shared" si="41"/>
        <v>10568.333333333334</v>
      </c>
      <c r="AW89" s="154">
        <f t="shared" si="42"/>
        <v>10568.333333333334</v>
      </c>
      <c r="AX89" s="154">
        <f t="shared" si="43"/>
        <v>518.0813964362485</v>
      </c>
      <c r="AY89" s="155">
        <f t="shared" si="44"/>
        <v>4.9022052966684923E-2</v>
      </c>
      <c r="AZ89" s="5"/>
      <c r="BA89" s="7">
        <f t="shared" si="45"/>
        <v>3</v>
      </c>
    </row>
    <row r="90" spans="1:53" ht="72.599999999999994" hidden="1" customHeight="1">
      <c r="A90" s="6" t="s">
        <v>1182</v>
      </c>
      <c r="B90" s="6" t="s">
        <v>1251</v>
      </c>
      <c r="C90" s="6">
        <v>14111531</v>
      </c>
      <c r="D90" s="6" t="s">
        <v>1453</v>
      </c>
      <c r="E90" s="127" t="s">
        <v>1454</v>
      </c>
      <c r="F90" s="128" t="s">
        <v>191</v>
      </c>
      <c r="G90" s="129">
        <v>1</v>
      </c>
      <c r="H90" s="128" t="s">
        <v>192</v>
      </c>
      <c r="I90" s="130" t="s">
        <v>1199</v>
      </c>
      <c r="J90" s="131">
        <v>46069</v>
      </c>
      <c r="K90" s="132" t="s">
        <v>1423</v>
      </c>
      <c r="L90" s="133" t="s">
        <v>1193</v>
      </c>
      <c r="M90" s="131" t="s">
        <v>1455</v>
      </c>
      <c r="N90" s="134">
        <v>11000</v>
      </c>
      <c r="O90" s="134" t="s">
        <v>1190</v>
      </c>
      <c r="P90" s="134" t="s">
        <v>1191</v>
      </c>
      <c r="Q90" s="135">
        <f t="shared" si="26"/>
        <v>9243.6974789915967</v>
      </c>
      <c r="R90" s="136">
        <f t="shared" si="27"/>
        <v>1756.3025210084033</v>
      </c>
      <c r="S90" s="136">
        <f t="shared" si="28"/>
        <v>11000</v>
      </c>
      <c r="T90" s="136">
        <f t="shared" si="29"/>
        <v>11000</v>
      </c>
      <c r="U90" s="136">
        <f t="shared" si="30"/>
        <v>11000</v>
      </c>
      <c r="V90" s="137" t="s">
        <v>1199</v>
      </c>
      <c r="W90" s="138">
        <v>46069</v>
      </c>
      <c r="X90" s="139" t="s">
        <v>1421</v>
      </c>
      <c r="Y90" s="140" t="s">
        <v>1193</v>
      </c>
      <c r="Z90" s="141" t="s">
        <v>1456</v>
      </c>
      <c r="AA90" s="142">
        <v>9400</v>
      </c>
      <c r="AB90" s="142" t="s">
        <v>1190</v>
      </c>
      <c r="AC90" s="142" t="s">
        <v>1191</v>
      </c>
      <c r="AD90" s="143">
        <f t="shared" si="31"/>
        <v>7899.1596638655465</v>
      </c>
      <c r="AE90" s="144">
        <f t="shared" si="32"/>
        <v>1500.8403361344538</v>
      </c>
      <c r="AF90" s="144">
        <f t="shared" si="33"/>
        <v>9400</v>
      </c>
      <c r="AG90" s="144">
        <f t="shared" si="34"/>
        <v>9400</v>
      </c>
      <c r="AH90" s="144">
        <f t="shared" si="35"/>
        <v>9400</v>
      </c>
      <c r="AI90" s="145" t="s">
        <v>1199</v>
      </c>
      <c r="AJ90" s="146">
        <v>46069</v>
      </c>
      <c r="AK90" s="147" t="s">
        <v>1457</v>
      </c>
      <c r="AL90" s="148" t="s">
        <v>1193</v>
      </c>
      <c r="AM90" s="149" t="s">
        <v>1458</v>
      </c>
      <c r="AN90" s="150">
        <v>11900</v>
      </c>
      <c r="AO90" s="150" t="s">
        <v>1190</v>
      </c>
      <c r="AP90" s="151" t="s">
        <v>1191</v>
      </c>
      <c r="AQ90" s="152">
        <f t="shared" si="36"/>
        <v>10000</v>
      </c>
      <c r="AR90" s="153">
        <f t="shared" si="37"/>
        <v>1900</v>
      </c>
      <c r="AS90" s="153">
        <f t="shared" si="38"/>
        <v>11900</v>
      </c>
      <c r="AT90" s="153">
        <f t="shared" si="39"/>
        <v>11900</v>
      </c>
      <c r="AU90" s="153">
        <f t="shared" si="40"/>
        <v>11900</v>
      </c>
      <c r="AV90" s="154">
        <f t="shared" si="41"/>
        <v>10766.666666666666</v>
      </c>
      <c r="AW90" s="154">
        <f t="shared" si="42"/>
        <v>10766.666666666666</v>
      </c>
      <c r="AX90" s="154">
        <f t="shared" si="43"/>
        <v>1266.2279942148386</v>
      </c>
      <c r="AY90" s="155">
        <f t="shared" si="44"/>
        <v>0.1176063152521522</v>
      </c>
      <c r="AZ90" s="5"/>
      <c r="BA90" s="7">
        <f t="shared" si="45"/>
        <v>3</v>
      </c>
    </row>
    <row r="91" spans="1:53" ht="72.599999999999994" hidden="1" customHeight="1">
      <c r="A91" s="6" t="s">
        <v>1182</v>
      </c>
      <c r="B91" s="6" t="s">
        <v>1251</v>
      </c>
      <c r="C91" s="6">
        <v>14111514</v>
      </c>
      <c r="D91" s="6" t="s">
        <v>1459</v>
      </c>
      <c r="E91" s="127" t="s">
        <v>1460</v>
      </c>
      <c r="F91" s="128" t="s">
        <v>191</v>
      </c>
      <c r="G91" s="129">
        <v>1</v>
      </c>
      <c r="H91" s="128" t="s">
        <v>192</v>
      </c>
      <c r="I91" s="130" t="s">
        <v>1199</v>
      </c>
      <c r="J91" s="131">
        <v>46070</v>
      </c>
      <c r="K91" s="132" t="s">
        <v>1256</v>
      </c>
      <c r="L91" s="133" t="s">
        <v>1193</v>
      </c>
      <c r="M91" s="131" t="s">
        <v>1257</v>
      </c>
      <c r="N91" s="134">
        <v>2700</v>
      </c>
      <c r="O91" s="134" t="s">
        <v>1197</v>
      </c>
      <c r="P91" s="134" t="s">
        <v>1191</v>
      </c>
      <c r="Q91" s="135">
        <f t="shared" si="26"/>
        <v>2700</v>
      </c>
      <c r="R91" s="136">
        <f t="shared" si="27"/>
        <v>513</v>
      </c>
      <c r="S91" s="136">
        <f t="shared" si="28"/>
        <v>3213</v>
      </c>
      <c r="T91" s="136">
        <f t="shared" si="29"/>
        <v>2700</v>
      </c>
      <c r="U91" s="136">
        <f t="shared" si="30"/>
        <v>3213</v>
      </c>
      <c r="V91" s="137" t="s">
        <v>1199</v>
      </c>
      <c r="W91" s="138">
        <v>46070</v>
      </c>
      <c r="X91" s="139" t="s">
        <v>1461</v>
      </c>
      <c r="Y91" s="140" t="s">
        <v>1193</v>
      </c>
      <c r="Z91" s="141" t="s">
        <v>1462</v>
      </c>
      <c r="AA91" s="142">
        <v>2706</v>
      </c>
      <c r="AB91" s="142" t="s">
        <v>1190</v>
      </c>
      <c r="AC91" s="142" t="s">
        <v>1191</v>
      </c>
      <c r="AD91" s="143">
        <f t="shared" si="31"/>
        <v>2273.9495798319331</v>
      </c>
      <c r="AE91" s="144">
        <f t="shared" si="32"/>
        <v>432.05042016806726</v>
      </c>
      <c r="AF91" s="144">
        <f t="shared" si="33"/>
        <v>2706.0000000000005</v>
      </c>
      <c r="AG91" s="144">
        <f t="shared" si="34"/>
        <v>2706</v>
      </c>
      <c r="AH91" s="144">
        <f t="shared" si="35"/>
        <v>2706.0000000000005</v>
      </c>
      <c r="AI91" s="145" t="s">
        <v>1199</v>
      </c>
      <c r="AJ91" s="146">
        <v>46070</v>
      </c>
      <c r="AK91" s="147" t="s">
        <v>1463</v>
      </c>
      <c r="AL91" s="148" t="s">
        <v>1193</v>
      </c>
      <c r="AM91" s="149" t="s">
        <v>1464</v>
      </c>
      <c r="AN91" s="150">
        <v>3026</v>
      </c>
      <c r="AO91" s="150" t="s">
        <v>1197</v>
      </c>
      <c r="AP91" s="151" t="s">
        <v>1191</v>
      </c>
      <c r="AQ91" s="152">
        <f t="shared" si="36"/>
        <v>3026</v>
      </c>
      <c r="AR91" s="153">
        <f t="shared" si="37"/>
        <v>574.94000000000005</v>
      </c>
      <c r="AS91" s="153">
        <f t="shared" si="38"/>
        <v>3600.94</v>
      </c>
      <c r="AT91" s="153">
        <f t="shared" si="39"/>
        <v>3026</v>
      </c>
      <c r="AU91" s="153">
        <f t="shared" si="40"/>
        <v>3600.94</v>
      </c>
      <c r="AV91" s="154">
        <f t="shared" si="41"/>
        <v>3173.3133333333335</v>
      </c>
      <c r="AW91" s="154">
        <f t="shared" si="42"/>
        <v>3173.3133333333335</v>
      </c>
      <c r="AX91" s="154">
        <f t="shared" si="43"/>
        <v>448.78800622714243</v>
      </c>
      <c r="AY91" s="155">
        <f t="shared" si="44"/>
        <v>0.14142568321664079</v>
      </c>
      <c r="AZ91" s="5"/>
      <c r="BA91" s="7">
        <f t="shared" si="45"/>
        <v>3</v>
      </c>
    </row>
    <row r="92" spans="1:53" ht="72.599999999999994" hidden="1" customHeight="1">
      <c r="A92" s="6" t="s">
        <v>1182</v>
      </c>
      <c r="B92" s="6" t="s">
        <v>1251</v>
      </c>
      <c r="C92" s="6">
        <v>14111514</v>
      </c>
      <c r="D92" s="6" t="s">
        <v>1465</v>
      </c>
      <c r="E92" s="127" t="s">
        <v>1466</v>
      </c>
      <c r="F92" s="128" t="s">
        <v>191</v>
      </c>
      <c r="G92" s="129">
        <v>1</v>
      </c>
      <c r="H92" s="128" t="s">
        <v>192</v>
      </c>
      <c r="I92" s="130" t="s">
        <v>1199</v>
      </c>
      <c r="J92" s="131">
        <v>46070</v>
      </c>
      <c r="K92" s="132" t="s">
        <v>1461</v>
      </c>
      <c r="L92" s="133" t="s">
        <v>1193</v>
      </c>
      <c r="M92" s="131" t="s">
        <v>1462</v>
      </c>
      <c r="N92" s="134">
        <v>2898</v>
      </c>
      <c r="O92" s="134" t="s">
        <v>1197</v>
      </c>
      <c r="P92" s="134" t="s">
        <v>1191</v>
      </c>
      <c r="Q92" s="135">
        <f t="shared" si="26"/>
        <v>2898</v>
      </c>
      <c r="R92" s="136">
        <f t="shared" si="27"/>
        <v>550.62</v>
      </c>
      <c r="S92" s="136">
        <f t="shared" si="28"/>
        <v>3448.62</v>
      </c>
      <c r="T92" s="136">
        <f t="shared" si="29"/>
        <v>2898</v>
      </c>
      <c r="U92" s="136">
        <f t="shared" si="30"/>
        <v>3448.62</v>
      </c>
      <c r="V92" s="137" t="s">
        <v>1199</v>
      </c>
      <c r="W92" s="138">
        <v>46070</v>
      </c>
      <c r="X92" s="139" t="s">
        <v>1256</v>
      </c>
      <c r="Y92" s="140" t="s">
        <v>1193</v>
      </c>
      <c r="Z92" s="141" t="s">
        <v>1257</v>
      </c>
      <c r="AA92" s="142">
        <v>3400</v>
      </c>
      <c r="AB92" s="142" t="s">
        <v>1197</v>
      </c>
      <c r="AC92" s="142" t="s">
        <v>1191</v>
      </c>
      <c r="AD92" s="143">
        <f t="shared" si="31"/>
        <v>3400</v>
      </c>
      <c r="AE92" s="144">
        <f t="shared" si="32"/>
        <v>646</v>
      </c>
      <c r="AF92" s="144">
        <f t="shared" si="33"/>
        <v>4046</v>
      </c>
      <c r="AG92" s="144">
        <f t="shared" si="34"/>
        <v>3400</v>
      </c>
      <c r="AH92" s="144">
        <f t="shared" si="35"/>
        <v>4046</v>
      </c>
      <c r="AI92" s="145" t="s">
        <v>1199</v>
      </c>
      <c r="AJ92" s="146">
        <v>46070</v>
      </c>
      <c r="AK92" s="147" t="s">
        <v>1463</v>
      </c>
      <c r="AL92" s="148" t="s">
        <v>1193</v>
      </c>
      <c r="AM92" s="149" t="s">
        <v>1464</v>
      </c>
      <c r="AN92" s="150">
        <v>3361</v>
      </c>
      <c r="AO92" s="150" t="s">
        <v>1197</v>
      </c>
      <c r="AP92" s="151" t="s">
        <v>1191</v>
      </c>
      <c r="AQ92" s="152">
        <f t="shared" si="36"/>
        <v>3361</v>
      </c>
      <c r="AR92" s="153">
        <f t="shared" si="37"/>
        <v>638.59</v>
      </c>
      <c r="AS92" s="153">
        <f t="shared" si="38"/>
        <v>3999.59</v>
      </c>
      <c r="AT92" s="153">
        <f t="shared" si="39"/>
        <v>3361</v>
      </c>
      <c r="AU92" s="153">
        <f t="shared" si="40"/>
        <v>3999.59</v>
      </c>
      <c r="AV92" s="154">
        <f t="shared" si="41"/>
        <v>3831.4033333333332</v>
      </c>
      <c r="AW92" s="154">
        <f t="shared" si="42"/>
        <v>3831.4033333333332</v>
      </c>
      <c r="AX92" s="154">
        <f t="shared" si="43"/>
        <v>332.31127310600431</v>
      </c>
      <c r="AY92" s="155">
        <f t="shared" si="44"/>
        <v>8.6733565796867557E-2</v>
      </c>
      <c r="AZ92" s="5"/>
      <c r="BA92" s="7">
        <f t="shared" si="45"/>
        <v>3</v>
      </c>
    </row>
    <row r="93" spans="1:53" ht="58.15" hidden="1" customHeight="1">
      <c r="A93" s="6" t="s">
        <v>1182</v>
      </c>
      <c r="B93" s="6" t="s">
        <v>1251</v>
      </c>
      <c r="C93" s="6">
        <v>60121109</v>
      </c>
      <c r="D93" s="6" t="s">
        <v>1467</v>
      </c>
      <c r="E93" s="127" t="s">
        <v>1468</v>
      </c>
      <c r="F93" s="128" t="s">
        <v>191</v>
      </c>
      <c r="G93" s="129">
        <v>1</v>
      </c>
      <c r="H93" s="128" t="s">
        <v>192</v>
      </c>
      <c r="I93" s="130" t="s">
        <v>1199</v>
      </c>
      <c r="J93" s="131">
        <v>46069</v>
      </c>
      <c r="K93" s="132" t="s">
        <v>1469</v>
      </c>
      <c r="L93" s="133" t="s">
        <v>1193</v>
      </c>
      <c r="M93" s="131" t="s">
        <v>1462</v>
      </c>
      <c r="N93" s="134">
        <v>49411</v>
      </c>
      <c r="O93" s="134" t="s">
        <v>1197</v>
      </c>
      <c r="P93" s="134" t="s">
        <v>1191</v>
      </c>
      <c r="Q93" s="135">
        <f t="shared" si="26"/>
        <v>49411</v>
      </c>
      <c r="R93" s="136">
        <f t="shared" si="27"/>
        <v>9388.09</v>
      </c>
      <c r="S93" s="136">
        <f t="shared" si="28"/>
        <v>58799.09</v>
      </c>
      <c r="T93" s="136">
        <f t="shared" si="29"/>
        <v>49411</v>
      </c>
      <c r="U93" s="136">
        <f t="shared" si="30"/>
        <v>58799.09</v>
      </c>
      <c r="V93" s="137" t="s">
        <v>1199</v>
      </c>
      <c r="W93" s="138">
        <v>46069</v>
      </c>
      <c r="X93" s="139" t="s">
        <v>1256</v>
      </c>
      <c r="Y93" s="140" t="s">
        <v>1193</v>
      </c>
      <c r="Z93" s="141" t="s">
        <v>1470</v>
      </c>
      <c r="AA93" s="142">
        <v>45900</v>
      </c>
      <c r="AB93" s="142" t="s">
        <v>1197</v>
      </c>
      <c r="AC93" s="142" t="s">
        <v>1191</v>
      </c>
      <c r="AD93" s="143">
        <f t="shared" si="31"/>
        <v>45900</v>
      </c>
      <c r="AE93" s="144">
        <f t="shared" si="32"/>
        <v>8721</v>
      </c>
      <c r="AF93" s="144">
        <f t="shared" si="33"/>
        <v>54621</v>
      </c>
      <c r="AG93" s="144">
        <f t="shared" si="34"/>
        <v>45900</v>
      </c>
      <c r="AH93" s="144">
        <f t="shared" si="35"/>
        <v>54621</v>
      </c>
      <c r="AI93" s="145" t="s">
        <v>1199</v>
      </c>
      <c r="AJ93" s="146">
        <v>46069</v>
      </c>
      <c r="AK93" s="147" t="s">
        <v>1423</v>
      </c>
      <c r="AL93" s="148" t="s">
        <v>1193</v>
      </c>
      <c r="AM93" s="149" t="s">
        <v>1455</v>
      </c>
      <c r="AN93" s="150">
        <v>49000</v>
      </c>
      <c r="AO93" s="150" t="s">
        <v>1190</v>
      </c>
      <c r="AP93" s="151" t="s">
        <v>1191</v>
      </c>
      <c r="AQ93" s="152">
        <f t="shared" si="36"/>
        <v>41176.470588235294</v>
      </c>
      <c r="AR93" s="153">
        <f t="shared" si="37"/>
        <v>7823.5294117647063</v>
      </c>
      <c r="AS93" s="153">
        <f t="shared" si="38"/>
        <v>49000</v>
      </c>
      <c r="AT93" s="153">
        <f t="shared" si="39"/>
        <v>49000</v>
      </c>
      <c r="AU93" s="153">
        <f t="shared" si="40"/>
        <v>49000</v>
      </c>
      <c r="AV93" s="154">
        <f t="shared" si="41"/>
        <v>54140.03</v>
      </c>
      <c r="AW93" s="154">
        <f t="shared" si="42"/>
        <v>54140.03</v>
      </c>
      <c r="AX93" s="154">
        <f t="shared" si="43"/>
        <v>4917.2187578650573</v>
      </c>
      <c r="AY93" s="155">
        <f t="shared" si="44"/>
        <v>9.0824086315893393E-2</v>
      </c>
      <c r="AZ93" s="5"/>
      <c r="BA93" s="7">
        <f t="shared" si="45"/>
        <v>3</v>
      </c>
    </row>
    <row r="94" spans="1:53" ht="58.15" hidden="1" customHeight="1">
      <c r="A94" s="6" t="s">
        <v>1182</v>
      </c>
      <c r="B94" s="6" t="s">
        <v>1251</v>
      </c>
      <c r="C94" s="6">
        <v>14111514</v>
      </c>
      <c r="D94" s="6" t="s">
        <v>1471</v>
      </c>
      <c r="E94" s="127" t="s">
        <v>1472</v>
      </c>
      <c r="F94" s="128" t="s">
        <v>191</v>
      </c>
      <c r="G94" s="129">
        <v>1</v>
      </c>
      <c r="H94" s="128" t="s">
        <v>192</v>
      </c>
      <c r="I94" s="130" t="s">
        <v>1199</v>
      </c>
      <c r="J94" s="131">
        <v>46070</v>
      </c>
      <c r="K94" s="132" t="s">
        <v>1423</v>
      </c>
      <c r="L94" s="133" t="s">
        <v>1193</v>
      </c>
      <c r="M94" s="131" t="s">
        <v>1455</v>
      </c>
      <c r="N94" s="134">
        <v>5000</v>
      </c>
      <c r="O94" s="134" t="s">
        <v>1190</v>
      </c>
      <c r="P94" s="134" t="s">
        <v>1191</v>
      </c>
      <c r="Q94" s="135">
        <f t="shared" si="26"/>
        <v>4201.680672268908</v>
      </c>
      <c r="R94" s="136">
        <f t="shared" si="27"/>
        <v>798.31932773109247</v>
      </c>
      <c r="S94" s="136">
        <f t="shared" si="28"/>
        <v>5000</v>
      </c>
      <c r="T94" s="136">
        <f t="shared" si="29"/>
        <v>5000</v>
      </c>
      <c r="U94" s="136">
        <f t="shared" si="30"/>
        <v>5000</v>
      </c>
      <c r="V94" s="137" t="s">
        <v>1199</v>
      </c>
      <c r="W94" s="138">
        <v>46070</v>
      </c>
      <c r="X94" s="139" t="s">
        <v>1256</v>
      </c>
      <c r="Y94" s="140" t="s">
        <v>1193</v>
      </c>
      <c r="Z94" s="141" t="s">
        <v>1257</v>
      </c>
      <c r="AA94" s="142">
        <v>4875</v>
      </c>
      <c r="AB94" s="142" t="s">
        <v>1190</v>
      </c>
      <c r="AC94" s="142" t="s">
        <v>1191</v>
      </c>
      <c r="AD94" s="143">
        <f t="shared" si="31"/>
        <v>4096.6386554621849</v>
      </c>
      <c r="AE94" s="144">
        <f t="shared" si="32"/>
        <v>778.36134453781517</v>
      </c>
      <c r="AF94" s="144">
        <f t="shared" si="33"/>
        <v>4875</v>
      </c>
      <c r="AG94" s="144">
        <f t="shared" si="34"/>
        <v>4875</v>
      </c>
      <c r="AH94" s="144">
        <f t="shared" si="35"/>
        <v>4875</v>
      </c>
      <c r="AI94" s="145" t="s">
        <v>1199</v>
      </c>
      <c r="AJ94" s="146">
        <v>46070</v>
      </c>
      <c r="AK94" s="147" t="s">
        <v>1258</v>
      </c>
      <c r="AL94" s="148" t="s">
        <v>1193</v>
      </c>
      <c r="AM94" s="149" t="s">
        <v>1259</v>
      </c>
      <c r="AN94" s="150">
        <v>6200</v>
      </c>
      <c r="AO94" s="150" t="s">
        <v>1190</v>
      </c>
      <c r="AP94" s="151" t="s">
        <v>1191</v>
      </c>
      <c r="AQ94" s="152">
        <f t="shared" si="36"/>
        <v>5210.0840336134452</v>
      </c>
      <c r="AR94" s="153">
        <f t="shared" si="37"/>
        <v>989.9159663865546</v>
      </c>
      <c r="AS94" s="153">
        <f t="shared" si="38"/>
        <v>6200</v>
      </c>
      <c r="AT94" s="153">
        <f t="shared" si="39"/>
        <v>6200</v>
      </c>
      <c r="AU94" s="153">
        <f t="shared" si="40"/>
        <v>6200</v>
      </c>
      <c r="AV94" s="154">
        <f t="shared" si="41"/>
        <v>5358.333333333333</v>
      </c>
      <c r="AW94" s="154">
        <f t="shared" si="42"/>
        <v>5358.333333333333</v>
      </c>
      <c r="AX94" s="154">
        <f t="shared" si="43"/>
        <v>731.57934178962148</v>
      </c>
      <c r="AY94" s="155">
        <f t="shared" si="44"/>
        <v>0.13653113688142238</v>
      </c>
      <c r="AZ94" s="5"/>
      <c r="BA94" s="7">
        <f t="shared" si="45"/>
        <v>3</v>
      </c>
    </row>
    <row r="95" spans="1:53" ht="87" hidden="1" customHeight="1">
      <c r="A95" s="6" t="s">
        <v>1182</v>
      </c>
      <c r="B95" s="6" t="s">
        <v>1251</v>
      </c>
      <c r="C95" s="6">
        <v>14111514</v>
      </c>
      <c r="D95" s="6" t="s">
        <v>1473</v>
      </c>
      <c r="E95" s="127" t="s">
        <v>1474</v>
      </c>
      <c r="F95" s="128" t="s">
        <v>191</v>
      </c>
      <c r="G95" s="129">
        <v>1</v>
      </c>
      <c r="H95" s="128" t="s">
        <v>192</v>
      </c>
      <c r="I95" s="130" t="s">
        <v>1199</v>
      </c>
      <c r="J95" s="131">
        <v>46069</v>
      </c>
      <c r="K95" s="132" t="s">
        <v>1423</v>
      </c>
      <c r="L95" s="133" t="s">
        <v>1193</v>
      </c>
      <c r="M95" s="131" t="s">
        <v>1455</v>
      </c>
      <c r="N95" s="134">
        <v>4400</v>
      </c>
      <c r="O95" s="134" t="s">
        <v>1190</v>
      </c>
      <c r="P95" s="134" t="s">
        <v>1191</v>
      </c>
      <c r="Q95" s="135">
        <f t="shared" si="26"/>
        <v>3697.4789915966389</v>
      </c>
      <c r="R95" s="136">
        <f t="shared" si="27"/>
        <v>702.52100840336141</v>
      </c>
      <c r="S95" s="136">
        <f t="shared" si="28"/>
        <v>4400</v>
      </c>
      <c r="T95" s="136">
        <f t="shared" si="29"/>
        <v>4400</v>
      </c>
      <c r="U95" s="136">
        <f t="shared" si="30"/>
        <v>4400</v>
      </c>
      <c r="V95" s="137" t="s">
        <v>1199</v>
      </c>
      <c r="W95" s="138">
        <v>46069</v>
      </c>
      <c r="X95" s="139" t="s">
        <v>1463</v>
      </c>
      <c r="Y95" s="140" t="s">
        <v>1193</v>
      </c>
      <c r="Z95" s="141" t="s">
        <v>1464</v>
      </c>
      <c r="AA95" s="142">
        <v>3950</v>
      </c>
      <c r="AB95" s="142" t="s">
        <v>1197</v>
      </c>
      <c r="AC95" s="142" t="s">
        <v>1191</v>
      </c>
      <c r="AD95" s="143">
        <f t="shared" si="31"/>
        <v>3950</v>
      </c>
      <c r="AE95" s="144">
        <f t="shared" si="32"/>
        <v>750.5</v>
      </c>
      <c r="AF95" s="144">
        <f t="shared" si="33"/>
        <v>4700.5</v>
      </c>
      <c r="AG95" s="144">
        <f t="shared" si="34"/>
        <v>3950</v>
      </c>
      <c r="AH95" s="144">
        <f t="shared" si="35"/>
        <v>4700.5</v>
      </c>
      <c r="AI95" s="145" t="s">
        <v>1199</v>
      </c>
      <c r="AJ95" s="146">
        <v>46069</v>
      </c>
      <c r="AK95" s="147" t="s">
        <v>1475</v>
      </c>
      <c r="AL95" s="148" t="s">
        <v>1193</v>
      </c>
      <c r="AM95" s="149" t="s">
        <v>1476</v>
      </c>
      <c r="AN95" s="150">
        <v>4900</v>
      </c>
      <c r="AO95" s="150" t="s">
        <v>1190</v>
      </c>
      <c r="AP95" s="151" t="s">
        <v>1191</v>
      </c>
      <c r="AQ95" s="152">
        <f t="shared" si="36"/>
        <v>4117.6470588235297</v>
      </c>
      <c r="AR95" s="153">
        <f t="shared" si="37"/>
        <v>782.35294117647061</v>
      </c>
      <c r="AS95" s="153">
        <f t="shared" si="38"/>
        <v>4900</v>
      </c>
      <c r="AT95" s="153">
        <f t="shared" si="39"/>
        <v>4900</v>
      </c>
      <c r="AU95" s="153">
        <f t="shared" si="40"/>
        <v>4900</v>
      </c>
      <c r="AV95" s="154">
        <f t="shared" si="41"/>
        <v>4666.833333333333</v>
      </c>
      <c r="AW95" s="154">
        <f t="shared" si="42"/>
        <v>4666.833333333333</v>
      </c>
      <c r="AX95" s="154">
        <f t="shared" si="43"/>
        <v>251.6944245177738</v>
      </c>
      <c r="AY95" s="155">
        <f t="shared" si="44"/>
        <v>5.3932593375473833E-2</v>
      </c>
      <c r="AZ95" s="5"/>
      <c r="BA95" s="7">
        <f t="shared" si="45"/>
        <v>3</v>
      </c>
    </row>
    <row r="96" spans="1:53" ht="58.15" hidden="1" customHeight="1">
      <c r="A96" s="6" t="s">
        <v>1182</v>
      </c>
      <c r="B96" s="6" t="s">
        <v>1251</v>
      </c>
      <c r="C96" s="6"/>
      <c r="D96" s="6" t="s">
        <v>1477</v>
      </c>
      <c r="E96" s="127" t="s">
        <v>1478</v>
      </c>
      <c r="F96" s="128" t="s">
        <v>191</v>
      </c>
      <c r="G96" s="129">
        <v>1</v>
      </c>
      <c r="H96" s="128" t="s">
        <v>192</v>
      </c>
      <c r="I96" s="130" t="s">
        <v>1199</v>
      </c>
      <c r="J96" s="131">
        <v>46070</v>
      </c>
      <c r="K96" s="132" t="s">
        <v>1423</v>
      </c>
      <c r="L96" s="133" t="s">
        <v>1193</v>
      </c>
      <c r="M96" s="131" t="s">
        <v>1455</v>
      </c>
      <c r="N96" s="134">
        <v>5600</v>
      </c>
      <c r="O96" s="134" t="s">
        <v>1190</v>
      </c>
      <c r="P96" s="134" t="s">
        <v>1191</v>
      </c>
      <c r="Q96" s="135">
        <f t="shared" si="26"/>
        <v>4705.8823529411766</v>
      </c>
      <c r="R96" s="136">
        <f t="shared" si="27"/>
        <v>894.11764705882354</v>
      </c>
      <c r="S96" s="136">
        <f t="shared" si="28"/>
        <v>5600</v>
      </c>
      <c r="T96" s="136">
        <f t="shared" si="29"/>
        <v>5600</v>
      </c>
      <c r="U96" s="136">
        <f t="shared" si="30"/>
        <v>5600</v>
      </c>
      <c r="V96" s="137" t="s">
        <v>1199</v>
      </c>
      <c r="W96" s="138">
        <v>46070</v>
      </c>
      <c r="X96" s="139" t="s">
        <v>1258</v>
      </c>
      <c r="Y96" s="140" t="s">
        <v>1193</v>
      </c>
      <c r="Z96" s="141" t="s">
        <v>1479</v>
      </c>
      <c r="AA96" s="142">
        <v>5600</v>
      </c>
      <c r="AB96" s="142" t="s">
        <v>1190</v>
      </c>
      <c r="AC96" s="142" t="s">
        <v>1191</v>
      </c>
      <c r="AD96" s="143">
        <f t="shared" si="31"/>
        <v>4705.8823529411766</v>
      </c>
      <c r="AE96" s="144">
        <f t="shared" si="32"/>
        <v>894.11764705882354</v>
      </c>
      <c r="AF96" s="144">
        <f t="shared" si="33"/>
        <v>5600</v>
      </c>
      <c r="AG96" s="144">
        <f t="shared" si="34"/>
        <v>5600</v>
      </c>
      <c r="AH96" s="144">
        <f t="shared" si="35"/>
        <v>5600</v>
      </c>
      <c r="AI96" s="145" t="s">
        <v>1199</v>
      </c>
      <c r="AJ96" s="146">
        <v>46070</v>
      </c>
      <c r="AK96" s="147" t="s">
        <v>1480</v>
      </c>
      <c r="AL96" s="148" t="s">
        <v>1193</v>
      </c>
      <c r="AM96" s="149" t="s">
        <v>1481</v>
      </c>
      <c r="AN96" s="150">
        <v>5000</v>
      </c>
      <c r="AO96" s="150" t="s">
        <v>1190</v>
      </c>
      <c r="AP96" s="151" t="s">
        <v>1191</v>
      </c>
      <c r="AQ96" s="152">
        <f t="shared" si="36"/>
        <v>4201.680672268908</v>
      </c>
      <c r="AR96" s="153">
        <f t="shared" si="37"/>
        <v>798.31932773109247</v>
      </c>
      <c r="AS96" s="153">
        <f t="shared" si="38"/>
        <v>5000</v>
      </c>
      <c r="AT96" s="153">
        <f t="shared" si="39"/>
        <v>5000</v>
      </c>
      <c r="AU96" s="153">
        <f t="shared" si="40"/>
        <v>5000</v>
      </c>
      <c r="AV96" s="154">
        <f t="shared" si="41"/>
        <v>5400</v>
      </c>
      <c r="AW96" s="154">
        <f t="shared" si="42"/>
        <v>5400</v>
      </c>
      <c r="AX96" s="154">
        <f t="shared" si="43"/>
        <v>346.41016151377545</v>
      </c>
      <c r="AY96" s="155">
        <f t="shared" si="44"/>
        <v>6.4150029909958411E-2</v>
      </c>
      <c r="AZ96" s="5"/>
      <c r="BA96" s="7">
        <f t="shared" si="45"/>
        <v>3</v>
      </c>
    </row>
    <row r="97" spans="1:53" ht="43.5" hidden="1" customHeight="1">
      <c r="A97" s="6" t="s">
        <v>1182</v>
      </c>
      <c r="B97" s="6" t="s">
        <v>1251</v>
      </c>
      <c r="C97" s="6">
        <v>60123001</v>
      </c>
      <c r="D97" s="6" t="s">
        <v>1482</v>
      </c>
      <c r="E97" s="127" t="s">
        <v>1483</v>
      </c>
      <c r="F97" s="128" t="s">
        <v>191</v>
      </c>
      <c r="G97" s="129">
        <v>1</v>
      </c>
      <c r="H97" s="128" t="s">
        <v>192</v>
      </c>
      <c r="I97" s="130" t="s">
        <v>1199</v>
      </c>
      <c r="J97" s="131">
        <v>46070</v>
      </c>
      <c r="K97" s="132" t="s">
        <v>1461</v>
      </c>
      <c r="L97" s="133" t="s">
        <v>1193</v>
      </c>
      <c r="M97" s="131" t="s">
        <v>1462</v>
      </c>
      <c r="N97" s="134">
        <v>990</v>
      </c>
      <c r="O97" s="134" t="s">
        <v>1197</v>
      </c>
      <c r="P97" s="134" t="s">
        <v>1190</v>
      </c>
      <c r="Q97" s="135">
        <f t="shared" si="26"/>
        <v>990</v>
      </c>
      <c r="R97" s="136">
        <v>188</v>
      </c>
      <c r="S97" s="136">
        <f t="shared" si="28"/>
        <v>1178</v>
      </c>
      <c r="T97" s="136">
        <f t="shared" si="29"/>
        <v>990</v>
      </c>
      <c r="U97" s="136">
        <f t="shared" si="30"/>
        <v>1178</v>
      </c>
      <c r="V97" s="137" t="s">
        <v>1199</v>
      </c>
      <c r="W97" s="138">
        <v>46070</v>
      </c>
      <c r="X97" s="139" t="s">
        <v>1258</v>
      </c>
      <c r="Y97" s="140" t="s">
        <v>1193</v>
      </c>
      <c r="Z97" s="141" t="s">
        <v>1479</v>
      </c>
      <c r="AA97" s="142">
        <v>1200</v>
      </c>
      <c r="AB97" s="142" t="s">
        <v>1190</v>
      </c>
      <c r="AC97" s="142" t="s">
        <v>1191</v>
      </c>
      <c r="AD97" s="143">
        <f t="shared" si="31"/>
        <v>1008.4033613445379</v>
      </c>
      <c r="AE97" s="144">
        <f t="shared" si="32"/>
        <v>191.59663865546219</v>
      </c>
      <c r="AF97" s="144">
        <f t="shared" si="33"/>
        <v>1200</v>
      </c>
      <c r="AG97" s="144">
        <f t="shared" si="34"/>
        <v>1200</v>
      </c>
      <c r="AH97" s="144">
        <f t="shared" si="35"/>
        <v>1200</v>
      </c>
      <c r="AI97" s="145" t="s">
        <v>1199</v>
      </c>
      <c r="AJ97" s="146">
        <v>46070</v>
      </c>
      <c r="AK97" s="147" t="s">
        <v>1421</v>
      </c>
      <c r="AL97" s="148" t="s">
        <v>1193</v>
      </c>
      <c r="AM97" s="149" t="s">
        <v>1484</v>
      </c>
      <c r="AN97" s="150">
        <v>1000</v>
      </c>
      <c r="AO97" s="150" t="s">
        <v>1190</v>
      </c>
      <c r="AP97" s="151" t="s">
        <v>1191</v>
      </c>
      <c r="AQ97" s="152">
        <f t="shared" si="36"/>
        <v>840.3361344537816</v>
      </c>
      <c r="AR97" s="153">
        <f t="shared" si="37"/>
        <v>159.66386554621852</v>
      </c>
      <c r="AS97" s="153">
        <f t="shared" si="38"/>
        <v>1000.0000000000001</v>
      </c>
      <c r="AT97" s="153">
        <f t="shared" si="39"/>
        <v>1000</v>
      </c>
      <c r="AU97" s="153">
        <f t="shared" si="40"/>
        <v>1000.0000000000001</v>
      </c>
      <c r="AV97" s="154">
        <f t="shared" si="41"/>
        <v>1126</v>
      </c>
      <c r="AW97" s="154">
        <f t="shared" si="42"/>
        <v>1126</v>
      </c>
      <c r="AX97" s="154">
        <f t="shared" si="43"/>
        <v>109.67223896684149</v>
      </c>
      <c r="AY97" s="155">
        <f t="shared" si="44"/>
        <v>9.7399856986537733E-2</v>
      </c>
      <c r="AZ97" s="5"/>
      <c r="BA97" s="7">
        <f t="shared" si="45"/>
        <v>3</v>
      </c>
    </row>
    <row r="98" spans="1:53" ht="72.599999999999994" hidden="1" customHeight="1">
      <c r="A98" s="6" t="s">
        <v>1182</v>
      </c>
      <c r="B98" s="6" t="s">
        <v>1251</v>
      </c>
      <c r="C98" s="6">
        <v>60123001</v>
      </c>
      <c r="D98" s="6" t="s">
        <v>1485</v>
      </c>
      <c r="E98" s="127" t="s">
        <v>1486</v>
      </c>
      <c r="F98" s="128" t="s">
        <v>191</v>
      </c>
      <c r="G98" s="129">
        <v>1</v>
      </c>
      <c r="H98" s="128" t="s">
        <v>192</v>
      </c>
      <c r="I98" s="130" t="s">
        <v>1199</v>
      </c>
      <c r="J98" s="131">
        <v>46070</v>
      </c>
      <c r="K98" s="132" t="s">
        <v>1258</v>
      </c>
      <c r="L98" s="133" t="s">
        <v>1193</v>
      </c>
      <c r="M98" s="131" t="s">
        <v>1487</v>
      </c>
      <c r="N98" s="134">
        <v>2200</v>
      </c>
      <c r="O98" s="134" t="s">
        <v>1190</v>
      </c>
      <c r="P98" s="134" t="s">
        <v>1191</v>
      </c>
      <c r="Q98" s="135">
        <f t="shared" si="26"/>
        <v>1848.7394957983195</v>
      </c>
      <c r="R98" s="136">
        <f t="shared" ref="R98:R105" si="46">IF(P98="Si tiene IVA",Q98*19%,0)</f>
        <v>351.2605042016807</v>
      </c>
      <c r="S98" s="136">
        <f t="shared" si="28"/>
        <v>2200</v>
      </c>
      <c r="T98" s="136">
        <f t="shared" si="29"/>
        <v>2200</v>
      </c>
      <c r="U98" s="136">
        <f t="shared" si="30"/>
        <v>2200</v>
      </c>
      <c r="V98" s="137" t="s">
        <v>1199</v>
      </c>
      <c r="W98" s="138">
        <v>46070</v>
      </c>
      <c r="X98" s="139" t="s">
        <v>1461</v>
      </c>
      <c r="Y98" s="140" t="s">
        <v>1193</v>
      </c>
      <c r="Z98" s="141" t="s">
        <v>1462</v>
      </c>
      <c r="AA98" s="142">
        <v>1990</v>
      </c>
      <c r="AB98" s="142" t="s">
        <v>1197</v>
      </c>
      <c r="AC98" s="142" t="s">
        <v>1191</v>
      </c>
      <c r="AD98" s="143">
        <f t="shared" si="31"/>
        <v>1990</v>
      </c>
      <c r="AE98" s="144">
        <f t="shared" si="32"/>
        <v>378.1</v>
      </c>
      <c r="AF98" s="144">
        <f t="shared" si="33"/>
        <v>2368.1</v>
      </c>
      <c r="AG98" s="144">
        <f t="shared" si="34"/>
        <v>1990</v>
      </c>
      <c r="AH98" s="144">
        <f t="shared" si="35"/>
        <v>2368.1</v>
      </c>
      <c r="AI98" s="145" t="s">
        <v>1199</v>
      </c>
      <c r="AJ98" s="146">
        <v>46070</v>
      </c>
      <c r="AK98" s="147" t="s">
        <v>1463</v>
      </c>
      <c r="AL98" s="148" t="s">
        <v>1193</v>
      </c>
      <c r="AM98" s="149" t="s">
        <v>1464</v>
      </c>
      <c r="AN98" s="150">
        <v>2100</v>
      </c>
      <c r="AO98" s="150" t="s">
        <v>1197</v>
      </c>
      <c r="AP98" s="151" t="s">
        <v>1191</v>
      </c>
      <c r="AQ98" s="152">
        <f t="shared" si="36"/>
        <v>2100</v>
      </c>
      <c r="AR98" s="153">
        <f t="shared" si="37"/>
        <v>399</v>
      </c>
      <c r="AS98" s="153">
        <f t="shared" si="38"/>
        <v>2499</v>
      </c>
      <c r="AT98" s="153">
        <f t="shared" si="39"/>
        <v>2100</v>
      </c>
      <c r="AU98" s="153">
        <f t="shared" si="40"/>
        <v>2499</v>
      </c>
      <c r="AV98" s="154">
        <f t="shared" si="41"/>
        <v>2355.7000000000003</v>
      </c>
      <c r="AW98" s="154">
        <f t="shared" si="42"/>
        <v>2355.7000000000003</v>
      </c>
      <c r="AX98" s="154">
        <f t="shared" si="43"/>
        <v>149.88518939508333</v>
      </c>
      <c r="AY98" s="155">
        <f t="shared" si="44"/>
        <v>6.3626603300540527E-2</v>
      </c>
      <c r="AZ98" s="5"/>
      <c r="BA98" s="7">
        <f t="shared" si="45"/>
        <v>3</v>
      </c>
    </row>
    <row r="99" spans="1:53" ht="58.15" hidden="1" customHeight="1">
      <c r="A99" s="6" t="s">
        <v>1182</v>
      </c>
      <c r="B99" s="6" t="s">
        <v>1251</v>
      </c>
      <c r="C99" s="6">
        <v>44121804</v>
      </c>
      <c r="D99" s="6" t="s">
        <v>1488</v>
      </c>
      <c r="E99" s="127" t="s">
        <v>1489</v>
      </c>
      <c r="F99" s="128" t="s">
        <v>191</v>
      </c>
      <c r="G99" s="129">
        <v>1</v>
      </c>
      <c r="H99" s="128" t="s">
        <v>192</v>
      </c>
      <c r="I99" s="130" t="s">
        <v>1199</v>
      </c>
      <c r="J99" s="131">
        <v>46070</v>
      </c>
      <c r="K99" s="132" t="s">
        <v>1423</v>
      </c>
      <c r="L99" s="133" t="s">
        <v>1193</v>
      </c>
      <c r="M99" s="131" t="s">
        <v>1455</v>
      </c>
      <c r="N99" s="134">
        <v>20000</v>
      </c>
      <c r="O99" s="134" t="s">
        <v>1190</v>
      </c>
      <c r="P99" s="134" t="s">
        <v>1191</v>
      </c>
      <c r="Q99" s="135">
        <f t="shared" si="26"/>
        <v>16806.722689075632</v>
      </c>
      <c r="R99" s="136">
        <f t="shared" si="46"/>
        <v>3193.2773109243699</v>
      </c>
      <c r="S99" s="136">
        <f t="shared" si="28"/>
        <v>20000</v>
      </c>
      <c r="T99" s="136">
        <f t="shared" si="29"/>
        <v>20000</v>
      </c>
      <c r="U99" s="136">
        <f t="shared" si="30"/>
        <v>20000</v>
      </c>
      <c r="V99" s="137" t="s">
        <v>1199</v>
      </c>
      <c r="W99" s="138">
        <v>46070</v>
      </c>
      <c r="X99" s="139" t="s">
        <v>1463</v>
      </c>
      <c r="Y99" s="140" t="s">
        <v>1193</v>
      </c>
      <c r="Z99" s="141" t="s">
        <v>1464</v>
      </c>
      <c r="AA99" s="142">
        <v>15126</v>
      </c>
      <c r="AB99" s="142" t="s">
        <v>1197</v>
      </c>
      <c r="AC99" s="142" t="s">
        <v>1191</v>
      </c>
      <c r="AD99" s="143">
        <f t="shared" si="31"/>
        <v>15126</v>
      </c>
      <c r="AE99" s="144">
        <f t="shared" si="32"/>
        <v>2873.94</v>
      </c>
      <c r="AF99" s="144">
        <f t="shared" si="33"/>
        <v>17999.939999999999</v>
      </c>
      <c r="AG99" s="144">
        <f t="shared" si="34"/>
        <v>15126</v>
      </c>
      <c r="AH99" s="144">
        <f t="shared" si="35"/>
        <v>17999.939999999999</v>
      </c>
      <c r="AI99" s="145" t="s">
        <v>1199</v>
      </c>
      <c r="AJ99" s="146">
        <v>46070</v>
      </c>
      <c r="AK99" s="147" t="s">
        <v>1421</v>
      </c>
      <c r="AL99" s="148" t="s">
        <v>1193</v>
      </c>
      <c r="AM99" s="149" t="s">
        <v>1484</v>
      </c>
      <c r="AN99" s="150">
        <v>22000</v>
      </c>
      <c r="AO99" s="150" t="s">
        <v>1190</v>
      </c>
      <c r="AP99" s="151" t="s">
        <v>1191</v>
      </c>
      <c r="AQ99" s="152">
        <f t="shared" si="36"/>
        <v>18487.394957983193</v>
      </c>
      <c r="AR99" s="153">
        <f t="shared" si="37"/>
        <v>3512.6050420168067</v>
      </c>
      <c r="AS99" s="153">
        <f t="shared" si="38"/>
        <v>22000</v>
      </c>
      <c r="AT99" s="153">
        <f t="shared" si="39"/>
        <v>22000</v>
      </c>
      <c r="AU99" s="153">
        <f t="shared" si="40"/>
        <v>22000</v>
      </c>
      <c r="AV99" s="154">
        <f t="shared" si="41"/>
        <v>19999.98</v>
      </c>
      <c r="AW99" s="154">
        <f t="shared" si="42"/>
        <v>19999.98</v>
      </c>
      <c r="AX99" s="154">
        <f t="shared" si="43"/>
        <v>2000.0300000749996</v>
      </c>
      <c r="AY99" s="155">
        <f t="shared" si="44"/>
        <v>0.10000160000534999</v>
      </c>
      <c r="AZ99" s="5"/>
      <c r="BA99" s="7">
        <f t="shared" si="45"/>
        <v>3</v>
      </c>
    </row>
    <row r="100" spans="1:53" ht="72.599999999999994" hidden="1" customHeight="1">
      <c r="A100" s="6" t="s">
        <v>1182</v>
      </c>
      <c r="B100" s="6" t="s">
        <v>1251</v>
      </c>
      <c r="C100" s="6">
        <v>44121804</v>
      </c>
      <c r="D100" s="6" t="s">
        <v>1490</v>
      </c>
      <c r="E100" s="127" t="s">
        <v>1491</v>
      </c>
      <c r="F100" s="128" t="s">
        <v>191</v>
      </c>
      <c r="G100" s="129">
        <v>1</v>
      </c>
      <c r="H100" s="128" t="s">
        <v>192</v>
      </c>
      <c r="I100" s="130" t="s">
        <v>1199</v>
      </c>
      <c r="J100" s="131">
        <v>46070</v>
      </c>
      <c r="K100" s="132" t="s">
        <v>1256</v>
      </c>
      <c r="L100" s="133" t="s">
        <v>1193</v>
      </c>
      <c r="M100" s="131" t="s">
        <v>1257</v>
      </c>
      <c r="N100" s="134">
        <v>11500</v>
      </c>
      <c r="O100" s="134" t="s">
        <v>1197</v>
      </c>
      <c r="P100" s="134" t="s">
        <v>1191</v>
      </c>
      <c r="Q100" s="135">
        <f t="shared" si="26"/>
        <v>11500</v>
      </c>
      <c r="R100" s="136">
        <f t="shared" si="46"/>
        <v>2185</v>
      </c>
      <c r="S100" s="136">
        <f t="shared" si="28"/>
        <v>13685</v>
      </c>
      <c r="T100" s="136">
        <f t="shared" si="29"/>
        <v>11500</v>
      </c>
      <c r="U100" s="136">
        <f t="shared" si="30"/>
        <v>13685</v>
      </c>
      <c r="V100" s="137" t="s">
        <v>1199</v>
      </c>
      <c r="W100" s="138">
        <v>46070</v>
      </c>
      <c r="X100" s="139" t="s">
        <v>1480</v>
      </c>
      <c r="Y100" s="140" t="s">
        <v>1193</v>
      </c>
      <c r="Z100" s="141" t="s">
        <v>1492</v>
      </c>
      <c r="AA100" s="142">
        <v>18000</v>
      </c>
      <c r="AB100" s="142" t="s">
        <v>1190</v>
      </c>
      <c r="AC100" s="142" t="s">
        <v>1191</v>
      </c>
      <c r="AD100" s="143">
        <f t="shared" si="31"/>
        <v>15126.050420168069</v>
      </c>
      <c r="AE100" s="144">
        <f t="shared" si="32"/>
        <v>2873.9495798319331</v>
      </c>
      <c r="AF100" s="144">
        <f t="shared" si="33"/>
        <v>18000</v>
      </c>
      <c r="AG100" s="144">
        <f t="shared" si="34"/>
        <v>18000</v>
      </c>
      <c r="AH100" s="144">
        <f t="shared" si="35"/>
        <v>18000</v>
      </c>
      <c r="AI100" s="145" t="s">
        <v>1199</v>
      </c>
      <c r="AJ100" s="146">
        <v>46070</v>
      </c>
      <c r="AK100" s="147" t="s">
        <v>1461</v>
      </c>
      <c r="AL100" s="148" t="s">
        <v>1193</v>
      </c>
      <c r="AM100" s="149" t="s">
        <v>1462</v>
      </c>
      <c r="AN100" s="150">
        <v>13940</v>
      </c>
      <c r="AO100" s="150" t="s">
        <v>1197</v>
      </c>
      <c r="AP100" s="151" t="s">
        <v>1191</v>
      </c>
      <c r="AQ100" s="152">
        <f t="shared" si="36"/>
        <v>13940</v>
      </c>
      <c r="AR100" s="153">
        <f t="shared" si="37"/>
        <v>2648.6</v>
      </c>
      <c r="AS100" s="153">
        <f t="shared" si="38"/>
        <v>16588.599999999999</v>
      </c>
      <c r="AT100" s="153">
        <f t="shared" si="39"/>
        <v>13940</v>
      </c>
      <c r="AU100" s="153">
        <f t="shared" si="40"/>
        <v>16588.599999999999</v>
      </c>
      <c r="AV100" s="154">
        <f t="shared" si="41"/>
        <v>16091.199999999999</v>
      </c>
      <c r="AW100" s="154">
        <f t="shared" si="42"/>
        <v>16091.199999999999</v>
      </c>
      <c r="AX100" s="154">
        <f t="shared" si="43"/>
        <v>2200.0821166492838</v>
      </c>
      <c r="AY100" s="155">
        <f t="shared" si="44"/>
        <v>0.13672579525761186</v>
      </c>
      <c r="AZ100" s="5"/>
      <c r="BA100" s="7">
        <f t="shared" si="45"/>
        <v>3</v>
      </c>
    </row>
    <row r="101" spans="1:53" ht="72.599999999999994" hidden="1" customHeight="1">
      <c r="A101" s="6" t="s">
        <v>1182</v>
      </c>
      <c r="B101" s="6" t="s">
        <v>1251</v>
      </c>
      <c r="C101" s="6">
        <v>44111912</v>
      </c>
      <c r="D101" s="6" t="s">
        <v>1493</v>
      </c>
      <c r="E101" s="127" t="s">
        <v>1494</v>
      </c>
      <c r="F101" s="128" t="s">
        <v>191</v>
      </c>
      <c r="G101" s="129">
        <v>1</v>
      </c>
      <c r="H101" s="128" t="s">
        <v>192</v>
      </c>
      <c r="I101" s="130" t="s">
        <v>1199</v>
      </c>
      <c r="J101" s="131">
        <v>46070</v>
      </c>
      <c r="K101" s="132" t="s">
        <v>1495</v>
      </c>
      <c r="L101" s="133" t="s">
        <v>1193</v>
      </c>
      <c r="M101" s="131" t="s">
        <v>1496</v>
      </c>
      <c r="N101" s="134">
        <v>1900</v>
      </c>
      <c r="O101" s="134" t="s">
        <v>1190</v>
      </c>
      <c r="P101" s="134" t="s">
        <v>1191</v>
      </c>
      <c r="Q101" s="135">
        <f t="shared" si="26"/>
        <v>1596.6386554621849</v>
      </c>
      <c r="R101" s="136">
        <f t="shared" si="46"/>
        <v>303.36134453781517</v>
      </c>
      <c r="S101" s="136">
        <f t="shared" si="28"/>
        <v>1900</v>
      </c>
      <c r="T101" s="136">
        <f t="shared" si="29"/>
        <v>1900</v>
      </c>
      <c r="U101" s="136">
        <f t="shared" si="30"/>
        <v>1900</v>
      </c>
      <c r="V101" s="137" t="s">
        <v>1199</v>
      </c>
      <c r="W101" s="138">
        <v>46070</v>
      </c>
      <c r="X101" s="139" t="s">
        <v>1461</v>
      </c>
      <c r="Y101" s="140" t="s">
        <v>1193</v>
      </c>
      <c r="Z101" s="141" t="s">
        <v>1462</v>
      </c>
      <c r="AA101" s="142">
        <v>1633</v>
      </c>
      <c r="AB101" s="142" t="s">
        <v>1197</v>
      </c>
      <c r="AC101" s="142" t="s">
        <v>1191</v>
      </c>
      <c r="AD101" s="143">
        <f t="shared" si="31"/>
        <v>1633</v>
      </c>
      <c r="AE101" s="144">
        <f t="shared" si="32"/>
        <v>310.27</v>
      </c>
      <c r="AF101" s="144">
        <f t="shared" si="33"/>
        <v>1943.27</v>
      </c>
      <c r="AG101" s="144">
        <f t="shared" si="34"/>
        <v>1633</v>
      </c>
      <c r="AH101" s="144">
        <f t="shared" si="35"/>
        <v>1943.27</v>
      </c>
      <c r="AI101" s="145" t="s">
        <v>1199</v>
      </c>
      <c r="AJ101" s="146">
        <v>46070</v>
      </c>
      <c r="AK101" s="147" t="s">
        <v>1480</v>
      </c>
      <c r="AL101" s="148" t="s">
        <v>1193</v>
      </c>
      <c r="AM101" s="149" t="s">
        <v>1497</v>
      </c>
      <c r="AN101" s="150">
        <v>1900</v>
      </c>
      <c r="AO101" s="150" t="s">
        <v>1190</v>
      </c>
      <c r="AP101" s="151" t="s">
        <v>1191</v>
      </c>
      <c r="AQ101" s="152">
        <f t="shared" si="36"/>
        <v>1596.6386554621849</v>
      </c>
      <c r="AR101" s="153">
        <f t="shared" si="37"/>
        <v>303.36134453781517</v>
      </c>
      <c r="AS101" s="153">
        <f t="shared" si="38"/>
        <v>1900</v>
      </c>
      <c r="AT101" s="153">
        <f t="shared" si="39"/>
        <v>1900</v>
      </c>
      <c r="AU101" s="153">
        <f t="shared" si="40"/>
        <v>1900</v>
      </c>
      <c r="AV101" s="154">
        <f t="shared" si="41"/>
        <v>1914.4233333333334</v>
      </c>
      <c r="AW101" s="154">
        <f t="shared" si="42"/>
        <v>1914.4233333333334</v>
      </c>
      <c r="AX101" s="154">
        <f t="shared" si="43"/>
        <v>24.981946147835096</v>
      </c>
      <c r="AY101" s="155">
        <f t="shared" si="44"/>
        <v>1.3049332252097721E-2</v>
      </c>
      <c r="AZ101" s="5"/>
      <c r="BA101" s="7">
        <f t="shared" si="45"/>
        <v>3</v>
      </c>
    </row>
    <row r="102" spans="1:53" ht="87" hidden="1" customHeight="1">
      <c r="A102" s="6" t="s">
        <v>1182</v>
      </c>
      <c r="B102" s="6" t="s">
        <v>1236</v>
      </c>
      <c r="C102" s="6">
        <v>24122000</v>
      </c>
      <c r="D102" s="6" t="s">
        <v>1498</v>
      </c>
      <c r="E102" s="127" t="s">
        <v>1499</v>
      </c>
      <c r="F102" s="128" t="s">
        <v>191</v>
      </c>
      <c r="G102" s="129">
        <v>1</v>
      </c>
      <c r="H102" s="128" t="s">
        <v>192</v>
      </c>
      <c r="I102" s="130" t="s">
        <v>1186</v>
      </c>
      <c r="J102" s="131">
        <v>46086</v>
      </c>
      <c r="K102" s="132" t="s">
        <v>1500</v>
      </c>
      <c r="L102" s="133" t="s">
        <v>1193</v>
      </c>
      <c r="M102" s="131" t="s">
        <v>1501</v>
      </c>
      <c r="N102" s="134">
        <v>23000</v>
      </c>
      <c r="O102" s="134" t="s">
        <v>1190</v>
      </c>
      <c r="P102" s="134" t="s">
        <v>1191</v>
      </c>
      <c r="Q102" s="135">
        <f t="shared" si="26"/>
        <v>19327.731092436974</v>
      </c>
      <c r="R102" s="136">
        <f t="shared" si="46"/>
        <v>3672.2689075630251</v>
      </c>
      <c r="S102" s="136">
        <f t="shared" si="28"/>
        <v>23000</v>
      </c>
      <c r="T102" s="136">
        <f t="shared" si="29"/>
        <v>23000</v>
      </c>
      <c r="U102" s="136">
        <f t="shared" si="30"/>
        <v>23000</v>
      </c>
      <c r="V102" s="137" t="s">
        <v>1186</v>
      </c>
      <c r="W102" s="138">
        <v>46152</v>
      </c>
      <c r="X102" s="139" t="s">
        <v>1502</v>
      </c>
      <c r="Y102" s="140" t="s">
        <v>1188</v>
      </c>
      <c r="Z102" s="141" t="s">
        <v>1503</v>
      </c>
      <c r="AA102" s="142">
        <v>19099</v>
      </c>
      <c r="AB102" s="142" t="s">
        <v>1197</v>
      </c>
      <c r="AC102" s="142" t="s">
        <v>1191</v>
      </c>
      <c r="AD102" s="143">
        <f t="shared" si="31"/>
        <v>19099</v>
      </c>
      <c r="AE102" s="144">
        <f t="shared" si="32"/>
        <v>3628.81</v>
      </c>
      <c r="AF102" s="144">
        <f t="shared" si="33"/>
        <v>22727.81</v>
      </c>
      <c r="AG102" s="144">
        <f t="shared" si="34"/>
        <v>19099</v>
      </c>
      <c r="AH102" s="144">
        <f t="shared" si="35"/>
        <v>22727.81</v>
      </c>
      <c r="AI102" s="145" t="s">
        <v>1186</v>
      </c>
      <c r="AJ102" s="146">
        <v>46086</v>
      </c>
      <c r="AK102" s="147" t="s">
        <v>1504</v>
      </c>
      <c r="AL102" s="148" t="s">
        <v>1193</v>
      </c>
      <c r="AM102" s="149" t="s">
        <v>1505</v>
      </c>
      <c r="AN102" s="150">
        <v>23600</v>
      </c>
      <c r="AO102" s="150" t="s">
        <v>1197</v>
      </c>
      <c r="AP102" s="151" t="s">
        <v>1191</v>
      </c>
      <c r="AQ102" s="152">
        <f t="shared" si="36"/>
        <v>23600</v>
      </c>
      <c r="AR102" s="153">
        <f t="shared" si="37"/>
        <v>4484</v>
      </c>
      <c r="AS102" s="153">
        <f t="shared" si="38"/>
        <v>28084</v>
      </c>
      <c r="AT102" s="153">
        <f t="shared" si="39"/>
        <v>23600</v>
      </c>
      <c r="AU102" s="153">
        <f t="shared" si="40"/>
        <v>28084</v>
      </c>
      <c r="AV102" s="154">
        <f t="shared" si="41"/>
        <v>24603.936666666665</v>
      </c>
      <c r="AW102" s="154">
        <f t="shared" si="42"/>
        <v>24603.936666666665</v>
      </c>
      <c r="AX102" s="154">
        <f t="shared" si="43"/>
        <v>3016.8945046244708</v>
      </c>
      <c r="AY102" s="155">
        <f t="shared" si="44"/>
        <v>0.12261836573135672</v>
      </c>
      <c r="AZ102" s="5"/>
      <c r="BA102" s="7">
        <f t="shared" si="45"/>
        <v>3</v>
      </c>
    </row>
    <row r="103" spans="1:53" ht="130.5" hidden="1" customHeight="1">
      <c r="A103" s="6" t="s">
        <v>1182</v>
      </c>
      <c r="B103" s="6" t="s">
        <v>1236</v>
      </c>
      <c r="C103" s="6" t="s">
        <v>1506</v>
      </c>
      <c r="D103" s="6" t="s">
        <v>1507</v>
      </c>
      <c r="E103" s="127" t="s">
        <v>1508</v>
      </c>
      <c r="F103" s="128" t="s">
        <v>191</v>
      </c>
      <c r="G103" s="129">
        <v>180</v>
      </c>
      <c r="H103" s="128" t="s">
        <v>192</v>
      </c>
      <c r="I103" s="130" t="s">
        <v>1186</v>
      </c>
      <c r="J103" s="131">
        <v>46152</v>
      </c>
      <c r="K103" s="132" t="s">
        <v>1509</v>
      </c>
      <c r="L103" s="133" t="s">
        <v>1193</v>
      </c>
      <c r="M103" s="131" t="s">
        <v>1510</v>
      </c>
      <c r="N103" s="134">
        <v>23000</v>
      </c>
      <c r="O103" s="134" t="s">
        <v>1190</v>
      </c>
      <c r="P103" s="134" t="s">
        <v>1191</v>
      </c>
      <c r="Q103" s="135">
        <f t="shared" si="26"/>
        <v>19327.731092436974</v>
      </c>
      <c r="R103" s="136">
        <f t="shared" si="46"/>
        <v>3672.2689075630251</v>
      </c>
      <c r="S103" s="136">
        <f t="shared" si="28"/>
        <v>23000</v>
      </c>
      <c r="T103" s="136">
        <f t="shared" si="29"/>
        <v>4140000</v>
      </c>
      <c r="U103" s="136">
        <f t="shared" si="30"/>
        <v>4140000</v>
      </c>
      <c r="V103" s="137" t="s">
        <v>1230</v>
      </c>
      <c r="W103" s="138">
        <v>46107</v>
      </c>
      <c r="X103" s="139" t="s">
        <v>1511</v>
      </c>
      <c r="Y103" s="140" t="s">
        <v>1193</v>
      </c>
      <c r="Z103" s="141" t="s">
        <v>1503</v>
      </c>
      <c r="AA103" s="142">
        <v>21507</v>
      </c>
      <c r="AB103" s="142" t="s">
        <v>1197</v>
      </c>
      <c r="AC103" s="142" t="s">
        <v>1191</v>
      </c>
      <c r="AD103" s="143">
        <f t="shared" si="31"/>
        <v>21507</v>
      </c>
      <c r="AE103" s="144">
        <f t="shared" si="32"/>
        <v>4086.33</v>
      </c>
      <c r="AF103" s="144">
        <f t="shared" si="33"/>
        <v>25593.33</v>
      </c>
      <c r="AG103" s="144">
        <f t="shared" si="34"/>
        <v>3871260</v>
      </c>
      <c r="AH103" s="144">
        <f t="shared" si="35"/>
        <v>4606799.4000000004</v>
      </c>
      <c r="AI103" s="145" t="s">
        <v>1186</v>
      </c>
      <c r="AJ103" s="146">
        <v>46152</v>
      </c>
      <c r="AK103" s="147" t="s">
        <v>1512</v>
      </c>
      <c r="AL103" s="148" t="s">
        <v>1193</v>
      </c>
      <c r="AM103" s="149" t="s">
        <v>1513</v>
      </c>
      <c r="AN103" s="150">
        <v>22682</v>
      </c>
      <c r="AO103" s="150" t="s">
        <v>1197</v>
      </c>
      <c r="AP103" s="151" t="s">
        <v>1191</v>
      </c>
      <c r="AQ103" s="152">
        <f t="shared" si="36"/>
        <v>22682</v>
      </c>
      <c r="AR103" s="153">
        <f t="shared" si="37"/>
        <v>4309.58</v>
      </c>
      <c r="AS103" s="153">
        <f t="shared" si="38"/>
        <v>26991.58</v>
      </c>
      <c r="AT103" s="153">
        <f t="shared" si="39"/>
        <v>4082760</v>
      </c>
      <c r="AU103" s="153">
        <f t="shared" si="40"/>
        <v>4858484.4000000004</v>
      </c>
      <c r="AV103" s="154">
        <f t="shared" si="41"/>
        <v>25194.97</v>
      </c>
      <c r="AW103" s="154">
        <f t="shared" si="42"/>
        <v>4535094.6000000006</v>
      </c>
      <c r="AX103" s="154">
        <f t="shared" si="43"/>
        <v>364569.80404048844</v>
      </c>
      <c r="AY103" s="155">
        <f t="shared" si="44"/>
        <v>8.0388577570242606E-2</v>
      </c>
      <c r="AZ103" s="5"/>
      <c r="BA103" s="7">
        <f t="shared" si="45"/>
        <v>3</v>
      </c>
    </row>
    <row r="104" spans="1:53" ht="72.599999999999994" hidden="1" customHeight="1">
      <c r="A104" s="6" t="s">
        <v>1182</v>
      </c>
      <c r="B104" s="6" t="s">
        <v>1236</v>
      </c>
      <c r="C104" s="6">
        <v>80141607</v>
      </c>
      <c r="D104" s="6" t="s">
        <v>1514</v>
      </c>
      <c r="E104" s="127" t="s">
        <v>1515</v>
      </c>
      <c r="F104" s="128" t="s">
        <v>191</v>
      </c>
      <c r="G104" s="129">
        <v>1</v>
      </c>
      <c r="H104" s="128" t="s">
        <v>192</v>
      </c>
      <c r="I104" s="130" t="s">
        <v>1186</v>
      </c>
      <c r="J104" s="131">
        <v>46153</v>
      </c>
      <c r="K104" s="132" t="s">
        <v>1516</v>
      </c>
      <c r="L104" s="133" t="s">
        <v>1193</v>
      </c>
      <c r="M104" s="131" t="s">
        <v>1243</v>
      </c>
      <c r="N104" s="134">
        <v>14290</v>
      </c>
      <c r="O104" s="134" t="s">
        <v>1197</v>
      </c>
      <c r="P104" s="134" t="s">
        <v>1217</v>
      </c>
      <c r="Q104" s="135">
        <f t="shared" si="26"/>
        <v>14290</v>
      </c>
      <c r="R104" s="136">
        <f t="shared" si="46"/>
        <v>0</v>
      </c>
      <c r="S104" s="136">
        <f t="shared" si="28"/>
        <v>14290</v>
      </c>
      <c r="T104" s="136">
        <f t="shared" si="29"/>
        <v>14290</v>
      </c>
      <c r="U104" s="136">
        <f t="shared" si="30"/>
        <v>14290</v>
      </c>
      <c r="V104" s="137" t="s">
        <v>1186</v>
      </c>
      <c r="W104" s="138">
        <v>46153</v>
      </c>
      <c r="X104" s="139" t="s">
        <v>1517</v>
      </c>
      <c r="Y104" s="140" t="s">
        <v>1193</v>
      </c>
      <c r="Z104" s="141" t="s">
        <v>1518</v>
      </c>
      <c r="AA104" s="142">
        <v>17250</v>
      </c>
      <c r="AB104" s="142" t="s">
        <v>1197</v>
      </c>
      <c r="AC104" s="142" t="s">
        <v>1217</v>
      </c>
      <c r="AD104" s="143">
        <f t="shared" si="31"/>
        <v>17250</v>
      </c>
      <c r="AE104" s="144">
        <f t="shared" si="32"/>
        <v>0</v>
      </c>
      <c r="AF104" s="144">
        <f t="shared" si="33"/>
        <v>17250</v>
      </c>
      <c r="AG104" s="144">
        <f t="shared" si="34"/>
        <v>17250</v>
      </c>
      <c r="AH104" s="144">
        <f t="shared" si="35"/>
        <v>17250</v>
      </c>
      <c r="AI104" s="145" t="s">
        <v>1186</v>
      </c>
      <c r="AJ104" s="146">
        <v>46086</v>
      </c>
      <c r="AK104" s="147" t="s">
        <v>1516</v>
      </c>
      <c r="AL104" s="148" t="s">
        <v>1193</v>
      </c>
      <c r="AM104" s="149" t="s">
        <v>1243</v>
      </c>
      <c r="AN104" s="150">
        <v>14290</v>
      </c>
      <c r="AO104" s="150" t="s">
        <v>1197</v>
      </c>
      <c r="AP104" s="151" t="s">
        <v>1217</v>
      </c>
      <c r="AQ104" s="152">
        <f t="shared" si="36"/>
        <v>14290</v>
      </c>
      <c r="AR104" s="153">
        <f t="shared" si="37"/>
        <v>0</v>
      </c>
      <c r="AS104" s="153">
        <f t="shared" si="38"/>
        <v>14290</v>
      </c>
      <c r="AT104" s="153">
        <f t="shared" si="39"/>
        <v>14290</v>
      </c>
      <c r="AU104" s="153">
        <f t="shared" si="40"/>
        <v>14290</v>
      </c>
      <c r="AV104" s="154">
        <f t="shared" si="41"/>
        <v>15276.666666666666</v>
      </c>
      <c r="AW104" s="154">
        <f t="shared" si="42"/>
        <v>15276.666666666666</v>
      </c>
      <c r="AX104" s="154">
        <f t="shared" si="43"/>
        <v>1708.9567968012923</v>
      </c>
      <c r="AY104" s="155">
        <f t="shared" si="44"/>
        <v>0.11186712612707565</v>
      </c>
      <c r="AZ104" s="5"/>
      <c r="BA104" s="7">
        <f t="shared" si="45"/>
        <v>3</v>
      </c>
    </row>
    <row r="105" spans="1:53" ht="116.1" hidden="1" customHeight="1">
      <c r="A105" s="6" t="s">
        <v>1182</v>
      </c>
      <c r="B105" s="6" t="s">
        <v>1183</v>
      </c>
      <c r="C105" s="6">
        <v>60101402</v>
      </c>
      <c r="D105" s="6" t="s">
        <v>1519</v>
      </c>
      <c r="E105" s="127" t="s">
        <v>1520</v>
      </c>
      <c r="F105" s="128" t="s">
        <v>191</v>
      </c>
      <c r="G105" s="129">
        <v>1</v>
      </c>
      <c r="H105" s="128" t="s">
        <v>192</v>
      </c>
      <c r="I105" s="130" t="s">
        <v>1230</v>
      </c>
      <c r="J105" s="131">
        <v>46070</v>
      </c>
      <c r="K105" s="132" t="s">
        <v>1221</v>
      </c>
      <c r="L105" s="133" t="s">
        <v>1193</v>
      </c>
      <c r="M105" s="131" t="s">
        <v>1521</v>
      </c>
      <c r="N105" s="134">
        <v>2500</v>
      </c>
      <c r="O105" s="134" t="s">
        <v>1197</v>
      </c>
      <c r="P105" s="134" t="s">
        <v>1191</v>
      </c>
      <c r="Q105" s="135">
        <f t="shared" si="26"/>
        <v>2500</v>
      </c>
      <c r="R105" s="136">
        <f t="shared" si="46"/>
        <v>475</v>
      </c>
      <c r="S105" s="136">
        <f t="shared" si="28"/>
        <v>2975</v>
      </c>
      <c r="T105" s="136">
        <f t="shared" si="29"/>
        <v>2500</v>
      </c>
      <c r="U105" s="136">
        <f t="shared" si="30"/>
        <v>2975</v>
      </c>
      <c r="V105" s="137" t="s">
        <v>1230</v>
      </c>
      <c r="W105" s="138">
        <v>46070</v>
      </c>
      <c r="X105" s="139" t="s">
        <v>1231</v>
      </c>
      <c r="Y105" s="140" t="s">
        <v>1193</v>
      </c>
      <c r="Z105" s="141" t="s">
        <v>1211</v>
      </c>
      <c r="AA105" s="142">
        <v>2500</v>
      </c>
      <c r="AB105" s="142" t="s">
        <v>1197</v>
      </c>
      <c r="AC105" s="142" t="s">
        <v>1191</v>
      </c>
      <c r="AD105" s="143">
        <f t="shared" si="31"/>
        <v>2500</v>
      </c>
      <c r="AE105" s="144">
        <f t="shared" si="32"/>
        <v>475</v>
      </c>
      <c r="AF105" s="144">
        <f t="shared" si="33"/>
        <v>2975</v>
      </c>
      <c r="AG105" s="144">
        <f t="shared" si="34"/>
        <v>2500</v>
      </c>
      <c r="AH105" s="144">
        <f t="shared" si="35"/>
        <v>2975</v>
      </c>
      <c r="AI105" s="145" t="s">
        <v>1230</v>
      </c>
      <c r="AJ105" s="146">
        <v>46071</v>
      </c>
      <c r="AK105" s="147" t="s">
        <v>1192</v>
      </c>
      <c r="AL105" s="148" t="s">
        <v>1193</v>
      </c>
      <c r="AM105" s="149" t="s">
        <v>1204</v>
      </c>
      <c r="AN105" s="150">
        <v>2700</v>
      </c>
      <c r="AO105" s="150" t="s">
        <v>1197</v>
      </c>
      <c r="AP105" s="151" t="s">
        <v>1217</v>
      </c>
      <c r="AQ105" s="152">
        <f t="shared" si="36"/>
        <v>2700</v>
      </c>
      <c r="AR105" s="153">
        <f t="shared" si="37"/>
        <v>0</v>
      </c>
      <c r="AS105" s="153">
        <f t="shared" si="38"/>
        <v>2700</v>
      </c>
      <c r="AT105" s="153">
        <f t="shared" si="39"/>
        <v>2700</v>
      </c>
      <c r="AU105" s="153">
        <f t="shared" si="40"/>
        <v>2700</v>
      </c>
      <c r="AV105" s="154">
        <f t="shared" si="41"/>
        <v>2883.3333333333335</v>
      </c>
      <c r="AW105" s="154">
        <f t="shared" si="42"/>
        <v>2883.3333333333335</v>
      </c>
      <c r="AX105" s="154">
        <f t="shared" si="43"/>
        <v>158.7713240271471</v>
      </c>
      <c r="AY105" s="155">
        <f t="shared" si="44"/>
        <v>5.5065199084559688E-2</v>
      </c>
      <c r="AZ105" s="5"/>
      <c r="BA105" s="7">
        <f t="shared" si="45"/>
        <v>3</v>
      </c>
    </row>
    <row r="106" spans="1:53" ht="348" hidden="1" customHeight="1">
      <c r="A106" s="6" t="s">
        <v>569</v>
      </c>
      <c r="B106" s="6" t="s">
        <v>569</v>
      </c>
      <c r="C106" s="6" t="s">
        <v>569</v>
      </c>
      <c r="D106" s="6" t="s">
        <v>1522</v>
      </c>
      <c r="E106" s="127" t="s">
        <v>1523</v>
      </c>
      <c r="F106" s="128" t="s">
        <v>1247</v>
      </c>
      <c r="G106" s="129">
        <v>1</v>
      </c>
      <c r="H106" s="128"/>
      <c r="I106" s="130" t="s">
        <v>569</v>
      </c>
      <c r="J106" s="131" t="s">
        <v>569</v>
      </c>
      <c r="K106" s="132" t="s">
        <v>569</v>
      </c>
      <c r="L106" s="133" t="s">
        <v>569</v>
      </c>
      <c r="M106" s="131" t="s">
        <v>569</v>
      </c>
      <c r="N106" s="134"/>
      <c r="O106" s="134"/>
      <c r="P106" s="134"/>
      <c r="Q106" s="135" t="s">
        <v>1248</v>
      </c>
      <c r="R106" s="136" t="s">
        <v>1248</v>
      </c>
      <c r="S106" s="136" t="s">
        <v>1248</v>
      </c>
      <c r="T106" s="136" t="s">
        <v>1248</v>
      </c>
      <c r="U106" s="136" t="s">
        <v>1248</v>
      </c>
      <c r="V106" s="137" t="s">
        <v>569</v>
      </c>
      <c r="W106" s="138" t="s">
        <v>569</v>
      </c>
      <c r="X106" s="139" t="s">
        <v>569</v>
      </c>
      <c r="Y106" s="140" t="s">
        <v>569</v>
      </c>
      <c r="Z106" s="141" t="s">
        <v>1249</v>
      </c>
      <c r="AA106" s="142" t="s">
        <v>569</v>
      </c>
      <c r="AB106" s="142" t="s">
        <v>569</v>
      </c>
      <c r="AC106" s="142" t="s">
        <v>569</v>
      </c>
      <c r="AD106" s="143" t="s">
        <v>569</v>
      </c>
      <c r="AE106" s="144" t="s">
        <v>569</v>
      </c>
      <c r="AF106" s="144">
        <v>563629</v>
      </c>
      <c r="AG106" s="144">
        <v>5.5599999999999997E-2</v>
      </c>
      <c r="AH106" s="144">
        <v>594966</v>
      </c>
      <c r="AI106" s="145" t="s">
        <v>569</v>
      </c>
      <c r="AJ106" s="146" t="s">
        <v>569</v>
      </c>
      <c r="AK106" s="147" t="s">
        <v>569</v>
      </c>
      <c r="AL106" s="148" t="s">
        <v>569</v>
      </c>
      <c r="AM106" s="149" t="s">
        <v>1250</v>
      </c>
      <c r="AN106" s="150" t="s">
        <v>569</v>
      </c>
      <c r="AO106" s="150" t="s">
        <v>569</v>
      </c>
      <c r="AP106" s="151" t="s">
        <v>569</v>
      </c>
      <c r="AQ106" s="152">
        <v>485478</v>
      </c>
      <c r="AR106" s="153">
        <v>92241</v>
      </c>
      <c r="AS106" s="153">
        <v>577719</v>
      </c>
      <c r="AT106" s="153">
        <v>485478</v>
      </c>
      <c r="AU106" s="153">
        <v>577719</v>
      </c>
      <c r="AV106" s="154">
        <v>586343</v>
      </c>
      <c r="AW106" s="154">
        <v>586343</v>
      </c>
      <c r="AX106" s="154">
        <v>12195.49</v>
      </c>
      <c r="AY106" s="155">
        <v>2.0799999999999999E-2</v>
      </c>
      <c r="AZ106" s="5"/>
      <c r="BA106" s="7"/>
    </row>
    <row r="107" spans="1:53" ht="348" hidden="1" customHeight="1">
      <c r="A107" s="6" t="s">
        <v>569</v>
      </c>
      <c r="B107" s="6" t="s">
        <v>569</v>
      </c>
      <c r="C107" s="6" t="s">
        <v>569</v>
      </c>
      <c r="D107" s="6" t="s">
        <v>1524</v>
      </c>
      <c r="E107" s="127" t="s">
        <v>1525</v>
      </c>
      <c r="F107" s="128" t="s">
        <v>1247</v>
      </c>
      <c r="G107" s="129">
        <v>1</v>
      </c>
      <c r="H107" s="128"/>
      <c r="I107" s="130" t="s">
        <v>569</v>
      </c>
      <c r="J107" s="131" t="s">
        <v>569</v>
      </c>
      <c r="K107" s="132" t="s">
        <v>569</v>
      </c>
      <c r="L107" s="133" t="s">
        <v>569</v>
      </c>
      <c r="M107" s="131" t="s">
        <v>569</v>
      </c>
      <c r="N107" s="134"/>
      <c r="O107" s="134"/>
      <c r="P107" s="134"/>
      <c r="Q107" s="135" t="s">
        <v>1248</v>
      </c>
      <c r="R107" s="136" t="s">
        <v>1248</v>
      </c>
      <c r="S107" s="136" t="s">
        <v>1248</v>
      </c>
      <c r="T107" s="136" t="s">
        <v>1248</v>
      </c>
      <c r="U107" s="136" t="s">
        <v>1248</v>
      </c>
      <c r="V107" s="137" t="s">
        <v>569</v>
      </c>
      <c r="W107" s="138" t="s">
        <v>569</v>
      </c>
      <c r="X107" s="139" t="s">
        <v>569</v>
      </c>
      <c r="Y107" s="140" t="s">
        <v>569</v>
      </c>
      <c r="Z107" s="141" t="s">
        <v>1249</v>
      </c>
      <c r="AA107" s="142" t="s">
        <v>569</v>
      </c>
      <c r="AB107" s="142" t="s">
        <v>569</v>
      </c>
      <c r="AC107" s="142" t="s">
        <v>569</v>
      </c>
      <c r="AD107" s="143" t="s">
        <v>569</v>
      </c>
      <c r="AE107" s="144" t="s">
        <v>569</v>
      </c>
      <c r="AF107" s="144">
        <v>381263</v>
      </c>
      <c r="AG107" s="144">
        <v>5.5599999999999997E-2</v>
      </c>
      <c r="AH107" s="144">
        <v>402461</v>
      </c>
      <c r="AI107" s="145" t="s">
        <v>569</v>
      </c>
      <c r="AJ107" s="146" t="s">
        <v>569</v>
      </c>
      <c r="AK107" s="147" t="s">
        <v>569</v>
      </c>
      <c r="AL107" s="148" t="s">
        <v>569</v>
      </c>
      <c r="AM107" s="149" t="s">
        <v>1250</v>
      </c>
      <c r="AN107" s="150" t="s">
        <v>569</v>
      </c>
      <c r="AO107" s="150" t="s">
        <v>569</v>
      </c>
      <c r="AP107" s="151" t="s">
        <v>569</v>
      </c>
      <c r="AQ107" s="152">
        <v>326796</v>
      </c>
      <c r="AR107" s="153">
        <v>62091</v>
      </c>
      <c r="AS107" s="153">
        <v>388888</v>
      </c>
      <c r="AT107" s="153">
        <v>326796</v>
      </c>
      <c r="AU107" s="153">
        <v>388888</v>
      </c>
      <c r="AV107" s="154">
        <v>395674</v>
      </c>
      <c r="AW107" s="154">
        <v>395674</v>
      </c>
      <c r="AX107" s="154">
        <v>9597.52</v>
      </c>
      <c r="AY107" s="155">
        <v>2.4299999999999999E-2</v>
      </c>
      <c r="AZ107" s="5"/>
      <c r="BA107" s="7"/>
    </row>
    <row r="108" spans="1:53" ht="101.65" hidden="1" customHeight="1">
      <c r="A108" s="6" t="s">
        <v>1182</v>
      </c>
      <c r="B108" s="6" t="s">
        <v>1183</v>
      </c>
      <c r="C108" s="6">
        <v>53103000</v>
      </c>
      <c r="D108" s="6" t="s">
        <v>1526</v>
      </c>
      <c r="E108" s="127" t="s">
        <v>1527</v>
      </c>
      <c r="F108" s="128" t="s">
        <v>191</v>
      </c>
      <c r="G108" s="129">
        <v>1</v>
      </c>
      <c r="H108" s="128" t="s">
        <v>192</v>
      </c>
      <c r="I108" s="130" t="s">
        <v>1230</v>
      </c>
      <c r="J108" s="131">
        <v>46070</v>
      </c>
      <c r="K108" s="132" t="s">
        <v>1200</v>
      </c>
      <c r="L108" s="133" t="s">
        <v>1193</v>
      </c>
      <c r="M108" s="131" t="s">
        <v>1196</v>
      </c>
      <c r="N108" s="134">
        <v>38000</v>
      </c>
      <c r="O108" s="134" t="s">
        <v>1197</v>
      </c>
      <c r="P108" s="134" t="s">
        <v>1191</v>
      </c>
      <c r="Q108" s="135">
        <f>IF(O108="IVA Incluido",(N108/1.19),N108)</f>
        <v>38000</v>
      </c>
      <c r="R108" s="136">
        <f>IF(P108="Si tiene IVA",Q108*19%,0)</f>
        <v>7220</v>
      </c>
      <c r="S108" s="136">
        <f>Q108+R108</f>
        <v>45220</v>
      </c>
      <c r="T108" s="136">
        <f>IF(B108="","",(N108*G108))</f>
        <v>38000</v>
      </c>
      <c r="U108" s="136">
        <f>IF(B108="","",(S108*G108))</f>
        <v>45220</v>
      </c>
      <c r="V108" s="137" t="s">
        <v>1230</v>
      </c>
      <c r="W108" s="138">
        <v>46070</v>
      </c>
      <c r="X108" s="139" t="s">
        <v>1221</v>
      </c>
      <c r="Y108" s="140" t="s">
        <v>1193</v>
      </c>
      <c r="Z108" s="141" t="s">
        <v>1521</v>
      </c>
      <c r="AA108" s="142">
        <v>38000</v>
      </c>
      <c r="AB108" s="142" t="s">
        <v>1197</v>
      </c>
      <c r="AC108" s="142" t="s">
        <v>1191</v>
      </c>
      <c r="AD108" s="143">
        <f>IF(AB108="IVA Incluido",(AA108/1.19),AA108)</f>
        <v>38000</v>
      </c>
      <c r="AE108" s="144">
        <f>IF(AC108="Si tiene IVA",AD108*19%,0)</f>
        <v>7220</v>
      </c>
      <c r="AF108" s="144">
        <f>AD108+AE108</f>
        <v>45220</v>
      </c>
      <c r="AG108" s="144">
        <f>IF(O108="","",(AA108*G108))</f>
        <v>38000</v>
      </c>
      <c r="AH108" s="144">
        <f>IF(O108="","",(AF108*G108))</f>
        <v>45220</v>
      </c>
      <c r="AI108" s="145" t="s">
        <v>1230</v>
      </c>
      <c r="AJ108" s="146">
        <v>46071</v>
      </c>
      <c r="AK108" s="147" t="s">
        <v>1215</v>
      </c>
      <c r="AL108" s="148" t="s">
        <v>1193</v>
      </c>
      <c r="AM108" s="149" t="s">
        <v>1528</v>
      </c>
      <c r="AN108" s="150">
        <v>38000</v>
      </c>
      <c r="AO108" s="150" t="s">
        <v>1197</v>
      </c>
      <c r="AP108" s="151" t="s">
        <v>1217</v>
      </c>
      <c r="AQ108" s="152">
        <f>IF(AO108="IVA Incluido",(AN108/1.19),AN108)</f>
        <v>38000</v>
      </c>
      <c r="AR108" s="153">
        <f>IF(AP108="Si tiene IVA",AQ108*19%,0)</f>
        <v>0</v>
      </c>
      <c r="AS108" s="153">
        <f>AQ108+AR108</f>
        <v>38000</v>
      </c>
      <c r="AT108" s="153">
        <f>IF(AB108="","",(AN108*G108))</f>
        <v>38000</v>
      </c>
      <c r="AU108" s="153">
        <f>IF(AB108="","",(AS108*G108))</f>
        <v>38000</v>
      </c>
      <c r="AV108" s="154">
        <f>IF(A108="","",AVERAGE(S108,AF108,AS108))</f>
        <v>42813.333333333336</v>
      </c>
      <c r="AW108" s="154">
        <f>IF(A108="","",AVERAGE(U108,AH108,AU108))</f>
        <v>42813.333333333336</v>
      </c>
      <c r="AX108" s="154">
        <f>IF(N108="","",STDEV(U108,AH108,AU108))</f>
        <v>4168.4689435490982</v>
      </c>
      <c r="AY108" s="155">
        <f>IF(N108="","",(AX108/AW108))</f>
        <v>9.7363802792333337E-2</v>
      </c>
      <c r="AZ108" s="5"/>
      <c r="BA108" s="7">
        <f>COUNTA(M108,Z108,AM108)</f>
        <v>3</v>
      </c>
    </row>
    <row r="109" spans="1:53" ht="58.15" hidden="1" customHeight="1">
      <c r="A109" s="6" t="s">
        <v>1182</v>
      </c>
      <c r="B109" s="6" t="s">
        <v>1183</v>
      </c>
      <c r="C109" s="6">
        <v>53103000</v>
      </c>
      <c r="D109" s="6" t="s">
        <v>214</v>
      </c>
      <c r="E109" s="127" t="s">
        <v>1529</v>
      </c>
      <c r="F109" s="128" t="s">
        <v>191</v>
      </c>
      <c r="G109" s="129">
        <v>1</v>
      </c>
      <c r="H109" s="128" t="s">
        <v>192</v>
      </c>
      <c r="I109" s="130" t="s">
        <v>1230</v>
      </c>
      <c r="J109" s="131">
        <v>46072</v>
      </c>
      <c r="K109" s="132" t="s">
        <v>1232</v>
      </c>
      <c r="L109" s="133" t="s">
        <v>1193</v>
      </c>
      <c r="M109" s="131" t="s">
        <v>1233</v>
      </c>
      <c r="N109" s="134">
        <v>22000</v>
      </c>
      <c r="O109" s="134" t="s">
        <v>1197</v>
      </c>
      <c r="P109" s="134" t="s">
        <v>1217</v>
      </c>
      <c r="Q109" s="135">
        <f>IF(O109="IVA Incluido",(N109/1.19),N109)</f>
        <v>22000</v>
      </c>
      <c r="R109" s="136">
        <f>IF(P109="Si tiene IVA",Q109*19%,0)</f>
        <v>0</v>
      </c>
      <c r="S109" s="136">
        <f>Q109+R109</f>
        <v>22000</v>
      </c>
      <c r="T109" s="136">
        <f>IF(B109="","",(N109*G109))</f>
        <v>22000</v>
      </c>
      <c r="U109" s="136">
        <f>IF(B109="","",(S109*G109))</f>
        <v>22000</v>
      </c>
      <c r="V109" s="137" t="s">
        <v>1230</v>
      </c>
      <c r="W109" s="138">
        <v>46072</v>
      </c>
      <c r="X109" s="139" t="s">
        <v>1215</v>
      </c>
      <c r="Y109" s="140" t="s">
        <v>1193</v>
      </c>
      <c r="Z109" s="141" t="s">
        <v>1216</v>
      </c>
      <c r="AA109" s="142">
        <v>28000</v>
      </c>
      <c r="AB109" s="142" t="s">
        <v>1197</v>
      </c>
      <c r="AC109" s="142"/>
      <c r="AD109" s="143">
        <f>IF(AB109="IVA Incluido",(AA109/1.19),AA109)</f>
        <v>28000</v>
      </c>
      <c r="AE109" s="144">
        <f>IF(AC109="Si tiene IVA",AD109*19%,0)</f>
        <v>0</v>
      </c>
      <c r="AF109" s="144">
        <f>AD109+AE109</f>
        <v>28000</v>
      </c>
      <c r="AG109" s="144">
        <f>IF(O109="","",(AA109*G109))</f>
        <v>28000</v>
      </c>
      <c r="AH109" s="144">
        <f>IF(O109="","",(AF109*G109))</f>
        <v>28000</v>
      </c>
      <c r="AI109" s="145" t="s">
        <v>1230</v>
      </c>
      <c r="AJ109" s="146">
        <v>46072</v>
      </c>
      <c r="AK109" s="147" t="s">
        <v>1231</v>
      </c>
      <c r="AL109" s="148" t="s">
        <v>1193</v>
      </c>
      <c r="AM109" s="149" t="s">
        <v>1211</v>
      </c>
      <c r="AN109" s="150">
        <v>25000</v>
      </c>
      <c r="AO109" s="150" t="s">
        <v>1197</v>
      </c>
      <c r="AP109" s="151" t="s">
        <v>1191</v>
      </c>
      <c r="AQ109" s="152">
        <f>IF(AO109="IVA Incluido",(AN109/1.19),AN109)</f>
        <v>25000</v>
      </c>
      <c r="AR109" s="153">
        <f>IF(AP109="Si tiene IVA",AQ109*19%,0)</f>
        <v>4750</v>
      </c>
      <c r="AS109" s="153">
        <f>AQ109+AR109</f>
        <v>29750</v>
      </c>
      <c r="AT109" s="153">
        <f>IF(AB109="","",(AN109*G109))</f>
        <v>25000</v>
      </c>
      <c r="AU109" s="153">
        <f>IF(AB109="","",(AS109*G109))</f>
        <v>29750</v>
      </c>
      <c r="AV109" s="154">
        <f>IF(A109="","",AVERAGE(S109,AF109,AS109))</f>
        <v>26583.333333333332</v>
      </c>
      <c r="AW109" s="154">
        <f>IF(A109="","",AVERAGE(U109,AH109,AU109))</f>
        <v>26583.333333333332</v>
      </c>
      <c r="AX109" s="154">
        <f>IF(N109="","",STDEV(U109,AH109,AU109))</f>
        <v>4064.5827994190713</v>
      </c>
      <c r="AY109" s="155">
        <f>IF(N109="","",(AX109/AW109))</f>
        <v>0.15289966643582714</v>
      </c>
      <c r="AZ109" s="5"/>
      <c r="BA109" s="7">
        <f>COUNTA(M109,Z109,AM109)</f>
        <v>3</v>
      </c>
    </row>
    <row r="110" spans="1:53" ht="348" hidden="1" customHeight="1">
      <c r="A110" s="6" t="s">
        <v>569</v>
      </c>
      <c r="B110" s="6" t="s">
        <v>569</v>
      </c>
      <c r="C110" s="6" t="s">
        <v>569</v>
      </c>
      <c r="D110" s="6" t="s">
        <v>1530</v>
      </c>
      <c r="E110" s="127" t="s">
        <v>1531</v>
      </c>
      <c r="F110" s="128" t="s">
        <v>1247</v>
      </c>
      <c r="G110" s="129">
        <v>1</v>
      </c>
      <c r="H110" s="128"/>
      <c r="I110" s="130" t="s">
        <v>569</v>
      </c>
      <c r="J110" s="131" t="s">
        <v>569</v>
      </c>
      <c r="K110" s="132" t="s">
        <v>569</v>
      </c>
      <c r="L110" s="133" t="s">
        <v>569</v>
      </c>
      <c r="M110" s="131" t="s">
        <v>569</v>
      </c>
      <c r="N110" s="134"/>
      <c r="O110" s="134"/>
      <c r="P110" s="134"/>
      <c r="Q110" s="135">
        <v>5000000</v>
      </c>
      <c r="R110" s="136">
        <v>950000</v>
      </c>
      <c r="S110" s="136">
        <v>5950000</v>
      </c>
      <c r="T110" s="136">
        <v>5000000</v>
      </c>
      <c r="U110" s="136">
        <v>5950000</v>
      </c>
      <c r="V110" s="137" t="s">
        <v>569</v>
      </c>
      <c r="W110" s="138" t="s">
        <v>569</v>
      </c>
      <c r="X110" s="139" t="s">
        <v>569</v>
      </c>
      <c r="Y110" s="140" t="s">
        <v>569</v>
      </c>
      <c r="Z110" s="141" t="s">
        <v>1249</v>
      </c>
      <c r="AA110" s="142" t="s">
        <v>569</v>
      </c>
      <c r="AB110" s="142" t="s">
        <v>569</v>
      </c>
      <c r="AC110" s="142" t="s">
        <v>569</v>
      </c>
      <c r="AD110" s="143" t="s">
        <v>569</v>
      </c>
      <c r="AE110" s="144" t="s">
        <v>569</v>
      </c>
      <c r="AF110" s="144">
        <v>5707232</v>
      </c>
      <c r="AG110" s="144">
        <v>5.5599999999999997E-2</v>
      </c>
      <c r="AH110" s="144">
        <v>6024554</v>
      </c>
      <c r="AI110" s="145" t="s">
        <v>569</v>
      </c>
      <c r="AJ110" s="146" t="s">
        <v>569</v>
      </c>
      <c r="AK110" s="147" t="s">
        <v>569</v>
      </c>
      <c r="AL110" s="148" t="s">
        <v>569</v>
      </c>
      <c r="AM110" s="149" t="s">
        <v>1250</v>
      </c>
      <c r="AN110" s="150" t="s">
        <v>569</v>
      </c>
      <c r="AO110" s="150" t="s">
        <v>569</v>
      </c>
      <c r="AP110" s="151" t="s">
        <v>569</v>
      </c>
      <c r="AQ110" s="152">
        <v>4987833</v>
      </c>
      <c r="AR110" s="153">
        <v>947688</v>
      </c>
      <c r="AS110" s="153">
        <v>5935521</v>
      </c>
      <c r="AT110" s="153">
        <v>4987833</v>
      </c>
      <c r="AU110" s="153">
        <v>5935521</v>
      </c>
      <c r="AV110" s="154">
        <v>5980037</v>
      </c>
      <c r="AW110" s="154">
        <v>5980037</v>
      </c>
      <c r="AX110" s="154">
        <v>47775.07</v>
      </c>
      <c r="AY110" s="155">
        <v>8.0000000000000002E-3</v>
      </c>
      <c r="AZ110" s="5"/>
      <c r="BA110" s="7"/>
    </row>
    <row r="111" spans="1:53" ht="101.65" hidden="1" customHeight="1">
      <c r="A111" s="6" t="s">
        <v>1182</v>
      </c>
      <c r="B111" s="6" t="s">
        <v>1251</v>
      </c>
      <c r="C111" s="6">
        <v>60121148</v>
      </c>
      <c r="D111" s="6" t="s">
        <v>1532</v>
      </c>
      <c r="E111" s="127" t="s">
        <v>1533</v>
      </c>
      <c r="F111" s="128" t="s">
        <v>191</v>
      </c>
      <c r="G111" s="129">
        <v>1</v>
      </c>
      <c r="H111" s="128" t="s">
        <v>192</v>
      </c>
      <c r="I111" s="130" t="s">
        <v>1199</v>
      </c>
      <c r="J111" s="131">
        <v>46069</v>
      </c>
      <c r="K111" s="132" t="s">
        <v>1461</v>
      </c>
      <c r="L111" s="133" t="s">
        <v>1193</v>
      </c>
      <c r="M111" s="131" t="s">
        <v>1462</v>
      </c>
      <c r="N111" s="134">
        <v>2171</v>
      </c>
      <c r="O111" s="134" t="s">
        <v>1197</v>
      </c>
      <c r="P111" s="134" t="s">
        <v>1191</v>
      </c>
      <c r="Q111" s="135">
        <f t="shared" ref="Q111:Q120" si="47">IF(O111="IVA Incluido",(N111/1.19),N111)</f>
        <v>2171</v>
      </c>
      <c r="R111" s="136">
        <f t="shared" ref="R111:R120" si="48">IF(P111="Si tiene IVA",Q111*19%,0)</f>
        <v>412.49</v>
      </c>
      <c r="S111" s="136">
        <f t="shared" ref="S111:S120" si="49">Q111+R111</f>
        <v>2583.4899999999998</v>
      </c>
      <c r="T111" s="136">
        <f t="shared" ref="T111:T120" si="50">IF(B111="","",(N111*G111))</f>
        <v>2171</v>
      </c>
      <c r="U111" s="136" t="s">
        <v>1534</v>
      </c>
      <c r="V111" s="137" t="s">
        <v>1199</v>
      </c>
      <c r="W111" s="138">
        <v>46069</v>
      </c>
      <c r="X111" s="139" t="s">
        <v>1463</v>
      </c>
      <c r="Y111" s="140" t="s">
        <v>1193</v>
      </c>
      <c r="Z111" s="141" t="s">
        <v>1464</v>
      </c>
      <c r="AA111" s="142">
        <v>2185</v>
      </c>
      <c r="AB111" s="142" t="s">
        <v>1197</v>
      </c>
      <c r="AC111" s="142" t="s">
        <v>1191</v>
      </c>
      <c r="AD111" s="143">
        <v>2185</v>
      </c>
      <c r="AE111" s="144">
        <f t="shared" ref="AE111:AE120" si="51">IF(AC111="Si tiene IVA",AD111*19%,0)</f>
        <v>415.15</v>
      </c>
      <c r="AF111" s="144">
        <f t="shared" ref="AF111:AF120" si="52">AD111+AE111</f>
        <v>2600.15</v>
      </c>
      <c r="AG111" s="144">
        <f t="shared" ref="AG111:AG120" si="53">IF(O111="","",(AA111*G111))</f>
        <v>2185</v>
      </c>
      <c r="AH111" s="144">
        <f t="shared" ref="AH111:AH120" si="54">IF(O111="","",(AF111*G111))</f>
        <v>2600.15</v>
      </c>
      <c r="AI111" s="145" t="s">
        <v>1199</v>
      </c>
      <c r="AJ111" s="146">
        <v>46069</v>
      </c>
      <c r="AK111" s="147" t="s">
        <v>1535</v>
      </c>
      <c r="AL111" s="148" t="s">
        <v>1193</v>
      </c>
      <c r="AM111" s="149" t="s">
        <v>1536</v>
      </c>
      <c r="AN111" s="150">
        <v>2800</v>
      </c>
      <c r="AO111" s="150" t="s">
        <v>1190</v>
      </c>
      <c r="AP111" s="151" t="s">
        <v>1191</v>
      </c>
      <c r="AQ111" s="152">
        <f t="shared" ref="AQ111:AQ120" si="55">IF(AO111="IVA Incluido",(AN111/1.19),AN111)</f>
        <v>2352.9411764705883</v>
      </c>
      <c r="AR111" s="153">
        <f t="shared" ref="AR111:AR120" si="56">IF(AP111="Si tiene IVA",AQ111*19%,0)</f>
        <v>447.05882352941177</v>
      </c>
      <c r="AS111" s="153">
        <f t="shared" ref="AS111:AS120" si="57">AQ111+AR111</f>
        <v>2800</v>
      </c>
      <c r="AT111" s="153">
        <f t="shared" ref="AT111:AT120" si="58">IF(AB111="","",(AN111*G111))</f>
        <v>2800</v>
      </c>
      <c r="AU111" s="153">
        <f t="shared" ref="AU111:AU120" si="59">IF(AB111="","",(AS111*G111))</f>
        <v>2800</v>
      </c>
      <c r="AV111" s="154">
        <f t="shared" ref="AV111:AV120" si="60">IF(A111="","",AVERAGE(S111,AF111,AS111))</f>
        <v>2661.2133333333331</v>
      </c>
      <c r="AW111" s="154">
        <f t="shared" ref="AW111:AW120" si="61">IF(A111="","",AVERAGE(U111,AH111,AU111))</f>
        <v>2700.0749999999998</v>
      </c>
      <c r="AX111" s="154">
        <f t="shared" ref="AX111:AX120" si="62">IF(N111="","",STDEV(U111,AH111,AU111))</f>
        <v>141.31529022013146</v>
      </c>
      <c r="AY111" s="155">
        <f t="shared" ref="AY111:AY120" si="63">IF(N111="","",(AX111/AW111))</f>
        <v>5.2337542557199884E-2</v>
      </c>
      <c r="AZ111" s="5"/>
      <c r="BA111" s="7">
        <f t="shared" ref="BA111:BA120" si="64">COUNTA(M111,Z111,AM111)</f>
        <v>3</v>
      </c>
    </row>
    <row r="112" spans="1:53" ht="58.15" hidden="1" customHeight="1">
      <c r="A112" s="6" t="s">
        <v>1182</v>
      </c>
      <c r="B112" s="6" t="s">
        <v>1251</v>
      </c>
      <c r="C112" s="6">
        <v>60121148</v>
      </c>
      <c r="D112" s="6" t="s">
        <v>1537</v>
      </c>
      <c r="E112" s="127" t="s">
        <v>1538</v>
      </c>
      <c r="F112" s="128" t="s">
        <v>191</v>
      </c>
      <c r="G112" s="129">
        <v>1</v>
      </c>
      <c r="H112" s="128" t="s">
        <v>192</v>
      </c>
      <c r="I112" s="130" t="s">
        <v>1199</v>
      </c>
      <c r="J112" s="131">
        <v>46069</v>
      </c>
      <c r="K112" s="132" t="s">
        <v>1423</v>
      </c>
      <c r="L112" s="133" t="s">
        <v>1193</v>
      </c>
      <c r="M112" s="131" t="s">
        <v>1455</v>
      </c>
      <c r="N112" s="134">
        <v>9000</v>
      </c>
      <c r="O112" s="134" t="s">
        <v>1190</v>
      </c>
      <c r="P112" s="134" t="s">
        <v>1191</v>
      </c>
      <c r="Q112" s="135">
        <f t="shared" si="47"/>
        <v>7563.0252100840344</v>
      </c>
      <c r="R112" s="136">
        <f t="shared" si="48"/>
        <v>1436.9747899159665</v>
      </c>
      <c r="S112" s="136">
        <f t="shared" si="49"/>
        <v>9000</v>
      </c>
      <c r="T112" s="136">
        <f t="shared" si="50"/>
        <v>9000</v>
      </c>
      <c r="U112" s="136">
        <f t="shared" ref="U112:U120" si="65">IF(B112="","",(S112*G112))</f>
        <v>9000</v>
      </c>
      <c r="V112" s="137" t="s">
        <v>1199</v>
      </c>
      <c r="W112" s="138">
        <v>46069</v>
      </c>
      <c r="X112" s="139" t="s">
        <v>1463</v>
      </c>
      <c r="Y112" s="140" t="s">
        <v>1193</v>
      </c>
      <c r="Z112" s="141" t="s">
        <v>1464</v>
      </c>
      <c r="AA112" s="142">
        <v>6050</v>
      </c>
      <c r="AB112" s="142" t="s">
        <v>1197</v>
      </c>
      <c r="AC112" s="142" t="s">
        <v>1191</v>
      </c>
      <c r="AD112" s="143">
        <f t="shared" ref="AD112:AD120" si="66">IF(AB112="IVA Incluido",(AA112/1.19),AA112)</f>
        <v>6050</v>
      </c>
      <c r="AE112" s="144">
        <f t="shared" si="51"/>
        <v>1149.5</v>
      </c>
      <c r="AF112" s="144">
        <f t="shared" si="52"/>
        <v>7199.5</v>
      </c>
      <c r="AG112" s="144">
        <f t="shared" si="53"/>
        <v>6050</v>
      </c>
      <c r="AH112" s="144">
        <f t="shared" si="54"/>
        <v>7199.5</v>
      </c>
      <c r="AI112" s="145" t="s">
        <v>1199</v>
      </c>
      <c r="AJ112" s="146">
        <v>46069</v>
      </c>
      <c r="AK112" s="147" t="s">
        <v>1421</v>
      </c>
      <c r="AL112" s="148" t="s">
        <v>1193</v>
      </c>
      <c r="AM112" s="149" t="s">
        <v>1484</v>
      </c>
      <c r="AN112" s="150">
        <v>10000</v>
      </c>
      <c r="AO112" s="150" t="s">
        <v>1190</v>
      </c>
      <c r="AP112" s="151" t="s">
        <v>1191</v>
      </c>
      <c r="AQ112" s="152">
        <f t="shared" si="55"/>
        <v>8403.361344537816</v>
      </c>
      <c r="AR112" s="153">
        <f t="shared" si="56"/>
        <v>1596.6386554621849</v>
      </c>
      <c r="AS112" s="153">
        <f t="shared" si="57"/>
        <v>10000</v>
      </c>
      <c r="AT112" s="153">
        <f t="shared" si="58"/>
        <v>10000</v>
      </c>
      <c r="AU112" s="153">
        <f t="shared" si="59"/>
        <v>10000</v>
      </c>
      <c r="AV112" s="154">
        <f t="shared" si="60"/>
        <v>8733.1666666666661</v>
      </c>
      <c r="AW112" s="154">
        <f t="shared" si="61"/>
        <v>8733.1666666666661</v>
      </c>
      <c r="AX112" s="154">
        <f t="shared" si="62"/>
        <v>1419.189939131943</v>
      </c>
      <c r="AY112" s="155">
        <f t="shared" si="63"/>
        <v>0.16250576604117747</v>
      </c>
      <c r="AZ112" s="5"/>
      <c r="BA112" s="7">
        <f t="shared" si="64"/>
        <v>3</v>
      </c>
    </row>
    <row r="113" spans="1:53" ht="58.15" hidden="1" customHeight="1">
      <c r="A113" s="6" t="s">
        <v>1182</v>
      </c>
      <c r="B113" s="6" t="s">
        <v>1251</v>
      </c>
      <c r="C113" s="6"/>
      <c r="D113" s="6" t="s">
        <v>1539</v>
      </c>
      <c r="E113" s="127" t="s">
        <v>1540</v>
      </c>
      <c r="F113" s="128" t="s">
        <v>191</v>
      </c>
      <c r="G113" s="129">
        <v>1</v>
      </c>
      <c r="H113" s="128" t="s">
        <v>192</v>
      </c>
      <c r="I113" s="130" t="s">
        <v>1199</v>
      </c>
      <c r="J113" s="131">
        <v>46070</v>
      </c>
      <c r="K113" s="132" t="s">
        <v>1480</v>
      </c>
      <c r="L113" s="133" t="s">
        <v>1193</v>
      </c>
      <c r="M113" s="131" t="s">
        <v>1541</v>
      </c>
      <c r="N113" s="134">
        <v>2000</v>
      </c>
      <c r="O113" s="134" t="s">
        <v>1190</v>
      </c>
      <c r="P113" s="134" t="s">
        <v>1191</v>
      </c>
      <c r="Q113" s="135">
        <f t="shared" si="47"/>
        <v>1680.6722689075632</v>
      </c>
      <c r="R113" s="136">
        <f t="shared" si="48"/>
        <v>319.32773109243703</v>
      </c>
      <c r="S113" s="136">
        <f t="shared" si="49"/>
        <v>2000.0000000000002</v>
      </c>
      <c r="T113" s="136">
        <f t="shared" si="50"/>
        <v>2000</v>
      </c>
      <c r="U113" s="136">
        <f t="shared" si="65"/>
        <v>2000.0000000000002</v>
      </c>
      <c r="V113" s="137" t="s">
        <v>1199</v>
      </c>
      <c r="W113" s="138">
        <v>46070</v>
      </c>
      <c r="X113" s="139" t="s">
        <v>1542</v>
      </c>
      <c r="Y113" s="140" t="s">
        <v>1193</v>
      </c>
      <c r="Z113" s="141" t="s">
        <v>1543</v>
      </c>
      <c r="AA113" s="142">
        <v>2400</v>
      </c>
      <c r="AB113" s="142" t="s">
        <v>1190</v>
      </c>
      <c r="AC113" s="142" t="s">
        <v>1191</v>
      </c>
      <c r="AD113" s="143">
        <f t="shared" si="66"/>
        <v>2016.8067226890757</v>
      </c>
      <c r="AE113" s="144">
        <f t="shared" si="51"/>
        <v>383.19327731092437</v>
      </c>
      <c r="AF113" s="144">
        <f t="shared" si="52"/>
        <v>2400</v>
      </c>
      <c r="AG113" s="144">
        <f t="shared" si="53"/>
        <v>2400</v>
      </c>
      <c r="AH113" s="144">
        <f t="shared" si="54"/>
        <v>2400</v>
      </c>
      <c r="AI113" s="145" t="s">
        <v>1199</v>
      </c>
      <c r="AJ113" s="146">
        <v>46070</v>
      </c>
      <c r="AK113" s="147" t="s">
        <v>1544</v>
      </c>
      <c r="AL113" s="148" t="s">
        <v>1193</v>
      </c>
      <c r="AM113" s="149" t="s">
        <v>1545</v>
      </c>
      <c r="AN113" s="150">
        <v>2800</v>
      </c>
      <c r="AO113" s="150" t="s">
        <v>1190</v>
      </c>
      <c r="AP113" s="151" t="s">
        <v>1191</v>
      </c>
      <c r="AQ113" s="152">
        <f t="shared" si="55"/>
        <v>2352.9411764705883</v>
      </c>
      <c r="AR113" s="153">
        <f t="shared" si="56"/>
        <v>447.05882352941177</v>
      </c>
      <c r="AS113" s="153">
        <f t="shared" si="57"/>
        <v>2800</v>
      </c>
      <c r="AT113" s="153">
        <f t="shared" si="58"/>
        <v>2800</v>
      </c>
      <c r="AU113" s="153">
        <f t="shared" si="59"/>
        <v>2800</v>
      </c>
      <c r="AV113" s="154">
        <f t="shared" si="60"/>
        <v>2400</v>
      </c>
      <c r="AW113" s="154">
        <f t="shared" si="61"/>
        <v>2400</v>
      </c>
      <c r="AX113" s="154">
        <f t="shared" si="62"/>
        <v>400</v>
      </c>
      <c r="AY113" s="155">
        <f t="shared" si="63"/>
        <v>0.16666666666666666</v>
      </c>
      <c r="AZ113" s="5"/>
      <c r="BA113" s="7">
        <f t="shared" si="64"/>
        <v>3</v>
      </c>
    </row>
    <row r="114" spans="1:53" ht="72.599999999999994" hidden="1" customHeight="1">
      <c r="A114" s="6" t="s">
        <v>1182</v>
      </c>
      <c r="B114" s="6" t="s">
        <v>1251</v>
      </c>
      <c r="C114" s="6">
        <v>14111519</v>
      </c>
      <c r="D114" s="6" t="s">
        <v>1546</v>
      </c>
      <c r="E114" s="127" t="s">
        <v>1547</v>
      </c>
      <c r="F114" s="128" t="s">
        <v>191</v>
      </c>
      <c r="G114" s="129">
        <v>1</v>
      </c>
      <c r="H114" s="128" t="s">
        <v>192</v>
      </c>
      <c r="I114" s="130" t="s">
        <v>1199</v>
      </c>
      <c r="J114" s="131">
        <v>46070</v>
      </c>
      <c r="K114" s="132" t="s">
        <v>1461</v>
      </c>
      <c r="L114" s="133" t="s">
        <v>1193</v>
      </c>
      <c r="M114" s="131" t="s">
        <v>1462</v>
      </c>
      <c r="N114" s="134">
        <v>7990</v>
      </c>
      <c r="O114" s="134" t="s">
        <v>1197</v>
      </c>
      <c r="P114" s="134" t="s">
        <v>1191</v>
      </c>
      <c r="Q114" s="135">
        <f t="shared" si="47"/>
        <v>7990</v>
      </c>
      <c r="R114" s="136">
        <f t="shared" si="48"/>
        <v>1518.1</v>
      </c>
      <c r="S114" s="136">
        <f t="shared" si="49"/>
        <v>9508.1</v>
      </c>
      <c r="T114" s="136">
        <f t="shared" si="50"/>
        <v>7990</v>
      </c>
      <c r="U114" s="136">
        <f t="shared" si="65"/>
        <v>9508.1</v>
      </c>
      <c r="V114" s="137" t="s">
        <v>1199</v>
      </c>
      <c r="W114" s="138">
        <v>46070</v>
      </c>
      <c r="X114" s="139" t="s">
        <v>1256</v>
      </c>
      <c r="Y114" s="140" t="s">
        <v>1193</v>
      </c>
      <c r="Z114" s="141" t="s">
        <v>1257</v>
      </c>
      <c r="AA114" s="142">
        <v>7774</v>
      </c>
      <c r="AB114" s="142" t="s">
        <v>1197</v>
      </c>
      <c r="AC114" s="142" t="s">
        <v>1191</v>
      </c>
      <c r="AD114" s="143">
        <f t="shared" si="66"/>
        <v>7774</v>
      </c>
      <c r="AE114" s="144">
        <f t="shared" si="51"/>
        <v>1477.06</v>
      </c>
      <c r="AF114" s="144">
        <f t="shared" si="52"/>
        <v>9251.06</v>
      </c>
      <c r="AG114" s="144">
        <f t="shared" si="53"/>
        <v>7774</v>
      </c>
      <c r="AH114" s="144">
        <f t="shared" si="54"/>
        <v>9251.06</v>
      </c>
      <c r="AI114" s="145" t="s">
        <v>1199</v>
      </c>
      <c r="AJ114" s="146">
        <v>46070</v>
      </c>
      <c r="AK114" s="147" t="s">
        <v>1548</v>
      </c>
      <c r="AL114" s="148" t="s">
        <v>1193</v>
      </c>
      <c r="AM114" s="149" t="s">
        <v>1549</v>
      </c>
      <c r="AN114" s="150">
        <v>11000</v>
      </c>
      <c r="AO114" s="150" t="s">
        <v>1190</v>
      </c>
      <c r="AP114" s="151" t="s">
        <v>1191</v>
      </c>
      <c r="AQ114" s="152">
        <f t="shared" si="55"/>
        <v>9243.6974789915967</v>
      </c>
      <c r="AR114" s="153">
        <f t="shared" si="56"/>
        <v>1756.3025210084033</v>
      </c>
      <c r="AS114" s="153">
        <f t="shared" si="57"/>
        <v>11000</v>
      </c>
      <c r="AT114" s="153">
        <f t="shared" si="58"/>
        <v>11000</v>
      </c>
      <c r="AU114" s="153">
        <f t="shared" si="59"/>
        <v>11000</v>
      </c>
      <c r="AV114" s="154">
        <f t="shared" si="60"/>
        <v>9919.7199999999993</v>
      </c>
      <c r="AW114" s="154">
        <f t="shared" si="61"/>
        <v>9919.7199999999993</v>
      </c>
      <c r="AX114" s="154">
        <f t="shared" si="62"/>
        <v>944.33630090132624</v>
      </c>
      <c r="AY114" s="155">
        <f t="shared" si="63"/>
        <v>9.5197878660015237E-2</v>
      </c>
      <c r="AZ114" s="5"/>
      <c r="BA114" s="7">
        <f t="shared" si="64"/>
        <v>3</v>
      </c>
    </row>
    <row r="115" spans="1:53" ht="43.5" hidden="1" customHeight="1">
      <c r="A115" s="6" t="s">
        <v>1182</v>
      </c>
      <c r="B115" s="6" t="s">
        <v>1251</v>
      </c>
      <c r="C115" s="6">
        <v>14111519</v>
      </c>
      <c r="D115" s="6" t="s">
        <v>1550</v>
      </c>
      <c r="E115" s="127" t="s">
        <v>1551</v>
      </c>
      <c r="F115" s="128" t="s">
        <v>191</v>
      </c>
      <c r="G115" s="129">
        <v>1</v>
      </c>
      <c r="H115" s="128" t="s">
        <v>192</v>
      </c>
      <c r="I115" s="130" t="s">
        <v>1199</v>
      </c>
      <c r="J115" s="131">
        <v>46070</v>
      </c>
      <c r="K115" s="132" t="s">
        <v>1421</v>
      </c>
      <c r="L115" s="133" t="s">
        <v>1193</v>
      </c>
      <c r="M115" s="131" t="s">
        <v>1484</v>
      </c>
      <c r="N115" s="134">
        <v>1200</v>
      </c>
      <c r="O115" s="134" t="s">
        <v>1190</v>
      </c>
      <c r="P115" s="134" t="s">
        <v>1191</v>
      </c>
      <c r="Q115" s="135">
        <f t="shared" si="47"/>
        <v>1008.4033613445379</v>
      </c>
      <c r="R115" s="136">
        <f t="shared" si="48"/>
        <v>191.59663865546219</v>
      </c>
      <c r="S115" s="136">
        <f t="shared" si="49"/>
        <v>1200</v>
      </c>
      <c r="T115" s="136">
        <f t="shared" si="50"/>
        <v>1200</v>
      </c>
      <c r="U115" s="136">
        <f t="shared" si="65"/>
        <v>1200</v>
      </c>
      <c r="V115" s="137" t="s">
        <v>1199</v>
      </c>
      <c r="W115" s="138">
        <v>46070</v>
      </c>
      <c r="X115" s="139" t="s">
        <v>1258</v>
      </c>
      <c r="Y115" s="140" t="s">
        <v>1193</v>
      </c>
      <c r="Z115" s="141" t="s">
        <v>1479</v>
      </c>
      <c r="AA115" s="142">
        <v>1500</v>
      </c>
      <c r="AB115" s="142" t="s">
        <v>1190</v>
      </c>
      <c r="AC115" s="142" t="s">
        <v>1191</v>
      </c>
      <c r="AD115" s="143">
        <f t="shared" si="66"/>
        <v>1260.5042016806724</v>
      </c>
      <c r="AE115" s="144">
        <f t="shared" si="51"/>
        <v>239.49579831932775</v>
      </c>
      <c r="AF115" s="144">
        <f t="shared" si="52"/>
        <v>1500.0000000000002</v>
      </c>
      <c r="AG115" s="144">
        <f t="shared" si="53"/>
        <v>1500</v>
      </c>
      <c r="AH115" s="144">
        <f t="shared" si="54"/>
        <v>1500.0000000000002</v>
      </c>
      <c r="AI115" s="145" t="s">
        <v>1199</v>
      </c>
      <c r="AJ115" s="146">
        <v>46070</v>
      </c>
      <c r="AK115" s="147" t="s">
        <v>1461</v>
      </c>
      <c r="AL115" s="148" t="s">
        <v>1193</v>
      </c>
      <c r="AM115" s="149" t="s">
        <v>1462</v>
      </c>
      <c r="AN115" s="150">
        <v>1050</v>
      </c>
      <c r="AO115" s="150" t="s">
        <v>1197</v>
      </c>
      <c r="AP115" s="151" t="s">
        <v>1191</v>
      </c>
      <c r="AQ115" s="152">
        <f t="shared" si="55"/>
        <v>1050</v>
      </c>
      <c r="AR115" s="153">
        <f t="shared" si="56"/>
        <v>199.5</v>
      </c>
      <c r="AS115" s="153">
        <f t="shared" si="57"/>
        <v>1249.5</v>
      </c>
      <c r="AT115" s="153">
        <f t="shared" si="58"/>
        <v>1050</v>
      </c>
      <c r="AU115" s="153">
        <f t="shared" si="59"/>
        <v>1249.5</v>
      </c>
      <c r="AV115" s="154">
        <f t="shared" si="60"/>
        <v>1316.5</v>
      </c>
      <c r="AW115" s="154">
        <f t="shared" si="61"/>
        <v>1316.5</v>
      </c>
      <c r="AX115" s="154">
        <f t="shared" si="62"/>
        <v>160.83143349482413</v>
      </c>
      <c r="AY115" s="155">
        <f t="shared" si="63"/>
        <v>0.12216591985934229</v>
      </c>
      <c r="AZ115" s="5"/>
      <c r="BA115" s="7">
        <f t="shared" si="64"/>
        <v>3</v>
      </c>
    </row>
    <row r="116" spans="1:53" ht="43.5" hidden="1" customHeight="1">
      <c r="A116" s="6" t="s">
        <v>1182</v>
      </c>
      <c r="B116" s="6" t="s">
        <v>1251</v>
      </c>
      <c r="C116" s="6">
        <v>14111519</v>
      </c>
      <c r="D116" s="6" t="s">
        <v>1552</v>
      </c>
      <c r="E116" s="127" t="s">
        <v>1553</v>
      </c>
      <c r="F116" s="128" t="s">
        <v>191</v>
      </c>
      <c r="G116" s="129">
        <v>1</v>
      </c>
      <c r="H116" s="128" t="s">
        <v>192</v>
      </c>
      <c r="I116" s="130" t="s">
        <v>1199</v>
      </c>
      <c r="J116" s="131">
        <v>46071</v>
      </c>
      <c r="K116" s="132" t="s">
        <v>1258</v>
      </c>
      <c r="L116" s="133" t="s">
        <v>1193</v>
      </c>
      <c r="M116" s="131" t="s">
        <v>1487</v>
      </c>
      <c r="N116" s="134">
        <v>2000</v>
      </c>
      <c r="O116" s="134" t="s">
        <v>1190</v>
      </c>
      <c r="P116" s="134" t="s">
        <v>1191</v>
      </c>
      <c r="Q116" s="135">
        <f t="shared" si="47"/>
        <v>1680.6722689075632</v>
      </c>
      <c r="R116" s="136">
        <f t="shared" si="48"/>
        <v>319.32773109243703</v>
      </c>
      <c r="S116" s="136">
        <f t="shared" si="49"/>
        <v>2000.0000000000002</v>
      </c>
      <c r="T116" s="136">
        <f t="shared" si="50"/>
        <v>2000</v>
      </c>
      <c r="U116" s="136">
        <f t="shared" si="65"/>
        <v>2000.0000000000002</v>
      </c>
      <c r="V116" s="137" t="s">
        <v>1186</v>
      </c>
      <c r="W116" s="138">
        <v>46139</v>
      </c>
      <c r="X116" s="139" t="s">
        <v>1463</v>
      </c>
      <c r="Y116" s="140" t="s">
        <v>1193</v>
      </c>
      <c r="Z116" s="141" t="s">
        <v>1554</v>
      </c>
      <c r="AA116" s="142">
        <v>1681</v>
      </c>
      <c r="AB116" s="142" t="s">
        <v>1197</v>
      </c>
      <c r="AC116" s="142" t="s">
        <v>1191</v>
      </c>
      <c r="AD116" s="143">
        <f t="shared" si="66"/>
        <v>1681</v>
      </c>
      <c r="AE116" s="144">
        <f t="shared" si="51"/>
        <v>319.39</v>
      </c>
      <c r="AF116" s="144">
        <f t="shared" si="52"/>
        <v>2000.3899999999999</v>
      </c>
      <c r="AG116" s="144">
        <f t="shared" si="53"/>
        <v>1681</v>
      </c>
      <c r="AH116" s="144">
        <f t="shared" si="54"/>
        <v>2000.3899999999999</v>
      </c>
      <c r="AI116" s="145" t="s">
        <v>1186</v>
      </c>
      <c r="AJ116" s="146">
        <v>46139</v>
      </c>
      <c r="AK116" s="147" t="s">
        <v>1461</v>
      </c>
      <c r="AL116" s="148" t="s">
        <v>1193</v>
      </c>
      <c r="AM116" s="149" t="s">
        <v>1462</v>
      </c>
      <c r="AN116" s="150">
        <v>1694</v>
      </c>
      <c r="AO116" s="150" t="s">
        <v>1197</v>
      </c>
      <c r="AP116" s="151" t="s">
        <v>1191</v>
      </c>
      <c r="AQ116" s="152">
        <f t="shared" si="55"/>
        <v>1694</v>
      </c>
      <c r="AR116" s="153">
        <f t="shared" si="56"/>
        <v>321.86</v>
      </c>
      <c r="AS116" s="153">
        <f t="shared" si="57"/>
        <v>2015.8600000000001</v>
      </c>
      <c r="AT116" s="153">
        <f t="shared" si="58"/>
        <v>1694</v>
      </c>
      <c r="AU116" s="153">
        <f t="shared" si="59"/>
        <v>2015.8600000000001</v>
      </c>
      <c r="AV116" s="154">
        <f t="shared" si="60"/>
        <v>2005.4166666666667</v>
      </c>
      <c r="AW116" s="154">
        <f t="shared" si="61"/>
        <v>2005.4166666666667</v>
      </c>
      <c r="AX116" s="154">
        <f t="shared" si="62"/>
        <v>9.0462939004508396</v>
      </c>
      <c r="AY116" s="155">
        <f t="shared" si="63"/>
        <v>4.5109298485522574E-3</v>
      </c>
      <c r="AZ116" s="5"/>
      <c r="BA116" s="7">
        <f t="shared" si="64"/>
        <v>3</v>
      </c>
    </row>
    <row r="117" spans="1:53" ht="43.5" hidden="1" customHeight="1">
      <c r="A117" s="6" t="s">
        <v>1182</v>
      </c>
      <c r="B117" s="6" t="s">
        <v>1251</v>
      </c>
      <c r="C117" s="6">
        <v>14111519</v>
      </c>
      <c r="D117" s="6" t="s">
        <v>1555</v>
      </c>
      <c r="E117" s="127" t="s">
        <v>1556</v>
      </c>
      <c r="F117" s="128" t="s">
        <v>191</v>
      </c>
      <c r="G117" s="129">
        <v>1</v>
      </c>
      <c r="H117" s="128" t="s">
        <v>192</v>
      </c>
      <c r="I117" s="130" t="s">
        <v>1199</v>
      </c>
      <c r="J117" s="131">
        <v>46071</v>
      </c>
      <c r="K117" s="132" t="s">
        <v>1461</v>
      </c>
      <c r="L117" s="133" t="s">
        <v>1193</v>
      </c>
      <c r="M117" s="131" t="s">
        <v>1462</v>
      </c>
      <c r="N117" s="134">
        <v>13043</v>
      </c>
      <c r="O117" s="134" t="s">
        <v>1197</v>
      </c>
      <c r="P117" s="134" t="s">
        <v>1191</v>
      </c>
      <c r="Q117" s="135">
        <f t="shared" si="47"/>
        <v>13043</v>
      </c>
      <c r="R117" s="136">
        <f t="shared" si="48"/>
        <v>2478.17</v>
      </c>
      <c r="S117" s="136">
        <f t="shared" si="49"/>
        <v>15521.17</v>
      </c>
      <c r="T117" s="136">
        <f t="shared" si="50"/>
        <v>13043</v>
      </c>
      <c r="U117" s="136">
        <f t="shared" si="65"/>
        <v>15521.17</v>
      </c>
      <c r="V117" s="137" t="s">
        <v>1199</v>
      </c>
      <c r="W117" s="138">
        <v>46071</v>
      </c>
      <c r="X117" s="139" t="s">
        <v>1557</v>
      </c>
      <c r="Y117" s="140" t="s">
        <v>1193</v>
      </c>
      <c r="Z117" s="141" t="s">
        <v>1558</v>
      </c>
      <c r="AA117" s="142">
        <v>16700</v>
      </c>
      <c r="AB117" s="142" t="s">
        <v>1190</v>
      </c>
      <c r="AC117" s="142" t="s">
        <v>1191</v>
      </c>
      <c r="AD117" s="143">
        <f t="shared" si="66"/>
        <v>14033.613445378152</v>
      </c>
      <c r="AE117" s="144">
        <f t="shared" si="51"/>
        <v>2666.386554621849</v>
      </c>
      <c r="AF117" s="144">
        <f t="shared" si="52"/>
        <v>16700</v>
      </c>
      <c r="AG117" s="144">
        <f t="shared" si="53"/>
        <v>16700</v>
      </c>
      <c r="AH117" s="144">
        <f t="shared" si="54"/>
        <v>16700</v>
      </c>
      <c r="AI117" s="145" t="s">
        <v>1199</v>
      </c>
      <c r="AJ117" s="146">
        <v>46071</v>
      </c>
      <c r="AK117" s="147" t="s">
        <v>1559</v>
      </c>
      <c r="AL117" s="148" t="s">
        <v>1193</v>
      </c>
      <c r="AM117" s="149" t="s">
        <v>1239</v>
      </c>
      <c r="AN117" s="150">
        <v>14390</v>
      </c>
      <c r="AO117" s="150" t="s">
        <v>1190</v>
      </c>
      <c r="AP117" s="151" t="s">
        <v>1191</v>
      </c>
      <c r="AQ117" s="152">
        <f t="shared" si="55"/>
        <v>12092.436974789916</v>
      </c>
      <c r="AR117" s="153">
        <f t="shared" si="56"/>
        <v>2297.5630252100841</v>
      </c>
      <c r="AS117" s="153">
        <f t="shared" si="57"/>
        <v>14390</v>
      </c>
      <c r="AT117" s="153">
        <f t="shared" si="58"/>
        <v>14390</v>
      </c>
      <c r="AU117" s="153">
        <f t="shared" si="59"/>
        <v>14390</v>
      </c>
      <c r="AV117" s="154">
        <f t="shared" si="60"/>
        <v>15537.056666666665</v>
      </c>
      <c r="AW117" s="154">
        <f t="shared" si="61"/>
        <v>15537.056666666665</v>
      </c>
      <c r="AX117" s="154">
        <f t="shared" si="62"/>
        <v>1155.0819406576024</v>
      </c>
      <c r="AY117" s="155">
        <f t="shared" si="63"/>
        <v>7.4343678177844652E-2</v>
      </c>
      <c r="AZ117" s="5"/>
      <c r="BA117" s="7">
        <f t="shared" si="64"/>
        <v>3</v>
      </c>
    </row>
    <row r="118" spans="1:53" ht="58.15" hidden="1" customHeight="1">
      <c r="A118" s="6" t="s">
        <v>1182</v>
      </c>
      <c r="B118" s="6" t="s">
        <v>1183</v>
      </c>
      <c r="C118" s="6">
        <v>60101606</v>
      </c>
      <c r="D118" s="6" t="s">
        <v>1560</v>
      </c>
      <c r="E118" s="127" t="s">
        <v>1561</v>
      </c>
      <c r="F118" s="128" t="s">
        <v>191</v>
      </c>
      <c r="G118" s="129">
        <v>1</v>
      </c>
      <c r="H118" s="128" t="s">
        <v>192</v>
      </c>
      <c r="I118" s="130" t="s">
        <v>1186</v>
      </c>
      <c r="J118" s="131">
        <v>46146</v>
      </c>
      <c r="K118" s="132" t="s">
        <v>1562</v>
      </c>
      <c r="L118" s="133" t="s">
        <v>1188</v>
      </c>
      <c r="M118" s="131" t="s">
        <v>1563</v>
      </c>
      <c r="N118" s="134">
        <v>2200</v>
      </c>
      <c r="O118" s="134" t="s">
        <v>1197</v>
      </c>
      <c r="P118" s="134" t="s">
        <v>1191</v>
      </c>
      <c r="Q118" s="135">
        <f t="shared" si="47"/>
        <v>2200</v>
      </c>
      <c r="R118" s="136">
        <f t="shared" si="48"/>
        <v>418</v>
      </c>
      <c r="S118" s="136">
        <f t="shared" si="49"/>
        <v>2618</v>
      </c>
      <c r="T118" s="136">
        <f t="shared" si="50"/>
        <v>2200</v>
      </c>
      <c r="U118" s="136">
        <f t="shared" si="65"/>
        <v>2618</v>
      </c>
      <c r="V118" s="137" t="s">
        <v>1186</v>
      </c>
      <c r="W118" s="138">
        <v>46146</v>
      </c>
      <c r="X118" s="139" t="s">
        <v>1207</v>
      </c>
      <c r="Y118" s="140" t="s">
        <v>1188</v>
      </c>
      <c r="Z118" s="141" t="s">
        <v>1204</v>
      </c>
      <c r="AA118" s="142">
        <v>3200</v>
      </c>
      <c r="AB118" s="142" t="s">
        <v>1190</v>
      </c>
      <c r="AC118" s="142" t="s">
        <v>1191</v>
      </c>
      <c r="AD118" s="143">
        <f t="shared" si="66"/>
        <v>2689.0756302521008</v>
      </c>
      <c r="AE118" s="144">
        <f t="shared" si="51"/>
        <v>510.92436974789916</v>
      </c>
      <c r="AF118" s="144">
        <f t="shared" si="52"/>
        <v>3200</v>
      </c>
      <c r="AG118" s="144">
        <f t="shared" si="53"/>
        <v>3200</v>
      </c>
      <c r="AH118" s="144">
        <f t="shared" si="54"/>
        <v>3200</v>
      </c>
      <c r="AI118" s="145" t="s">
        <v>1186</v>
      </c>
      <c r="AJ118" s="146">
        <v>46146</v>
      </c>
      <c r="AK118" s="147" t="s">
        <v>1564</v>
      </c>
      <c r="AL118" s="148" t="s">
        <v>1193</v>
      </c>
      <c r="AM118" s="149" t="s">
        <v>1187</v>
      </c>
      <c r="AN118" s="150">
        <v>3800</v>
      </c>
      <c r="AO118" s="150" t="s">
        <v>1197</v>
      </c>
      <c r="AP118" s="151" t="s">
        <v>1217</v>
      </c>
      <c r="AQ118" s="152">
        <f t="shared" si="55"/>
        <v>3800</v>
      </c>
      <c r="AR118" s="153">
        <f t="shared" si="56"/>
        <v>0</v>
      </c>
      <c r="AS118" s="153">
        <f t="shared" si="57"/>
        <v>3800</v>
      </c>
      <c r="AT118" s="153">
        <f t="shared" si="58"/>
        <v>3800</v>
      </c>
      <c r="AU118" s="153">
        <f t="shared" si="59"/>
        <v>3800</v>
      </c>
      <c r="AV118" s="154">
        <f t="shared" si="60"/>
        <v>3206</v>
      </c>
      <c r="AW118" s="154">
        <f t="shared" si="61"/>
        <v>3206</v>
      </c>
      <c r="AX118" s="154">
        <f t="shared" si="62"/>
        <v>591.0228421981675</v>
      </c>
      <c r="AY118" s="155">
        <f t="shared" si="63"/>
        <v>0.18434898384222317</v>
      </c>
      <c r="AZ118" s="5"/>
      <c r="BA118" s="7">
        <f t="shared" si="64"/>
        <v>3</v>
      </c>
    </row>
    <row r="119" spans="1:53" ht="58.15" hidden="1" customHeight="1">
      <c r="A119" s="6" t="s">
        <v>1182</v>
      </c>
      <c r="B119" s="6" t="s">
        <v>1251</v>
      </c>
      <c r="C119" s="6"/>
      <c r="D119" s="6" t="s">
        <v>1565</v>
      </c>
      <c r="E119" s="127" t="s">
        <v>1566</v>
      </c>
      <c r="F119" s="128" t="s">
        <v>191</v>
      </c>
      <c r="G119" s="129">
        <v>1</v>
      </c>
      <c r="H119" s="128" t="s">
        <v>192</v>
      </c>
      <c r="I119" s="130" t="s">
        <v>1199</v>
      </c>
      <c r="J119" s="131">
        <v>46071</v>
      </c>
      <c r="K119" s="132" t="s">
        <v>1461</v>
      </c>
      <c r="L119" s="133" t="s">
        <v>1193</v>
      </c>
      <c r="M119" s="131" t="s">
        <v>1462</v>
      </c>
      <c r="N119" s="134">
        <v>4547</v>
      </c>
      <c r="O119" s="134" t="s">
        <v>1197</v>
      </c>
      <c r="P119" s="134" t="s">
        <v>1191</v>
      </c>
      <c r="Q119" s="135">
        <f t="shared" si="47"/>
        <v>4547</v>
      </c>
      <c r="R119" s="136">
        <f t="shared" si="48"/>
        <v>863.93000000000006</v>
      </c>
      <c r="S119" s="136">
        <f t="shared" si="49"/>
        <v>5410.93</v>
      </c>
      <c r="T119" s="136">
        <f t="shared" si="50"/>
        <v>4547</v>
      </c>
      <c r="U119" s="136">
        <f t="shared" si="65"/>
        <v>5410.93</v>
      </c>
      <c r="V119" s="137" t="s">
        <v>1199</v>
      </c>
      <c r="W119" s="138">
        <v>46071</v>
      </c>
      <c r="X119" s="139" t="s">
        <v>1258</v>
      </c>
      <c r="Y119" s="140" t="s">
        <v>1193</v>
      </c>
      <c r="Z119" s="141" t="s">
        <v>1479</v>
      </c>
      <c r="AA119" s="142">
        <v>6500</v>
      </c>
      <c r="AB119" s="142" t="s">
        <v>1190</v>
      </c>
      <c r="AC119" s="142" t="s">
        <v>1191</v>
      </c>
      <c r="AD119" s="143">
        <f t="shared" si="66"/>
        <v>5462.1848739495799</v>
      </c>
      <c r="AE119" s="144">
        <f t="shared" si="51"/>
        <v>1037.8151260504203</v>
      </c>
      <c r="AF119" s="144">
        <f t="shared" si="52"/>
        <v>6500</v>
      </c>
      <c r="AG119" s="144">
        <f t="shared" si="53"/>
        <v>6500</v>
      </c>
      <c r="AH119" s="144">
        <f t="shared" si="54"/>
        <v>6500</v>
      </c>
      <c r="AI119" s="145" t="s">
        <v>1199</v>
      </c>
      <c r="AJ119" s="146">
        <v>46071</v>
      </c>
      <c r="AK119" s="147" t="s">
        <v>1256</v>
      </c>
      <c r="AL119" s="148" t="s">
        <v>1193</v>
      </c>
      <c r="AM119" s="149" t="s">
        <v>1257</v>
      </c>
      <c r="AN119" s="150">
        <v>5850</v>
      </c>
      <c r="AO119" s="150" t="s">
        <v>1197</v>
      </c>
      <c r="AP119" s="151" t="s">
        <v>1191</v>
      </c>
      <c r="AQ119" s="152">
        <f t="shared" si="55"/>
        <v>5850</v>
      </c>
      <c r="AR119" s="153">
        <f t="shared" si="56"/>
        <v>1111.5</v>
      </c>
      <c r="AS119" s="153">
        <f t="shared" si="57"/>
        <v>6961.5</v>
      </c>
      <c r="AT119" s="153">
        <f t="shared" si="58"/>
        <v>5850</v>
      </c>
      <c r="AU119" s="153">
        <f t="shared" si="59"/>
        <v>6961.5</v>
      </c>
      <c r="AV119" s="154">
        <f t="shared" si="60"/>
        <v>6290.81</v>
      </c>
      <c r="AW119" s="154">
        <f t="shared" si="61"/>
        <v>6290.81</v>
      </c>
      <c r="AX119" s="154">
        <f t="shared" si="62"/>
        <v>796.17031676645547</v>
      </c>
      <c r="AY119" s="155">
        <f t="shared" si="63"/>
        <v>0.12656085889837007</v>
      </c>
      <c r="AZ119" s="5"/>
      <c r="BA119" s="7">
        <f t="shared" si="64"/>
        <v>3</v>
      </c>
    </row>
    <row r="120" spans="1:53" ht="58.15" hidden="1" customHeight="1">
      <c r="A120" s="6" t="s">
        <v>1182</v>
      </c>
      <c r="B120" s="6" t="s">
        <v>1251</v>
      </c>
      <c r="C120" s="6">
        <v>31201512</v>
      </c>
      <c r="D120" s="6" t="s">
        <v>1567</v>
      </c>
      <c r="E120" s="127" t="s">
        <v>1568</v>
      </c>
      <c r="F120" s="128" t="s">
        <v>191</v>
      </c>
      <c r="G120" s="129">
        <v>1</v>
      </c>
      <c r="H120" s="128" t="s">
        <v>192</v>
      </c>
      <c r="I120" s="130" t="s">
        <v>1199</v>
      </c>
      <c r="J120" s="131">
        <v>46071</v>
      </c>
      <c r="K120" s="132" t="s">
        <v>1423</v>
      </c>
      <c r="L120" s="133" t="s">
        <v>1193</v>
      </c>
      <c r="M120" s="131" t="s">
        <v>1455</v>
      </c>
      <c r="N120" s="134">
        <v>6000</v>
      </c>
      <c r="O120" s="134" t="s">
        <v>1190</v>
      </c>
      <c r="P120" s="134" t="s">
        <v>1191</v>
      </c>
      <c r="Q120" s="135">
        <f t="shared" si="47"/>
        <v>5042.0168067226896</v>
      </c>
      <c r="R120" s="136">
        <f t="shared" si="48"/>
        <v>957.98319327731099</v>
      </c>
      <c r="S120" s="136">
        <f t="shared" si="49"/>
        <v>6000.0000000000009</v>
      </c>
      <c r="T120" s="136">
        <f t="shared" si="50"/>
        <v>6000</v>
      </c>
      <c r="U120" s="136">
        <f t="shared" si="65"/>
        <v>6000.0000000000009</v>
      </c>
      <c r="V120" s="137" t="s">
        <v>1199</v>
      </c>
      <c r="W120" s="138">
        <v>46071</v>
      </c>
      <c r="X120" s="139" t="s">
        <v>1258</v>
      </c>
      <c r="Y120" s="140" t="s">
        <v>1193</v>
      </c>
      <c r="Z120" s="141" t="s">
        <v>1479</v>
      </c>
      <c r="AA120" s="142">
        <v>7100</v>
      </c>
      <c r="AB120" s="142" t="s">
        <v>1190</v>
      </c>
      <c r="AC120" s="142" t="s">
        <v>1191</v>
      </c>
      <c r="AD120" s="143">
        <f t="shared" si="66"/>
        <v>5966.3865546218494</v>
      </c>
      <c r="AE120" s="144">
        <f t="shared" si="51"/>
        <v>1133.6134453781515</v>
      </c>
      <c r="AF120" s="144">
        <f t="shared" si="52"/>
        <v>7100.0000000000009</v>
      </c>
      <c r="AG120" s="144">
        <f t="shared" si="53"/>
        <v>7100</v>
      </c>
      <c r="AH120" s="144">
        <f t="shared" si="54"/>
        <v>7100.0000000000009</v>
      </c>
      <c r="AI120" s="145" t="s">
        <v>1199</v>
      </c>
      <c r="AJ120" s="146">
        <v>46071</v>
      </c>
      <c r="AK120" s="147" t="s">
        <v>1480</v>
      </c>
      <c r="AL120" s="148" t="s">
        <v>1193</v>
      </c>
      <c r="AM120" s="149" t="s">
        <v>1492</v>
      </c>
      <c r="AN120" s="150">
        <v>6500</v>
      </c>
      <c r="AO120" s="150" t="s">
        <v>1190</v>
      </c>
      <c r="AP120" s="151" t="s">
        <v>1191</v>
      </c>
      <c r="AQ120" s="152">
        <f t="shared" si="55"/>
        <v>5462.1848739495799</v>
      </c>
      <c r="AR120" s="153">
        <f t="shared" si="56"/>
        <v>1037.8151260504203</v>
      </c>
      <c r="AS120" s="153">
        <f t="shared" si="57"/>
        <v>6500</v>
      </c>
      <c r="AT120" s="153">
        <f t="shared" si="58"/>
        <v>6500</v>
      </c>
      <c r="AU120" s="153">
        <f t="shared" si="59"/>
        <v>6500</v>
      </c>
      <c r="AV120" s="154">
        <f t="shared" si="60"/>
        <v>6533.333333333333</v>
      </c>
      <c r="AW120" s="154">
        <f t="shared" si="61"/>
        <v>6533.333333333333</v>
      </c>
      <c r="AX120" s="154">
        <f t="shared" si="62"/>
        <v>550.75705472861023</v>
      </c>
      <c r="AY120" s="155">
        <f t="shared" si="63"/>
        <v>8.4299549193154633E-2</v>
      </c>
      <c r="AZ120" s="5"/>
      <c r="BA120" s="7">
        <f t="shared" si="64"/>
        <v>3</v>
      </c>
    </row>
    <row r="121" spans="1:53" ht="348" hidden="1" customHeight="1">
      <c r="A121" s="6" t="s">
        <v>569</v>
      </c>
      <c r="B121" s="6" t="s">
        <v>569</v>
      </c>
      <c r="C121" s="6" t="s">
        <v>569</v>
      </c>
      <c r="D121" s="6" t="s">
        <v>1569</v>
      </c>
      <c r="E121" s="127" t="s">
        <v>1570</v>
      </c>
      <c r="F121" s="128" t="s">
        <v>1247</v>
      </c>
      <c r="G121" s="129">
        <v>1</v>
      </c>
      <c r="H121" s="128"/>
      <c r="I121" s="130" t="s">
        <v>569</v>
      </c>
      <c r="J121" s="131" t="s">
        <v>569</v>
      </c>
      <c r="K121" s="132" t="s">
        <v>569</v>
      </c>
      <c r="L121" s="133" t="s">
        <v>569</v>
      </c>
      <c r="M121" s="131" t="s">
        <v>569</v>
      </c>
      <c r="N121" s="134"/>
      <c r="O121" s="134"/>
      <c r="P121" s="134"/>
      <c r="Q121" s="135" t="s">
        <v>1248</v>
      </c>
      <c r="R121" s="136" t="s">
        <v>1248</v>
      </c>
      <c r="S121" s="136" t="s">
        <v>1248</v>
      </c>
      <c r="T121" s="136" t="s">
        <v>1248</v>
      </c>
      <c r="U121" s="136" t="s">
        <v>1248</v>
      </c>
      <c r="V121" s="137" t="s">
        <v>569</v>
      </c>
      <c r="W121" s="138" t="s">
        <v>569</v>
      </c>
      <c r="X121" s="139" t="s">
        <v>569</v>
      </c>
      <c r="Y121" s="140" t="s">
        <v>569</v>
      </c>
      <c r="Z121" s="141" t="s">
        <v>1249</v>
      </c>
      <c r="AA121" s="142" t="s">
        <v>569</v>
      </c>
      <c r="AB121" s="142" t="s">
        <v>569</v>
      </c>
      <c r="AC121" s="142" t="s">
        <v>569</v>
      </c>
      <c r="AD121" s="143" t="s">
        <v>569</v>
      </c>
      <c r="AE121" s="144" t="s">
        <v>569</v>
      </c>
      <c r="AF121" s="144">
        <v>4030114</v>
      </c>
      <c r="AG121" s="144">
        <v>5.5599999999999997E-2</v>
      </c>
      <c r="AH121" s="144">
        <v>4254188</v>
      </c>
      <c r="AI121" s="145" t="s">
        <v>569</v>
      </c>
      <c r="AJ121" s="146" t="s">
        <v>569</v>
      </c>
      <c r="AK121" s="147" t="s">
        <v>569</v>
      </c>
      <c r="AL121" s="148" t="s">
        <v>569</v>
      </c>
      <c r="AM121" s="149" t="s">
        <v>1250</v>
      </c>
      <c r="AN121" s="150" t="s">
        <v>569</v>
      </c>
      <c r="AO121" s="150" t="s">
        <v>569</v>
      </c>
      <c r="AP121" s="151" t="s">
        <v>569</v>
      </c>
      <c r="AQ121" s="152">
        <v>3454383</v>
      </c>
      <c r="AR121" s="153">
        <v>656333</v>
      </c>
      <c r="AS121" s="153">
        <v>4110716</v>
      </c>
      <c r="AT121" s="153">
        <v>3454383</v>
      </c>
      <c r="AU121" s="153">
        <v>4110716</v>
      </c>
      <c r="AV121" s="154">
        <v>4182452</v>
      </c>
      <c r="AW121" s="154">
        <v>4182452</v>
      </c>
      <c r="AX121" s="154">
        <v>101450.05</v>
      </c>
      <c r="AY121" s="155">
        <v>2.4299999999999999E-2</v>
      </c>
      <c r="AZ121" s="5"/>
      <c r="BA121" s="7"/>
    </row>
    <row r="122" spans="1:53" ht="348" hidden="1" customHeight="1">
      <c r="A122" s="6" t="s">
        <v>569</v>
      </c>
      <c r="B122" s="6" t="s">
        <v>569</v>
      </c>
      <c r="C122" s="6" t="s">
        <v>569</v>
      </c>
      <c r="D122" s="6" t="s">
        <v>1571</v>
      </c>
      <c r="E122" s="127" t="s">
        <v>1572</v>
      </c>
      <c r="F122" s="128" t="s">
        <v>1247</v>
      </c>
      <c r="G122" s="129">
        <v>1</v>
      </c>
      <c r="H122" s="128"/>
      <c r="I122" s="130" t="s">
        <v>569</v>
      </c>
      <c r="J122" s="131" t="s">
        <v>569</v>
      </c>
      <c r="K122" s="132" t="s">
        <v>569</v>
      </c>
      <c r="L122" s="133" t="s">
        <v>569</v>
      </c>
      <c r="M122" s="131" t="s">
        <v>569</v>
      </c>
      <c r="N122" s="134"/>
      <c r="O122" s="134"/>
      <c r="P122" s="134"/>
      <c r="Q122" s="135" t="s">
        <v>1248</v>
      </c>
      <c r="R122" s="136" t="s">
        <v>1248</v>
      </c>
      <c r="S122" s="136" t="s">
        <v>1248</v>
      </c>
      <c r="T122" s="136" t="s">
        <v>1248</v>
      </c>
      <c r="U122" s="136" t="s">
        <v>1248</v>
      </c>
      <c r="V122" s="137" t="s">
        <v>569</v>
      </c>
      <c r="W122" s="138" t="s">
        <v>569</v>
      </c>
      <c r="X122" s="139" t="s">
        <v>569</v>
      </c>
      <c r="Y122" s="140" t="s">
        <v>569</v>
      </c>
      <c r="Z122" s="141" t="s">
        <v>1249</v>
      </c>
      <c r="AA122" s="142" t="s">
        <v>569</v>
      </c>
      <c r="AB122" s="142" t="s">
        <v>569</v>
      </c>
      <c r="AC122" s="142" t="s">
        <v>569</v>
      </c>
      <c r="AD122" s="143" t="s">
        <v>569</v>
      </c>
      <c r="AE122" s="144" t="s">
        <v>569</v>
      </c>
      <c r="AF122" s="144">
        <v>4692675</v>
      </c>
      <c r="AG122" s="144">
        <v>5.5599999999999997E-2</v>
      </c>
      <c r="AH122" s="144">
        <v>4953588</v>
      </c>
      <c r="AI122" s="145" t="s">
        <v>569</v>
      </c>
      <c r="AJ122" s="146" t="s">
        <v>569</v>
      </c>
      <c r="AK122" s="147" t="s">
        <v>569</v>
      </c>
      <c r="AL122" s="148" t="s">
        <v>569</v>
      </c>
      <c r="AM122" s="149" t="s">
        <v>1250</v>
      </c>
      <c r="AN122" s="150" t="s">
        <v>569</v>
      </c>
      <c r="AO122" s="150" t="s">
        <v>569</v>
      </c>
      <c r="AP122" s="151" t="s">
        <v>569</v>
      </c>
      <c r="AQ122" s="152">
        <v>4022293</v>
      </c>
      <c r="AR122" s="153">
        <v>764236</v>
      </c>
      <c r="AS122" s="153">
        <v>4786529</v>
      </c>
      <c r="AT122" s="153">
        <v>4022293</v>
      </c>
      <c r="AU122" s="153">
        <v>4786529</v>
      </c>
      <c r="AV122" s="154">
        <v>4870058</v>
      </c>
      <c r="AW122" s="154">
        <v>4870058</v>
      </c>
      <c r="AX122" s="154">
        <v>118128.71</v>
      </c>
      <c r="AY122" s="155">
        <v>2.4299999999999999E-2</v>
      </c>
      <c r="AZ122" s="5"/>
      <c r="BA122" s="7"/>
    </row>
    <row r="123" spans="1:53" ht="72.599999999999994" hidden="1" customHeight="1">
      <c r="A123" s="6" t="s">
        <v>1182</v>
      </c>
      <c r="B123" s="6" t="s">
        <v>1251</v>
      </c>
      <c r="C123" s="6">
        <v>44121707</v>
      </c>
      <c r="D123" s="6" t="s">
        <v>1573</v>
      </c>
      <c r="E123" s="127" t="s">
        <v>1574</v>
      </c>
      <c r="F123" s="128" t="s">
        <v>191</v>
      </c>
      <c r="G123" s="129">
        <v>1</v>
      </c>
      <c r="H123" s="128" t="s">
        <v>192</v>
      </c>
      <c r="I123" s="130" t="s">
        <v>1199</v>
      </c>
      <c r="J123" s="131">
        <v>46071</v>
      </c>
      <c r="K123" s="132" t="s">
        <v>1575</v>
      </c>
      <c r="L123" s="133" t="s">
        <v>1193</v>
      </c>
      <c r="M123" s="131" t="s">
        <v>1455</v>
      </c>
      <c r="N123" s="134">
        <v>7500</v>
      </c>
      <c r="O123" s="134" t="s">
        <v>1190</v>
      </c>
      <c r="P123" s="134" t="s">
        <v>1191</v>
      </c>
      <c r="Q123" s="135">
        <f t="shared" ref="Q123:Q129" si="67">IF(O123="IVA Incluido",(N123/1.19),N123)</f>
        <v>6302.5210084033615</v>
      </c>
      <c r="R123" s="136">
        <f t="shared" ref="R123:R129" si="68">IF(P123="Si tiene IVA",Q123*19%,0)</f>
        <v>1197.4789915966387</v>
      </c>
      <c r="S123" s="136">
        <f t="shared" ref="S123:S129" si="69">Q123+R123</f>
        <v>7500</v>
      </c>
      <c r="T123" s="136">
        <f t="shared" ref="T123:T129" si="70">IF(B123="","",(N123*G123))</f>
        <v>7500</v>
      </c>
      <c r="U123" s="136">
        <f t="shared" ref="U123:U129" si="71">IF(B123="","",(S123*G123))</f>
        <v>7500</v>
      </c>
      <c r="V123" s="137" t="s">
        <v>1199</v>
      </c>
      <c r="W123" s="138">
        <v>46071</v>
      </c>
      <c r="X123" s="139" t="s">
        <v>1258</v>
      </c>
      <c r="Y123" s="140" t="s">
        <v>1193</v>
      </c>
      <c r="Z123" s="141" t="s">
        <v>1479</v>
      </c>
      <c r="AA123" s="142">
        <v>8500</v>
      </c>
      <c r="AB123" s="142" t="s">
        <v>1190</v>
      </c>
      <c r="AC123" s="142" t="s">
        <v>1191</v>
      </c>
      <c r="AD123" s="143">
        <f t="shared" ref="AD123:AD129" si="72">IF(AB123="IVA Incluido",(AA123/1.19),AA123)</f>
        <v>7142.8571428571431</v>
      </c>
      <c r="AE123" s="144">
        <f t="shared" ref="AE123:AE129" si="73">IF(AC123="Si tiene IVA",AD123*19%,0)</f>
        <v>1357.1428571428571</v>
      </c>
      <c r="AF123" s="144">
        <f t="shared" ref="AF123:AF129" si="74">AD123+AE123</f>
        <v>8500</v>
      </c>
      <c r="AG123" s="144">
        <f t="shared" ref="AG123:AG129" si="75">IF(O123="","",(AA123*G123))</f>
        <v>8500</v>
      </c>
      <c r="AH123" s="144">
        <f t="shared" ref="AH123:AH129" si="76">IF(O123="","",(AF123*G123))</f>
        <v>8500</v>
      </c>
      <c r="AI123" s="145" t="s">
        <v>1199</v>
      </c>
      <c r="AJ123" s="146">
        <v>46071</v>
      </c>
      <c r="AK123" s="147" t="s">
        <v>1463</v>
      </c>
      <c r="AL123" s="148" t="s">
        <v>1193</v>
      </c>
      <c r="AM123" s="149" t="s">
        <v>1576</v>
      </c>
      <c r="AN123" s="150">
        <v>7400</v>
      </c>
      <c r="AO123" s="150" t="s">
        <v>1197</v>
      </c>
      <c r="AP123" s="151" t="s">
        <v>1191</v>
      </c>
      <c r="AQ123" s="152">
        <f t="shared" ref="AQ123:AQ129" si="77">IF(AO123="IVA Incluido",(AN123/1.19),AN123)</f>
        <v>7400</v>
      </c>
      <c r="AR123" s="153">
        <f t="shared" ref="AR123:AR129" si="78">IF(AP123="Si tiene IVA",AQ123*19%,0)</f>
        <v>1406</v>
      </c>
      <c r="AS123" s="153">
        <f t="shared" ref="AS123:AS129" si="79">AQ123+AR123</f>
        <v>8806</v>
      </c>
      <c r="AT123" s="153">
        <f t="shared" ref="AT123:AT129" si="80">IF(AB123="","",(AN123*G123))</f>
        <v>7400</v>
      </c>
      <c r="AU123" s="153">
        <f t="shared" ref="AU123:AU129" si="81">IF(AB123="","",(AS123*G123))</f>
        <v>8806</v>
      </c>
      <c r="AV123" s="154">
        <f>IF(A123="","",AVERAGE(S123,AF123,AS123))</f>
        <v>8268.6666666666661</v>
      </c>
      <c r="AW123" s="154">
        <f>IF(A123="","",AVERAGE(U123,AH123,AU123))</f>
        <v>8268.6666666666661</v>
      </c>
      <c r="AX123" s="154">
        <f>IF(N123="","",STDEV(U123,AH123,AU123))</f>
        <v>683.04123838413545</v>
      </c>
      <c r="AY123" s="155">
        <f t="shared" ref="AY123:AY129" si="82">IF(N123="","",(AX123/AW123))</f>
        <v>8.2605970940595283E-2</v>
      </c>
      <c r="AZ123" s="5"/>
      <c r="BA123" s="7">
        <f>COUNTA(M123,Z123,AM123)</f>
        <v>3</v>
      </c>
    </row>
    <row r="124" spans="1:53" ht="87" hidden="1" customHeight="1">
      <c r="A124" s="6" t="s">
        <v>1182</v>
      </c>
      <c r="B124" s="6" t="s">
        <v>1251</v>
      </c>
      <c r="C124" s="6">
        <v>44121707</v>
      </c>
      <c r="D124" s="6" t="s">
        <v>1577</v>
      </c>
      <c r="E124" s="127" t="s">
        <v>1578</v>
      </c>
      <c r="F124" s="128" t="s">
        <v>191</v>
      </c>
      <c r="G124" s="129">
        <v>1</v>
      </c>
      <c r="H124" s="128" t="s">
        <v>192</v>
      </c>
      <c r="I124" s="130" t="s">
        <v>1199</v>
      </c>
      <c r="J124" s="131">
        <v>46071</v>
      </c>
      <c r="K124" s="132" t="s">
        <v>1463</v>
      </c>
      <c r="L124" s="133" t="s">
        <v>1193</v>
      </c>
      <c r="M124" s="131" t="s">
        <v>1576</v>
      </c>
      <c r="N124" s="134">
        <v>7000</v>
      </c>
      <c r="O124" s="134" t="s">
        <v>1197</v>
      </c>
      <c r="P124" s="134" t="s">
        <v>1191</v>
      </c>
      <c r="Q124" s="135">
        <f t="shared" si="67"/>
        <v>7000</v>
      </c>
      <c r="R124" s="136">
        <f t="shared" si="68"/>
        <v>1330</v>
      </c>
      <c r="S124" s="136">
        <f t="shared" si="69"/>
        <v>8330</v>
      </c>
      <c r="T124" s="136">
        <f t="shared" si="70"/>
        <v>7000</v>
      </c>
      <c r="U124" s="136">
        <f t="shared" si="71"/>
        <v>8330</v>
      </c>
      <c r="V124" s="137" t="s">
        <v>1199</v>
      </c>
      <c r="W124" s="138">
        <v>46071</v>
      </c>
      <c r="X124" s="139" t="s">
        <v>1579</v>
      </c>
      <c r="Y124" s="140" t="s">
        <v>1188</v>
      </c>
      <c r="Z124" s="141" t="s">
        <v>1580</v>
      </c>
      <c r="AA124" s="142">
        <v>7183</v>
      </c>
      <c r="AB124" s="142" t="s">
        <v>1197</v>
      </c>
      <c r="AC124" s="142" t="s">
        <v>1217</v>
      </c>
      <c r="AD124" s="143">
        <f t="shared" si="72"/>
        <v>7183</v>
      </c>
      <c r="AE124" s="144">
        <f t="shared" si="73"/>
        <v>0</v>
      </c>
      <c r="AF124" s="144">
        <f t="shared" si="74"/>
        <v>7183</v>
      </c>
      <c r="AG124" s="144">
        <f t="shared" si="75"/>
        <v>7183</v>
      </c>
      <c r="AH124" s="144">
        <f t="shared" si="76"/>
        <v>7183</v>
      </c>
      <c r="AI124" s="145" t="s">
        <v>1199</v>
      </c>
      <c r="AJ124" s="146">
        <v>46071</v>
      </c>
      <c r="AK124" s="147" t="s">
        <v>1581</v>
      </c>
      <c r="AL124" s="148" t="s">
        <v>1193</v>
      </c>
      <c r="AM124" s="149" t="s">
        <v>1536</v>
      </c>
      <c r="AN124" s="150">
        <v>8600</v>
      </c>
      <c r="AO124" s="150" t="s">
        <v>1190</v>
      </c>
      <c r="AP124" s="151" t="s">
        <v>1191</v>
      </c>
      <c r="AQ124" s="152">
        <f t="shared" si="77"/>
        <v>7226.8907563025214</v>
      </c>
      <c r="AR124" s="153">
        <f t="shared" si="78"/>
        <v>1373.1092436974791</v>
      </c>
      <c r="AS124" s="153">
        <f t="shared" si="79"/>
        <v>8600</v>
      </c>
      <c r="AT124" s="153">
        <f t="shared" si="80"/>
        <v>8600</v>
      </c>
      <c r="AU124" s="153">
        <f t="shared" si="81"/>
        <v>8600</v>
      </c>
      <c r="AV124" s="154">
        <f>IF(A124="","",AVERAGE(S124,AF124,AS124))</f>
        <v>8037.666666666667</v>
      </c>
      <c r="AW124" s="154">
        <f>IF(A124="","",AVERAGE(U124,AH124,AU124))</f>
        <v>8037.666666666667</v>
      </c>
      <c r="AX124" s="154">
        <f>IF(N124="","",STDEV(U124,AH124,AU124))</f>
        <v>752.3737989412798</v>
      </c>
      <c r="AY124" s="155">
        <f t="shared" si="82"/>
        <v>9.3605996633510533E-2</v>
      </c>
      <c r="AZ124" s="5"/>
      <c r="BA124" s="7">
        <f>COUNTA(M124,Z124,AM124)</f>
        <v>3</v>
      </c>
    </row>
    <row r="125" spans="1:53" ht="87" hidden="1" customHeight="1">
      <c r="A125" s="6" t="s">
        <v>1182</v>
      </c>
      <c r="B125" s="6" t="s">
        <v>1236</v>
      </c>
      <c r="C125" s="6" t="s">
        <v>1582</v>
      </c>
      <c r="D125" s="6" t="s">
        <v>1583</v>
      </c>
      <c r="E125" s="127" t="s">
        <v>1584</v>
      </c>
      <c r="F125" s="128" t="s">
        <v>191</v>
      </c>
      <c r="G125" s="129">
        <v>1</v>
      </c>
      <c r="H125" s="128" t="s">
        <v>192</v>
      </c>
      <c r="I125" s="130" t="s">
        <v>1230</v>
      </c>
      <c r="J125" s="131">
        <v>46139</v>
      </c>
      <c r="K125" s="132" t="s">
        <v>1266</v>
      </c>
      <c r="L125" s="133" t="s">
        <v>1188</v>
      </c>
      <c r="M125" s="131" t="s">
        <v>515</v>
      </c>
      <c r="N125" s="134">
        <v>1957500</v>
      </c>
      <c r="O125" s="134" t="s">
        <v>1197</v>
      </c>
      <c r="P125" s="134" t="s">
        <v>1191</v>
      </c>
      <c r="Q125" s="135">
        <f t="shared" si="67"/>
        <v>1957500</v>
      </c>
      <c r="R125" s="136">
        <f t="shared" si="68"/>
        <v>371925</v>
      </c>
      <c r="S125" s="136">
        <f t="shared" si="69"/>
        <v>2329425</v>
      </c>
      <c r="T125" s="136">
        <f t="shared" si="70"/>
        <v>1957500</v>
      </c>
      <c r="U125" s="136">
        <f t="shared" si="71"/>
        <v>2329425</v>
      </c>
      <c r="V125" s="137" t="s">
        <v>1443</v>
      </c>
      <c r="W125" s="138">
        <v>46139</v>
      </c>
      <c r="X125" s="139" t="s">
        <v>1585</v>
      </c>
      <c r="Y125" s="140" t="s">
        <v>1193</v>
      </c>
      <c r="Z125" s="141" t="s">
        <v>1586</v>
      </c>
      <c r="AA125" s="142">
        <v>1850000</v>
      </c>
      <c r="AB125" s="142" t="s">
        <v>1197</v>
      </c>
      <c r="AC125" s="142" t="s">
        <v>1191</v>
      </c>
      <c r="AD125" s="143">
        <f t="shared" si="72"/>
        <v>1850000</v>
      </c>
      <c r="AE125" s="144">
        <f t="shared" si="73"/>
        <v>351500</v>
      </c>
      <c r="AF125" s="144">
        <f t="shared" si="74"/>
        <v>2201500</v>
      </c>
      <c r="AG125" s="144">
        <f t="shared" si="75"/>
        <v>1850000</v>
      </c>
      <c r="AH125" s="144">
        <f t="shared" si="76"/>
        <v>2201500</v>
      </c>
      <c r="AI125" s="145" t="s">
        <v>1186</v>
      </c>
      <c r="AJ125" s="146">
        <v>46144</v>
      </c>
      <c r="AK125" s="147" t="s">
        <v>1587</v>
      </c>
      <c r="AL125" s="148" t="s">
        <v>1186</v>
      </c>
      <c r="AM125" s="149" t="s">
        <v>1588</v>
      </c>
      <c r="AN125" s="150">
        <v>1100000</v>
      </c>
      <c r="AO125" s="150" t="s">
        <v>1197</v>
      </c>
      <c r="AP125" s="151" t="s">
        <v>1191</v>
      </c>
      <c r="AQ125" s="152">
        <f t="shared" si="77"/>
        <v>1100000</v>
      </c>
      <c r="AR125" s="153">
        <f t="shared" si="78"/>
        <v>209000</v>
      </c>
      <c r="AS125" s="153">
        <f t="shared" si="79"/>
        <v>1309000</v>
      </c>
      <c r="AT125" s="153">
        <f t="shared" si="80"/>
        <v>1100000</v>
      </c>
      <c r="AU125" s="153">
        <f t="shared" si="81"/>
        <v>1309000</v>
      </c>
      <c r="AV125" s="154">
        <f>IF(A125="","",AVERAGE(S125,AF125))</f>
        <v>2265462.5</v>
      </c>
      <c r="AW125" s="154">
        <f>IF(A125="","",AVERAGE(U125,AH125))</f>
        <v>2265462.5</v>
      </c>
      <c r="AX125" s="154">
        <f>IF(N125="","",STDEV(U125,AH125))</f>
        <v>90456.634983289099</v>
      </c>
      <c r="AY125" s="155">
        <f t="shared" si="82"/>
        <v>3.9928551005937681E-2</v>
      </c>
      <c r="AZ125" s="5"/>
      <c r="BA125" s="7">
        <f>COUNTA(M125,Z125,AM125)</f>
        <v>3</v>
      </c>
    </row>
    <row r="126" spans="1:53" ht="72.599999999999994" hidden="1" customHeight="1">
      <c r="A126" s="6" t="s">
        <v>1182</v>
      </c>
      <c r="B126" s="6" t="s">
        <v>1236</v>
      </c>
      <c r="C126" s="6">
        <v>49121503</v>
      </c>
      <c r="D126" s="6" t="s">
        <v>1589</v>
      </c>
      <c r="E126" s="127" t="s">
        <v>1590</v>
      </c>
      <c r="F126" s="128" t="s">
        <v>191</v>
      </c>
      <c r="G126" s="129">
        <v>1</v>
      </c>
      <c r="H126" s="128" t="s">
        <v>192</v>
      </c>
      <c r="I126" s="130" t="s">
        <v>1186</v>
      </c>
      <c r="J126" s="131">
        <v>46153</v>
      </c>
      <c r="K126" s="132" t="s">
        <v>1591</v>
      </c>
      <c r="L126" s="133" t="s">
        <v>1193</v>
      </c>
      <c r="M126" s="131" t="s">
        <v>1592</v>
      </c>
      <c r="N126" s="134">
        <v>1590000</v>
      </c>
      <c r="O126" s="134" t="s">
        <v>1190</v>
      </c>
      <c r="P126" s="134" t="s">
        <v>1191</v>
      </c>
      <c r="Q126" s="135">
        <f t="shared" si="67"/>
        <v>1336134.4537815126</v>
      </c>
      <c r="R126" s="136">
        <f t="shared" si="68"/>
        <v>253865.5462184874</v>
      </c>
      <c r="S126" s="136">
        <f t="shared" si="69"/>
        <v>1590000</v>
      </c>
      <c r="T126" s="136">
        <f t="shared" si="70"/>
        <v>1590000</v>
      </c>
      <c r="U126" s="136">
        <f t="shared" si="71"/>
        <v>1590000</v>
      </c>
      <c r="V126" s="137" t="s">
        <v>1186</v>
      </c>
      <c r="W126" s="138">
        <v>46153</v>
      </c>
      <c r="X126" s="139" t="s">
        <v>1593</v>
      </c>
      <c r="Y126" s="140" t="s">
        <v>1193</v>
      </c>
      <c r="Z126" s="141" t="s">
        <v>1593</v>
      </c>
      <c r="AA126" s="142">
        <v>1400000</v>
      </c>
      <c r="AB126" s="142" t="s">
        <v>1197</v>
      </c>
      <c r="AC126" s="142" t="s">
        <v>1191</v>
      </c>
      <c r="AD126" s="143">
        <f t="shared" si="72"/>
        <v>1400000</v>
      </c>
      <c r="AE126" s="144">
        <f t="shared" si="73"/>
        <v>266000</v>
      </c>
      <c r="AF126" s="144">
        <f t="shared" si="74"/>
        <v>1666000</v>
      </c>
      <c r="AG126" s="144">
        <f t="shared" si="75"/>
        <v>1400000</v>
      </c>
      <c r="AH126" s="144">
        <f t="shared" si="76"/>
        <v>1666000</v>
      </c>
      <c r="AI126" s="145" t="s">
        <v>1186</v>
      </c>
      <c r="AJ126" s="146">
        <v>46153</v>
      </c>
      <c r="AK126" s="147" t="s">
        <v>1594</v>
      </c>
      <c r="AL126" s="148" t="s">
        <v>1193</v>
      </c>
      <c r="AM126" s="149" t="s">
        <v>1595</v>
      </c>
      <c r="AN126" s="150">
        <v>1590000</v>
      </c>
      <c r="AO126" s="150" t="s">
        <v>1190</v>
      </c>
      <c r="AP126" s="151" t="s">
        <v>1191</v>
      </c>
      <c r="AQ126" s="152">
        <f t="shared" si="77"/>
        <v>1336134.4537815126</v>
      </c>
      <c r="AR126" s="153">
        <f t="shared" si="78"/>
        <v>253865.5462184874</v>
      </c>
      <c r="AS126" s="153">
        <f t="shared" si="79"/>
        <v>1590000</v>
      </c>
      <c r="AT126" s="153">
        <f t="shared" si="80"/>
        <v>1590000</v>
      </c>
      <c r="AU126" s="153">
        <f t="shared" si="81"/>
        <v>1590000</v>
      </c>
      <c r="AV126" s="154">
        <f>IF(A126="","",AVERAGE(S126,AF126,AS126))</f>
        <v>1615333.3333333333</v>
      </c>
      <c r="AW126" s="154">
        <f>IF(A126="","",AVERAGE(U126,AH126,AU126))</f>
        <v>1615333.3333333333</v>
      </c>
      <c r="AX126" s="154">
        <f>IF(N126="","",STDEV(U126,AH126,AU126))</f>
        <v>43878.620458411555</v>
      </c>
      <c r="AY126" s="155">
        <f t="shared" si="82"/>
        <v>2.7163817865298118E-2</v>
      </c>
      <c r="AZ126" s="5"/>
      <c r="BA126" s="7"/>
    </row>
    <row r="127" spans="1:53" ht="72.599999999999994" hidden="1" customHeight="1">
      <c r="A127" s="6" t="s">
        <v>1182</v>
      </c>
      <c r="B127" s="6" t="s">
        <v>1251</v>
      </c>
      <c r="C127" s="6">
        <v>44121709</v>
      </c>
      <c r="D127" s="6" t="s">
        <v>1596</v>
      </c>
      <c r="E127" s="127" t="s">
        <v>1597</v>
      </c>
      <c r="F127" s="128" t="s">
        <v>191</v>
      </c>
      <c r="G127" s="129">
        <v>1</v>
      </c>
      <c r="H127" s="128" t="s">
        <v>192</v>
      </c>
      <c r="I127" s="130" t="s">
        <v>1199</v>
      </c>
      <c r="J127" s="131">
        <v>46071</v>
      </c>
      <c r="K127" s="132" t="s">
        <v>1256</v>
      </c>
      <c r="L127" s="133" t="s">
        <v>1193</v>
      </c>
      <c r="M127" s="131" t="s">
        <v>1257</v>
      </c>
      <c r="N127" s="134">
        <v>8600</v>
      </c>
      <c r="O127" s="134" t="s">
        <v>1197</v>
      </c>
      <c r="P127" s="134" t="s">
        <v>1191</v>
      </c>
      <c r="Q127" s="135">
        <f t="shared" si="67"/>
        <v>8600</v>
      </c>
      <c r="R127" s="136">
        <f t="shared" si="68"/>
        <v>1634</v>
      </c>
      <c r="S127" s="136">
        <f t="shared" si="69"/>
        <v>10234</v>
      </c>
      <c r="T127" s="136">
        <f t="shared" si="70"/>
        <v>8600</v>
      </c>
      <c r="U127" s="136">
        <f t="shared" si="71"/>
        <v>10234</v>
      </c>
      <c r="V127" s="137" t="s">
        <v>1199</v>
      </c>
      <c r="W127" s="138">
        <v>46071</v>
      </c>
      <c r="X127" s="139" t="s">
        <v>1461</v>
      </c>
      <c r="Y127" s="140" t="s">
        <v>1193</v>
      </c>
      <c r="Z127" s="141" t="s">
        <v>1462</v>
      </c>
      <c r="AA127" s="142">
        <v>10018</v>
      </c>
      <c r="AB127" s="142" t="s">
        <v>1197</v>
      </c>
      <c r="AC127" s="142" t="s">
        <v>1191</v>
      </c>
      <c r="AD127" s="143">
        <f t="shared" si="72"/>
        <v>10018</v>
      </c>
      <c r="AE127" s="144">
        <f t="shared" si="73"/>
        <v>1903.42</v>
      </c>
      <c r="AF127" s="144">
        <f t="shared" si="74"/>
        <v>11921.42</v>
      </c>
      <c r="AG127" s="144">
        <f t="shared" si="75"/>
        <v>10018</v>
      </c>
      <c r="AH127" s="144">
        <f t="shared" si="76"/>
        <v>11921.42</v>
      </c>
      <c r="AI127" s="145" t="s">
        <v>1199</v>
      </c>
      <c r="AJ127" s="146">
        <v>46071</v>
      </c>
      <c r="AK127" s="147" t="s">
        <v>1463</v>
      </c>
      <c r="AL127" s="148" t="s">
        <v>1193</v>
      </c>
      <c r="AM127" s="149" t="s">
        <v>1464</v>
      </c>
      <c r="AN127" s="150">
        <v>8151</v>
      </c>
      <c r="AO127" s="150" t="s">
        <v>1197</v>
      </c>
      <c r="AP127" s="151" t="s">
        <v>1191</v>
      </c>
      <c r="AQ127" s="152">
        <f t="shared" si="77"/>
        <v>8151</v>
      </c>
      <c r="AR127" s="153">
        <f t="shared" si="78"/>
        <v>1548.69</v>
      </c>
      <c r="AS127" s="153">
        <f t="shared" si="79"/>
        <v>9699.69</v>
      </c>
      <c r="AT127" s="153">
        <f t="shared" si="80"/>
        <v>8151</v>
      </c>
      <c r="AU127" s="153">
        <f t="shared" si="81"/>
        <v>9699.69</v>
      </c>
      <c r="AV127" s="154">
        <f>IF(A127="","",AVERAGE(S127,AF127,AS127))</f>
        <v>10618.37</v>
      </c>
      <c r="AW127" s="154">
        <f>IF(A127="","",AVERAGE(U127,AH127,AU127))</f>
        <v>10618.37</v>
      </c>
      <c r="AX127" s="154">
        <f>IF(N127="","",STDEV(U127,AH127,AU127))</f>
        <v>1159.666448122045</v>
      </c>
      <c r="AY127" s="155">
        <f t="shared" si="82"/>
        <v>0.10921322652366088</v>
      </c>
      <c r="AZ127" s="5"/>
      <c r="BA127" s="7">
        <f>COUNTA(M127,Z127,AM127)</f>
        <v>3</v>
      </c>
    </row>
    <row r="128" spans="1:53" ht="72.599999999999994" hidden="1" customHeight="1">
      <c r="A128" s="6" t="s">
        <v>1182</v>
      </c>
      <c r="B128" s="6" t="s">
        <v>1251</v>
      </c>
      <c r="C128" s="6">
        <v>14111531</v>
      </c>
      <c r="D128" s="6" t="s">
        <v>1598</v>
      </c>
      <c r="E128" s="127" t="s">
        <v>1599</v>
      </c>
      <c r="F128" s="128" t="s">
        <v>191</v>
      </c>
      <c r="G128" s="129">
        <v>1</v>
      </c>
      <c r="H128" s="128" t="s">
        <v>192</v>
      </c>
      <c r="I128" s="130" t="s">
        <v>1199</v>
      </c>
      <c r="J128" s="131">
        <v>46071</v>
      </c>
      <c r="K128" s="132" t="s">
        <v>1600</v>
      </c>
      <c r="L128" s="133" t="s">
        <v>1193</v>
      </c>
      <c r="M128" s="131" t="s">
        <v>1239</v>
      </c>
      <c r="N128" s="134">
        <v>5990</v>
      </c>
      <c r="O128" s="134" t="s">
        <v>1190</v>
      </c>
      <c r="P128" s="134" t="s">
        <v>1191</v>
      </c>
      <c r="Q128" s="135">
        <f t="shared" si="67"/>
        <v>5033.6134453781515</v>
      </c>
      <c r="R128" s="136">
        <f t="shared" si="68"/>
        <v>956.38655462184875</v>
      </c>
      <c r="S128" s="136">
        <f t="shared" si="69"/>
        <v>5990</v>
      </c>
      <c r="T128" s="136">
        <f t="shared" si="70"/>
        <v>5990</v>
      </c>
      <c r="U128" s="136">
        <f t="shared" si="71"/>
        <v>5990</v>
      </c>
      <c r="V128" s="137" t="s">
        <v>1601</v>
      </c>
      <c r="W128" s="138">
        <v>46071</v>
      </c>
      <c r="X128" s="139" t="s">
        <v>1602</v>
      </c>
      <c r="Y128" s="140" t="s">
        <v>1193</v>
      </c>
      <c r="Z128" s="141" t="s">
        <v>1603</v>
      </c>
      <c r="AA128" s="142">
        <v>6500</v>
      </c>
      <c r="AB128" s="142" t="s">
        <v>1190</v>
      </c>
      <c r="AC128" s="142" t="s">
        <v>1191</v>
      </c>
      <c r="AD128" s="157">
        <f t="shared" si="72"/>
        <v>5462.1848739495799</v>
      </c>
      <c r="AE128" s="144">
        <f t="shared" si="73"/>
        <v>1037.8151260504203</v>
      </c>
      <c r="AF128" s="144">
        <f t="shared" si="74"/>
        <v>6500</v>
      </c>
      <c r="AG128" s="144">
        <f t="shared" si="75"/>
        <v>6500</v>
      </c>
      <c r="AH128" s="144">
        <f t="shared" si="76"/>
        <v>6500</v>
      </c>
      <c r="AI128" s="145" t="s">
        <v>1199</v>
      </c>
      <c r="AJ128" s="146">
        <v>46071</v>
      </c>
      <c r="AK128" s="147" t="s">
        <v>1423</v>
      </c>
      <c r="AL128" s="148" t="s">
        <v>1193</v>
      </c>
      <c r="AM128" s="149" t="s">
        <v>1455</v>
      </c>
      <c r="AN128" s="150">
        <v>5000</v>
      </c>
      <c r="AO128" s="150" t="s">
        <v>1190</v>
      </c>
      <c r="AP128" s="151" t="s">
        <v>1191</v>
      </c>
      <c r="AQ128" s="152">
        <f t="shared" si="77"/>
        <v>4201.680672268908</v>
      </c>
      <c r="AR128" s="152">
        <f t="shared" si="78"/>
        <v>798.31932773109247</v>
      </c>
      <c r="AS128" s="152">
        <f t="shared" si="79"/>
        <v>5000</v>
      </c>
      <c r="AT128" s="152">
        <f t="shared" si="80"/>
        <v>5000</v>
      </c>
      <c r="AU128" s="152">
        <f t="shared" si="81"/>
        <v>5000</v>
      </c>
      <c r="AV128" s="154">
        <f>IF(A128="","",AVERAGE(S128,AF128,AS128))</f>
        <v>5830</v>
      </c>
      <c r="AW128" s="154">
        <f>IF(A128="","",AVERAGE(U128,AH128,AU128))</f>
        <v>5830</v>
      </c>
      <c r="AX128" s="154">
        <f>IF(N128="","",STDEV(U128,AH128,AU128))</f>
        <v>762.6925986267338</v>
      </c>
      <c r="AY128" s="155">
        <f t="shared" si="82"/>
        <v>0.13082205808348779</v>
      </c>
      <c r="AZ128" s="5"/>
      <c r="BA128" s="7">
        <f>COUNTA(M128,Z128,AM128)</f>
        <v>3</v>
      </c>
    </row>
    <row r="129" spans="1:53" ht="116.1" hidden="1" customHeight="1">
      <c r="A129" s="6" t="s">
        <v>1182</v>
      </c>
      <c r="B129" s="6" t="s">
        <v>1251</v>
      </c>
      <c r="C129" s="6">
        <v>14111531</v>
      </c>
      <c r="D129" s="6" t="s">
        <v>1604</v>
      </c>
      <c r="E129" s="127" t="s">
        <v>1605</v>
      </c>
      <c r="F129" s="128" t="s">
        <v>191</v>
      </c>
      <c r="G129" s="129">
        <v>1</v>
      </c>
      <c r="H129" s="128" t="s">
        <v>192</v>
      </c>
      <c r="I129" s="130" t="s">
        <v>1199</v>
      </c>
      <c r="J129" s="131">
        <v>46071</v>
      </c>
      <c r="K129" s="132" t="s">
        <v>1461</v>
      </c>
      <c r="L129" s="133" t="s">
        <v>1193</v>
      </c>
      <c r="M129" s="131" t="s">
        <v>1462</v>
      </c>
      <c r="N129" s="134">
        <v>18890</v>
      </c>
      <c r="O129" s="134" t="s">
        <v>1197</v>
      </c>
      <c r="P129" s="134" t="s">
        <v>1197</v>
      </c>
      <c r="Q129" s="135">
        <f t="shared" si="67"/>
        <v>18890</v>
      </c>
      <c r="R129" s="136">
        <f t="shared" si="68"/>
        <v>0</v>
      </c>
      <c r="S129" s="136">
        <f t="shared" si="69"/>
        <v>18890</v>
      </c>
      <c r="T129" s="136">
        <f t="shared" si="70"/>
        <v>18890</v>
      </c>
      <c r="U129" s="136">
        <f t="shared" si="71"/>
        <v>18890</v>
      </c>
      <c r="V129" s="137" t="s">
        <v>1199</v>
      </c>
      <c r="W129" s="138">
        <v>46071</v>
      </c>
      <c r="X129" s="139" t="s">
        <v>1258</v>
      </c>
      <c r="Y129" s="140" t="s">
        <v>1193</v>
      </c>
      <c r="Z129" s="141" t="s">
        <v>1479</v>
      </c>
      <c r="AA129" s="142">
        <v>21200</v>
      </c>
      <c r="AB129" s="142" t="s">
        <v>1190</v>
      </c>
      <c r="AC129" s="142" t="s">
        <v>1191</v>
      </c>
      <c r="AD129" s="143">
        <f t="shared" si="72"/>
        <v>17815.126050420167</v>
      </c>
      <c r="AE129" s="144">
        <f t="shared" si="73"/>
        <v>3384.8739495798318</v>
      </c>
      <c r="AF129" s="144">
        <f t="shared" si="74"/>
        <v>21200</v>
      </c>
      <c r="AG129" s="144">
        <f t="shared" si="75"/>
        <v>21200</v>
      </c>
      <c r="AH129" s="144">
        <f t="shared" si="76"/>
        <v>21200</v>
      </c>
      <c r="AI129" s="145" t="s">
        <v>1199</v>
      </c>
      <c r="AJ129" s="146">
        <v>46071</v>
      </c>
      <c r="AK129" s="147" t="s">
        <v>1606</v>
      </c>
      <c r="AL129" s="148" t="s">
        <v>1193</v>
      </c>
      <c r="AM129" s="149" t="s">
        <v>1607</v>
      </c>
      <c r="AN129" s="150">
        <v>19900</v>
      </c>
      <c r="AO129" s="150" t="s">
        <v>1190</v>
      </c>
      <c r="AP129" s="151" t="s">
        <v>1191</v>
      </c>
      <c r="AQ129" s="152">
        <f t="shared" si="77"/>
        <v>16722.689075630253</v>
      </c>
      <c r="AR129" s="152">
        <f t="shared" si="78"/>
        <v>3177.3109243697481</v>
      </c>
      <c r="AS129" s="152">
        <f t="shared" si="79"/>
        <v>19900</v>
      </c>
      <c r="AT129" s="152">
        <f t="shared" si="80"/>
        <v>19900</v>
      </c>
      <c r="AU129" s="152">
        <f t="shared" si="81"/>
        <v>19900</v>
      </c>
      <c r="AV129" s="154">
        <f>IF(A129="","",AVERAGE(S129,AF129,AS129))</f>
        <v>19996.666666666668</v>
      </c>
      <c r="AW129" s="154">
        <f>IF(A129="","",AVERAGE(U129,AH129,AU129))</f>
        <v>19996.666666666668</v>
      </c>
      <c r="AX129" s="154">
        <f>IF(N129="","",STDEV(U129,AH129,AU129))</f>
        <v>1158.0299362854714</v>
      </c>
      <c r="AY129" s="155">
        <f t="shared" si="82"/>
        <v>5.7911148672385629E-2</v>
      </c>
      <c r="AZ129" s="5"/>
      <c r="BA129" s="7">
        <f>COUNTA(M129,Z129,AM129)</f>
        <v>3</v>
      </c>
    </row>
    <row r="130" spans="1:53" ht="348" hidden="1" customHeight="1">
      <c r="A130" s="6" t="s">
        <v>569</v>
      </c>
      <c r="B130" s="6" t="s">
        <v>569</v>
      </c>
      <c r="C130" s="6" t="s">
        <v>569</v>
      </c>
      <c r="D130" s="6" t="s">
        <v>1608</v>
      </c>
      <c r="E130" s="127" t="s">
        <v>1609</v>
      </c>
      <c r="F130" s="128" t="s">
        <v>1247</v>
      </c>
      <c r="G130" s="129">
        <v>1</v>
      </c>
      <c r="H130" s="128"/>
      <c r="I130" s="130" t="s">
        <v>569</v>
      </c>
      <c r="J130" s="131" t="s">
        <v>569</v>
      </c>
      <c r="K130" s="132" t="s">
        <v>569</v>
      </c>
      <c r="L130" s="133" t="s">
        <v>569</v>
      </c>
      <c r="M130" s="131" t="s">
        <v>569</v>
      </c>
      <c r="N130" s="134"/>
      <c r="O130" s="134"/>
      <c r="P130" s="134"/>
      <c r="Q130" s="135" t="s">
        <v>1248</v>
      </c>
      <c r="R130" s="136" t="s">
        <v>1248</v>
      </c>
      <c r="S130" s="136" t="s">
        <v>1248</v>
      </c>
      <c r="T130" s="136" t="s">
        <v>1248</v>
      </c>
      <c r="U130" s="136" t="s">
        <v>1248</v>
      </c>
      <c r="V130" s="137" t="s">
        <v>569</v>
      </c>
      <c r="W130" s="138" t="s">
        <v>569</v>
      </c>
      <c r="X130" s="139" t="s">
        <v>569</v>
      </c>
      <c r="Y130" s="140" t="s">
        <v>569</v>
      </c>
      <c r="Z130" s="141" t="s">
        <v>1249</v>
      </c>
      <c r="AA130" s="142" t="s">
        <v>569</v>
      </c>
      <c r="AB130" s="142" t="s">
        <v>569</v>
      </c>
      <c r="AC130" s="142" t="s">
        <v>569</v>
      </c>
      <c r="AD130" s="143" t="s">
        <v>569</v>
      </c>
      <c r="AE130" s="144" t="s">
        <v>569</v>
      </c>
      <c r="AF130" s="144">
        <v>18760</v>
      </c>
      <c r="AG130" s="144">
        <v>5.5599999999999997E-2</v>
      </c>
      <c r="AH130" s="144">
        <v>19803</v>
      </c>
      <c r="AI130" s="145" t="s">
        <v>569</v>
      </c>
      <c r="AJ130" s="146" t="s">
        <v>569</v>
      </c>
      <c r="AK130" s="147" t="s">
        <v>569</v>
      </c>
      <c r="AL130" s="148" t="s">
        <v>569</v>
      </c>
      <c r="AM130" s="149" t="s">
        <v>1250</v>
      </c>
      <c r="AN130" s="150" t="s">
        <v>569</v>
      </c>
      <c r="AO130" s="150" t="s">
        <v>569</v>
      </c>
      <c r="AP130" s="151" t="s">
        <v>569</v>
      </c>
      <c r="AQ130" s="152">
        <v>16395</v>
      </c>
      <c r="AR130" s="153">
        <v>3115</v>
      </c>
      <c r="AS130" s="153">
        <v>19510</v>
      </c>
      <c r="AT130" s="153">
        <v>16395</v>
      </c>
      <c r="AU130" s="153">
        <v>19510</v>
      </c>
      <c r="AV130" s="154">
        <v>19657</v>
      </c>
      <c r="AW130" s="154">
        <v>19657</v>
      </c>
      <c r="AX130" s="154">
        <v>206.94</v>
      </c>
      <c r="AY130" s="155">
        <v>1.0500000000000001E-2</v>
      </c>
      <c r="AZ130" s="5"/>
      <c r="BA130" s="7"/>
    </row>
    <row r="131" spans="1:53" ht="348" hidden="1" customHeight="1">
      <c r="A131" s="6" t="s">
        <v>569</v>
      </c>
      <c r="B131" s="6" t="s">
        <v>569</v>
      </c>
      <c r="C131" s="6" t="s">
        <v>569</v>
      </c>
      <c r="D131" s="6" t="s">
        <v>1610</v>
      </c>
      <c r="E131" s="127" t="s">
        <v>1611</v>
      </c>
      <c r="F131" s="128" t="s">
        <v>1247</v>
      </c>
      <c r="G131" s="129">
        <v>1</v>
      </c>
      <c r="H131" s="128"/>
      <c r="I131" s="130" t="s">
        <v>569</v>
      </c>
      <c r="J131" s="131" t="s">
        <v>569</v>
      </c>
      <c r="K131" s="132" t="s">
        <v>569</v>
      </c>
      <c r="L131" s="133" t="s">
        <v>569</v>
      </c>
      <c r="M131" s="131" t="s">
        <v>569</v>
      </c>
      <c r="N131" s="134"/>
      <c r="O131" s="134"/>
      <c r="P131" s="134"/>
      <c r="Q131" s="135" t="s">
        <v>1248</v>
      </c>
      <c r="R131" s="136" t="s">
        <v>1248</v>
      </c>
      <c r="S131" s="136" t="s">
        <v>1248</v>
      </c>
      <c r="T131" s="136" t="s">
        <v>1248</v>
      </c>
      <c r="U131" s="136" t="s">
        <v>1248</v>
      </c>
      <c r="V131" s="137" t="s">
        <v>569</v>
      </c>
      <c r="W131" s="138" t="s">
        <v>569</v>
      </c>
      <c r="X131" s="139" t="s">
        <v>569</v>
      </c>
      <c r="Y131" s="140" t="s">
        <v>569</v>
      </c>
      <c r="Z131" s="141" t="s">
        <v>1249</v>
      </c>
      <c r="AA131" s="142" t="s">
        <v>569</v>
      </c>
      <c r="AB131" s="142" t="s">
        <v>569</v>
      </c>
      <c r="AC131" s="142" t="s">
        <v>569</v>
      </c>
      <c r="AD131" s="143" t="s">
        <v>569</v>
      </c>
      <c r="AE131" s="144" t="s">
        <v>569</v>
      </c>
      <c r="AF131" s="144">
        <v>1343608</v>
      </c>
      <c r="AG131" s="144">
        <v>5.5599999999999997E-2</v>
      </c>
      <c r="AH131" s="144">
        <v>1418313</v>
      </c>
      <c r="AI131" s="145" t="s">
        <v>569</v>
      </c>
      <c r="AJ131" s="146" t="s">
        <v>569</v>
      </c>
      <c r="AK131" s="147" t="s">
        <v>569</v>
      </c>
      <c r="AL131" s="148" t="s">
        <v>569</v>
      </c>
      <c r="AM131" s="149" t="s">
        <v>1250</v>
      </c>
      <c r="AN131" s="150" t="s">
        <v>569</v>
      </c>
      <c r="AO131" s="150" t="s">
        <v>569</v>
      </c>
      <c r="AP131" s="151" t="s">
        <v>569</v>
      </c>
      <c r="AQ131" s="152">
        <v>1157309</v>
      </c>
      <c r="AR131" s="153">
        <v>219889</v>
      </c>
      <c r="AS131" s="153">
        <v>1377198</v>
      </c>
      <c r="AT131" s="153">
        <v>1157309</v>
      </c>
      <c r="AU131" s="153">
        <v>1377198</v>
      </c>
      <c r="AV131" s="154">
        <v>1397755</v>
      </c>
      <c r="AW131" s="154">
        <v>1397755</v>
      </c>
      <c r="AX131" s="154">
        <v>29072.27</v>
      </c>
      <c r="AY131" s="155">
        <v>2.0799999999999999E-2</v>
      </c>
      <c r="AZ131" s="5"/>
      <c r="BA131" s="7"/>
    </row>
    <row r="132" spans="1:53" ht="348" hidden="1" customHeight="1">
      <c r="A132" s="6" t="s">
        <v>569</v>
      </c>
      <c r="B132" s="6" t="s">
        <v>569</v>
      </c>
      <c r="C132" s="6" t="s">
        <v>569</v>
      </c>
      <c r="D132" s="6" t="s">
        <v>1612</v>
      </c>
      <c r="E132" s="127" t="s">
        <v>1613</v>
      </c>
      <c r="F132" s="128" t="s">
        <v>1247</v>
      </c>
      <c r="G132" s="129">
        <v>1</v>
      </c>
      <c r="H132" s="128"/>
      <c r="I132" s="130" t="s">
        <v>569</v>
      </c>
      <c r="J132" s="131" t="s">
        <v>569</v>
      </c>
      <c r="K132" s="132" t="s">
        <v>569</v>
      </c>
      <c r="L132" s="133" t="s">
        <v>569</v>
      </c>
      <c r="M132" s="131" t="s">
        <v>569</v>
      </c>
      <c r="N132" s="134"/>
      <c r="O132" s="134"/>
      <c r="P132" s="134"/>
      <c r="Q132" s="135" t="s">
        <v>1248</v>
      </c>
      <c r="R132" s="136" t="s">
        <v>1248</v>
      </c>
      <c r="S132" s="136" t="s">
        <v>1248</v>
      </c>
      <c r="T132" s="136" t="s">
        <v>1248</v>
      </c>
      <c r="U132" s="136" t="s">
        <v>1248</v>
      </c>
      <c r="V132" s="137" t="s">
        <v>569</v>
      </c>
      <c r="W132" s="138" t="s">
        <v>569</v>
      </c>
      <c r="X132" s="139" t="s">
        <v>569</v>
      </c>
      <c r="Y132" s="140" t="s">
        <v>569</v>
      </c>
      <c r="Z132" s="141" t="s">
        <v>1249</v>
      </c>
      <c r="AA132" s="142" t="s">
        <v>569</v>
      </c>
      <c r="AB132" s="142" t="s">
        <v>569</v>
      </c>
      <c r="AC132" s="142" t="s">
        <v>569</v>
      </c>
      <c r="AD132" s="143" t="s">
        <v>569</v>
      </c>
      <c r="AE132" s="144" t="s">
        <v>569</v>
      </c>
      <c r="AF132" s="144">
        <v>1458334</v>
      </c>
      <c r="AG132" s="144">
        <v>5.5599999999999997E-2</v>
      </c>
      <c r="AH132" s="144">
        <v>1539417</v>
      </c>
      <c r="AI132" s="145" t="s">
        <v>569</v>
      </c>
      <c r="AJ132" s="146" t="s">
        <v>569</v>
      </c>
      <c r="AK132" s="147" t="s">
        <v>569</v>
      </c>
      <c r="AL132" s="148" t="s">
        <v>569</v>
      </c>
      <c r="AM132" s="149" t="s">
        <v>1250</v>
      </c>
      <c r="AN132" s="150" t="s">
        <v>569</v>
      </c>
      <c r="AO132" s="150" t="s">
        <v>569</v>
      </c>
      <c r="AP132" s="151" t="s">
        <v>569</v>
      </c>
      <c r="AQ132" s="152">
        <v>1256128</v>
      </c>
      <c r="AR132" s="153">
        <v>238664</v>
      </c>
      <c r="AS132" s="153">
        <v>1494792</v>
      </c>
      <c r="AT132" s="153">
        <v>1256128</v>
      </c>
      <c r="AU132" s="153">
        <v>1494792</v>
      </c>
      <c r="AV132" s="154">
        <v>1517105</v>
      </c>
      <c r="AW132" s="154">
        <v>1517105</v>
      </c>
      <c r="AX132" s="154">
        <v>31554.65</v>
      </c>
      <c r="AY132" s="155">
        <v>2.0799999999999999E-2</v>
      </c>
      <c r="AZ132" s="5"/>
      <c r="BA132" s="7"/>
    </row>
    <row r="133" spans="1:53" ht="348" hidden="1" customHeight="1">
      <c r="A133" s="6" t="s">
        <v>569</v>
      </c>
      <c r="B133" s="6" t="s">
        <v>569</v>
      </c>
      <c r="C133" s="6" t="s">
        <v>569</v>
      </c>
      <c r="D133" s="6" t="s">
        <v>1614</v>
      </c>
      <c r="E133" s="127" t="s">
        <v>1615</v>
      </c>
      <c r="F133" s="128" t="s">
        <v>1247</v>
      </c>
      <c r="G133" s="129">
        <v>1</v>
      </c>
      <c r="H133" s="128"/>
      <c r="I133" s="130" t="s">
        <v>569</v>
      </c>
      <c r="J133" s="131" t="s">
        <v>569</v>
      </c>
      <c r="K133" s="132" t="s">
        <v>569</v>
      </c>
      <c r="L133" s="133" t="s">
        <v>569</v>
      </c>
      <c r="M133" s="131" t="s">
        <v>569</v>
      </c>
      <c r="N133" s="134"/>
      <c r="O133" s="134"/>
      <c r="P133" s="134"/>
      <c r="Q133" s="135" t="s">
        <v>1248</v>
      </c>
      <c r="R133" s="136" t="s">
        <v>1248</v>
      </c>
      <c r="S133" s="136" t="s">
        <v>1248</v>
      </c>
      <c r="T133" s="136" t="s">
        <v>1248</v>
      </c>
      <c r="U133" s="136" t="s">
        <v>1248</v>
      </c>
      <c r="V133" s="137" t="s">
        <v>569</v>
      </c>
      <c r="W133" s="138" t="s">
        <v>569</v>
      </c>
      <c r="X133" s="139" t="s">
        <v>569</v>
      </c>
      <c r="Y133" s="140" t="s">
        <v>569</v>
      </c>
      <c r="Z133" s="141" t="s">
        <v>1249</v>
      </c>
      <c r="AA133" s="142" t="s">
        <v>569</v>
      </c>
      <c r="AB133" s="142" t="s">
        <v>569</v>
      </c>
      <c r="AC133" s="142" t="s">
        <v>569</v>
      </c>
      <c r="AD133" s="143" t="s">
        <v>569</v>
      </c>
      <c r="AE133" s="144" t="s">
        <v>569</v>
      </c>
      <c r="AF133" s="144">
        <v>2988899</v>
      </c>
      <c r="AG133" s="144">
        <v>5.5599999999999997E-2</v>
      </c>
      <c r="AH133" s="144">
        <v>3155082</v>
      </c>
      <c r="AI133" s="145" t="s">
        <v>569</v>
      </c>
      <c r="AJ133" s="146" t="s">
        <v>569</v>
      </c>
      <c r="AK133" s="147" t="s">
        <v>569</v>
      </c>
      <c r="AL133" s="148" t="s">
        <v>569</v>
      </c>
      <c r="AM133" s="149" t="s">
        <v>1250</v>
      </c>
      <c r="AN133" s="150" t="s">
        <v>569</v>
      </c>
      <c r="AO133" s="150" t="s">
        <v>569</v>
      </c>
      <c r="AP133" s="151" t="s">
        <v>569</v>
      </c>
      <c r="AQ133" s="152">
        <v>2561913</v>
      </c>
      <c r="AR133" s="153">
        <v>486764</v>
      </c>
      <c r="AS133" s="153">
        <v>3048677</v>
      </c>
      <c r="AT133" s="153">
        <v>2561913</v>
      </c>
      <c r="AU133" s="153">
        <v>3048677</v>
      </c>
      <c r="AV133" s="154">
        <v>3101879</v>
      </c>
      <c r="AW133" s="154">
        <v>3101879</v>
      </c>
      <c r="AX133" s="154">
        <v>75239.56</v>
      </c>
      <c r="AY133" s="155">
        <v>2.4299999999999999E-2</v>
      </c>
      <c r="AZ133" s="5"/>
      <c r="BA133" s="7"/>
    </row>
    <row r="134" spans="1:53" ht="217.5" hidden="1" customHeight="1">
      <c r="A134" s="6" t="s">
        <v>1182</v>
      </c>
      <c r="B134" s="6" t="s">
        <v>1183</v>
      </c>
      <c r="C134" s="6">
        <v>60101405</v>
      </c>
      <c r="D134" s="6" t="s">
        <v>1616</v>
      </c>
      <c r="E134" s="127" t="s">
        <v>1617</v>
      </c>
      <c r="F134" s="128" t="s">
        <v>1618</v>
      </c>
      <c r="G134" s="129">
        <v>1</v>
      </c>
      <c r="H134" s="128" t="s">
        <v>192</v>
      </c>
      <c r="I134" s="130" t="s">
        <v>1186</v>
      </c>
      <c r="J134" s="131">
        <v>46153</v>
      </c>
      <c r="K134" s="132" t="s">
        <v>1212</v>
      </c>
      <c r="L134" s="133" t="s">
        <v>1188</v>
      </c>
      <c r="M134" s="131" t="s">
        <v>1521</v>
      </c>
      <c r="N134" s="134">
        <v>70000</v>
      </c>
      <c r="O134" s="134" t="s">
        <v>1197</v>
      </c>
      <c r="P134" s="134" t="s">
        <v>1191</v>
      </c>
      <c r="Q134" s="135">
        <f>IF(O134="IVA Incluido",(N134/1.19),N134)</f>
        <v>70000</v>
      </c>
      <c r="R134" s="136">
        <f>IF(P134="Si tiene IVA",Q134*19%,0)</f>
        <v>13300</v>
      </c>
      <c r="S134" s="136">
        <f>Q134+R134</f>
        <v>83300</v>
      </c>
      <c r="T134" s="136">
        <f>IF(B134="","",(N134*G134))</f>
        <v>70000</v>
      </c>
      <c r="U134" s="136">
        <f>IF(B134="","",(S134*G134))</f>
        <v>83300</v>
      </c>
      <c r="V134" s="137" t="s">
        <v>1186</v>
      </c>
      <c r="W134" s="138">
        <v>46153</v>
      </c>
      <c r="X134" s="139" t="s">
        <v>1207</v>
      </c>
      <c r="Y134" s="140" t="s">
        <v>1188</v>
      </c>
      <c r="Z134" s="141" t="s">
        <v>1204</v>
      </c>
      <c r="AA134" s="142">
        <v>70000</v>
      </c>
      <c r="AB134" s="142" t="s">
        <v>1190</v>
      </c>
      <c r="AC134" s="142" t="s">
        <v>1191</v>
      </c>
      <c r="AD134" s="143">
        <f>IF(AB134="IVA Incluido",(AA134/1.19),AA134)</f>
        <v>58823.529411764706</v>
      </c>
      <c r="AE134" s="144">
        <f>IF(AC134="Si tiene IVA",AD134*19%,0)</f>
        <v>11176.470588235294</v>
      </c>
      <c r="AF134" s="144">
        <f>AD134+AE134</f>
        <v>70000</v>
      </c>
      <c r="AG134" s="144">
        <f>IF(O134="","",(AA134*G134))</f>
        <v>70000</v>
      </c>
      <c r="AH134" s="144">
        <f>IF(O134="","",(AF134*G134))</f>
        <v>70000</v>
      </c>
      <c r="AI134" s="145" t="s">
        <v>1186</v>
      </c>
      <c r="AJ134" s="146">
        <v>46153</v>
      </c>
      <c r="AK134" s="147" t="s">
        <v>1619</v>
      </c>
      <c r="AL134" s="148" t="s">
        <v>1193</v>
      </c>
      <c r="AM134" s="149" t="s">
        <v>1216</v>
      </c>
      <c r="AN134" s="150">
        <v>80000</v>
      </c>
      <c r="AO134" s="150" t="s">
        <v>1197</v>
      </c>
      <c r="AP134" s="151" t="s">
        <v>1217</v>
      </c>
      <c r="AQ134" s="152">
        <f>IF(AO134="IVA Incluido",(AN134/1.19),AN134)</f>
        <v>80000</v>
      </c>
      <c r="AR134" s="153">
        <f>IF(AP134="Si tiene IVA",AQ134*19%,0)</f>
        <v>0</v>
      </c>
      <c r="AS134" s="153">
        <f>AQ134+AR134</f>
        <v>80000</v>
      </c>
      <c r="AT134" s="153">
        <f>IF(AB134="","",(AN134*G134))</f>
        <v>80000</v>
      </c>
      <c r="AU134" s="153">
        <f>IF(AB134="","",(AS134*G134))</f>
        <v>80000</v>
      </c>
      <c r="AV134" s="154">
        <f>IF(A134="","",AVERAGE(S134,AF134,AS134))</f>
        <v>77766.666666666672</v>
      </c>
      <c r="AW134" s="154">
        <f>IF(A134="","",AVERAGE(U134,AH134,AU134))</f>
        <v>77766.666666666672</v>
      </c>
      <c r="AX134" s="154">
        <f>IF(N134="","",STDEV(U134,AH134,AU134))</f>
        <v>6925.5565360000737</v>
      </c>
      <c r="AY134" s="155">
        <f>IF(N134="","",(AX134/AW134))</f>
        <v>8.9055591975997508E-2</v>
      </c>
      <c r="AZ134" s="5" t="s">
        <v>1620</v>
      </c>
      <c r="BA134" s="7">
        <f>COUNTA(M134,Z134,AM134)</f>
        <v>3</v>
      </c>
    </row>
    <row r="135" spans="1:53" ht="217.5" hidden="1" customHeight="1">
      <c r="A135" s="6" t="s">
        <v>1182</v>
      </c>
      <c r="B135" s="6" t="s">
        <v>1183</v>
      </c>
      <c r="C135" s="6"/>
      <c r="D135" s="6" t="s">
        <v>1621</v>
      </c>
      <c r="E135" s="127" t="s">
        <v>1617</v>
      </c>
      <c r="F135" s="128" t="s">
        <v>191</v>
      </c>
      <c r="G135" s="129">
        <v>1</v>
      </c>
      <c r="H135" s="128" t="s">
        <v>192</v>
      </c>
      <c r="I135" s="130" t="s">
        <v>1186</v>
      </c>
      <c r="J135" s="131">
        <v>46153</v>
      </c>
      <c r="K135" s="132" t="s">
        <v>1210</v>
      </c>
      <c r="L135" s="133" t="s">
        <v>1188</v>
      </c>
      <c r="M135" s="131" t="s">
        <v>1211</v>
      </c>
      <c r="N135" s="134">
        <v>230000</v>
      </c>
      <c r="O135" s="134" t="s">
        <v>1197</v>
      </c>
      <c r="P135" s="134" t="s">
        <v>1191</v>
      </c>
      <c r="Q135" s="135">
        <f>IF(O135="IVA Incluido",(N135/1.19),N135)</f>
        <v>230000</v>
      </c>
      <c r="R135" s="136">
        <f>IF(P135="Si tiene IVA",Q135*19%,IF(P135="Si tiene IPOCONSUMO",Q135*8%,0))</f>
        <v>43700</v>
      </c>
      <c r="S135" s="136">
        <f>Q135+R135</f>
        <v>273700</v>
      </c>
      <c r="T135" s="136">
        <f>IF(B135="","",(N135*G135))</f>
        <v>230000</v>
      </c>
      <c r="U135" s="136">
        <f>IF(B135="","",(S135*G135))</f>
        <v>273700</v>
      </c>
      <c r="V135" s="137" t="s">
        <v>1186</v>
      </c>
      <c r="W135" s="138">
        <v>46153</v>
      </c>
      <c r="X135" s="139" t="s">
        <v>1622</v>
      </c>
      <c r="Y135" s="140" t="s">
        <v>1188</v>
      </c>
      <c r="Z135" s="141" t="s">
        <v>1623</v>
      </c>
      <c r="AA135" s="142">
        <v>232500</v>
      </c>
      <c r="AB135" s="142" t="s">
        <v>1197</v>
      </c>
      <c r="AC135" s="142" t="s">
        <v>1191</v>
      </c>
      <c r="AD135" s="143">
        <f>IF(AB135="IVA Incluido",(AA135/1.19),AA135)</f>
        <v>232500</v>
      </c>
      <c r="AE135" s="144">
        <f>IF(AC135="Si tiene IVA",AD135*19%,IF(AC135="Si tiene IPOCONSUMO",AD135*8%,0))</f>
        <v>44175</v>
      </c>
      <c r="AF135" s="144">
        <f>AD135+AE135</f>
        <v>276675</v>
      </c>
      <c r="AG135" s="144">
        <f>IF(O135="","",(AA135*G135))</f>
        <v>232500</v>
      </c>
      <c r="AH135" s="144">
        <f>IF(O135="","",(AF135*G135))</f>
        <v>276675</v>
      </c>
      <c r="AI135" s="145" t="s">
        <v>1186</v>
      </c>
      <c r="AJ135" s="146">
        <v>46153</v>
      </c>
      <c r="AK135" s="147" t="s">
        <v>1212</v>
      </c>
      <c r="AL135" s="148" t="s">
        <v>1188</v>
      </c>
      <c r="AM135" s="149" t="s">
        <v>1521</v>
      </c>
      <c r="AN135" s="150">
        <v>200000</v>
      </c>
      <c r="AO135" s="150" t="s">
        <v>1197</v>
      </c>
      <c r="AP135" s="151" t="s">
        <v>1191</v>
      </c>
      <c r="AQ135" s="152">
        <f>IF(AO135="IVA Incluido",(AN135/1.19),AN135)</f>
        <v>200000</v>
      </c>
      <c r="AR135" s="153">
        <f>IF(AP135="Si tiene IVA",AQ135*19%,0)</f>
        <v>38000</v>
      </c>
      <c r="AS135" s="153">
        <f>AQ135+AR135</f>
        <v>238000</v>
      </c>
      <c r="AT135" s="153">
        <f>IF(AB135="","",(AN135*G135))</f>
        <v>200000</v>
      </c>
      <c r="AU135" s="153">
        <f>IF(AB135="","",(AS135*G135))</f>
        <v>238000</v>
      </c>
      <c r="AV135" s="154">
        <f>IF(A135="","",AVERAGE(S135,AF135,AS135))</f>
        <v>262791.66666666669</v>
      </c>
      <c r="AW135" s="154">
        <f>IF(A135="","",AVERAGE(U135,AH135,AU135))</f>
        <v>262791.66666666669</v>
      </c>
      <c r="AX135" s="154">
        <f>IF(N135="","",STDEV(U135,AH135,AU135))</f>
        <v>21521.679960758949</v>
      </c>
      <c r="AY135" s="155">
        <f>IF(N135="","",(AX135/AW135))</f>
        <v>8.1896356280040397E-2</v>
      </c>
      <c r="AZ135" s="5" t="s">
        <v>1620</v>
      </c>
      <c r="BA135" s="7">
        <f>COUNTA(M135,Z135,AM135)</f>
        <v>3</v>
      </c>
    </row>
    <row r="136" spans="1:53" ht="217.5" hidden="1" customHeight="1">
      <c r="A136" s="6" t="s">
        <v>1182</v>
      </c>
      <c r="B136" s="6" t="s">
        <v>1183</v>
      </c>
      <c r="C136" s="6"/>
      <c r="D136" s="6" t="s">
        <v>1624</v>
      </c>
      <c r="E136" s="127" t="s">
        <v>1617</v>
      </c>
      <c r="F136" s="128" t="s">
        <v>191</v>
      </c>
      <c r="G136" s="129">
        <v>1</v>
      </c>
      <c r="H136" s="128" t="s">
        <v>192</v>
      </c>
      <c r="I136" s="130" t="s">
        <v>1186</v>
      </c>
      <c r="J136" s="131">
        <v>46153</v>
      </c>
      <c r="K136" s="132" t="s">
        <v>1210</v>
      </c>
      <c r="L136" s="133" t="s">
        <v>1188</v>
      </c>
      <c r="M136" s="131" t="s">
        <v>1211</v>
      </c>
      <c r="N136" s="134">
        <v>120000</v>
      </c>
      <c r="O136" s="134" t="s">
        <v>1197</v>
      </c>
      <c r="P136" s="134" t="s">
        <v>1191</v>
      </c>
      <c r="Q136" s="135">
        <f>IF(O136="IVA Incluido",(N136/1.19),N136)</f>
        <v>120000</v>
      </c>
      <c r="R136" s="136">
        <f>IF(P136="Si tiene IVA",Q136*19%,0)</f>
        <v>22800</v>
      </c>
      <c r="S136" s="136">
        <f>Q136+R136</f>
        <v>142800</v>
      </c>
      <c r="T136" s="136">
        <f>IF(B136="","",(N136*G136))</f>
        <v>120000</v>
      </c>
      <c r="U136" s="136">
        <f>IF(B136="","",(S136*G136))</f>
        <v>142800</v>
      </c>
      <c r="V136" s="137" t="s">
        <v>1186</v>
      </c>
      <c r="W136" s="138">
        <v>46153</v>
      </c>
      <c r="X136" s="139" t="s">
        <v>1622</v>
      </c>
      <c r="Y136" s="140" t="s">
        <v>1188</v>
      </c>
      <c r="Z136" s="141" t="s">
        <v>1623</v>
      </c>
      <c r="AA136" s="142">
        <v>108000</v>
      </c>
      <c r="AB136" s="142" t="s">
        <v>1197</v>
      </c>
      <c r="AC136" s="142" t="s">
        <v>1191</v>
      </c>
      <c r="AD136" s="143">
        <f>IF(AB136="IVA Incluido",(AA136/1.19),AA136)</f>
        <v>108000</v>
      </c>
      <c r="AE136" s="144">
        <f>IF(AC136="Si tiene IVA",AD136*19%,0)</f>
        <v>20520</v>
      </c>
      <c r="AF136" s="144">
        <f>AD136+AE136</f>
        <v>128520</v>
      </c>
      <c r="AG136" s="144">
        <f>IF(O136="","",(AA136*G136))</f>
        <v>108000</v>
      </c>
      <c r="AH136" s="144">
        <f>IF(O136="","",(AF136*G136))</f>
        <v>128520</v>
      </c>
      <c r="AI136" s="145" t="s">
        <v>1186</v>
      </c>
      <c r="AJ136" s="146">
        <v>46153</v>
      </c>
      <c r="AK136" s="147" t="s">
        <v>1625</v>
      </c>
      <c r="AL136" s="148" t="s">
        <v>1188</v>
      </c>
      <c r="AM136" s="149" t="s">
        <v>1626</v>
      </c>
      <c r="AN136" s="150">
        <v>150000</v>
      </c>
      <c r="AO136" s="150" t="s">
        <v>1197</v>
      </c>
      <c r="AP136" s="151" t="s">
        <v>1217</v>
      </c>
      <c r="AQ136" s="152">
        <f>IF(AO136="IVA Incluido",(AN136/1.19),AN136)</f>
        <v>150000</v>
      </c>
      <c r="AR136" s="153">
        <f>IF(AP136="Si tiene IVA",AQ136*19%,0)</f>
        <v>0</v>
      </c>
      <c r="AS136" s="153">
        <f>AQ136+AR136</f>
        <v>150000</v>
      </c>
      <c r="AT136" s="153">
        <f>IF(AB136="","",(AN136*G136))</f>
        <v>150000</v>
      </c>
      <c r="AU136" s="153">
        <f>IF(AB136="","",(AS136*G136))</f>
        <v>150000</v>
      </c>
      <c r="AV136" s="154">
        <f>IF(A136="","",AVERAGE(S136,AF136,AS136))</f>
        <v>140440</v>
      </c>
      <c r="AW136" s="154">
        <f>IF(A136="","",AVERAGE(U136,AH136,AU136))</f>
        <v>140440</v>
      </c>
      <c r="AX136" s="154">
        <f>IF(N136="","",STDEV(U136,AH136,AU136))</f>
        <v>10932.73982128908</v>
      </c>
      <c r="AY136" s="155">
        <f>IF(N136="","",(AX136/AW136))</f>
        <v>7.784633880154572E-2</v>
      </c>
      <c r="AZ136" s="5" t="s">
        <v>1620</v>
      </c>
      <c r="BA136" s="7">
        <f>COUNTA(M136,Z136,AM136)</f>
        <v>3</v>
      </c>
    </row>
    <row r="137" spans="1:53" ht="72.599999999999994" hidden="1" customHeight="1">
      <c r="A137" s="6" t="s">
        <v>1182</v>
      </c>
      <c r="B137" s="6" t="s">
        <v>1251</v>
      </c>
      <c r="C137" s="6">
        <v>44121702</v>
      </c>
      <c r="D137" s="6" t="s">
        <v>1627</v>
      </c>
      <c r="E137" s="127" t="s">
        <v>1628</v>
      </c>
      <c r="F137" s="128" t="s">
        <v>191</v>
      </c>
      <c r="G137" s="129">
        <v>1</v>
      </c>
      <c r="H137" s="128" t="s">
        <v>192</v>
      </c>
      <c r="I137" s="130" t="s">
        <v>1186</v>
      </c>
      <c r="J137" s="131">
        <v>46139</v>
      </c>
      <c r="K137" s="132" t="s">
        <v>1629</v>
      </c>
      <c r="L137" s="133" t="s">
        <v>1188</v>
      </c>
      <c r="M137" s="131" t="s">
        <v>1563</v>
      </c>
      <c r="N137" s="134">
        <v>6435</v>
      </c>
      <c r="O137" s="134" t="s">
        <v>1190</v>
      </c>
      <c r="P137" s="134" t="s">
        <v>1191</v>
      </c>
      <c r="Q137" s="135">
        <f>IF(O137="IVA Incluido",(N137/1.19),N137)</f>
        <v>5407.5630252100846</v>
      </c>
      <c r="R137" s="136">
        <f>IF(P137="Si tiene IVA",Q137*19%,0)</f>
        <v>1027.4369747899161</v>
      </c>
      <c r="S137" s="136">
        <f>Q137+R137</f>
        <v>6435.0000000000009</v>
      </c>
      <c r="T137" s="136">
        <f>IF(B137="","",(N137*G137))</f>
        <v>6435</v>
      </c>
      <c r="U137" s="136">
        <f>IF(B137="","",(S137*G137))</f>
        <v>6435.0000000000009</v>
      </c>
      <c r="V137" s="137" t="s">
        <v>1186</v>
      </c>
      <c r="W137" s="138">
        <v>46139</v>
      </c>
      <c r="X137" s="139" t="s">
        <v>1461</v>
      </c>
      <c r="Y137" s="140" t="s">
        <v>1193</v>
      </c>
      <c r="Z137" s="141" t="s">
        <v>1630</v>
      </c>
      <c r="AA137" s="142">
        <v>5508</v>
      </c>
      <c r="AB137" s="142" t="s">
        <v>1190</v>
      </c>
      <c r="AC137" s="142" t="s">
        <v>1191</v>
      </c>
      <c r="AD137" s="143">
        <f>IF(AB137="IVA Incluido",(AA137/1.19),AA137)</f>
        <v>4628.5714285714284</v>
      </c>
      <c r="AE137" s="144">
        <f>IF(AC137="Si tiene IVA",AD137*19%,0)</f>
        <v>879.42857142857144</v>
      </c>
      <c r="AF137" s="144">
        <f>AD137+AE137</f>
        <v>5508</v>
      </c>
      <c r="AG137" s="144">
        <f>IF(O137="","",(AA137*G137))</f>
        <v>5508</v>
      </c>
      <c r="AH137" s="144">
        <f>IF(O137="","",(AF137*G137))</f>
        <v>5508</v>
      </c>
      <c r="AI137" s="145" t="s">
        <v>1186</v>
      </c>
      <c r="AJ137" s="146">
        <v>46139</v>
      </c>
      <c r="AK137" s="147" t="s">
        <v>1631</v>
      </c>
      <c r="AL137" s="148" t="s">
        <v>1193</v>
      </c>
      <c r="AM137" s="149" t="s">
        <v>1632</v>
      </c>
      <c r="AN137" s="150">
        <v>5913</v>
      </c>
      <c r="AO137" s="150" t="s">
        <v>1190</v>
      </c>
      <c r="AP137" s="151" t="s">
        <v>1191</v>
      </c>
      <c r="AQ137" s="152">
        <f>IF(AO137="IVA Incluido",(AN137/1.19),AN137)</f>
        <v>4968.90756302521</v>
      </c>
      <c r="AR137" s="153">
        <f>IF(AP137="Si tiene IVA",AQ137*19%,0)</f>
        <v>944.09243697478996</v>
      </c>
      <c r="AS137" s="153">
        <f>AQ137+AR137</f>
        <v>5913</v>
      </c>
      <c r="AT137" s="153">
        <f>IF(AB137="","",(AN137*G137))</f>
        <v>5913</v>
      </c>
      <c r="AU137" s="153">
        <f>IF(AB137="","",(AS137*G137))</f>
        <v>5913</v>
      </c>
      <c r="AV137" s="154">
        <f>IF(A137="","",AVERAGE(S137,AF137,AS137))</f>
        <v>5952</v>
      </c>
      <c r="AW137" s="154">
        <f>IF(A137="","",AVERAGE(U137,AH137,AU137))</f>
        <v>5952</v>
      </c>
      <c r="AX137" s="154">
        <f>IF(N137="","",STDEV(U137,AH137,AU137))</f>
        <v>464.72895326200671</v>
      </c>
      <c r="AY137" s="155">
        <f>IF(N137="","",(AX137/AW137))</f>
        <v>7.8079461233536068E-2</v>
      </c>
      <c r="AZ137" s="5"/>
      <c r="BA137" s="7">
        <f>COUNTA(M137,Z137,AM137)</f>
        <v>3</v>
      </c>
    </row>
    <row r="138" spans="1:53" ht="348" hidden="1" customHeight="1">
      <c r="A138" s="6" t="s">
        <v>569</v>
      </c>
      <c r="B138" s="6" t="s">
        <v>569</v>
      </c>
      <c r="C138" s="6" t="s">
        <v>569</v>
      </c>
      <c r="D138" s="6" t="s">
        <v>566</v>
      </c>
      <c r="E138" s="127" t="s">
        <v>567</v>
      </c>
      <c r="F138" s="128" t="s">
        <v>1247</v>
      </c>
      <c r="G138" s="129">
        <v>1</v>
      </c>
      <c r="H138" s="128"/>
      <c r="I138" s="130" t="s">
        <v>569</v>
      </c>
      <c r="J138" s="131" t="s">
        <v>569</v>
      </c>
      <c r="K138" s="132" t="s">
        <v>569</v>
      </c>
      <c r="L138" s="133" t="s">
        <v>569</v>
      </c>
      <c r="M138" s="131" t="s">
        <v>569</v>
      </c>
      <c r="N138" s="134"/>
      <c r="O138" s="134"/>
      <c r="P138" s="134"/>
      <c r="Q138" s="135" t="s">
        <v>1248</v>
      </c>
      <c r="R138" s="136" t="s">
        <v>1248</v>
      </c>
      <c r="S138" s="136" t="s">
        <v>1248</v>
      </c>
      <c r="T138" s="136" t="s">
        <v>1248</v>
      </c>
      <c r="U138" s="136" t="s">
        <v>1248</v>
      </c>
      <c r="V138" s="137" t="s">
        <v>569</v>
      </c>
      <c r="W138" s="138" t="s">
        <v>569</v>
      </c>
      <c r="X138" s="139" t="s">
        <v>569</v>
      </c>
      <c r="Y138" s="140" t="s">
        <v>569</v>
      </c>
      <c r="Z138" s="141" t="s">
        <v>1249</v>
      </c>
      <c r="AA138" s="142" t="s">
        <v>569</v>
      </c>
      <c r="AB138" s="142" t="s">
        <v>569</v>
      </c>
      <c r="AC138" s="142" t="s">
        <v>569</v>
      </c>
      <c r="AD138" s="143" t="s">
        <v>569</v>
      </c>
      <c r="AE138" s="144" t="s">
        <v>569</v>
      </c>
      <c r="AF138" s="144">
        <v>488125</v>
      </c>
      <c r="AG138" s="144">
        <v>5.5599999999999997E-2</v>
      </c>
      <c r="AH138" s="144">
        <v>515265</v>
      </c>
      <c r="AI138" s="145" t="s">
        <v>569</v>
      </c>
      <c r="AJ138" s="146" t="s">
        <v>569</v>
      </c>
      <c r="AK138" s="147" t="s">
        <v>569</v>
      </c>
      <c r="AL138" s="148" t="s">
        <v>569</v>
      </c>
      <c r="AM138" s="149" t="s">
        <v>1250</v>
      </c>
      <c r="AN138" s="150" t="s">
        <v>569</v>
      </c>
      <c r="AO138" s="150" t="s">
        <v>569</v>
      </c>
      <c r="AP138" s="151" t="s">
        <v>569</v>
      </c>
      <c r="AQ138" s="152">
        <v>426597</v>
      </c>
      <c r="AR138" s="153">
        <v>81053</v>
      </c>
      <c r="AS138" s="153">
        <v>507650</v>
      </c>
      <c r="AT138" s="153">
        <v>426597</v>
      </c>
      <c r="AU138" s="153">
        <v>507650</v>
      </c>
      <c r="AV138" s="154">
        <v>511457</v>
      </c>
      <c r="AW138" s="154">
        <v>511457</v>
      </c>
      <c r="AX138" s="154">
        <v>5384.44</v>
      </c>
      <c r="AY138" s="155">
        <v>1.0500000000000001E-2</v>
      </c>
      <c r="AZ138" s="5"/>
      <c r="BA138" s="7"/>
    </row>
    <row r="139" spans="1:53" ht="72.599999999999994" hidden="1" customHeight="1">
      <c r="A139" s="6" t="s">
        <v>1182</v>
      </c>
      <c r="B139" s="6" t="s">
        <v>1236</v>
      </c>
      <c r="C139" s="6">
        <v>90101603</v>
      </c>
      <c r="D139" s="6" t="s">
        <v>1633</v>
      </c>
      <c r="E139" s="127" t="s">
        <v>1634</v>
      </c>
      <c r="F139" s="128" t="s">
        <v>1011</v>
      </c>
      <c r="G139" s="129">
        <v>1</v>
      </c>
      <c r="H139" s="128" t="s">
        <v>192</v>
      </c>
      <c r="I139" s="130"/>
      <c r="J139" s="131"/>
      <c r="K139" s="132"/>
      <c r="L139" s="133"/>
      <c r="M139" s="131"/>
      <c r="N139" s="134"/>
      <c r="O139" s="134"/>
      <c r="P139" s="134"/>
      <c r="Q139" s="135"/>
      <c r="R139" s="136"/>
      <c r="S139" s="136"/>
      <c r="T139" s="136"/>
      <c r="U139" s="136"/>
      <c r="V139" s="137" t="s">
        <v>1186</v>
      </c>
      <c r="W139" s="138">
        <v>46094</v>
      </c>
      <c r="X139" s="139" t="s">
        <v>1266</v>
      </c>
      <c r="Y139" s="140" t="s">
        <v>1193</v>
      </c>
      <c r="Z139" s="141" t="s">
        <v>515</v>
      </c>
      <c r="AA139" s="142">
        <v>1282500</v>
      </c>
      <c r="AB139" s="142" t="s">
        <v>1262</v>
      </c>
      <c r="AC139" s="142" t="s">
        <v>1263</v>
      </c>
      <c r="AD139" s="143">
        <f>IF(AB139="IVA Incluido",(AA139/1.19),AA139)</f>
        <v>1282500</v>
      </c>
      <c r="AE139" s="144">
        <f>IF(AC139="Si tiene IVA",AD139*19%,0)</f>
        <v>0</v>
      </c>
      <c r="AF139" s="144">
        <f t="shared" ref="AF139:AF154" si="83">AD139+AE139</f>
        <v>1282500</v>
      </c>
      <c r="AG139" s="144">
        <f>IF(C139="","",(AA139*G139))</f>
        <v>1282500</v>
      </c>
      <c r="AH139" s="144">
        <f>IF(C139="","",(AF139*G139))</f>
        <v>1282500</v>
      </c>
      <c r="AI139" s="145" t="s">
        <v>1635</v>
      </c>
      <c r="AJ139" s="146"/>
      <c r="AK139" s="147"/>
      <c r="AL139" s="148" t="s">
        <v>1193</v>
      </c>
      <c r="AM139" s="149" t="s">
        <v>1636</v>
      </c>
      <c r="AN139" s="150">
        <v>1200000</v>
      </c>
      <c r="AO139" s="150" t="s">
        <v>1197</v>
      </c>
      <c r="AP139" s="151" t="s">
        <v>1191</v>
      </c>
      <c r="AQ139" s="152">
        <f>IF(AO139="IVA Incluido",(AN139/1.19),AN139)</f>
        <v>1200000</v>
      </c>
      <c r="AR139" s="153">
        <f t="shared" ref="AR139:AR154" si="84">IF(AP139="Si tiene IVA",AQ139*19%,0)</f>
        <v>228000</v>
      </c>
      <c r="AS139" s="153">
        <f t="shared" ref="AS139:AS154" si="85">AQ139+AR139</f>
        <v>1428000</v>
      </c>
      <c r="AT139" s="153">
        <f t="shared" ref="AT139:AT154" si="86">IF(AB139="","",(AN139*G139))</f>
        <v>1200000</v>
      </c>
      <c r="AU139" s="153">
        <f t="shared" ref="AU139:AU154" si="87">IF(AB139="","",(AS139*G139))</f>
        <v>1428000</v>
      </c>
      <c r="AV139" s="154">
        <f>IF(A139="","",AVERAGE(S139,AF139,AS139))</f>
        <v>1355250</v>
      </c>
      <c r="AW139" s="154">
        <f>IF(A139="","",AVERAGE(U139,AH139,AU139))</f>
        <v>1355250</v>
      </c>
      <c r="AX139" s="154">
        <f>IF(B139="","",STDEV(AH139,AU139))</f>
        <v>102884.03666264267</v>
      </c>
      <c r="AY139" s="155">
        <f>IF(B139="","",(AX139/AW139))</f>
        <v>7.5915171859540803E-2</v>
      </c>
      <c r="AZ139" s="5" t="s">
        <v>1637</v>
      </c>
      <c r="BA139" s="7">
        <f t="shared" ref="BA139:BA154" si="88">COUNTA(M139,Z139,AM139)</f>
        <v>2</v>
      </c>
    </row>
    <row r="140" spans="1:53" ht="72.599999999999994" hidden="1" customHeight="1">
      <c r="A140" s="6" t="s">
        <v>1182</v>
      </c>
      <c r="B140" s="6" t="s">
        <v>1236</v>
      </c>
      <c r="C140" s="6">
        <v>90101603</v>
      </c>
      <c r="D140" s="6" t="s">
        <v>1638</v>
      </c>
      <c r="E140" s="127" t="s">
        <v>1639</v>
      </c>
      <c r="F140" s="128" t="s">
        <v>1011</v>
      </c>
      <c r="G140" s="129">
        <v>1</v>
      </c>
      <c r="H140" s="128" t="s">
        <v>192</v>
      </c>
      <c r="I140" s="130" t="s">
        <v>1186</v>
      </c>
      <c r="J140" s="131">
        <v>46134</v>
      </c>
      <c r="K140" s="132" t="s">
        <v>1640</v>
      </c>
      <c r="L140" s="133" t="s">
        <v>1193</v>
      </c>
      <c r="M140" s="131" t="s">
        <v>515</v>
      </c>
      <c r="N140" s="134">
        <v>641250</v>
      </c>
      <c r="O140" s="134" t="s">
        <v>1197</v>
      </c>
      <c r="P140" s="134" t="s">
        <v>1263</v>
      </c>
      <c r="Q140" s="135">
        <f>IF(O140="IVA Incluido",(N140/1.19),IF(O140="Ipoconsumo Incluido",(N140/1.08),N140))</f>
        <v>641250</v>
      </c>
      <c r="R140" s="136">
        <f>IF(P140="Si tiene IVA",Q140*19%,IF(P140="Si tiene IPOCONSUMO",Q140*8%,0))</f>
        <v>51300</v>
      </c>
      <c r="S140" s="136">
        <f t="shared" ref="S140:S154" si="89">Q140+R140</f>
        <v>692550</v>
      </c>
      <c r="T140" s="136">
        <f>IF(R140="IVA Incluido",(Q140/1.19),IF(R140="Ipoconsumo Incluido",(Q140/1.08),Q140))</f>
        <v>641250</v>
      </c>
      <c r="U140" s="136">
        <f>Q140+R140</f>
        <v>692550</v>
      </c>
      <c r="V140" s="137" t="s">
        <v>1186</v>
      </c>
      <c r="W140" s="138">
        <v>46134</v>
      </c>
      <c r="X140" s="139" t="s">
        <v>1364</v>
      </c>
      <c r="Y140" s="140" t="s">
        <v>1193</v>
      </c>
      <c r="Z140" s="141" t="s">
        <v>1283</v>
      </c>
      <c r="AA140" s="142">
        <v>588000</v>
      </c>
      <c r="AB140" s="142" t="s">
        <v>1641</v>
      </c>
      <c r="AC140" s="142" t="s">
        <v>1263</v>
      </c>
      <c r="AD140" s="143">
        <f>IF(AB140="IVA Incluido",(AA140/1.19),IF(AB140="Ipoconsumo Incluido",(AA140/1.08),AA140))</f>
        <v>544444.44444444438</v>
      </c>
      <c r="AE140" s="144">
        <f>IF(AC140="Si tiene IVA",AD140*19%,IF(AC140="Si tiene IPOCONSUMO",AD140*8%,0))</f>
        <v>43555.555555555555</v>
      </c>
      <c r="AF140" s="144">
        <f t="shared" si="83"/>
        <v>587999.99999999988</v>
      </c>
      <c r="AG140" s="144">
        <f>IF(AE140="IVA Incluido",(AD140/1.19),IF(AE140="Ipoconsumo Incluido",(AD140/1.08),AD140))</f>
        <v>544444.44444444438</v>
      </c>
      <c r="AH140" s="144">
        <f>AD140+AE140</f>
        <v>587999.99999999988</v>
      </c>
      <c r="AI140" s="145"/>
      <c r="AJ140" s="146"/>
      <c r="AK140" s="147"/>
      <c r="AL140" s="148"/>
      <c r="AM140" s="149"/>
      <c r="AN140" s="150"/>
      <c r="AO140" s="150"/>
      <c r="AP140" s="151"/>
      <c r="AQ140" s="152"/>
      <c r="AR140" s="153">
        <f t="shared" si="84"/>
        <v>0</v>
      </c>
      <c r="AS140" s="153">
        <f t="shared" si="85"/>
        <v>0</v>
      </c>
      <c r="AT140" s="153">
        <f t="shared" si="86"/>
        <v>0</v>
      </c>
      <c r="AU140" s="153">
        <f t="shared" si="87"/>
        <v>0</v>
      </c>
      <c r="AV140" s="154">
        <f>IF(A140="","",AVERAGE(S140,AF140))</f>
        <v>640275</v>
      </c>
      <c r="AW140" s="154">
        <f>IF(A140="","",AVERAGE(U140,AH140))</f>
        <v>640275</v>
      </c>
      <c r="AX140" s="154">
        <f>IF(N140="","",STDEV(U140,AH140))</f>
        <v>73928.013973053632</v>
      </c>
      <c r="AY140" s="155">
        <f t="shared" ref="AY140:AY154" si="90">IF(N140="","",(AX140/AW140))</f>
        <v>0.11546290886424369</v>
      </c>
      <c r="AZ140" s="5" t="s">
        <v>1637</v>
      </c>
      <c r="BA140" s="7">
        <f t="shared" si="88"/>
        <v>2</v>
      </c>
    </row>
    <row r="141" spans="1:53" ht="58.15" hidden="1" customHeight="1">
      <c r="A141" s="6" t="s">
        <v>1182</v>
      </c>
      <c r="B141" s="6" t="s">
        <v>1251</v>
      </c>
      <c r="C141" s="6">
        <v>60141001</v>
      </c>
      <c r="D141" s="6" t="s">
        <v>1642</v>
      </c>
      <c r="E141" s="127" t="s">
        <v>1643</v>
      </c>
      <c r="F141" s="128" t="s">
        <v>191</v>
      </c>
      <c r="G141" s="129">
        <v>1</v>
      </c>
      <c r="H141" s="128" t="s">
        <v>192</v>
      </c>
      <c r="I141" s="130" t="s">
        <v>1199</v>
      </c>
      <c r="J141" s="131">
        <v>46071</v>
      </c>
      <c r="K141" s="132" t="s">
        <v>1258</v>
      </c>
      <c r="L141" s="133" t="s">
        <v>1193</v>
      </c>
      <c r="M141" s="131" t="s">
        <v>1487</v>
      </c>
      <c r="N141" s="134">
        <v>13800</v>
      </c>
      <c r="O141" s="134" t="s">
        <v>1190</v>
      </c>
      <c r="P141" s="134" t="s">
        <v>1191</v>
      </c>
      <c r="Q141" s="135">
        <f>IF(O141="IVA Incluido",(N141/1.19),N141)</f>
        <v>11596.638655462186</v>
      </c>
      <c r="R141" s="136">
        <f t="shared" ref="R141:R154" si="91">IF(P141="Si tiene IVA",Q141*19%,0)</f>
        <v>2203.3613445378155</v>
      </c>
      <c r="S141" s="136">
        <f t="shared" si="89"/>
        <v>13800.000000000002</v>
      </c>
      <c r="T141" s="136">
        <f t="shared" ref="T141:T154" si="92">IF(B141="","",(N141*G141))</f>
        <v>13800</v>
      </c>
      <c r="U141" s="136">
        <f t="shared" ref="U141:U154" si="93">IF(B141="","",(S141*G141))</f>
        <v>13800.000000000002</v>
      </c>
      <c r="V141" s="137" t="s">
        <v>1199</v>
      </c>
      <c r="W141" s="138">
        <v>46071</v>
      </c>
      <c r="X141" s="139" t="s">
        <v>1463</v>
      </c>
      <c r="Y141" s="140" t="s">
        <v>1193</v>
      </c>
      <c r="Z141" s="141" t="s">
        <v>1554</v>
      </c>
      <c r="AA141" s="142">
        <v>10504</v>
      </c>
      <c r="AB141" s="142" t="s">
        <v>1197</v>
      </c>
      <c r="AC141" s="142" t="s">
        <v>1191</v>
      </c>
      <c r="AD141" s="143">
        <f t="shared" ref="AD141:AD154" si="94">IF(AB141="IVA Incluido",(AA141/1.19),AA141)</f>
        <v>10504</v>
      </c>
      <c r="AE141" s="144">
        <f t="shared" ref="AE141:AE154" si="95">IF(AC141="Si tiene IVA",AD141*19%,0)</f>
        <v>1995.76</v>
      </c>
      <c r="AF141" s="144">
        <f t="shared" si="83"/>
        <v>12499.76</v>
      </c>
      <c r="AG141" s="144">
        <f t="shared" ref="AG141:AG154" si="96">IF(O141="","",(AA141*G141))</f>
        <v>10504</v>
      </c>
      <c r="AH141" s="144">
        <f t="shared" ref="AH141:AH154" si="97">IF(O141="","",(AF141*G141))</f>
        <v>12499.76</v>
      </c>
      <c r="AI141" s="145" t="s">
        <v>1199</v>
      </c>
      <c r="AJ141" s="146">
        <v>46071</v>
      </c>
      <c r="AK141" s="147" t="s">
        <v>1256</v>
      </c>
      <c r="AL141" s="148" t="s">
        <v>1193</v>
      </c>
      <c r="AM141" s="149" t="s">
        <v>1257</v>
      </c>
      <c r="AN141" s="150">
        <v>8926</v>
      </c>
      <c r="AO141" s="150" t="s">
        <v>1197</v>
      </c>
      <c r="AP141" s="151" t="s">
        <v>1191</v>
      </c>
      <c r="AQ141" s="152">
        <f t="shared" ref="AQ141:AQ154" si="98">IF(AO141="IVA Incluido",(AN141/1.19),AN141)</f>
        <v>8926</v>
      </c>
      <c r="AR141" s="153">
        <f t="shared" si="84"/>
        <v>1695.94</v>
      </c>
      <c r="AS141" s="153">
        <f t="shared" si="85"/>
        <v>10621.94</v>
      </c>
      <c r="AT141" s="153">
        <f t="shared" si="86"/>
        <v>8926</v>
      </c>
      <c r="AU141" s="153">
        <f t="shared" si="87"/>
        <v>10621.94</v>
      </c>
      <c r="AV141" s="154">
        <f t="shared" ref="AV141:AV154" si="99">IF(A141="","",AVERAGE(S141,AF141,AS141))</f>
        <v>12307.233333333335</v>
      </c>
      <c r="AW141" s="154">
        <f t="shared" ref="AW141:AW154" si="100">IF(A141="","",AVERAGE(U141,AH141,AU141))</f>
        <v>12307.233333333335</v>
      </c>
      <c r="AX141" s="154">
        <f t="shared" ref="AX141:AX154" si="101">IF(N141="","",STDEV(U141,AH141,AU141))</f>
        <v>1597.7534944206207</v>
      </c>
      <c r="AY141" s="155">
        <f t="shared" si="90"/>
        <v>0.12982231271208697</v>
      </c>
      <c r="AZ141" s="5"/>
      <c r="BA141" s="7">
        <f t="shared" si="88"/>
        <v>3</v>
      </c>
    </row>
    <row r="142" spans="1:53" ht="58.15" hidden="1" customHeight="1">
      <c r="A142" s="6" t="s">
        <v>1182</v>
      </c>
      <c r="B142" s="6" t="s">
        <v>1183</v>
      </c>
      <c r="C142" s="6">
        <v>53102516</v>
      </c>
      <c r="D142" s="6" t="s">
        <v>1644</v>
      </c>
      <c r="E142" s="127" t="s">
        <v>1645</v>
      </c>
      <c r="F142" s="128" t="s">
        <v>191</v>
      </c>
      <c r="G142" s="129">
        <v>1</v>
      </c>
      <c r="H142" s="128" t="s">
        <v>192</v>
      </c>
      <c r="I142" s="130" t="s">
        <v>1230</v>
      </c>
      <c r="J142" s="131">
        <v>46070</v>
      </c>
      <c r="K142" s="132" t="s">
        <v>1200</v>
      </c>
      <c r="L142" s="133" t="s">
        <v>1193</v>
      </c>
      <c r="M142" s="131" t="s">
        <v>1196</v>
      </c>
      <c r="N142" s="134">
        <v>28000</v>
      </c>
      <c r="O142" s="134" t="s">
        <v>1197</v>
      </c>
      <c r="P142" s="134" t="s">
        <v>1191</v>
      </c>
      <c r="Q142" s="135">
        <f>IF(O142="IVA Incluido",(N142/1.19),N142)</f>
        <v>28000</v>
      </c>
      <c r="R142" s="136">
        <f t="shared" si="91"/>
        <v>5320</v>
      </c>
      <c r="S142" s="136">
        <f t="shared" si="89"/>
        <v>33320</v>
      </c>
      <c r="T142" s="136">
        <f t="shared" si="92"/>
        <v>28000</v>
      </c>
      <c r="U142" s="136">
        <f t="shared" si="93"/>
        <v>33320</v>
      </c>
      <c r="V142" s="137" t="s">
        <v>1230</v>
      </c>
      <c r="W142" s="138">
        <v>46071</v>
      </c>
      <c r="X142" s="139" t="s">
        <v>1207</v>
      </c>
      <c r="Y142" s="140" t="s">
        <v>1193</v>
      </c>
      <c r="Z142" s="141" t="s">
        <v>1204</v>
      </c>
      <c r="AA142" s="142">
        <v>25000</v>
      </c>
      <c r="AB142" s="142" t="s">
        <v>1197</v>
      </c>
      <c r="AC142" s="142" t="s">
        <v>1217</v>
      </c>
      <c r="AD142" s="143">
        <f t="shared" si="94"/>
        <v>25000</v>
      </c>
      <c r="AE142" s="144">
        <f t="shared" si="95"/>
        <v>0</v>
      </c>
      <c r="AF142" s="144">
        <f t="shared" si="83"/>
        <v>25000</v>
      </c>
      <c r="AG142" s="144">
        <f t="shared" si="96"/>
        <v>25000</v>
      </c>
      <c r="AH142" s="144">
        <f t="shared" si="97"/>
        <v>25000</v>
      </c>
      <c r="AI142" s="145" t="s">
        <v>1230</v>
      </c>
      <c r="AJ142" s="146">
        <v>46071</v>
      </c>
      <c r="AK142" s="147" t="s">
        <v>1215</v>
      </c>
      <c r="AL142" s="148" t="s">
        <v>1193</v>
      </c>
      <c r="AM142" s="149" t="s">
        <v>1216</v>
      </c>
      <c r="AN142" s="150">
        <v>25000</v>
      </c>
      <c r="AO142" s="150" t="s">
        <v>1197</v>
      </c>
      <c r="AP142" s="151" t="s">
        <v>1217</v>
      </c>
      <c r="AQ142" s="152">
        <f t="shared" si="98"/>
        <v>25000</v>
      </c>
      <c r="AR142" s="153">
        <f t="shared" si="84"/>
        <v>0</v>
      </c>
      <c r="AS142" s="153">
        <f t="shared" si="85"/>
        <v>25000</v>
      </c>
      <c r="AT142" s="153">
        <f t="shared" si="86"/>
        <v>25000</v>
      </c>
      <c r="AU142" s="153">
        <f t="shared" si="87"/>
        <v>25000</v>
      </c>
      <c r="AV142" s="154">
        <f t="shared" si="99"/>
        <v>27773.333333333332</v>
      </c>
      <c r="AW142" s="154">
        <f t="shared" si="100"/>
        <v>27773.333333333332</v>
      </c>
      <c r="AX142" s="154">
        <f t="shared" si="101"/>
        <v>4803.5542396576784</v>
      </c>
      <c r="AY142" s="155">
        <f t="shared" si="90"/>
        <v>0.17295562552776086</v>
      </c>
      <c r="AZ142" s="5"/>
      <c r="BA142" s="7">
        <f t="shared" si="88"/>
        <v>3</v>
      </c>
    </row>
    <row r="143" spans="1:53" ht="72.599999999999994" hidden="1" customHeight="1">
      <c r="A143" s="6" t="s">
        <v>1182</v>
      </c>
      <c r="B143" s="6" t="s">
        <v>1183</v>
      </c>
      <c r="C143" s="6">
        <v>53102516</v>
      </c>
      <c r="D143" s="6" t="s">
        <v>502</v>
      </c>
      <c r="E143" s="127" t="s">
        <v>1646</v>
      </c>
      <c r="F143" s="128" t="s">
        <v>191</v>
      </c>
      <c r="G143" s="129">
        <v>1</v>
      </c>
      <c r="H143" s="128" t="s">
        <v>192</v>
      </c>
      <c r="I143" s="130" t="s">
        <v>1230</v>
      </c>
      <c r="J143" s="131">
        <v>46072</v>
      </c>
      <c r="K143" s="132" t="s">
        <v>1231</v>
      </c>
      <c r="L143" s="133" t="s">
        <v>1193</v>
      </c>
      <c r="M143" s="131" t="s">
        <v>1211</v>
      </c>
      <c r="N143" s="134">
        <v>18000</v>
      </c>
      <c r="O143" s="134" t="s">
        <v>1197</v>
      </c>
      <c r="P143" s="134" t="s">
        <v>1191</v>
      </c>
      <c r="Q143" s="135">
        <f>IF(O143="IVA Incluido",(N143/1.19),N143)</f>
        <v>18000</v>
      </c>
      <c r="R143" s="136">
        <f t="shared" si="91"/>
        <v>3420</v>
      </c>
      <c r="S143" s="136">
        <f t="shared" si="89"/>
        <v>21420</v>
      </c>
      <c r="T143" s="136">
        <f t="shared" si="92"/>
        <v>18000</v>
      </c>
      <c r="U143" s="136">
        <f t="shared" si="93"/>
        <v>21420</v>
      </c>
      <c r="V143" s="137" t="s">
        <v>1230</v>
      </c>
      <c r="W143" s="138">
        <v>46072</v>
      </c>
      <c r="X143" s="139" t="s">
        <v>1207</v>
      </c>
      <c r="Y143" s="140" t="s">
        <v>1193</v>
      </c>
      <c r="Z143" s="141" t="s">
        <v>1204</v>
      </c>
      <c r="AA143" s="142">
        <v>20500</v>
      </c>
      <c r="AB143" s="142" t="s">
        <v>1190</v>
      </c>
      <c r="AC143" s="142" t="s">
        <v>1191</v>
      </c>
      <c r="AD143" s="143">
        <f t="shared" si="94"/>
        <v>17226.89075630252</v>
      </c>
      <c r="AE143" s="144">
        <f t="shared" si="95"/>
        <v>3273.1092436974791</v>
      </c>
      <c r="AF143" s="144">
        <f t="shared" si="83"/>
        <v>20500</v>
      </c>
      <c r="AG143" s="144">
        <f t="shared" si="96"/>
        <v>20500</v>
      </c>
      <c r="AH143" s="144">
        <f t="shared" si="97"/>
        <v>20500</v>
      </c>
      <c r="AI143" s="145" t="s">
        <v>1230</v>
      </c>
      <c r="AJ143" s="146">
        <v>46072</v>
      </c>
      <c r="AK143" s="147" t="s">
        <v>1215</v>
      </c>
      <c r="AL143" s="148" t="s">
        <v>1193</v>
      </c>
      <c r="AM143" s="149" t="s">
        <v>1216</v>
      </c>
      <c r="AN143" s="150">
        <v>25000</v>
      </c>
      <c r="AO143" s="150" t="s">
        <v>1197</v>
      </c>
      <c r="AP143" s="151" t="s">
        <v>1217</v>
      </c>
      <c r="AQ143" s="152">
        <f t="shared" si="98"/>
        <v>25000</v>
      </c>
      <c r="AR143" s="153">
        <f t="shared" si="84"/>
        <v>0</v>
      </c>
      <c r="AS143" s="153">
        <f t="shared" si="85"/>
        <v>25000</v>
      </c>
      <c r="AT143" s="153">
        <f t="shared" si="86"/>
        <v>25000</v>
      </c>
      <c r="AU143" s="153">
        <f t="shared" si="87"/>
        <v>25000</v>
      </c>
      <c r="AV143" s="154">
        <f t="shared" si="99"/>
        <v>22306.666666666668</v>
      </c>
      <c r="AW143" s="154">
        <f t="shared" si="100"/>
        <v>22306.666666666668</v>
      </c>
      <c r="AX143" s="154">
        <f t="shared" si="101"/>
        <v>2377.4215724884243</v>
      </c>
      <c r="AY143" s="155">
        <f t="shared" si="90"/>
        <v>0.10657897067342009</v>
      </c>
      <c r="AZ143" s="5"/>
      <c r="BA143" s="7">
        <f t="shared" si="88"/>
        <v>3</v>
      </c>
    </row>
    <row r="144" spans="1:53" ht="174" hidden="1" customHeight="1">
      <c r="A144" s="6" t="s">
        <v>1182</v>
      </c>
      <c r="B144" s="6" t="s">
        <v>1183</v>
      </c>
      <c r="C144" s="6">
        <v>53102516</v>
      </c>
      <c r="D144" s="6" t="s">
        <v>1647</v>
      </c>
      <c r="E144" s="127" t="s">
        <v>1648</v>
      </c>
      <c r="F144" s="128" t="s">
        <v>191</v>
      </c>
      <c r="G144" s="129">
        <v>1</v>
      </c>
      <c r="H144" s="128" t="s">
        <v>192</v>
      </c>
      <c r="I144" s="130" t="s">
        <v>1186</v>
      </c>
      <c r="J144" s="131">
        <v>46153</v>
      </c>
      <c r="K144" s="132" t="s">
        <v>1232</v>
      </c>
      <c r="L144" s="133" t="s">
        <v>1188</v>
      </c>
      <c r="M144" s="131" t="s">
        <v>1233</v>
      </c>
      <c r="N144" s="134">
        <v>15000</v>
      </c>
      <c r="O144" s="134" t="s">
        <v>1197</v>
      </c>
      <c r="P144" s="134" t="s">
        <v>1217</v>
      </c>
      <c r="Q144" s="135">
        <v>15000</v>
      </c>
      <c r="R144" s="136">
        <f t="shared" si="91"/>
        <v>0</v>
      </c>
      <c r="S144" s="136">
        <f t="shared" si="89"/>
        <v>15000</v>
      </c>
      <c r="T144" s="136">
        <f t="shared" si="92"/>
        <v>15000</v>
      </c>
      <c r="U144" s="136">
        <f t="shared" si="93"/>
        <v>15000</v>
      </c>
      <c r="V144" s="137" t="s">
        <v>1649</v>
      </c>
      <c r="W144" s="138">
        <v>46147</v>
      </c>
      <c r="X144" s="139" t="s">
        <v>1231</v>
      </c>
      <c r="Y144" s="140" t="s">
        <v>1188</v>
      </c>
      <c r="Z144" s="141" t="s">
        <v>1211</v>
      </c>
      <c r="AA144" s="142">
        <v>15000</v>
      </c>
      <c r="AB144" s="142" t="s">
        <v>1197</v>
      </c>
      <c r="AC144" s="142" t="s">
        <v>1191</v>
      </c>
      <c r="AD144" s="143">
        <f t="shared" si="94"/>
        <v>15000</v>
      </c>
      <c r="AE144" s="144">
        <f t="shared" si="95"/>
        <v>2850</v>
      </c>
      <c r="AF144" s="144">
        <f t="shared" si="83"/>
        <v>17850</v>
      </c>
      <c r="AG144" s="144">
        <f t="shared" si="96"/>
        <v>15000</v>
      </c>
      <c r="AH144" s="144">
        <f t="shared" si="97"/>
        <v>17850</v>
      </c>
      <c r="AI144" s="145" t="s">
        <v>1199</v>
      </c>
      <c r="AJ144" s="146">
        <v>46147</v>
      </c>
      <c r="AK144" s="147" t="s">
        <v>1187</v>
      </c>
      <c r="AL144" s="148" t="s">
        <v>1188</v>
      </c>
      <c r="AM144" s="149" t="s">
        <v>1187</v>
      </c>
      <c r="AN144" s="150">
        <v>18500</v>
      </c>
      <c r="AO144" s="150" t="s">
        <v>1217</v>
      </c>
      <c r="AP144" s="151" t="s">
        <v>1217</v>
      </c>
      <c r="AQ144" s="152">
        <f t="shared" si="98"/>
        <v>18500</v>
      </c>
      <c r="AR144" s="153">
        <f t="shared" si="84"/>
        <v>0</v>
      </c>
      <c r="AS144" s="153">
        <f t="shared" si="85"/>
        <v>18500</v>
      </c>
      <c r="AT144" s="153">
        <f t="shared" si="86"/>
        <v>18500</v>
      </c>
      <c r="AU144" s="153">
        <f t="shared" si="87"/>
        <v>18500</v>
      </c>
      <c r="AV144" s="154">
        <f t="shared" si="99"/>
        <v>17116.666666666668</v>
      </c>
      <c r="AW144" s="154">
        <f t="shared" si="100"/>
        <v>17116.666666666668</v>
      </c>
      <c r="AX144" s="154">
        <f t="shared" si="101"/>
        <v>1861.6748731540997</v>
      </c>
      <c r="AY144" s="155">
        <f t="shared" si="90"/>
        <v>0.10876386795447515</v>
      </c>
      <c r="AZ144" s="5"/>
      <c r="BA144" s="7">
        <f t="shared" si="88"/>
        <v>3</v>
      </c>
    </row>
    <row r="145" spans="1:53" ht="87" hidden="1" customHeight="1">
      <c r="A145" s="6" t="s">
        <v>1182</v>
      </c>
      <c r="B145" s="6" t="s">
        <v>1251</v>
      </c>
      <c r="C145" s="6">
        <v>60121226</v>
      </c>
      <c r="D145" s="6" t="s">
        <v>1650</v>
      </c>
      <c r="E145" s="127" t="s">
        <v>1651</v>
      </c>
      <c r="F145" s="128" t="s">
        <v>191</v>
      </c>
      <c r="G145" s="129">
        <v>1</v>
      </c>
      <c r="H145" s="128" t="s">
        <v>192</v>
      </c>
      <c r="I145" s="130" t="s">
        <v>1199</v>
      </c>
      <c r="J145" s="131">
        <v>46072</v>
      </c>
      <c r="K145" s="132" t="s">
        <v>1652</v>
      </c>
      <c r="L145" s="133" t="s">
        <v>1193</v>
      </c>
      <c r="M145" s="131" t="s">
        <v>1558</v>
      </c>
      <c r="N145" s="134">
        <v>19900</v>
      </c>
      <c r="O145" s="134" t="s">
        <v>1190</v>
      </c>
      <c r="P145" s="134" t="s">
        <v>1191</v>
      </c>
      <c r="Q145" s="135">
        <f t="shared" ref="Q145:Q154" si="102">IF(O145="IVA Incluido",(N145/1.19),N145)</f>
        <v>16722.689075630253</v>
      </c>
      <c r="R145" s="136">
        <f t="shared" si="91"/>
        <v>3177.3109243697481</v>
      </c>
      <c r="S145" s="136">
        <f t="shared" si="89"/>
        <v>19900</v>
      </c>
      <c r="T145" s="136">
        <f t="shared" si="92"/>
        <v>19900</v>
      </c>
      <c r="U145" s="136">
        <f t="shared" si="93"/>
        <v>19900</v>
      </c>
      <c r="V145" s="137" t="s">
        <v>1199</v>
      </c>
      <c r="W145" s="138">
        <v>46072</v>
      </c>
      <c r="X145" s="139" t="s">
        <v>1256</v>
      </c>
      <c r="Y145" s="140" t="s">
        <v>1193</v>
      </c>
      <c r="Z145" s="141" t="s">
        <v>1257</v>
      </c>
      <c r="AA145" s="142">
        <v>18200</v>
      </c>
      <c r="AB145" s="142" t="s">
        <v>1197</v>
      </c>
      <c r="AC145" s="142" t="s">
        <v>1191</v>
      </c>
      <c r="AD145" s="143">
        <f t="shared" si="94"/>
        <v>18200</v>
      </c>
      <c r="AE145" s="144">
        <f t="shared" si="95"/>
        <v>3458</v>
      </c>
      <c r="AF145" s="144">
        <f t="shared" si="83"/>
        <v>21658</v>
      </c>
      <c r="AG145" s="144">
        <f t="shared" si="96"/>
        <v>18200</v>
      </c>
      <c r="AH145" s="144">
        <f t="shared" si="97"/>
        <v>21658</v>
      </c>
      <c r="AI145" s="145" t="s">
        <v>1199</v>
      </c>
      <c r="AJ145" s="146">
        <v>46072</v>
      </c>
      <c r="AK145" s="147" t="s">
        <v>1653</v>
      </c>
      <c r="AL145" s="148" t="s">
        <v>1193</v>
      </c>
      <c r="AM145" s="149" t="s">
        <v>1607</v>
      </c>
      <c r="AN145" s="150">
        <v>17500</v>
      </c>
      <c r="AO145" s="150" t="s">
        <v>1190</v>
      </c>
      <c r="AP145" s="151" t="s">
        <v>1191</v>
      </c>
      <c r="AQ145" s="152">
        <f t="shared" si="98"/>
        <v>14705.882352941177</v>
      </c>
      <c r="AR145" s="153">
        <f t="shared" si="84"/>
        <v>2794.1176470588234</v>
      </c>
      <c r="AS145" s="153">
        <f t="shared" si="85"/>
        <v>17500</v>
      </c>
      <c r="AT145" s="153">
        <f t="shared" si="86"/>
        <v>17500</v>
      </c>
      <c r="AU145" s="153">
        <f t="shared" si="87"/>
        <v>17500</v>
      </c>
      <c r="AV145" s="154">
        <f t="shared" si="99"/>
        <v>19686</v>
      </c>
      <c r="AW145" s="154">
        <f t="shared" si="100"/>
        <v>19686</v>
      </c>
      <c r="AX145" s="154">
        <f t="shared" si="101"/>
        <v>2087.2441160535104</v>
      </c>
      <c r="AY145" s="155">
        <f t="shared" si="90"/>
        <v>0.1060268269863614</v>
      </c>
      <c r="AZ145" s="5"/>
      <c r="BA145" s="7">
        <f t="shared" si="88"/>
        <v>3</v>
      </c>
    </row>
    <row r="146" spans="1:53" ht="87" hidden="1" customHeight="1">
      <c r="A146" s="6" t="s">
        <v>1182</v>
      </c>
      <c r="B146" s="6" t="s">
        <v>1251</v>
      </c>
      <c r="C146" s="6">
        <v>60121226</v>
      </c>
      <c r="D146" s="6" t="s">
        <v>1654</v>
      </c>
      <c r="E146" s="127" t="s">
        <v>1655</v>
      </c>
      <c r="F146" s="128" t="s">
        <v>191</v>
      </c>
      <c r="G146" s="129">
        <v>1</v>
      </c>
      <c r="H146" s="128" t="s">
        <v>192</v>
      </c>
      <c r="I146" s="130" t="s">
        <v>1199</v>
      </c>
      <c r="J146" s="131">
        <v>46072</v>
      </c>
      <c r="K146" s="132" t="s">
        <v>1463</v>
      </c>
      <c r="L146" s="133" t="s">
        <v>1193</v>
      </c>
      <c r="M146" s="131" t="s">
        <v>1464</v>
      </c>
      <c r="N146" s="134">
        <v>18319</v>
      </c>
      <c r="O146" s="134" t="s">
        <v>1197</v>
      </c>
      <c r="P146" s="134" t="s">
        <v>1191</v>
      </c>
      <c r="Q146" s="135">
        <f t="shared" si="102"/>
        <v>18319</v>
      </c>
      <c r="R146" s="136">
        <f t="shared" si="91"/>
        <v>3480.61</v>
      </c>
      <c r="S146" s="136">
        <f t="shared" si="89"/>
        <v>21799.61</v>
      </c>
      <c r="T146" s="136">
        <f t="shared" si="92"/>
        <v>18319</v>
      </c>
      <c r="U146" s="136">
        <f t="shared" si="93"/>
        <v>21799.61</v>
      </c>
      <c r="V146" s="137" t="s">
        <v>1199</v>
      </c>
      <c r="W146" s="138">
        <v>46072</v>
      </c>
      <c r="X146" s="139" t="s">
        <v>1258</v>
      </c>
      <c r="Y146" s="140" t="s">
        <v>1193</v>
      </c>
      <c r="Z146" s="141" t="s">
        <v>1479</v>
      </c>
      <c r="AA146" s="142">
        <v>20400</v>
      </c>
      <c r="AB146" s="142" t="s">
        <v>1190</v>
      </c>
      <c r="AC146" s="142" t="s">
        <v>1191</v>
      </c>
      <c r="AD146" s="143">
        <f t="shared" si="94"/>
        <v>17142.857142857145</v>
      </c>
      <c r="AE146" s="144">
        <f t="shared" si="95"/>
        <v>3257.1428571428578</v>
      </c>
      <c r="AF146" s="144">
        <f t="shared" si="83"/>
        <v>20400.000000000004</v>
      </c>
      <c r="AG146" s="144">
        <f t="shared" si="96"/>
        <v>20400</v>
      </c>
      <c r="AH146" s="144">
        <f t="shared" si="97"/>
        <v>20400.000000000004</v>
      </c>
      <c r="AI146" s="145" t="s">
        <v>1199</v>
      </c>
      <c r="AJ146" s="146">
        <v>46072</v>
      </c>
      <c r="AK146" s="147" t="s">
        <v>1656</v>
      </c>
      <c r="AL146" s="148" t="s">
        <v>1193</v>
      </c>
      <c r="AM146" s="149" t="s">
        <v>1558</v>
      </c>
      <c r="AN146" s="150">
        <v>24900</v>
      </c>
      <c r="AO146" s="150" t="s">
        <v>1190</v>
      </c>
      <c r="AP146" s="151" t="s">
        <v>1191</v>
      </c>
      <c r="AQ146" s="152">
        <f t="shared" si="98"/>
        <v>20924.36974789916</v>
      </c>
      <c r="AR146" s="153">
        <f t="shared" si="84"/>
        <v>3975.6302521008406</v>
      </c>
      <c r="AS146" s="153">
        <f t="shared" si="85"/>
        <v>24900</v>
      </c>
      <c r="AT146" s="153">
        <f t="shared" si="86"/>
        <v>24900</v>
      </c>
      <c r="AU146" s="153">
        <f t="shared" si="87"/>
        <v>24900</v>
      </c>
      <c r="AV146" s="154">
        <f t="shared" si="99"/>
        <v>22366.536666666667</v>
      </c>
      <c r="AW146" s="154">
        <f t="shared" si="100"/>
        <v>22366.536666666667</v>
      </c>
      <c r="AX146" s="154">
        <f t="shared" si="101"/>
        <v>2302.9447201427406</v>
      </c>
      <c r="AY146" s="155">
        <f t="shared" si="90"/>
        <v>0.10296384972175281</v>
      </c>
      <c r="AZ146" s="5"/>
      <c r="BA146" s="7">
        <f t="shared" si="88"/>
        <v>3</v>
      </c>
    </row>
    <row r="147" spans="1:53" ht="101.65" hidden="1" customHeight="1">
      <c r="A147" s="6" t="s">
        <v>1182</v>
      </c>
      <c r="B147" s="6" t="s">
        <v>1251</v>
      </c>
      <c r="C147" s="6"/>
      <c r="D147" s="6" t="s">
        <v>1657</v>
      </c>
      <c r="E147" s="127" t="s">
        <v>1658</v>
      </c>
      <c r="F147" s="128" t="s">
        <v>191</v>
      </c>
      <c r="G147" s="129">
        <v>1</v>
      </c>
      <c r="H147" s="128" t="s">
        <v>192</v>
      </c>
      <c r="I147" s="130" t="s">
        <v>1199</v>
      </c>
      <c r="J147" s="131">
        <v>46072</v>
      </c>
      <c r="K147" s="132" t="s">
        <v>1659</v>
      </c>
      <c r="L147" s="133" t="s">
        <v>1193</v>
      </c>
      <c r="M147" s="131" t="s">
        <v>1660</v>
      </c>
      <c r="N147" s="134">
        <v>14000</v>
      </c>
      <c r="O147" s="134" t="s">
        <v>1190</v>
      </c>
      <c r="P147" s="134" t="s">
        <v>1191</v>
      </c>
      <c r="Q147" s="135">
        <f t="shared" si="102"/>
        <v>11764.705882352942</v>
      </c>
      <c r="R147" s="136">
        <f t="shared" si="91"/>
        <v>2235.294117647059</v>
      </c>
      <c r="S147" s="136">
        <f t="shared" si="89"/>
        <v>14000.000000000002</v>
      </c>
      <c r="T147" s="136">
        <f t="shared" si="92"/>
        <v>14000</v>
      </c>
      <c r="U147" s="136">
        <f t="shared" si="93"/>
        <v>14000.000000000002</v>
      </c>
      <c r="V147" s="137" t="s">
        <v>1199</v>
      </c>
      <c r="W147" s="138">
        <v>46072</v>
      </c>
      <c r="X147" s="139" t="s">
        <v>1661</v>
      </c>
      <c r="Y147" s="140" t="s">
        <v>1193</v>
      </c>
      <c r="Z147" s="141" t="s">
        <v>1662</v>
      </c>
      <c r="AA147" s="142">
        <v>13600</v>
      </c>
      <c r="AB147" s="142" t="s">
        <v>1190</v>
      </c>
      <c r="AC147" s="142" t="s">
        <v>1191</v>
      </c>
      <c r="AD147" s="143">
        <f t="shared" si="94"/>
        <v>11428.571428571429</v>
      </c>
      <c r="AE147" s="144">
        <f t="shared" si="95"/>
        <v>2171.4285714285716</v>
      </c>
      <c r="AF147" s="144">
        <f t="shared" si="83"/>
        <v>13600</v>
      </c>
      <c r="AG147" s="144">
        <f t="shared" si="96"/>
        <v>13600</v>
      </c>
      <c r="AH147" s="144">
        <f t="shared" si="97"/>
        <v>13600</v>
      </c>
      <c r="AI147" s="145" t="s">
        <v>1199</v>
      </c>
      <c r="AJ147" s="146">
        <v>46072</v>
      </c>
      <c r="AK147" s="147" t="s">
        <v>1663</v>
      </c>
      <c r="AL147" s="148" t="s">
        <v>1193</v>
      </c>
      <c r="AM147" s="149" t="s">
        <v>1664</v>
      </c>
      <c r="AN147" s="150">
        <v>12000</v>
      </c>
      <c r="AO147" s="150" t="s">
        <v>1190</v>
      </c>
      <c r="AP147" s="151" t="s">
        <v>1191</v>
      </c>
      <c r="AQ147" s="152">
        <f t="shared" si="98"/>
        <v>10084.033613445379</v>
      </c>
      <c r="AR147" s="153">
        <f t="shared" si="84"/>
        <v>1915.966386554622</v>
      </c>
      <c r="AS147" s="153">
        <f t="shared" si="85"/>
        <v>12000.000000000002</v>
      </c>
      <c r="AT147" s="153">
        <f t="shared" si="86"/>
        <v>12000</v>
      </c>
      <c r="AU147" s="153">
        <f t="shared" si="87"/>
        <v>12000.000000000002</v>
      </c>
      <c r="AV147" s="154">
        <f t="shared" si="99"/>
        <v>13200</v>
      </c>
      <c r="AW147" s="154">
        <f t="shared" si="100"/>
        <v>13200</v>
      </c>
      <c r="AX147" s="154">
        <f t="shared" si="101"/>
        <v>1058.3005244258359</v>
      </c>
      <c r="AY147" s="155">
        <f t="shared" si="90"/>
        <v>8.0174282153472415E-2</v>
      </c>
      <c r="AZ147" s="5"/>
      <c r="BA147" s="7">
        <f t="shared" si="88"/>
        <v>3</v>
      </c>
    </row>
    <row r="148" spans="1:53" ht="72.599999999999994" hidden="1" customHeight="1">
      <c r="A148" s="6" t="s">
        <v>1182</v>
      </c>
      <c r="B148" s="6" t="s">
        <v>1251</v>
      </c>
      <c r="C148" s="6"/>
      <c r="D148" s="6" t="s">
        <v>1665</v>
      </c>
      <c r="E148" s="127" t="s">
        <v>1666</v>
      </c>
      <c r="F148" s="128" t="s">
        <v>191</v>
      </c>
      <c r="G148" s="129">
        <v>1</v>
      </c>
      <c r="H148" s="128" t="s">
        <v>192</v>
      </c>
      <c r="I148" s="130" t="s">
        <v>1199</v>
      </c>
      <c r="J148" s="131">
        <v>46072</v>
      </c>
      <c r="K148" s="132" t="s">
        <v>1667</v>
      </c>
      <c r="L148" s="133" t="s">
        <v>1193</v>
      </c>
      <c r="M148" s="131" t="s">
        <v>1668</v>
      </c>
      <c r="N148" s="134">
        <v>11900</v>
      </c>
      <c r="O148" s="134" t="s">
        <v>1190</v>
      </c>
      <c r="P148" s="134" t="s">
        <v>1191</v>
      </c>
      <c r="Q148" s="135">
        <f t="shared" si="102"/>
        <v>10000</v>
      </c>
      <c r="R148" s="136">
        <f t="shared" si="91"/>
        <v>1900</v>
      </c>
      <c r="S148" s="136">
        <f t="shared" si="89"/>
        <v>11900</v>
      </c>
      <c r="T148" s="136">
        <f t="shared" si="92"/>
        <v>11900</v>
      </c>
      <c r="U148" s="136">
        <f t="shared" si="93"/>
        <v>11900</v>
      </c>
      <c r="V148" s="137" t="s">
        <v>1199</v>
      </c>
      <c r="W148" s="138">
        <v>46072</v>
      </c>
      <c r="X148" s="139" t="s">
        <v>1669</v>
      </c>
      <c r="Y148" s="140" t="s">
        <v>1193</v>
      </c>
      <c r="Z148" s="141" t="s">
        <v>1670</v>
      </c>
      <c r="AA148" s="142">
        <v>13800</v>
      </c>
      <c r="AB148" s="142" t="s">
        <v>1190</v>
      </c>
      <c r="AC148" s="142" t="s">
        <v>1191</v>
      </c>
      <c r="AD148" s="143">
        <f t="shared" si="94"/>
        <v>11596.638655462186</v>
      </c>
      <c r="AE148" s="144">
        <f t="shared" si="95"/>
        <v>2203.3613445378155</v>
      </c>
      <c r="AF148" s="144">
        <f t="shared" si="83"/>
        <v>13800.000000000002</v>
      </c>
      <c r="AG148" s="144">
        <f t="shared" si="96"/>
        <v>13800</v>
      </c>
      <c r="AH148" s="144">
        <f t="shared" si="97"/>
        <v>13800.000000000002</v>
      </c>
      <c r="AI148" s="145" t="s">
        <v>1199</v>
      </c>
      <c r="AJ148" s="146">
        <v>46072</v>
      </c>
      <c r="AK148" s="147" t="s">
        <v>1671</v>
      </c>
      <c r="AL148" s="148" t="s">
        <v>1193</v>
      </c>
      <c r="AM148" s="149" t="s">
        <v>1672</v>
      </c>
      <c r="AN148" s="150">
        <v>11400</v>
      </c>
      <c r="AO148" s="150" t="s">
        <v>1190</v>
      </c>
      <c r="AP148" s="151" t="s">
        <v>1191</v>
      </c>
      <c r="AQ148" s="152">
        <f t="shared" si="98"/>
        <v>9579.8319327731097</v>
      </c>
      <c r="AR148" s="153">
        <f t="shared" si="84"/>
        <v>1820.1680672268908</v>
      </c>
      <c r="AS148" s="153">
        <f t="shared" si="85"/>
        <v>11400</v>
      </c>
      <c r="AT148" s="153">
        <f t="shared" si="86"/>
        <v>11400</v>
      </c>
      <c r="AU148" s="153">
        <f t="shared" si="87"/>
        <v>11400</v>
      </c>
      <c r="AV148" s="154">
        <f t="shared" si="99"/>
        <v>12366.666666666666</v>
      </c>
      <c r="AW148" s="154">
        <f t="shared" si="100"/>
        <v>12366.666666666666</v>
      </c>
      <c r="AX148" s="154">
        <f t="shared" si="101"/>
        <v>1266.2279942148396</v>
      </c>
      <c r="AY148" s="155">
        <f t="shared" si="90"/>
        <v>0.10239040384486574</v>
      </c>
      <c r="AZ148" s="5"/>
      <c r="BA148" s="7">
        <f t="shared" si="88"/>
        <v>3</v>
      </c>
    </row>
    <row r="149" spans="1:53" ht="72.599999999999994" hidden="1" customHeight="1">
      <c r="A149" s="6" t="s">
        <v>1182</v>
      </c>
      <c r="B149" s="6" t="s">
        <v>1251</v>
      </c>
      <c r="C149" s="6"/>
      <c r="D149" s="6" t="s">
        <v>1673</v>
      </c>
      <c r="E149" s="127" t="s">
        <v>1674</v>
      </c>
      <c r="F149" s="128" t="s">
        <v>191</v>
      </c>
      <c r="G149" s="129">
        <v>1</v>
      </c>
      <c r="H149" s="128" t="s">
        <v>192</v>
      </c>
      <c r="I149" s="130" t="s">
        <v>1199</v>
      </c>
      <c r="J149" s="131">
        <v>46072</v>
      </c>
      <c r="K149" s="132" t="s">
        <v>1258</v>
      </c>
      <c r="L149" s="133" t="s">
        <v>1193</v>
      </c>
      <c r="M149" s="131" t="s">
        <v>1487</v>
      </c>
      <c r="N149" s="134">
        <v>5200</v>
      </c>
      <c r="O149" s="134" t="s">
        <v>1190</v>
      </c>
      <c r="P149" s="134" t="s">
        <v>1191</v>
      </c>
      <c r="Q149" s="135">
        <f t="shared" si="102"/>
        <v>4369.7478991596645</v>
      </c>
      <c r="R149" s="136">
        <f t="shared" si="91"/>
        <v>830.25210084033631</v>
      </c>
      <c r="S149" s="136">
        <f t="shared" si="89"/>
        <v>5200.0000000000009</v>
      </c>
      <c r="T149" s="136">
        <f t="shared" si="92"/>
        <v>5200</v>
      </c>
      <c r="U149" s="136">
        <f t="shared" si="93"/>
        <v>5200.0000000000009</v>
      </c>
      <c r="V149" s="137" t="s">
        <v>1199</v>
      </c>
      <c r="W149" s="138">
        <v>46072</v>
      </c>
      <c r="X149" s="139" t="s">
        <v>1675</v>
      </c>
      <c r="Y149" s="140" t="s">
        <v>1193</v>
      </c>
      <c r="Z149" s="141" t="s">
        <v>1676</v>
      </c>
      <c r="AA149" s="142">
        <v>5500</v>
      </c>
      <c r="AB149" s="142" t="s">
        <v>1190</v>
      </c>
      <c r="AC149" s="142" t="s">
        <v>1191</v>
      </c>
      <c r="AD149" s="143">
        <f t="shared" si="94"/>
        <v>4621.8487394957983</v>
      </c>
      <c r="AE149" s="144">
        <f t="shared" si="95"/>
        <v>878.15126050420167</v>
      </c>
      <c r="AF149" s="144">
        <f t="shared" si="83"/>
        <v>5500</v>
      </c>
      <c r="AG149" s="144">
        <f t="shared" si="96"/>
        <v>5500</v>
      </c>
      <c r="AH149" s="144">
        <f t="shared" si="97"/>
        <v>5500</v>
      </c>
      <c r="AI149" s="145" t="s">
        <v>1186</v>
      </c>
      <c r="AJ149" s="146">
        <v>46072</v>
      </c>
      <c r="AK149" s="147" t="s">
        <v>1579</v>
      </c>
      <c r="AL149" s="148" t="s">
        <v>1188</v>
      </c>
      <c r="AM149" s="149" t="s">
        <v>1580</v>
      </c>
      <c r="AN149" s="150">
        <v>5200</v>
      </c>
      <c r="AO149" s="150" t="s">
        <v>1197</v>
      </c>
      <c r="AP149" s="151" t="s">
        <v>1191</v>
      </c>
      <c r="AQ149" s="152">
        <f t="shared" si="98"/>
        <v>5200</v>
      </c>
      <c r="AR149" s="153">
        <f t="shared" si="84"/>
        <v>988</v>
      </c>
      <c r="AS149" s="153">
        <f t="shared" si="85"/>
        <v>6188</v>
      </c>
      <c r="AT149" s="153">
        <f t="shared" si="86"/>
        <v>5200</v>
      </c>
      <c r="AU149" s="153">
        <f t="shared" si="87"/>
        <v>6188</v>
      </c>
      <c r="AV149" s="154">
        <f t="shared" si="99"/>
        <v>5629.333333333333</v>
      </c>
      <c r="AW149" s="154">
        <f t="shared" si="100"/>
        <v>5629.333333333333</v>
      </c>
      <c r="AX149" s="154">
        <f t="shared" si="101"/>
        <v>506.53858030098058</v>
      </c>
      <c r="AY149" s="155">
        <f t="shared" si="90"/>
        <v>8.9981983710501062E-2</v>
      </c>
      <c r="AZ149" s="5"/>
      <c r="BA149" s="7">
        <f t="shared" si="88"/>
        <v>3</v>
      </c>
    </row>
    <row r="150" spans="1:53" ht="58.15" hidden="1" customHeight="1">
      <c r="A150" s="6" t="s">
        <v>1182</v>
      </c>
      <c r="B150" s="6" t="s">
        <v>1251</v>
      </c>
      <c r="C150" s="6">
        <v>60121518</v>
      </c>
      <c r="D150" s="6" t="s">
        <v>1677</v>
      </c>
      <c r="E150" s="127" t="s">
        <v>1678</v>
      </c>
      <c r="F150" s="128" t="s">
        <v>191</v>
      </c>
      <c r="G150" s="129">
        <v>1</v>
      </c>
      <c r="H150" s="128" t="s">
        <v>192</v>
      </c>
      <c r="I150" s="130" t="s">
        <v>1679</v>
      </c>
      <c r="J150" s="131">
        <v>46056</v>
      </c>
      <c r="K150" s="132" t="s">
        <v>1680</v>
      </c>
      <c r="L150" s="133" t="s">
        <v>1193</v>
      </c>
      <c r="M150" s="131" t="s">
        <v>1558</v>
      </c>
      <c r="N150" s="134">
        <v>7992</v>
      </c>
      <c r="O150" s="134" t="s">
        <v>1190</v>
      </c>
      <c r="P150" s="134" t="s">
        <v>1191</v>
      </c>
      <c r="Q150" s="135">
        <f t="shared" si="102"/>
        <v>6715.9663865546217</v>
      </c>
      <c r="R150" s="136">
        <f t="shared" si="91"/>
        <v>1276.0336134453783</v>
      </c>
      <c r="S150" s="136">
        <f t="shared" si="89"/>
        <v>7992</v>
      </c>
      <c r="T150" s="136">
        <f t="shared" si="92"/>
        <v>7992</v>
      </c>
      <c r="U150" s="136">
        <f t="shared" si="93"/>
        <v>7992</v>
      </c>
      <c r="V150" s="137" t="s">
        <v>1681</v>
      </c>
      <c r="W150" s="138">
        <v>46056</v>
      </c>
      <c r="X150" s="139" t="s">
        <v>1682</v>
      </c>
      <c r="Y150" s="140" t="s">
        <v>1193</v>
      </c>
      <c r="Z150" s="141" t="s">
        <v>1239</v>
      </c>
      <c r="AA150" s="142">
        <v>9300</v>
      </c>
      <c r="AB150" s="142" t="s">
        <v>1190</v>
      </c>
      <c r="AC150" s="142" t="s">
        <v>1191</v>
      </c>
      <c r="AD150" s="143">
        <f t="shared" si="94"/>
        <v>7815.1260504201682</v>
      </c>
      <c r="AE150" s="144">
        <f t="shared" si="95"/>
        <v>1484.873949579832</v>
      </c>
      <c r="AF150" s="144">
        <f t="shared" si="83"/>
        <v>9300</v>
      </c>
      <c r="AG150" s="144">
        <f t="shared" si="96"/>
        <v>9300</v>
      </c>
      <c r="AH150" s="144">
        <f t="shared" si="97"/>
        <v>9300</v>
      </c>
      <c r="AI150" s="145" t="s">
        <v>1679</v>
      </c>
      <c r="AJ150" s="146">
        <v>46056</v>
      </c>
      <c r="AK150" s="147" t="s">
        <v>1683</v>
      </c>
      <c r="AL150" s="148" t="s">
        <v>1193</v>
      </c>
      <c r="AM150" s="149" t="s">
        <v>1684</v>
      </c>
      <c r="AN150" s="150">
        <v>11180</v>
      </c>
      <c r="AO150" s="150" t="s">
        <v>1190</v>
      </c>
      <c r="AP150" s="151" t="s">
        <v>1191</v>
      </c>
      <c r="AQ150" s="152">
        <f t="shared" si="98"/>
        <v>9394.957983193277</v>
      </c>
      <c r="AR150" s="153">
        <f t="shared" si="84"/>
        <v>1785.0420168067226</v>
      </c>
      <c r="AS150" s="153">
        <f t="shared" si="85"/>
        <v>11180</v>
      </c>
      <c r="AT150" s="153">
        <f t="shared" si="86"/>
        <v>11180</v>
      </c>
      <c r="AU150" s="153">
        <f t="shared" si="87"/>
        <v>11180</v>
      </c>
      <c r="AV150" s="154">
        <f t="shared" si="99"/>
        <v>9490.6666666666661</v>
      </c>
      <c r="AW150" s="154">
        <f t="shared" si="100"/>
        <v>9490.6666666666661</v>
      </c>
      <c r="AX150" s="154">
        <f t="shared" si="101"/>
        <v>1602.5296669120803</v>
      </c>
      <c r="AY150" s="155">
        <f t="shared" si="90"/>
        <v>0.16885322424614502</v>
      </c>
      <c r="AZ150" s="5"/>
      <c r="BA150" s="7">
        <f t="shared" si="88"/>
        <v>3</v>
      </c>
    </row>
    <row r="151" spans="1:53" ht="87" hidden="1" customHeight="1">
      <c r="A151" s="6" t="s">
        <v>1182</v>
      </c>
      <c r="B151" s="6" t="s">
        <v>1251</v>
      </c>
      <c r="C151" s="6">
        <v>60121516</v>
      </c>
      <c r="D151" s="6" t="s">
        <v>1685</v>
      </c>
      <c r="E151" s="127" t="s">
        <v>1686</v>
      </c>
      <c r="F151" s="128" t="s">
        <v>191</v>
      </c>
      <c r="G151" s="129">
        <v>1</v>
      </c>
      <c r="H151" s="128" t="s">
        <v>192</v>
      </c>
      <c r="I151" s="130" t="s">
        <v>1679</v>
      </c>
      <c r="J151" s="131">
        <v>46057</v>
      </c>
      <c r="K151" s="132" t="s">
        <v>1687</v>
      </c>
      <c r="L151" s="133" t="s">
        <v>1193</v>
      </c>
      <c r="M151" s="131" t="s">
        <v>1688</v>
      </c>
      <c r="N151" s="134">
        <v>3500</v>
      </c>
      <c r="O151" s="134" t="s">
        <v>1190</v>
      </c>
      <c r="P151" s="134" t="s">
        <v>1191</v>
      </c>
      <c r="Q151" s="135">
        <f t="shared" si="102"/>
        <v>2941.1764705882356</v>
      </c>
      <c r="R151" s="136">
        <f t="shared" si="91"/>
        <v>558.82352941176475</v>
      </c>
      <c r="S151" s="136">
        <f t="shared" si="89"/>
        <v>3500.0000000000005</v>
      </c>
      <c r="T151" s="136">
        <f t="shared" si="92"/>
        <v>3500</v>
      </c>
      <c r="U151" s="136">
        <f t="shared" si="93"/>
        <v>3500.0000000000005</v>
      </c>
      <c r="V151" s="137" t="s">
        <v>1679</v>
      </c>
      <c r="W151" s="138">
        <v>46057</v>
      </c>
      <c r="X151" s="139" t="s">
        <v>1689</v>
      </c>
      <c r="Y151" s="140" t="s">
        <v>1193</v>
      </c>
      <c r="Z151" s="141" t="s">
        <v>1690</v>
      </c>
      <c r="AA151" s="142">
        <v>3176</v>
      </c>
      <c r="AB151" s="142" t="s">
        <v>1190</v>
      </c>
      <c r="AC151" s="142" t="s">
        <v>1191</v>
      </c>
      <c r="AD151" s="143">
        <f t="shared" si="94"/>
        <v>2668.90756302521</v>
      </c>
      <c r="AE151" s="144">
        <f t="shared" si="95"/>
        <v>507.0924369747899</v>
      </c>
      <c r="AF151" s="144">
        <f t="shared" si="83"/>
        <v>3176</v>
      </c>
      <c r="AG151" s="144">
        <f t="shared" si="96"/>
        <v>3176</v>
      </c>
      <c r="AH151" s="144">
        <f t="shared" si="97"/>
        <v>3176</v>
      </c>
      <c r="AI151" s="145" t="s">
        <v>1679</v>
      </c>
      <c r="AJ151" s="146">
        <v>46057</v>
      </c>
      <c r="AK151" s="147" t="s">
        <v>1691</v>
      </c>
      <c r="AL151" s="148" t="s">
        <v>1193</v>
      </c>
      <c r="AM151" s="149" t="s">
        <v>1476</v>
      </c>
      <c r="AN151" s="150">
        <v>4500</v>
      </c>
      <c r="AO151" s="150" t="s">
        <v>1190</v>
      </c>
      <c r="AP151" s="151" t="s">
        <v>1191</v>
      </c>
      <c r="AQ151" s="152">
        <f t="shared" si="98"/>
        <v>3781.5126050420172</v>
      </c>
      <c r="AR151" s="153">
        <f t="shared" si="84"/>
        <v>718.48739495798327</v>
      </c>
      <c r="AS151" s="153">
        <f t="shared" si="85"/>
        <v>4500</v>
      </c>
      <c r="AT151" s="153">
        <f t="shared" si="86"/>
        <v>4500</v>
      </c>
      <c r="AU151" s="153">
        <f t="shared" si="87"/>
        <v>4500</v>
      </c>
      <c r="AV151" s="154">
        <f t="shared" si="99"/>
        <v>3725.3333333333335</v>
      </c>
      <c r="AW151" s="154">
        <f t="shared" si="100"/>
        <v>3725.3333333333335</v>
      </c>
      <c r="AX151" s="154">
        <f t="shared" si="101"/>
        <v>690.16326570843512</v>
      </c>
      <c r="AY151" s="155">
        <f t="shared" si="90"/>
        <v>0.18526215078071809</v>
      </c>
      <c r="AZ151" s="5"/>
      <c r="BA151" s="7">
        <f t="shared" si="88"/>
        <v>3</v>
      </c>
    </row>
    <row r="152" spans="1:53" ht="72.599999999999994" hidden="1" customHeight="1">
      <c r="A152" s="6" t="s">
        <v>1182</v>
      </c>
      <c r="B152" s="6" t="s">
        <v>1251</v>
      </c>
      <c r="C152" s="6">
        <v>60121518</v>
      </c>
      <c r="D152" s="6" t="s">
        <v>1692</v>
      </c>
      <c r="E152" s="127" t="s">
        <v>1693</v>
      </c>
      <c r="F152" s="128" t="s">
        <v>191</v>
      </c>
      <c r="G152" s="129">
        <v>1</v>
      </c>
      <c r="H152" s="128" t="s">
        <v>192</v>
      </c>
      <c r="I152" s="130" t="s">
        <v>1186</v>
      </c>
      <c r="J152" s="131">
        <v>46080</v>
      </c>
      <c r="K152" s="132" t="s">
        <v>1694</v>
      </c>
      <c r="L152" s="133" t="s">
        <v>1193</v>
      </c>
      <c r="M152" s="131" t="s">
        <v>1695</v>
      </c>
      <c r="N152" s="134">
        <v>8500</v>
      </c>
      <c r="O152" s="134" t="s">
        <v>1190</v>
      </c>
      <c r="P152" s="134" t="s">
        <v>1191</v>
      </c>
      <c r="Q152" s="135">
        <f t="shared" si="102"/>
        <v>7142.8571428571431</v>
      </c>
      <c r="R152" s="136">
        <f t="shared" si="91"/>
        <v>1357.1428571428571</v>
      </c>
      <c r="S152" s="136">
        <f t="shared" si="89"/>
        <v>8500</v>
      </c>
      <c r="T152" s="136">
        <f t="shared" si="92"/>
        <v>8500</v>
      </c>
      <c r="U152" s="136">
        <f t="shared" si="93"/>
        <v>8500</v>
      </c>
      <c r="V152" s="137" t="s">
        <v>1186</v>
      </c>
      <c r="W152" s="138">
        <v>46080</v>
      </c>
      <c r="X152" s="139" t="s">
        <v>1687</v>
      </c>
      <c r="Y152" s="140" t="s">
        <v>1193</v>
      </c>
      <c r="Z152" s="141" t="s">
        <v>1696</v>
      </c>
      <c r="AA152" s="142">
        <v>6722</v>
      </c>
      <c r="AB152" s="142" t="s">
        <v>1197</v>
      </c>
      <c r="AC152" s="142" t="s">
        <v>1191</v>
      </c>
      <c r="AD152" s="143">
        <f t="shared" si="94"/>
        <v>6722</v>
      </c>
      <c r="AE152" s="144">
        <f t="shared" si="95"/>
        <v>1277.18</v>
      </c>
      <c r="AF152" s="144">
        <f t="shared" si="83"/>
        <v>7999.18</v>
      </c>
      <c r="AG152" s="144">
        <f t="shared" si="96"/>
        <v>6722</v>
      </c>
      <c r="AH152" s="144">
        <f t="shared" si="97"/>
        <v>7999.18</v>
      </c>
      <c r="AI152" s="145" t="s">
        <v>1186</v>
      </c>
      <c r="AJ152" s="146">
        <v>46080</v>
      </c>
      <c r="AK152" s="147" t="s">
        <v>1258</v>
      </c>
      <c r="AL152" s="148" t="s">
        <v>1193</v>
      </c>
      <c r="AM152" s="149" t="s">
        <v>1479</v>
      </c>
      <c r="AN152" s="150">
        <v>6302</v>
      </c>
      <c r="AO152" s="150" t="s">
        <v>1190</v>
      </c>
      <c r="AP152" s="151" t="s">
        <v>1191</v>
      </c>
      <c r="AQ152" s="152">
        <f t="shared" si="98"/>
        <v>5295.7983193277314</v>
      </c>
      <c r="AR152" s="153">
        <f t="shared" si="84"/>
        <v>1006.2016806722689</v>
      </c>
      <c r="AS152" s="153">
        <f t="shared" si="85"/>
        <v>6302</v>
      </c>
      <c r="AT152" s="153">
        <f t="shared" si="86"/>
        <v>6302</v>
      </c>
      <c r="AU152" s="153">
        <f t="shared" si="87"/>
        <v>6302</v>
      </c>
      <c r="AV152" s="154">
        <f t="shared" si="99"/>
        <v>7600.3933333333334</v>
      </c>
      <c r="AW152" s="154">
        <f t="shared" si="100"/>
        <v>7600.3933333333334</v>
      </c>
      <c r="AX152" s="154">
        <f t="shared" si="101"/>
        <v>1151.9870242903446</v>
      </c>
      <c r="AY152" s="155">
        <f t="shared" si="90"/>
        <v>0.15156939565719993</v>
      </c>
      <c r="AZ152" s="5"/>
      <c r="BA152" s="7">
        <f t="shared" si="88"/>
        <v>3</v>
      </c>
    </row>
    <row r="153" spans="1:53" ht="116.1" hidden="1" customHeight="1">
      <c r="A153" s="6" t="s">
        <v>1182</v>
      </c>
      <c r="B153" s="6" t="s">
        <v>1251</v>
      </c>
      <c r="C153" s="6">
        <v>60121905</v>
      </c>
      <c r="D153" s="6" t="s">
        <v>1697</v>
      </c>
      <c r="E153" s="127" t="s">
        <v>1698</v>
      </c>
      <c r="F153" s="128" t="s">
        <v>191</v>
      </c>
      <c r="G153" s="129">
        <v>1</v>
      </c>
      <c r="H153" s="128" t="s">
        <v>192</v>
      </c>
      <c r="I153" s="130" t="s">
        <v>1186</v>
      </c>
      <c r="J153" s="131">
        <v>46080</v>
      </c>
      <c r="K153" s="132" t="s">
        <v>1699</v>
      </c>
      <c r="L153" s="133" t="s">
        <v>1188</v>
      </c>
      <c r="M153" s="131" t="s">
        <v>1700</v>
      </c>
      <c r="N153" s="134">
        <v>12000</v>
      </c>
      <c r="O153" s="134" t="s">
        <v>1190</v>
      </c>
      <c r="P153" s="134" t="s">
        <v>1191</v>
      </c>
      <c r="Q153" s="135">
        <f t="shared" si="102"/>
        <v>10084.033613445379</v>
      </c>
      <c r="R153" s="136">
        <f t="shared" si="91"/>
        <v>1915.966386554622</v>
      </c>
      <c r="S153" s="136">
        <f t="shared" si="89"/>
        <v>12000.000000000002</v>
      </c>
      <c r="T153" s="136">
        <f t="shared" si="92"/>
        <v>12000</v>
      </c>
      <c r="U153" s="136">
        <f t="shared" si="93"/>
        <v>12000.000000000002</v>
      </c>
      <c r="V153" s="137" t="s">
        <v>1186</v>
      </c>
      <c r="W153" s="138">
        <v>46080</v>
      </c>
      <c r="X153" s="139" t="s">
        <v>1701</v>
      </c>
      <c r="Y153" s="140" t="s">
        <v>1193</v>
      </c>
      <c r="Z153" s="141" t="s">
        <v>1558</v>
      </c>
      <c r="AA153" s="142">
        <v>11400</v>
      </c>
      <c r="AB153" s="142" t="s">
        <v>1190</v>
      </c>
      <c r="AC153" s="142" t="s">
        <v>1191</v>
      </c>
      <c r="AD153" s="143">
        <f t="shared" si="94"/>
        <v>9579.8319327731097</v>
      </c>
      <c r="AE153" s="144">
        <f t="shared" si="95"/>
        <v>1820.1680672268908</v>
      </c>
      <c r="AF153" s="144">
        <f t="shared" si="83"/>
        <v>11400</v>
      </c>
      <c r="AG153" s="144">
        <f t="shared" si="96"/>
        <v>11400</v>
      </c>
      <c r="AH153" s="144">
        <f t="shared" si="97"/>
        <v>11400</v>
      </c>
      <c r="AI153" s="145" t="s">
        <v>1186</v>
      </c>
      <c r="AJ153" s="146">
        <v>46080</v>
      </c>
      <c r="AK153" s="147" t="s">
        <v>1702</v>
      </c>
      <c r="AL153" s="148" t="s">
        <v>1193</v>
      </c>
      <c r="AM153" s="149" t="s">
        <v>1497</v>
      </c>
      <c r="AN153" s="150">
        <v>12700</v>
      </c>
      <c r="AO153" s="150" t="s">
        <v>1190</v>
      </c>
      <c r="AP153" s="151" t="s">
        <v>1191</v>
      </c>
      <c r="AQ153" s="152">
        <f t="shared" si="98"/>
        <v>10672.268907563026</v>
      </c>
      <c r="AR153" s="153">
        <f t="shared" si="84"/>
        <v>2027.7310924369749</v>
      </c>
      <c r="AS153" s="153">
        <f t="shared" si="85"/>
        <v>12700</v>
      </c>
      <c r="AT153" s="153">
        <f t="shared" si="86"/>
        <v>12700</v>
      </c>
      <c r="AU153" s="153">
        <f t="shared" si="87"/>
        <v>12700</v>
      </c>
      <c r="AV153" s="154">
        <f t="shared" si="99"/>
        <v>12033.333333333334</v>
      </c>
      <c r="AW153" s="154">
        <f t="shared" si="100"/>
        <v>12033.333333333334</v>
      </c>
      <c r="AX153" s="154">
        <f t="shared" si="101"/>
        <v>650.64070986477111</v>
      </c>
      <c r="AY153" s="155">
        <f t="shared" si="90"/>
        <v>5.4069865085715048E-2</v>
      </c>
      <c r="AZ153" s="5"/>
      <c r="BA153" s="7">
        <f t="shared" si="88"/>
        <v>3</v>
      </c>
    </row>
    <row r="154" spans="1:53" ht="101.65" hidden="1" customHeight="1">
      <c r="A154" s="6" t="s">
        <v>1182</v>
      </c>
      <c r="B154" s="6" t="s">
        <v>1251</v>
      </c>
      <c r="C154" s="6">
        <v>60121905</v>
      </c>
      <c r="D154" s="6" t="s">
        <v>1703</v>
      </c>
      <c r="E154" s="127" t="s">
        <v>1704</v>
      </c>
      <c r="F154" s="128" t="s">
        <v>191</v>
      </c>
      <c r="G154" s="129">
        <v>1</v>
      </c>
      <c r="H154" s="128" t="s">
        <v>192</v>
      </c>
      <c r="I154" s="130" t="s">
        <v>1186</v>
      </c>
      <c r="J154" s="131">
        <v>46080</v>
      </c>
      <c r="K154" s="132" t="s">
        <v>1579</v>
      </c>
      <c r="L154" s="133" t="s">
        <v>1193</v>
      </c>
      <c r="M154" s="131" t="s">
        <v>1580</v>
      </c>
      <c r="N154" s="134">
        <v>7700</v>
      </c>
      <c r="O154" s="134" t="s">
        <v>1197</v>
      </c>
      <c r="P154" s="134" t="s">
        <v>1191</v>
      </c>
      <c r="Q154" s="135">
        <f t="shared" si="102"/>
        <v>7700</v>
      </c>
      <c r="R154" s="136">
        <f t="shared" si="91"/>
        <v>1463</v>
      </c>
      <c r="S154" s="136">
        <f t="shared" si="89"/>
        <v>9163</v>
      </c>
      <c r="T154" s="136">
        <f t="shared" si="92"/>
        <v>7700</v>
      </c>
      <c r="U154" s="136">
        <f t="shared" si="93"/>
        <v>9163</v>
      </c>
      <c r="V154" s="137" t="s">
        <v>1186</v>
      </c>
      <c r="W154" s="138">
        <v>46080</v>
      </c>
      <c r="X154" s="139" t="s">
        <v>1705</v>
      </c>
      <c r="Y154" s="140" t="s">
        <v>1193</v>
      </c>
      <c r="Z154" s="141" t="s">
        <v>1497</v>
      </c>
      <c r="AA154" s="142">
        <v>10710</v>
      </c>
      <c r="AB154" s="142" t="s">
        <v>1190</v>
      </c>
      <c r="AC154" s="142" t="s">
        <v>1191</v>
      </c>
      <c r="AD154" s="143">
        <f t="shared" si="94"/>
        <v>9000</v>
      </c>
      <c r="AE154" s="144">
        <f t="shared" si="95"/>
        <v>1710</v>
      </c>
      <c r="AF154" s="144">
        <f t="shared" si="83"/>
        <v>10710</v>
      </c>
      <c r="AG154" s="144">
        <f t="shared" si="96"/>
        <v>10710</v>
      </c>
      <c r="AH154" s="144">
        <f t="shared" si="97"/>
        <v>10710</v>
      </c>
      <c r="AI154" s="145" t="s">
        <v>1186</v>
      </c>
      <c r="AJ154" s="146">
        <v>46080</v>
      </c>
      <c r="AK154" s="147" t="s">
        <v>1706</v>
      </c>
      <c r="AL154" s="148" t="s">
        <v>1193</v>
      </c>
      <c r="AM154" s="149" t="s">
        <v>1558</v>
      </c>
      <c r="AN154" s="150">
        <v>9900</v>
      </c>
      <c r="AO154" s="150" t="s">
        <v>1190</v>
      </c>
      <c r="AP154" s="151" t="s">
        <v>1191</v>
      </c>
      <c r="AQ154" s="152">
        <f t="shared" si="98"/>
        <v>8319.3277310924368</v>
      </c>
      <c r="AR154" s="153">
        <f t="shared" si="84"/>
        <v>1580.672268907563</v>
      </c>
      <c r="AS154" s="153">
        <f t="shared" si="85"/>
        <v>9900</v>
      </c>
      <c r="AT154" s="153">
        <f t="shared" si="86"/>
        <v>9900</v>
      </c>
      <c r="AU154" s="153">
        <f t="shared" si="87"/>
        <v>9900</v>
      </c>
      <c r="AV154" s="154">
        <f t="shared" si="99"/>
        <v>9924.3333333333339</v>
      </c>
      <c r="AW154" s="154">
        <f t="shared" si="100"/>
        <v>9924.3333333333339</v>
      </c>
      <c r="AX154" s="154">
        <f t="shared" si="101"/>
        <v>773.78700773102503</v>
      </c>
      <c r="AY154" s="155">
        <f t="shared" si="90"/>
        <v>7.7968663661474327E-2</v>
      </c>
      <c r="AZ154" s="5"/>
      <c r="BA154" s="7">
        <f t="shared" si="88"/>
        <v>3</v>
      </c>
    </row>
    <row r="155" spans="1:53" ht="348" hidden="1" customHeight="1">
      <c r="A155" s="6" t="s">
        <v>569</v>
      </c>
      <c r="B155" s="6" t="s">
        <v>569</v>
      </c>
      <c r="C155" s="6" t="s">
        <v>569</v>
      </c>
      <c r="D155" s="6" t="s">
        <v>1707</v>
      </c>
      <c r="E155" s="127" t="s">
        <v>1708</v>
      </c>
      <c r="F155" s="128" t="s">
        <v>1247</v>
      </c>
      <c r="G155" s="129">
        <v>1</v>
      </c>
      <c r="H155" s="128"/>
      <c r="I155" s="130" t="s">
        <v>569</v>
      </c>
      <c r="J155" s="131" t="s">
        <v>569</v>
      </c>
      <c r="K155" s="132" t="s">
        <v>569</v>
      </c>
      <c r="L155" s="133" t="s">
        <v>569</v>
      </c>
      <c r="M155" s="131" t="s">
        <v>569</v>
      </c>
      <c r="N155" s="134"/>
      <c r="O155" s="134"/>
      <c r="P155" s="134"/>
      <c r="Q155" s="135" t="s">
        <v>1248</v>
      </c>
      <c r="R155" s="136" t="s">
        <v>1248</v>
      </c>
      <c r="S155" s="136" t="s">
        <v>1248</v>
      </c>
      <c r="T155" s="136" t="s">
        <v>1248</v>
      </c>
      <c r="U155" s="136" t="s">
        <v>1248</v>
      </c>
      <c r="V155" s="137" t="s">
        <v>569</v>
      </c>
      <c r="W155" s="138" t="s">
        <v>569</v>
      </c>
      <c r="X155" s="139" t="s">
        <v>569</v>
      </c>
      <c r="Y155" s="140" t="s">
        <v>569</v>
      </c>
      <c r="Z155" s="141" t="s">
        <v>1249</v>
      </c>
      <c r="AA155" s="142" t="s">
        <v>569</v>
      </c>
      <c r="AB155" s="142" t="s">
        <v>569</v>
      </c>
      <c r="AC155" s="142" t="s">
        <v>569</v>
      </c>
      <c r="AD155" s="143" t="s">
        <v>569</v>
      </c>
      <c r="AE155" s="144" t="s">
        <v>569</v>
      </c>
      <c r="AF155" s="144">
        <v>268398</v>
      </c>
      <c r="AG155" s="144">
        <v>5.5599999999999997E-2</v>
      </c>
      <c r="AH155" s="144">
        <v>283320</v>
      </c>
      <c r="AI155" s="145" t="s">
        <v>569</v>
      </c>
      <c r="AJ155" s="146" t="s">
        <v>569</v>
      </c>
      <c r="AK155" s="147" t="s">
        <v>569</v>
      </c>
      <c r="AL155" s="148" t="s">
        <v>569</v>
      </c>
      <c r="AM155" s="149" t="s">
        <v>1250</v>
      </c>
      <c r="AN155" s="150" t="s">
        <v>569</v>
      </c>
      <c r="AO155" s="150" t="s">
        <v>569</v>
      </c>
      <c r="AP155" s="151" t="s">
        <v>569</v>
      </c>
      <c r="AQ155" s="152">
        <v>230055</v>
      </c>
      <c r="AR155" s="153">
        <v>43710</v>
      </c>
      <c r="AS155" s="153">
        <v>273765</v>
      </c>
      <c r="AT155" s="153">
        <v>230055</v>
      </c>
      <c r="AU155" s="153">
        <v>273765</v>
      </c>
      <c r="AV155" s="154">
        <v>278543</v>
      </c>
      <c r="AW155" s="154">
        <v>278543</v>
      </c>
      <c r="AX155" s="154">
        <v>6756.37</v>
      </c>
      <c r="AY155" s="155">
        <v>2.4299999999999999E-2</v>
      </c>
      <c r="AZ155" s="5"/>
      <c r="BA155" s="7"/>
    </row>
    <row r="156" spans="1:53" ht="101.65" hidden="1" customHeight="1">
      <c r="A156" s="6" t="s">
        <v>1182</v>
      </c>
      <c r="B156" s="6" t="s">
        <v>1251</v>
      </c>
      <c r="C156" s="6">
        <v>44121708</v>
      </c>
      <c r="D156" s="6" t="s">
        <v>1709</v>
      </c>
      <c r="E156" s="127" t="s">
        <v>1710</v>
      </c>
      <c r="F156" s="128" t="s">
        <v>191</v>
      </c>
      <c r="G156" s="129">
        <v>1</v>
      </c>
      <c r="H156" s="128" t="s">
        <v>192</v>
      </c>
      <c r="I156" s="130" t="s">
        <v>1186</v>
      </c>
      <c r="J156" s="131">
        <v>46080</v>
      </c>
      <c r="K156" s="132" t="s">
        <v>1711</v>
      </c>
      <c r="L156" s="133" t="s">
        <v>1193</v>
      </c>
      <c r="M156" s="131" t="s">
        <v>1712</v>
      </c>
      <c r="N156" s="134">
        <v>13866</v>
      </c>
      <c r="O156" s="134" t="s">
        <v>1190</v>
      </c>
      <c r="P156" s="134" t="s">
        <v>1191</v>
      </c>
      <c r="Q156" s="135">
        <f>IF(O156="IVA Incluido",(N156/1.19),N156)</f>
        <v>11652.100840336136</v>
      </c>
      <c r="R156" s="136">
        <f>IF(P156="Si tiene IVA",Q156*19%,0)</f>
        <v>2213.8991596638657</v>
      </c>
      <c r="S156" s="136">
        <f>Q156+R156</f>
        <v>13866.000000000002</v>
      </c>
      <c r="T156" s="136">
        <f>IF(B156="","",(N156*G156))</f>
        <v>13866</v>
      </c>
      <c r="U156" s="136">
        <f>IF(B156="","",(S156*G156))</f>
        <v>13866.000000000002</v>
      </c>
      <c r="V156" s="137" t="s">
        <v>1186</v>
      </c>
      <c r="W156" s="138">
        <v>46080</v>
      </c>
      <c r="X156" s="139" t="s">
        <v>1579</v>
      </c>
      <c r="Y156" s="140" t="s">
        <v>1193</v>
      </c>
      <c r="Z156" s="141" t="s">
        <v>1580</v>
      </c>
      <c r="AA156" s="142">
        <v>14034</v>
      </c>
      <c r="AB156" s="142" t="s">
        <v>1197</v>
      </c>
      <c r="AC156" s="142" t="s">
        <v>1191</v>
      </c>
      <c r="AD156" s="143">
        <f>IF(AB156="IVA Incluido",(AA156/1.19),AA156)</f>
        <v>14034</v>
      </c>
      <c r="AE156" s="144">
        <f>IF(AC156="Si tiene IVA",AD156*19%,0)</f>
        <v>2666.46</v>
      </c>
      <c r="AF156" s="144">
        <f>AD156+AE156</f>
        <v>16700.46</v>
      </c>
      <c r="AG156" s="144">
        <f>IF(O156="","",(AA156*G156))</f>
        <v>14034</v>
      </c>
      <c r="AH156" s="144">
        <f>IF(O156="","",(AF156*G156))</f>
        <v>16700.46</v>
      </c>
      <c r="AI156" s="145" t="s">
        <v>1186</v>
      </c>
      <c r="AJ156" s="146">
        <v>46080</v>
      </c>
      <c r="AK156" s="147" t="s">
        <v>1713</v>
      </c>
      <c r="AL156" s="148" t="s">
        <v>1193</v>
      </c>
      <c r="AM156" s="149" t="s">
        <v>1714</v>
      </c>
      <c r="AN156" s="150">
        <v>15000</v>
      </c>
      <c r="AO156" s="150" t="s">
        <v>1190</v>
      </c>
      <c r="AP156" s="151" t="s">
        <v>1191</v>
      </c>
      <c r="AQ156" s="152">
        <f>IF(AO156="IVA Incluido",(AN156/1.19),AN156)</f>
        <v>12605.042016806723</v>
      </c>
      <c r="AR156" s="153">
        <f>IF(AP156="Si tiene IVA",AQ156*19%,0)</f>
        <v>2394.9579831932774</v>
      </c>
      <c r="AS156" s="153">
        <f>AQ156+AR156</f>
        <v>15000</v>
      </c>
      <c r="AT156" s="153">
        <f>IF(AB156="","",(AN156*G156))</f>
        <v>15000</v>
      </c>
      <c r="AU156" s="153">
        <f>IF(AB156="","",(AS156*G156))</f>
        <v>15000</v>
      </c>
      <c r="AV156" s="154">
        <f>IF(A156="","",AVERAGE(S156,AF156,AS156))</f>
        <v>15188.82</v>
      </c>
      <c r="AW156" s="154">
        <f>IF(A156="","",AVERAGE(U156,AH156,AU156))</f>
        <v>15188.82</v>
      </c>
      <c r="AX156" s="154">
        <f>IF(N156="","",STDEV(U156,AH156,AU156))</f>
        <v>1426.6326146559234</v>
      </c>
      <c r="AY156" s="155">
        <f>IF(N156="","",(AX156/AW156))</f>
        <v>9.3926494267225727E-2</v>
      </c>
      <c r="AZ156" s="5"/>
      <c r="BA156" s="7">
        <f>COUNTA(M156,Z156,AM156)</f>
        <v>3</v>
      </c>
    </row>
    <row r="157" spans="1:53" ht="72.599999999999994" hidden="1" customHeight="1">
      <c r="A157" s="6" t="s">
        <v>1182</v>
      </c>
      <c r="B157" s="6" t="s">
        <v>1251</v>
      </c>
      <c r="C157" s="6">
        <v>44121708</v>
      </c>
      <c r="D157" s="6" t="s">
        <v>1715</v>
      </c>
      <c r="E157" s="127" t="s">
        <v>1716</v>
      </c>
      <c r="F157" s="128" t="s">
        <v>191</v>
      </c>
      <c r="G157" s="129">
        <v>1</v>
      </c>
      <c r="H157" s="128" t="s">
        <v>192</v>
      </c>
      <c r="I157" s="130" t="s">
        <v>1186</v>
      </c>
      <c r="J157" s="131">
        <v>46080</v>
      </c>
      <c r="K157" s="132" t="s">
        <v>1579</v>
      </c>
      <c r="L157" s="133" t="s">
        <v>1188</v>
      </c>
      <c r="M157" s="131" t="s">
        <v>1580</v>
      </c>
      <c r="N157" s="134">
        <v>12687</v>
      </c>
      <c r="O157" s="134" t="s">
        <v>1197</v>
      </c>
      <c r="P157" s="134" t="s">
        <v>1191</v>
      </c>
      <c r="Q157" s="135">
        <f>IF(O157="IVA Incluido",(N157/1.19),N157)</f>
        <v>12687</v>
      </c>
      <c r="R157" s="136">
        <f>IF(P157="Si tiene IVA",Q157*19%,0)</f>
        <v>2410.5300000000002</v>
      </c>
      <c r="S157" s="136">
        <f>Q157+R157</f>
        <v>15097.53</v>
      </c>
      <c r="T157" s="136">
        <f>IF(B157="","",(N157*G157))</f>
        <v>12687</v>
      </c>
      <c r="U157" s="136">
        <f>IF(B157="","",(S157*G157))</f>
        <v>15097.53</v>
      </c>
      <c r="V157" s="137" t="s">
        <v>1186</v>
      </c>
      <c r="W157" s="138">
        <v>46080</v>
      </c>
      <c r="X157" s="139" t="s">
        <v>1714</v>
      </c>
      <c r="Y157" s="140" t="s">
        <v>1193</v>
      </c>
      <c r="Z157" s="141" t="s">
        <v>1714</v>
      </c>
      <c r="AA157" s="142">
        <v>12000</v>
      </c>
      <c r="AB157" s="142" t="s">
        <v>1190</v>
      </c>
      <c r="AC157" s="142" t="s">
        <v>1191</v>
      </c>
      <c r="AD157" s="143">
        <f>IF(AB157="IVA Incluido",(AA157/1.19),AA157)</f>
        <v>10084.033613445379</v>
      </c>
      <c r="AE157" s="144">
        <f>IF(AC157="Si tiene IVA",AD157*19%,0)</f>
        <v>1915.966386554622</v>
      </c>
      <c r="AF157" s="144">
        <f>AD157+AE157</f>
        <v>12000.000000000002</v>
      </c>
      <c r="AG157" s="144">
        <f>IF(O157="","",(AA157*G157))</f>
        <v>12000</v>
      </c>
      <c r="AH157" s="144">
        <f>IF(O157="","",(AF157*G157))</f>
        <v>12000.000000000002</v>
      </c>
      <c r="AI157" s="145" t="s">
        <v>1186</v>
      </c>
      <c r="AJ157" s="146">
        <v>46080</v>
      </c>
      <c r="AK157" s="147" t="s">
        <v>1258</v>
      </c>
      <c r="AL157" s="148" t="s">
        <v>1188</v>
      </c>
      <c r="AM157" s="149" t="s">
        <v>1479</v>
      </c>
      <c r="AN157" s="150">
        <v>14800</v>
      </c>
      <c r="AO157" s="150" t="s">
        <v>1190</v>
      </c>
      <c r="AP157" s="151" t="s">
        <v>1191</v>
      </c>
      <c r="AQ157" s="152">
        <f>IF(AO157="IVA Incluido",(AN157/1.19),AN157)</f>
        <v>12436.974789915967</v>
      </c>
      <c r="AR157" s="153">
        <f>IF(AP157="Si tiene IVA",AQ157*19%,0)</f>
        <v>2363.0252100840335</v>
      </c>
      <c r="AS157" s="153">
        <f>AQ157+AR157</f>
        <v>14800</v>
      </c>
      <c r="AT157" s="153">
        <f>IF(AB157="","",(AN157*G157))</f>
        <v>14800</v>
      </c>
      <c r="AU157" s="153">
        <f>IF(AB157="","",(AS157*G157))</f>
        <v>14800</v>
      </c>
      <c r="AV157" s="154">
        <f>IF(A157="","",AVERAGE(S157,AF157,AS157))</f>
        <v>13965.843333333332</v>
      </c>
      <c r="AW157" s="154">
        <f>IF(A157="","",AVERAGE(U157,AH157,AU157))</f>
        <v>13965.843333333332</v>
      </c>
      <c r="AX157" s="154">
        <f>IF(N157="","",STDEV(U157,AH157,AU157))</f>
        <v>1708.9575868444865</v>
      </c>
      <c r="AY157" s="155">
        <f>IF(N157="","",(AX157/AW157))</f>
        <v>0.12236694527179669</v>
      </c>
      <c r="AZ157" s="5"/>
      <c r="BA157" s="7">
        <f>COUNTA(M157,Z157,AM157)</f>
        <v>3</v>
      </c>
    </row>
    <row r="158" spans="1:53" ht="116.1" hidden="1" customHeight="1">
      <c r="A158" s="6" t="s">
        <v>1182</v>
      </c>
      <c r="B158" s="6" t="s">
        <v>1251</v>
      </c>
      <c r="C158" s="6">
        <v>44121708</v>
      </c>
      <c r="D158" s="6" t="s">
        <v>1717</v>
      </c>
      <c r="E158" s="127" t="s">
        <v>1718</v>
      </c>
      <c r="F158" s="128" t="s">
        <v>191</v>
      </c>
      <c r="G158" s="129">
        <v>1</v>
      </c>
      <c r="H158" s="128" t="s">
        <v>192</v>
      </c>
      <c r="I158" s="130" t="s">
        <v>1186</v>
      </c>
      <c r="J158" s="131">
        <v>46080</v>
      </c>
      <c r="K158" s="132" t="s">
        <v>1719</v>
      </c>
      <c r="L158" s="133" t="s">
        <v>1188</v>
      </c>
      <c r="M158" s="131" t="s">
        <v>1720</v>
      </c>
      <c r="N158" s="134">
        <v>47900</v>
      </c>
      <c r="O158" s="134" t="s">
        <v>1190</v>
      </c>
      <c r="P158" s="134" t="s">
        <v>1191</v>
      </c>
      <c r="Q158" s="135">
        <f>IF(O158="IVA Incluido",(N158/1.19),N158)</f>
        <v>40252.100840336134</v>
      </c>
      <c r="R158" s="136">
        <f>IF(P158="Si tiene IVA",Q158*19%,0)</f>
        <v>7647.8991596638652</v>
      </c>
      <c r="S158" s="136">
        <f>Q158+R158</f>
        <v>47900</v>
      </c>
      <c r="T158" s="136">
        <f>IF(B158="","",(N158*G158))</f>
        <v>47900</v>
      </c>
      <c r="U158" s="136">
        <f>IF(B158="","",(S158*G158))</f>
        <v>47900</v>
      </c>
      <c r="V158" s="137" t="s">
        <v>1186</v>
      </c>
      <c r="W158" s="138">
        <v>46080</v>
      </c>
      <c r="X158" s="139" t="s">
        <v>1721</v>
      </c>
      <c r="Y158" s="140" t="s">
        <v>1188</v>
      </c>
      <c r="Z158" s="141" t="s">
        <v>1722</v>
      </c>
      <c r="AA158" s="142">
        <v>51900</v>
      </c>
      <c r="AB158" s="142" t="s">
        <v>1190</v>
      </c>
      <c r="AC158" s="142" t="s">
        <v>1191</v>
      </c>
      <c r="AD158" s="143">
        <f>IF(AB158="IVA Incluido",(AA158/1.19),AA158)</f>
        <v>43613.445378151264</v>
      </c>
      <c r="AE158" s="144">
        <f>IF(AC158="Si tiene IVA",AD158*19%,0)</f>
        <v>8286.5546218487398</v>
      </c>
      <c r="AF158" s="144">
        <f>AD158+AE158</f>
        <v>51900</v>
      </c>
      <c r="AG158" s="144">
        <f>IF(O158="","",(AA158*G158))</f>
        <v>51900</v>
      </c>
      <c r="AH158" s="144">
        <f>IF(O158="","",(AF158*G158))</f>
        <v>51900</v>
      </c>
      <c r="AI158" s="145" t="s">
        <v>1186</v>
      </c>
      <c r="AJ158" s="146">
        <v>46080</v>
      </c>
      <c r="AK158" s="147" t="s">
        <v>1723</v>
      </c>
      <c r="AL158" s="148" t="s">
        <v>1188</v>
      </c>
      <c r="AM158" s="149" t="s">
        <v>1724</v>
      </c>
      <c r="AN158" s="150">
        <v>50000</v>
      </c>
      <c r="AO158" s="150" t="s">
        <v>1190</v>
      </c>
      <c r="AP158" s="151" t="s">
        <v>1191</v>
      </c>
      <c r="AQ158" s="152">
        <f>IF(AO158="IVA Incluido",(AN158/1.19),AN158)</f>
        <v>42016.806722689078</v>
      </c>
      <c r="AR158" s="153">
        <f>IF(AP158="Si tiene IVA",AQ158*19%,0)</f>
        <v>7983.1932773109247</v>
      </c>
      <c r="AS158" s="153">
        <f>AQ158+AR158</f>
        <v>50000</v>
      </c>
      <c r="AT158" s="153">
        <f>IF(AB158="","",(AN158*G158))</f>
        <v>50000</v>
      </c>
      <c r="AU158" s="153">
        <f>IF(AB158="","",(AS158*G158))</f>
        <v>50000</v>
      </c>
      <c r="AV158" s="154">
        <f>IF(A158="","",AVERAGE(S158,AF158,AS158))</f>
        <v>49933.333333333336</v>
      </c>
      <c r="AW158" s="154">
        <f>IF(A158="","",AVERAGE(U158,AH158,AU158))</f>
        <v>49933.333333333336</v>
      </c>
      <c r="AX158" s="154">
        <f>IF(N158="","",STDEV(U158,AH158,AU158))</f>
        <v>2000.8331597945225</v>
      </c>
      <c r="AY158" s="155">
        <f>IF(N158="","",(AX158/AW158))</f>
        <v>4.0070089982533828E-2</v>
      </c>
      <c r="AZ158" s="5"/>
      <c r="BA158" s="7">
        <f>COUNTA(M158,Z158,AM158)</f>
        <v>3</v>
      </c>
    </row>
    <row r="159" spans="1:53" ht="348" hidden="1" customHeight="1">
      <c r="A159" s="6" t="s">
        <v>569</v>
      </c>
      <c r="B159" s="6" t="s">
        <v>569</v>
      </c>
      <c r="C159" s="6" t="s">
        <v>569</v>
      </c>
      <c r="D159" s="6" t="s">
        <v>1725</v>
      </c>
      <c r="E159" s="127" t="s">
        <v>1726</v>
      </c>
      <c r="F159" s="128" t="s">
        <v>1247</v>
      </c>
      <c r="G159" s="129">
        <v>1</v>
      </c>
      <c r="H159" s="128"/>
      <c r="I159" s="130" t="s">
        <v>569</v>
      </c>
      <c r="J159" s="131" t="s">
        <v>569</v>
      </c>
      <c r="K159" s="132" t="s">
        <v>569</v>
      </c>
      <c r="L159" s="133" t="s">
        <v>569</v>
      </c>
      <c r="M159" s="131" t="s">
        <v>569</v>
      </c>
      <c r="N159" s="134"/>
      <c r="O159" s="134"/>
      <c r="P159" s="134"/>
      <c r="Q159" s="135" t="s">
        <v>1248</v>
      </c>
      <c r="R159" s="136" t="s">
        <v>1248</v>
      </c>
      <c r="S159" s="136" t="s">
        <v>1248</v>
      </c>
      <c r="T159" s="136" t="s">
        <v>1248</v>
      </c>
      <c r="U159" s="136" t="s">
        <v>1248</v>
      </c>
      <c r="V159" s="137" t="s">
        <v>569</v>
      </c>
      <c r="W159" s="138" t="s">
        <v>569</v>
      </c>
      <c r="X159" s="139" t="s">
        <v>569</v>
      </c>
      <c r="Y159" s="140" t="s">
        <v>569</v>
      </c>
      <c r="Z159" s="141" t="s">
        <v>1249</v>
      </c>
      <c r="AA159" s="142" t="s">
        <v>569</v>
      </c>
      <c r="AB159" s="142" t="s">
        <v>569</v>
      </c>
      <c r="AC159" s="142" t="s">
        <v>569</v>
      </c>
      <c r="AD159" s="143" t="s">
        <v>569</v>
      </c>
      <c r="AE159" s="144" t="s">
        <v>569</v>
      </c>
      <c r="AF159" s="144">
        <v>739488</v>
      </c>
      <c r="AG159" s="144">
        <v>5.5599999999999997E-2</v>
      </c>
      <c r="AH159" s="144">
        <v>780603</v>
      </c>
      <c r="AI159" s="145" t="s">
        <v>569</v>
      </c>
      <c r="AJ159" s="146" t="s">
        <v>569</v>
      </c>
      <c r="AK159" s="147" t="s">
        <v>569</v>
      </c>
      <c r="AL159" s="148" t="s">
        <v>569</v>
      </c>
      <c r="AM159" s="149" t="s">
        <v>1250</v>
      </c>
      <c r="AN159" s="150" t="s">
        <v>569</v>
      </c>
      <c r="AO159" s="150" t="s">
        <v>569</v>
      </c>
      <c r="AP159" s="151" t="s">
        <v>569</v>
      </c>
      <c r="AQ159" s="152">
        <v>636954</v>
      </c>
      <c r="AR159" s="153">
        <v>121021</v>
      </c>
      <c r="AS159" s="153">
        <v>757975</v>
      </c>
      <c r="AT159" s="153">
        <v>636954</v>
      </c>
      <c r="AU159" s="153">
        <v>757975</v>
      </c>
      <c r="AV159" s="154">
        <v>769289</v>
      </c>
      <c r="AW159" s="154">
        <v>769289</v>
      </c>
      <c r="AX159" s="154">
        <v>16000.64</v>
      </c>
      <c r="AY159" s="155">
        <v>2.0799999999999999E-2</v>
      </c>
      <c r="AZ159" s="5"/>
      <c r="BA159" s="7"/>
    </row>
    <row r="160" spans="1:53" ht="87" hidden="1" customHeight="1">
      <c r="A160" s="6" t="s">
        <v>1182</v>
      </c>
      <c r="B160" s="6" t="s">
        <v>1251</v>
      </c>
      <c r="C160" s="6"/>
      <c r="D160" s="6" t="s">
        <v>1727</v>
      </c>
      <c r="E160" s="127" t="s">
        <v>1728</v>
      </c>
      <c r="F160" s="128" t="s">
        <v>191</v>
      </c>
      <c r="G160" s="129">
        <v>1</v>
      </c>
      <c r="H160" s="128" t="s">
        <v>192</v>
      </c>
      <c r="I160" s="130" t="s">
        <v>1186</v>
      </c>
      <c r="J160" s="131">
        <v>46080</v>
      </c>
      <c r="K160" s="132" t="s">
        <v>1423</v>
      </c>
      <c r="L160" s="133" t="s">
        <v>1188</v>
      </c>
      <c r="M160" s="131" t="s">
        <v>1455</v>
      </c>
      <c r="N160" s="134">
        <v>32000</v>
      </c>
      <c r="O160" s="134" t="s">
        <v>1190</v>
      </c>
      <c r="P160" s="134" t="s">
        <v>1191</v>
      </c>
      <c r="Q160" s="135">
        <f>IF(O160="IVA Incluido",(N160/1.19),N160)</f>
        <v>26890.756302521011</v>
      </c>
      <c r="R160" s="136">
        <f>IF(P160="Si tiene IVA",Q160*19%,0)</f>
        <v>5109.2436974789925</v>
      </c>
      <c r="S160" s="136">
        <f>Q160+R160</f>
        <v>32000.000000000004</v>
      </c>
      <c r="T160" s="136">
        <f>IF(B160="","",(N160*G160))</f>
        <v>32000</v>
      </c>
      <c r="U160" s="136">
        <f>IF(B160="","",(S160*G160))</f>
        <v>32000.000000000004</v>
      </c>
      <c r="V160" s="137" t="s">
        <v>1186</v>
      </c>
      <c r="W160" s="138">
        <v>46080</v>
      </c>
      <c r="X160" s="139" t="s">
        <v>1729</v>
      </c>
      <c r="Y160" s="140" t="s">
        <v>1193</v>
      </c>
      <c r="Z160" s="141" t="s">
        <v>1730</v>
      </c>
      <c r="AA160" s="142">
        <v>24900</v>
      </c>
      <c r="AB160" s="142" t="s">
        <v>1190</v>
      </c>
      <c r="AC160" s="142" t="s">
        <v>1191</v>
      </c>
      <c r="AD160" s="143">
        <f>IF(AB160="IVA Incluido",(AA160/1.19),AA160)</f>
        <v>20924.36974789916</v>
      </c>
      <c r="AE160" s="144">
        <f>IF(AC160="Si tiene IVA",AD160*19%,0)</f>
        <v>3975.6302521008406</v>
      </c>
      <c r="AF160" s="144">
        <f>AD160+AE160</f>
        <v>24900</v>
      </c>
      <c r="AG160" s="144">
        <f>IF(O160="","",(AA160*G160))</f>
        <v>24900</v>
      </c>
      <c r="AH160" s="144">
        <f>IF(O160="","",(AF160*G160))</f>
        <v>24900</v>
      </c>
      <c r="AI160" s="145" t="s">
        <v>1186</v>
      </c>
      <c r="AJ160" s="146">
        <v>46080</v>
      </c>
      <c r="AK160" s="147" t="s">
        <v>1731</v>
      </c>
      <c r="AL160" s="148" t="s">
        <v>1193</v>
      </c>
      <c r="AM160" s="149" t="s">
        <v>1732</v>
      </c>
      <c r="AN160" s="150">
        <v>25000</v>
      </c>
      <c r="AO160" s="150" t="s">
        <v>1190</v>
      </c>
      <c r="AP160" s="151" t="s">
        <v>1191</v>
      </c>
      <c r="AQ160" s="152">
        <f>IF(AO160="IVA Incluido",(AN160/1.19),AN160)</f>
        <v>21008.403361344539</v>
      </c>
      <c r="AR160" s="153">
        <f>IF(AP160="Si tiene IVA",AQ160*19%,0)</f>
        <v>3991.5966386554624</v>
      </c>
      <c r="AS160" s="153">
        <f>AQ160+AR160</f>
        <v>25000</v>
      </c>
      <c r="AT160" s="153">
        <f>IF(AB160="","",(AN160*G160))</f>
        <v>25000</v>
      </c>
      <c r="AU160" s="153">
        <f>IF(AB160="","",(AS160*G160))</f>
        <v>25000</v>
      </c>
      <c r="AV160" s="154">
        <f>IF(A160="","",AVERAGE(S160,AF160,AS160))</f>
        <v>27300</v>
      </c>
      <c r="AW160" s="154">
        <f>IF(A160="","",AVERAGE(U160,AH160,AU160))</f>
        <v>27300</v>
      </c>
      <c r="AX160" s="154">
        <f>IF(N160="","",STDEV(U160,AH160,AU160))</f>
        <v>4070.6264874095241</v>
      </c>
      <c r="AY160" s="155">
        <f>IF(N160="","",(AX160/AW160))</f>
        <v>0.14910719734100822</v>
      </c>
      <c r="AZ160" s="5"/>
      <c r="BA160" s="7">
        <f>COUNTA(M160,Z160,AM160)</f>
        <v>3</v>
      </c>
    </row>
    <row r="161" spans="1:53" ht="72.599999999999994" hidden="1" customHeight="1">
      <c r="A161" s="6" t="s">
        <v>1182</v>
      </c>
      <c r="B161" s="6" t="s">
        <v>1251</v>
      </c>
      <c r="C161" s="6"/>
      <c r="D161" s="6" t="s">
        <v>1733</v>
      </c>
      <c r="E161" s="127" t="s">
        <v>1734</v>
      </c>
      <c r="F161" s="128" t="s">
        <v>191</v>
      </c>
      <c r="G161" s="129">
        <v>1</v>
      </c>
      <c r="H161" s="128" t="s">
        <v>192</v>
      </c>
      <c r="I161" s="130" t="s">
        <v>1186</v>
      </c>
      <c r="J161" s="131">
        <v>46080</v>
      </c>
      <c r="K161" s="132" t="s">
        <v>1735</v>
      </c>
      <c r="L161" s="133" t="s">
        <v>1193</v>
      </c>
      <c r="M161" s="131" t="s">
        <v>1736</v>
      </c>
      <c r="N161" s="134">
        <v>18000</v>
      </c>
      <c r="O161" s="134" t="s">
        <v>1190</v>
      </c>
      <c r="P161" s="134" t="s">
        <v>1191</v>
      </c>
      <c r="Q161" s="135">
        <f>IF(O161="IVA Incluido",(N161/1.19),N161)</f>
        <v>15126.050420168069</v>
      </c>
      <c r="R161" s="136">
        <f>IF(P161="Si tiene IVA",Q161*19%,0)</f>
        <v>2873.9495798319331</v>
      </c>
      <c r="S161" s="136">
        <f>Q161+R161</f>
        <v>18000</v>
      </c>
      <c r="T161" s="136">
        <f>IF(B161="","",(N161*G161))</f>
        <v>18000</v>
      </c>
      <c r="U161" s="136">
        <f>IF(B161="","",(S161*G161))</f>
        <v>18000</v>
      </c>
      <c r="V161" s="137" t="s">
        <v>1186</v>
      </c>
      <c r="W161" s="138">
        <v>46080</v>
      </c>
      <c r="X161" s="139" t="s">
        <v>1579</v>
      </c>
      <c r="Y161" s="140" t="s">
        <v>1188</v>
      </c>
      <c r="Z161" s="141" t="s">
        <v>1737</v>
      </c>
      <c r="AA161" s="142">
        <v>14000</v>
      </c>
      <c r="AB161" s="142" t="s">
        <v>1197</v>
      </c>
      <c r="AC161" s="142" t="s">
        <v>1191</v>
      </c>
      <c r="AD161" s="143">
        <f>IF(AB161="IVA Incluido",(AA161/1.19),AA161)</f>
        <v>14000</v>
      </c>
      <c r="AE161" s="144">
        <f>IF(AC161="Si tiene IVA",AD161*19%,0)</f>
        <v>2660</v>
      </c>
      <c r="AF161" s="144">
        <f>AD161+AE161</f>
        <v>16660</v>
      </c>
      <c r="AG161" s="144">
        <f>IF(O161="","",(AA161*G161))</f>
        <v>14000</v>
      </c>
      <c r="AH161" s="144">
        <f>IF(O161="","",(AF161*G161))</f>
        <v>16660</v>
      </c>
      <c r="AI161" s="145" t="s">
        <v>1186</v>
      </c>
      <c r="AJ161" s="146">
        <v>46080</v>
      </c>
      <c r="AK161" s="147" t="s">
        <v>1713</v>
      </c>
      <c r="AL161" s="148" t="s">
        <v>1193</v>
      </c>
      <c r="AM161" s="149" t="s">
        <v>1714</v>
      </c>
      <c r="AN161" s="150">
        <v>16000</v>
      </c>
      <c r="AO161" s="150" t="s">
        <v>1190</v>
      </c>
      <c r="AP161" s="151" t="s">
        <v>1191</v>
      </c>
      <c r="AQ161" s="152">
        <f>IF(AO161="IVA Incluido",(AN161/1.19),AN161)</f>
        <v>13445.378151260506</v>
      </c>
      <c r="AR161" s="153">
        <f>IF(AP161="Si tiene IVA",AQ161*19%,0)</f>
        <v>2554.6218487394963</v>
      </c>
      <c r="AS161" s="153">
        <f>AQ161+AR161</f>
        <v>16000.000000000002</v>
      </c>
      <c r="AT161" s="153">
        <f>IF(AB161="","",(AN161*G161))</f>
        <v>16000</v>
      </c>
      <c r="AU161" s="153">
        <f>IF(AB161="","",(AS161*G161))</f>
        <v>16000.000000000002</v>
      </c>
      <c r="AV161" s="154">
        <f>IF(A161="","",AVERAGE(S161,AF161,AS161))</f>
        <v>16886.666666666668</v>
      </c>
      <c r="AW161" s="154">
        <f>IF(A161="","",AVERAGE(U161,AH161,AU161))</f>
        <v>16886.666666666668</v>
      </c>
      <c r="AX161" s="154">
        <f>IF(N161="","",STDEV(U161,AH161,AU161))</f>
        <v>1019.0845565179229</v>
      </c>
      <c r="AY161" s="155">
        <f>IF(N161="","",(AX161/AW161))</f>
        <v>6.0348473540342847E-2</v>
      </c>
      <c r="AZ161" s="5"/>
      <c r="BA161" s="7">
        <f>COUNTA(M161,Z161,AM161)</f>
        <v>3</v>
      </c>
    </row>
    <row r="162" spans="1:53" ht="348" hidden="1" customHeight="1">
      <c r="A162" s="6" t="s">
        <v>1182</v>
      </c>
      <c r="B162" s="6" t="s">
        <v>1236</v>
      </c>
      <c r="C162" s="6" t="s">
        <v>1738</v>
      </c>
      <c r="D162" s="6" t="s">
        <v>307</v>
      </c>
      <c r="E162" s="127" t="s">
        <v>1739</v>
      </c>
      <c r="F162" s="128" t="s">
        <v>191</v>
      </c>
      <c r="G162" s="129">
        <v>1</v>
      </c>
      <c r="H162" s="128" t="s">
        <v>305</v>
      </c>
      <c r="I162" s="130" t="s">
        <v>569</v>
      </c>
      <c r="J162" s="131" t="s">
        <v>569</v>
      </c>
      <c r="K162" s="132" t="s">
        <v>569</v>
      </c>
      <c r="L162" s="133" t="s">
        <v>569</v>
      </c>
      <c r="M162" s="116" t="s">
        <v>1249</v>
      </c>
      <c r="N162" s="117">
        <v>11508</v>
      </c>
      <c r="O162" s="134"/>
      <c r="P162" s="134"/>
      <c r="Q162" s="135">
        <f>IF(O162="IVA Incluido",(N162/1.19),N162)</f>
        <v>11508</v>
      </c>
      <c r="R162" s="136">
        <f>IF(P162="Si tiene IVA",Q162*19%,0)</f>
        <v>0</v>
      </c>
      <c r="S162" s="136">
        <f>Q162+R162</f>
        <v>11508</v>
      </c>
      <c r="T162" s="136">
        <f>IF(B162="","",(N162*G162))</f>
        <v>11508</v>
      </c>
      <c r="U162" s="136">
        <f>IF(B162="","",(S162*G162))</f>
        <v>11508</v>
      </c>
      <c r="V162" s="137" t="s">
        <v>569</v>
      </c>
      <c r="W162" s="138" t="s">
        <v>569</v>
      </c>
      <c r="X162" s="138" t="s">
        <v>569</v>
      </c>
      <c r="Y162" s="138" t="s">
        <v>569</v>
      </c>
      <c r="Z162" s="118" t="s">
        <v>1250</v>
      </c>
      <c r="AA162" s="119">
        <v>9528</v>
      </c>
      <c r="AB162" s="142" t="s">
        <v>1197</v>
      </c>
      <c r="AC162" s="142" t="s">
        <v>1191</v>
      </c>
      <c r="AD162" s="143">
        <f>IF(AB162="IVA Incluido",(AA162/1.19),AA162)</f>
        <v>9528</v>
      </c>
      <c r="AE162" s="144">
        <f>IF(AC162="Si tiene IVA",AD162*19%,0)</f>
        <v>1810.32</v>
      </c>
      <c r="AF162" s="144">
        <f>AD162+AE162</f>
        <v>11338.32</v>
      </c>
      <c r="AG162" s="144">
        <f>AD162</f>
        <v>9528</v>
      </c>
      <c r="AH162" s="144">
        <f>AF162</f>
        <v>11338.32</v>
      </c>
      <c r="AI162" s="145"/>
      <c r="AJ162" s="146"/>
      <c r="AK162" s="147"/>
      <c r="AL162" s="148"/>
      <c r="AM162" s="149"/>
      <c r="AN162" s="150"/>
      <c r="AO162" s="150"/>
      <c r="AP162" s="151"/>
      <c r="AQ162" s="152"/>
      <c r="AR162" s="153"/>
      <c r="AS162" s="153"/>
      <c r="AT162" s="153"/>
      <c r="AU162" s="153"/>
      <c r="AV162" s="154">
        <f>IF(A162="","",AVERAGE(S162,AF162,AS162))</f>
        <v>11423.16</v>
      </c>
      <c r="AW162" s="154">
        <f>IF(A162="","",AVERAGE(U162,AH162,AU162))</f>
        <v>11423.16</v>
      </c>
      <c r="AX162" s="154">
        <f>IF(N162="","",STDEV(U162,AH162,AU162))</f>
        <v>119.98187863173359</v>
      </c>
      <c r="AY162" s="155">
        <f>IF(N162="","",(AX162/AW162))</f>
        <v>1.0503387734368914E-2</v>
      </c>
      <c r="AZ162" s="5"/>
      <c r="BA162" s="7">
        <f>COUNTA(M162,Z162,AM162)</f>
        <v>2</v>
      </c>
    </row>
    <row r="163" spans="1:53" ht="87" hidden="1" customHeight="1">
      <c r="A163" s="6" t="s">
        <v>1182</v>
      </c>
      <c r="B163" s="6" t="s">
        <v>1236</v>
      </c>
      <c r="C163" s="6" t="s">
        <v>1738</v>
      </c>
      <c r="D163" s="6" t="s">
        <v>1740</v>
      </c>
      <c r="E163" s="127" t="s">
        <v>1741</v>
      </c>
      <c r="F163" s="128" t="s">
        <v>191</v>
      </c>
      <c r="G163" s="129">
        <v>1</v>
      </c>
      <c r="H163" s="128" t="s">
        <v>305</v>
      </c>
      <c r="I163" s="130" t="s">
        <v>1186</v>
      </c>
      <c r="J163" s="131">
        <v>46094</v>
      </c>
      <c r="K163" s="132" t="s">
        <v>1266</v>
      </c>
      <c r="L163" s="133" t="s">
        <v>1193</v>
      </c>
      <c r="M163" s="131" t="s">
        <v>515</v>
      </c>
      <c r="N163" s="134">
        <v>33076</v>
      </c>
      <c r="O163" s="134" t="s">
        <v>1197</v>
      </c>
      <c r="P163" s="134" t="s">
        <v>1191</v>
      </c>
      <c r="Q163" s="135">
        <f>IF(O163="IVA Incluido",(N163/1.19),N163)</f>
        <v>33076</v>
      </c>
      <c r="R163" s="136">
        <f>IF(P163="Si tiene IVA",Q163*19%,0)</f>
        <v>6284.4400000000005</v>
      </c>
      <c r="S163" s="136">
        <f>Q163+R163</f>
        <v>39360.44</v>
      </c>
      <c r="T163" s="136">
        <f>IF(B163="","",(N163*G163))</f>
        <v>33076</v>
      </c>
      <c r="U163" s="136">
        <f>IF(B163="","",(S163*G163))</f>
        <v>39360.44</v>
      </c>
      <c r="V163" s="137" t="s">
        <v>1186</v>
      </c>
      <c r="W163" s="138">
        <v>46119</v>
      </c>
      <c r="X163" s="139" t="s">
        <v>1364</v>
      </c>
      <c r="Y163" s="140" t="s">
        <v>1193</v>
      </c>
      <c r="Z163" s="141" t="s">
        <v>1283</v>
      </c>
      <c r="AA163" s="142">
        <v>31000</v>
      </c>
      <c r="AB163" s="142" t="s">
        <v>1190</v>
      </c>
      <c r="AC163" s="142" t="s">
        <v>1191</v>
      </c>
      <c r="AD163" s="143">
        <f>IF(AB163="IVA Incluido",(AA163/1.19),AA163)</f>
        <v>26050.420168067227</v>
      </c>
      <c r="AE163" s="144">
        <f>IF(AC163="Si tiene IVA",AD163*19%,0)</f>
        <v>4949.5798319327732</v>
      </c>
      <c r="AF163" s="144">
        <f>AD163+AE163</f>
        <v>31000</v>
      </c>
      <c r="AG163" s="144">
        <f>IF(O163="","",(AA163*G163))</f>
        <v>31000</v>
      </c>
      <c r="AH163" s="144">
        <f>IF(O163="","",(AF163*G163))</f>
        <v>31000</v>
      </c>
      <c r="AI163" s="145"/>
      <c r="AJ163" s="146"/>
      <c r="AK163" s="147"/>
      <c r="AL163" s="148"/>
      <c r="AM163" s="149" t="s">
        <v>1250</v>
      </c>
      <c r="AN163" s="150">
        <v>27096</v>
      </c>
      <c r="AO163" s="150"/>
      <c r="AP163" s="151"/>
      <c r="AQ163" s="152">
        <f>AN163</f>
        <v>27096</v>
      </c>
      <c r="AR163" s="153">
        <f>AQ163*19%</f>
        <v>5148.24</v>
      </c>
      <c r="AS163" s="153">
        <f>AQ163+AR163</f>
        <v>32244.239999999998</v>
      </c>
      <c r="AT163" s="153">
        <f>AQ163</f>
        <v>27096</v>
      </c>
      <c r="AU163" s="153">
        <f>AS163</f>
        <v>32244.239999999998</v>
      </c>
      <c r="AV163" s="154">
        <f>IF(A163="","",AVERAGE(S163,AF163,AS163))</f>
        <v>34201.56</v>
      </c>
      <c r="AW163" s="154">
        <f>IF(A163="","",AVERAGE(U163,AH163,AU163))</f>
        <v>34201.56</v>
      </c>
      <c r="AX163" s="154">
        <f>IF(N163="","",STDEV(U163,AH163,AU163))</f>
        <v>4510.8275776402688</v>
      </c>
      <c r="AY163" s="155">
        <f>IF(N163="","",(AX163/AW163))</f>
        <v>0.13188952719233477</v>
      </c>
      <c r="AZ163" s="5"/>
      <c r="BA163" s="7">
        <f>COUNTA(M163,Z163,AM163)</f>
        <v>3</v>
      </c>
    </row>
    <row r="164" spans="1:53" ht="348" hidden="1" customHeight="1">
      <c r="A164" s="6" t="s">
        <v>569</v>
      </c>
      <c r="B164" s="6" t="s">
        <v>569</v>
      </c>
      <c r="C164" s="6" t="s">
        <v>569</v>
      </c>
      <c r="D164" s="6" t="s">
        <v>1742</v>
      </c>
      <c r="E164" s="127" t="s">
        <v>1743</v>
      </c>
      <c r="F164" s="128" t="s">
        <v>1247</v>
      </c>
      <c r="G164" s="129">
        <v>1</v>
      </c>
      <c r="H164" s="128"/>
      <c r="I164" s="130" t="s">
        <v>569</v>
      </c>
      <c r="J164" s="131" t="s">
        <v>569</v>
      </c>
      <c r="K164" s="132" t="s">
        <v>569</v>
      </c>
      <c r="L164" s="133" t="s">
        <v>569</v>
      </c>
      <c r="M164" s="131" t="s">
        <v>569</v>
      </c>
      <c r="N164" s="134"/>
      <c r="O164" s="134"/>
      <c r="P164" s="134"/>
      <c r="Q164" s="135" t="s">
        <v>1248</v>
      </c>
      <c r="R164" s="136" t="s">
        <v>1248</v>
      </c>
      <c r="S164" s="136" t="s">
        <v>1248</v>
      </c>
      <c r="T164" s="136" t="s">
        <v>1248</v>
      </c>
      <c r="U164" s="136" t="s">
        <v>1248</v>
      </c>
      <c r="V164" s="137" t="s">
        <v>569</v>
      </c>
      <c r="W164" s="138" t="s">
        <v>569</v>
      </c>
      <c r="X164" s="139" t="s">
        <v>569</v>
      </c>
      <c r="Y164" s="140" t="s">
        <v>569</v>
      </c>
      <c r="Z164" s="141" t="s">
        <v>1249</v>
      </c>
      <c r="AA164" s="142" t="s">
        <v>569</v>
      </c>
      <c r="AB164" s="142" t="s">
        <v>569</v>
      </c>
      <c r="AC164" s="142" t="s">
        <v>569</v>
      </c>
      <c r="AD164" s="143" t="s">
        <v>569</v>
      </c>
      <c r="AE164" s="144" t="s">
        <v>569</v>
      </c>
      <c r="AF164" s="144">
        <v>128550</v>
      </c>
      <c r="AG164" s="144">
        <v>5.5599999999999997E-2</v>
      </c>
      <c r="AH164" s="144">
        <v>135697</v>
      </c>
      <c r="AI164" s="145" t="s">
        <v>569</v>
      </c>
      <c r="AJ164" s="146" t="s">
        <v>569</v>
      </c>
      <c r="AK164" s="147" t="s">
        <v>569</v>
      </c>
      <c r="AL164" s="148" t="s">
        <v>569</v>
      </c>
      <c r="AM164" s="149" t="s">
        <v>1250</v>
      </c>
      <c r="AN164" s="150" t="s">
        <v>569</v>
      </c>
      <c r="AO164" s="150" t="s">
        <v>569</v>
      </c>
      <c r="AP164" s="151" t="s">
        <v>569</v>
      </c>
      <c r="AQ164" s="152">
        <v>112346</v>
      </c>
      <c r="AR164" s="153">
        <v>21346</v>
      </c>
      <c r="AS164" s="153">
        <v>133692</v>
      </c>
      <c r="AT164" s="153">
        <v>112346</v>
      </c>
      <c r="AU164" s="153">
        <v>133692</v>
      </c>
      <c r="AV164" s="154">
        <v>134695</v>
      </c>
      <c r="AW164" s="154">
        <v>134695</v>
      </c>
      <c r="AX164" s="154">
        <v>1418.02</v>
      </c>
      <c r="AY164" s="155">
        <v>1.0500000000000001E-2</v>
      </c>
      <c r="AZ164" s="5"/>
      <c r="BA164" s="7"/>
    </row>
    <row r="165" spans="1:53" ht="348" hidden="1" customHeight="1">
      <c r="A165" s="6" t="s">
        <v>569</v>
      </c>
      <c r="B165" s="6" t="s">
        <v>569</v>
      </c>
      <c r="C165" s="6" t="s">
        <v>569</v>
      </c>
      <c r="D165" s="6" t="s">
        <v>1744</v>
      </c>
      <c r="E165" s="127" t="s">
        <v>1745</v>
      </c>
      <c r="F165" s="128" t="s">
        <v>1247</v>
      </c>
      <c r="G165" s="129">
        <v>1</v>
      </c>
      <c r="H165" s="128"/>
      <c r="I165" s="130" t="s">
        <v>569</v>
      </c>
      <c r="J165" s="131" t="s">
        <v>569</v>
      </c>
      <c r="K165" s="132" t="s">
        <v>569</v>
      </c>
      <c r="L165" s="133" t="s">
        <v>569</v>
      </c>
      <c r="M165" s="131" t="s">
        <v>569</v>
      </c>
      <c r="N165" s="134"/>
      <c r="O165" s="134"/>
      <c r="P165" s="134"/>
      <c r="Q165" s="135" t="s">
        <v>1248</v>
      </c>
      <c r="R165" s="136" t="s">
        <v>1248</v>
      </c>
      <c r="S165" s="136" t="s">
        <v>1248</v>
      </c>
      <c r="T165" s="136" t="s">
        <v>1248</v>
      </c>
      <c r="U165" s="136" t="s">
        <v>1248</v>
      </c>
      <c r="V165" s="137" t="s">
        <v>569</v>
      </c>
      <c r="W165" s="138" t="s">
        <v>569</v>
      </c>
      <c r="X165" s="139" t="s">
        <v>569</v>
      </c>
      <c r="Y165" s="140" t="s">
        <v>569</v>
      </c>
      <c r="Z165" s="141" t="s">
        <v>1249</v>
      </c>
      <c r="AA165" s="142" t="s">
        <v>569</v>
      </c>
      <c r="AB165" s="142" t="s">
        <v>569</v>
      </c>
      <c r="AC165" s="142" t="s">
        <v>569</v>
      </c>
      <c r="AD165" s="143" t="s">
        <v>569</v>
      </c>
      <c r="AE165" s="144" t="s">
        <v>569</v>
      </c>
      <c r="AF165" s="144">
        <v>862241</v>
      </c>
      <c r="AG165" s="144">
        <v>5.5599999999999997E-2</v>
      </c>
      <c r="AH165" s="144">
        <v>910182</v>
      </c>
      <c r="AI165" s="145" t="s">
        <v>569</v>
      </c>
      <c r="AJ165" s="146" t="s">
        <v>569</v>
      </c>
      <c r="AK165" s="147" t="s">
        <v>569</v>
      </c>
      <c r="AL165" s="148" t="s">
        <v>569</v>
      </c>
      <c r="AM165" s="149" t="s">
        <v>1250</v>
      </c>
      <c r="AN165" s="150" t="s">
        <v>569</v>
      </c>
      <c r="AO165" s="150" t="s">
        <v>569</v>
      </c>
      <c r="AP165" s="151" t="s">
        <v>569</v>
      </c>
      <c r="AQ165" s="152">
        <v>753555</v>
      </c>
      <c r="AR165" s="153">
        <v>143175</v>
      </c>
      <c r="AS165" s="153">
        <v>896731</v>
      </c>
      <c r="AT165" s="153">
        <v>753555</v>
      </c>
      <c r="AU165" s="153">
        <v>896731</v>
      </c>
      <c r="AV165" s="154">
        <v>903456</v>
      </c>
      <c r="AW165" s="154">
        <v>903456</v>
      </c>
      <c r="AX165" s="154">
        <v>9511.26</v>
      </c>
      <c r="AY165" s="155">
        <v>1.0500000000000001E-2</v>
      </c>
      <c r="AZ165" s="5"/>
      <c r="BA165" s="7"/>
    </row>
    <row r="166" spans="1:53" ht="87" hidden="1" customHeight="1">
      <c r="A166" s="6" t="s">
        <v>1182</v>
      </c>
      <c r="B166" s="6" t="s">
        <v>1251</v>
      </c>
      <c r="C166" s="6">
        <v>14111530</v>
      </c>
      <c r="D166" s="6" t="s">
        <v>1746</v>
      </c>
      <c r="E166" s="127" t="s">
        <v>1747</v>
      </c>
      <c r="F166" s="128" t="s">
        <v>191</v>
      </c>
      <c r="G166" s="129">
        <v>1</v>
      </c>
      <c r="H166" s="128" t="s">
        <v>192</v>
      </c>
      <c r="I166" s="130" t="s">
        <v>1186</v>
      </c>
      <c r="J166" s="131">
        <v>46090</v>
      </c>
      <c r="K166" s="132" t="s">
        <v>1748</v>
      </c>
      <c r="L166" s="133" t="s">
        <v>1193</v>
      </c>
      <c r="M166" s="131" t="s">
        <v>1749</v>
      </c>
      <c r="N166" s="134">
        <v>3200</v>
      </c>
      <c r="O166" s="134" t="s">
        <v>1190</v>
      </c>
      <c r="P166" s="134" t="s">
        <v>1191</v>
      </c>
      <c r="Q166" s="135">
        <f>IF(O166="IVA Incluido",(N166/1.19),N166)</f>
        <v>2689.0756302521008</v>
      </c>
      <c r="R166" s="136">
        <f>IF(P166="Si tiene IVA",Q166*19%,0)</f>
        <v>510.92436974789916</v>
      </c>
      <c r="S166" s="136">
        <f>Q166+R166</f>
        <v>3200</v>
      </c>
      <c r="T166" s="136">
        <f>IF(B166="","",(N166*G166))</f>
        <v>3200</v>
      </c>
      <c r="U166" s="136">
        <f>IF(B166="","",(S166*G166))</f>
        <v>3200</v>
      </c>
      <c r="V166" s="137" t="s">
        <v>1186</v>
      </c>
      <c r="W166" s="138">
        <v>46090</v>
      </c>
      <c r="X166" s="139" t="s">
        <v>1258</v>
      </c>
      <c r="Y166" s="140" t="s">
        <v>1193</v>
      </c>
      <c r="Z166" s="141" t="s">
        <v>1750</v>
      </c>
      <c r="AA166" s="142">
        <v>3200</v>
      </c>
      <c r="AB166" s="142" t="s">
        <v>1190</v>
      </c>
      <c r="AC166" s="142" t="s">
        <v>1191</v>
      </c>
      <c r="AD166" s="143">
        <f>IF(AB166="IVA Incluido",(AA166/1.19),AA166)</f>
        <v>2689.0756302521008</v>
      </c>
      <c r="AE166" s="144">
        <f>IF(AC166="Si tiene IVA",AD166*19%,0)</f>
        <v>510.92436974789916</v>
      </c>
      <c r="AF166" s="144">
        <f>AD166+AE166</f>
        <v>3200</v>
      </c>
      <c r="AG166" s="144">
        <f>IF(O166="","",(AA166*G166))</f>
        <v>3200</v>
      </c>
      <c r="AH166" s="144">
        <f>IF(O166="","",(AF166*G166))</f>
        <v>3200</v>
      </c>
      <c r="AI166" s="145" t="s">
        <v>1186</v>
      </c>
      <c r="AJ166" s="146">
        <v>46090</v>
      </c>
      <c r="AK166" s="147" t="s">
        <v>1751</v>
      </c>
      <c r="AL166" s="148" t="s">
        <v>1193</v>
      </c>
      <c r="AM166" s="149" t="s">
        <v>1696</v>
      </c>
      <c r="AN166" s="150">
        <v>2500</v>
      </c>
      <c r="AO166" s="150" t="s">
        <v>1190</v>
      </c>
      <c r="AP166" s="151" t="s">
        <v>1191</v>
      </c>
      <c r="AQ166" s="152">
        <f>IF(AO166="IVA Incluido",(AN166/1.19),AN166)</f>
        <v>2100.840336134454</v>
      </c>
      <c r="AR166" s="153">
        <f>IF(AP166="Si tiene IVA",AQ166*19%,0)</f>
        <v>399.15966386554624</v>
      </c>
      <c r="AS166" s="153">
        <f>AQ166+AR166</f>
        <v>2500</v>
      </c>
      <c r="AT166" s="153">
        <f>IF(AB166="","",(AN166*G166))</f>
        <v>2500</v>
      </c>
      <c r="AU166" s="153">
        <f>IF(AB166="","",(AS166*G166))</f>
        <v>2500</v>
      </c>
      <c r="AV166" s="154">
        <f>IF(A166="","",AVERAGE(S166,AF166,AS166))</f>
        <v>2966.6666666666665</v>
      </c>
      <c r="AW166" s="154">
        <f>IF(A166="","",AVERAGE(U166,AH166,AU166))</f>
        <v>2966.6666666666665</v>
      </c>
      <c r="AX166" s="154">
        <f>IF(N166="","",STDEV(U166,AH166,AU166))</f>
        <v>404.14518843273879</v>
      </c>
      <c r="AY166" s="155">
        <f>IF(N166="","",(AX166/AW166))</f>
        <v>0.1362287152020468</v>
      </c>
      <c r="AZ166" s="5"/>
      <c r="BA166" s="7">
        <f>COUNTA(M166,Z166,AM166)</f>
        <v>3</v>
      </c>
    </row>
    <row r="167" spans="1:53" ht="101.65" hidden="1" customHeight="1">
      <c r="A167" s="6" t="s">
        <v>1182</v>
      </c>
      <c r="B167" s="6" t="s">
        <v>1251</v>
      </c>
      <c r="C167" s="6">
        <v>14111530</v>
      </c>
      <c r="D167" s="6" t="s">
        <v>1752</v>
      </c>
      <c r="E167" s="127" t="s">
        <v>1753</v>
      </c>
      <c r="F167" s="128" t="s">
        <v>191</v>
      </c>
      <c r="G167" s="129">
        <v>1</v>
      </c>
      <c r="H167" s="128" t="s">
        <v>192</v>
      </c>
      <c r="I167" s="130" t="s">
        <v>1186</v>
      </c>
      <c r="J167" s="131">
        <v>46090</v>
      </c>
      <c r="K167" s="132" t="s">
        <v>1754</v>
      </c>
      <c r="L167" s="133" t="s">
        <v>1193</v>
      </c>
      <c r="M167" s="131" t="s">
        <v>1755</v>
      </c>
      <c r="N167" s="134">
        <v>2126</v>
      </c>
      <c r="O167" s="134" t="s">
        <v>1190</v>
      </c>
      <c r="P167" s="134" t="s">
        <v>1191</v>
      </c>
      <c r="Q167" s="135">
        <f>IF(O167="IVA Incluido",(N167/1.19),N167)</f>
        <v>1786.5546218487395</v>
      </c>
      <c r="R167" s="136">
        <f>IF(P167="Si tiene IVA",Q167*19%,0)</f>
        <v>339.44537815126051</v>
      </c>
      <c r="S167" s="136">
        <f>Q167+R167</f>
        <v>2126</v>
      </c>
      <c r="T167" s="136">
        <f>IF(B167="","",(N167*G167))</f>
        <v>2126</v>
      </c>
      <c r="U167" s="136">
        <f>IF(B167="","",(S167*G167))</f>
        <v>2126</v>
      </c>
      <c r="V167" s="137" t="s">
        <v>1186</v>
      </c>
      <c r="W167" s="138">
        <v>46090</v>
      </c>
      <c r="X167" s="139" t="s">
        <v>1756</v>
      </c>
      <c r="Y167" s="140" t="s">
        <v>1193</v>
      </c>
      <c r="Z167" s="141" t="s">
        <v>1757</v>
      </c>
      <c r="AA167" s="142">
        <v>2500</v>
      </c>
      <c r="AB167" s="142" t="s">
        <v>1190</v>
      </c>
      <c r="AC167" s="142" t="s">
        <v>1191</v>
      </c>
      <c r="AD167" s="143">
        <f>IF(AB167="IVA Incluido",(AA167/1.19),AA167)</f>
        <v>2100.840336134454</v>
      </c>
      <c r="AE167" s="144">
        <f>IF(AC167="Si tiene IVA",AD167*19%,0)</f>
        <v>399.15966386554624</v>
      </c>
      <c r="AF167" s="144">
        <f>AD167+AE167</f>
        <v>2500</v>
      </c>
      <c r="AG167" s="144">
        <f>AD167</f>
        <v>2100.840336134454</v>
      </c>
      <c r="AH167" s="144">
        <f>IF(O167="","",(AF167*G167))</f>
        <v>2500</v>
      </c>
      <c r="AI167" s="145" t="s">
        <v>1186</v>
      </c>
      <c r="AJ167" s="146">
        <v>46090</v>
      </c>
      <c r="AK167" s="147" t="s">
        <v>1758</v>
      </c>
      <c r="AL167" s="148" t="s">
        <v>1188</v>
      </c>
      <c r="AM167" s="149" t="s">
        <v>1759</v>
      </c>
      <c r="AN167" s="150">
        <v>1785</v>
      </c>
      <c r="AO167" s="150" t="s">
        <v>1190</v>
      </c>
      <c r="AP167" s="151" t="s">
        <v>1191</v>
      </c>
      <c r="AQ167" s="152">
        <f>IF(AO167="IVA Incluido",(AN167/1.19),AN167)</f>
        <v>1500</v>
      </c>
      <c r="AR167" s="153">
        <f>IF(AP167="Si tiene IVA",AQ167*19%,0)</f>
        <v>285</v>
      </c>
      <c r="AS167" s="153">
        <f>AQ167+AR167</f>
        <v>1785</v>
      </c>
      <c r="AT167" s="153">
        <f>IF(AB167="","",(AN167*G167))</f>
        <v>1785</v>
      </c>
      <c r="AU167" s="153">
        <f>IF(AB167="","",(AS167*G167))</f>
        <v>1785</v>
      </c>
      <c r="AV167" s="154">
        <f>IF(A167="","",AVERAGE(S167,AF167,AS167))</f>
        <v>2137</v>
      </c>
      <c r="AW167" s="154">
        <f>IF(A167="","",AVERAGE(U167,AH167,AU167))</f>
        <v>2137</v>
      </c>
      <c r="AX167" s="154">
        <f>IF(N167="","",STDEV(U167,AH167,AU167))</f>
        <v>357.62690055419489</v>
      </c>
      <c r="AY167" s="155">
        <f>IF(N167="","",(AX167/AW167))</f>
        <v>0.16734997686204722</v>
      </c>
      <c r="AZ167" s="5"/>
      <c r="BA167" s="7">
        <f>COUNTA(M167,Z167,AM167)</f>
        <v>3</v>
      </c>
    </row>
    <row r="168" spans="1:53" ht="72.599999999999994" hidden="1" customHeight="1">
      <c r="A168" s="6" t="s">
        <v>1182</v>
      </c>
      <c r="B168" s="6" t="s">
        <v>1251</v>
      </c>
      <c r="C168" s="6">
        <v>14111519</v>
      </c>
      <c r="D168" s="6" t="s">
        <v>1760</v>
      </c>
      <c r="E168" s="127" t="s">
        <v>1761</v>
      </c>
      <c r="F168" s="128" t="s">
        <v>191</v>
      </c>
      <c r="G168" s="129">
        <v>1</v>
      </c>
      <c r="H168" s="128" t="s">
        <v>192</v>
      </c>
      <c r="I168" s="130" t="s">
        <v>1199</v>
      </c>
      <c r="J168" s="131">
        <v>46090</v>
      </c>
      <c r="K168" s="132" t="s">
        <v>1579</v>
      </c>
      <c r="L168" s="133" t="s">
        <v>1188</v>
      </c>
      <c r="M168" s="131" t="s">
        <v>1580</v>
      </c>
      <c r="N168" s="134">
        <v>6500</v>
      </c>
      <c r="O168" s="134" t="s">
        <v>1190</v>
      </c>
      <c r="P168" s="134" t="s">
        <v>1191</v>
      </c>
      <c r="Q168" s="135">
        <f>IF(O168="IVA Incluido",(N168/1.19),N168)</f>
        <v>5462.1848739495799</v>
      </c>
      <c r="R168" s="136">
        <f>IF(P168="Si tiene IVA",Q168*19%,0)</f>
        <v>1037.8151260504203</v>
      </c>
      <c r="S168" s="136">
        <f>Q168+R168</f>
        <v>6500</v>
      </c>
      <c r="T168" s="136">
        <f>IF(B168="","",(N168*G168))</f>
        <v>6500</v>
      </c>
      <c r="U168" s="136">
        <f>IF(B168="","",(S168*G168))</f>
        <v>6500</v>
      </c>
      <c r="V168" s="137" t="s">
        <v>1199</v>
      </c>
      <c r="W168" s="138">
        <v>46090</v>
      </c>
      <c r="X168" s="139" t="s">
        <v>1713</v>
      </c>
      <c r="Y168" s="140" t="s">
        <v>1188</v>
      </c>
      <c r="Z168" s="141" t="s">
        <v>1714</v>
      </c>
      <c r="AA168" s="142">
        <v>5800</v>
      </c>
      <c r="AB168" s="142" t="s">
        <v>1190</v>
      </c>
      <c r="AC168" s="142" t="s">
        <v>1191</v>
      </c>
      <c r="AD168" s="143">
        <f>IF(AB168="IVA Incluido",(AA168/1.19),AA168)</f>
        <v>4873.9495798319331</v>
      </c>
      <c r="AE168" s="144">
        <f>IF(AC168="Si tiene IVA",AD168*19%,0)</f>
        <v>926.05042016806726</v>
      </c>
      <c r="AF168" s="144">
        <f>AD168+AE168</f>
        <v>5800</v>
      </c>
      <c r="AG168" s="144">
        <f>AD168</f>
        <v>4873.9495798319331</v>
      </c>
      <c r="AH168" s="144">
        <f>IF(O168="","",(AF168*G168))</f>
        <v>5800</v>
      </c>
      <c r="AI168" s="145" t="s">
        <v>1199</v>
      </c>
      <c r="AJ168" s="146">
        <v>46090</v>
      </c>
      <c r="AK168" s="147" t="s">
        <v>1256</v>
      </c>
      <c r="AL168" s="148" t="s">
        <v>1193</v>
      </c>
      <c r="AM168" s="149" t="s">
        <v>1257</v>
      </c>
      <c r="AN168" s="150">
        <v>6050</v>
      </c>
      <c r="AO168" s="150" t="s">
        <v>1197</v>
      </c>
      <c r="AP168" s="151" t="s">
        <v>1191</v>
      </c>
      <c r="AQ168" s="152">
        <f>IF(AO168="IVA Incluido",(AN168/1.19),AN168)</f>
        <v>6050</v>
      </c>
      <c r="AR168" s="153">
        <f>IF(AP168="Si tiene IVA",AQ168*19%,0)</f>
        <v>1149.5</v>
      </c>
      <c r="AS168" s="153">
        <f>AQ168+AR168</f>
        <v>7199.5</v>
      </c>
      <c r="AT168" s="153">
        <f>IF(AB168="","",(AN168*G168))</f>
        <v>6050</v>
      </c>
      <c r="AU168" s="153">
        <f>IF(AB168="","",(AS168*G168))</f>
        <v>7199.5</v>
      </c>
      <c r="AV168" s="154">
        <f>IF(A168="","",AVERAGE(S168,AF168,AS168))</f>
        <v>6499.833333333333</v>
      </c>
      <c r="AW168" s="154">
        <f>IF(A168="","",AVERAGE(U168,AH168,AU168))</f>
        <v>6499.833333333333</v>
      </c>
      <c r="AX168" s="154">
        <f>IF(N168="","",STDEV(U168,AH168,AU168))</f>
        <v>699.75001488626879</v>
      </c>
      <c r="AY168" s="155">
        <f>IF(N168="","",(AX168/AW168))</f>
        <v>0.10765660886990981</v>
      </c>
      <c r="AZ168" s="5"/>
      <c r="BA168" s="7">
        <f>COUNTA(M168,Z168,AM168)</f>
        <v>3</v>
      </c>
    </row>
    <row r="169" spans="1:53" ht="348" hidden="1" customHeight="1">
      <c r="A169" s="6" t="s">
        <v>569</v>
      </c>
      <c r="B169" s="6" t="s">
        <v>569</v>
      </c>
      <c r="C169" s="6" t="s">
        <v>569</v>
      </c>
      <c r="D169" s="6" t="s">
        <v>1762</v>
      </c>
      <c r="E169" s="127" t="s">
        <v>1763</v>
      </c>
      <c r="F169" s="128" t="s">
        <v>1247</v>
      </c>
      <c r="G169" s="129">
        <v>1</v>
      </c>
      <c r="H169" s="128"/>
      <c r="I169" s="130" t="s">
        <v>569</v>
      </c>
      <c r="J169" s="131" t="s">
        <v>569</v>
      </c>
      <c r="K169" s="132" t="s">
        <v>569</v>
      </c>
      <c r="L169" s="133" t="s">
        <v>569</v>
      </c>
      <c r="M169" s="131" t="s">
        <v>569</v>
      </c>
      <c r="N169" s="134"/>
      <c r="O169" s="134"/>
      <c r="P169" s="134"/>
      <c r="Q169" s="135" t="s">
        <v>1248</v>
      </c>
      <c r="R169" s="136" t="s">
        <v>1248</v>
      </c>
      <c r="S169" s="136" t="s">
        <v>1248</v>
      </c>
      <c r="T169" s="136" t="s">
        <v>1248</v>
      </c>
      <c r="U169" s="136" t="s">
        <v>1248</v>
      </c>
      <c r="V169" s="137" t="s">
        <v>569</v>
      </c>
      <c r="W169" s="138" t="s">
        <v>569</v>
      </c>
      <c r="X169" s="139" t="s">
        <v>569</v>
      </c>
      <c r="Y169" s="140" t="s">
        <v>569</v>
      </c>
      <c r="Z169" s="141" t="s">
        <v>1249</v>
      </c>
      <c r="AA169" s="142" t="s">
        <v>569</v>
      </c>
      <c r="AB169" s="142" t="s">
        <v>569</v>
      </c>
      <c r="AC169" s="142" t="s">
        <v>569</v>
      </c>
      <c r="AD169" s="143" t="s">
        <v>569</v>
      </c>
      <c r="AE169" s="144" t="s">
        <v>569</v>
      </c>
      <c r="AF169" s="144">
        <v>150217</v>
      </c>
      <c r="AG169" s="144">
        <v>5.5599999999999997E-2</v>
      </c>
      <c r="AH169" s="144">
        <v>158569</v>
      </c>
      <c r="AI169" s="145" t="s">
        <v>569</v>
      </c>
      <c r="AJ169" s="146" t="s">
        <v>569</v>
      </c>
      <c r="AK169" s="147" t="s">
        <v>569</v>
      </c>
      <c r="AL169" s="148" t="s">
        <v>569</v>
      </c>
      <c r="AM169" s="149" t="s">
        <v>1250</v>
      </c>
      <c r="AN169" s="150" t="s">
        <v>569</v>
      </c>
      <c r="AO169" s="150" t="s">
        <v>569</v>
      </c>
      <c r="AP169" s="151" t="s">
        <v>569</v>
      </c>
      <c r="AQ169" s="152">
        <v>129389</v>
      </c>
      <c r="AR169" s="153">
        <v>24584</v>
      </c>
      <c r="AS169" s="153">
        <v>153972</v>
      </c>
      <c r="AT169" s="153">
        <v>129389</v>
      </c>
      <c r="AU169" s="153">
        <v>153972</v>
      </c>
      <c r="AV169" s="154">
        <v>156271</v>
      </c>
      <c r="AW169" s="154">
        <v>156271</v>
      </c>
      <c r="AX169" s="154">
        <v>3250.32</v>
      </c>
      <c r="AY169" s="155">
        <v>2.0799999999999999E-2</v>
      </c>
      <c r="AZ169" s="5"/>
      <c r="BA169" s="7"/>
    </row>
    <row r="170" spans="1:53" ht="72.599999999999994" hidden="1" customHeight="1">
      <c r="A170" s="6" t="s">
        <v>1182</v>
      </c>
      <c r="B170" s="6" t="s">
        <v>1251</v>
      </c>
      <c r="C170" s="6"/>
      <c r="D170" s="6" t="s">
        <v>1764</v>
      </c>
      <c r="E170" s="127" t="s">
        <v>1765</v>
      </c>
      <c r="F170" s="128" t="s">
        <v>191</v>
      </c>
      <c r="G170" s="129">
        <v>1</v>
      </c>
      <c r="H170" s="128" t="s">
        <v>192</v>
      </c>
      <c r="I170" s="130" t="s">
        <v>1186</v>
      </c>
      <c r="J170" s="131">
        <v>46090</v>
      </c>
      <c r="K170" s="132" t="s">
        <v>1579</v>
      </c>
      <c r="L170" s="133" t="s">
        <v>1193</v>
      </c>
      <c r="M170" s="131" t="s">
        <v>1580</v>
      </c>
      <c r="N170" s="134">
        <v>12500</v>
      </c>
      <c r="O170" s="134" t="s">
        <v>1197</v>
      </c>
      <c r="P170" s="134" t="s">
        <v>1191</v>
      </c>
      <c r="Q170" s="135">
        <f t="shared" ref="Q170:Q185" si="103">IF(O170="IVA Incluido",(N170/1.19),N170)</f>
        <v>12500</v>
      </c>
      <c r="R170" s="136">
        <f t="shared" ref="R170:R185" si="104">IF(P170="Si tiene IVA",Q170*19%,0)</f>
        <v>2375</v>
      </c>
      <c r="S170" s="136">
        <f t="shared" ref="S170:S185" si="105">Q170+R170</f>
        <v>14875</v>
      </c>
      <c r="T170" s="136">
        <f>IF(B170="","",(N170*G170))</f>
        <v>12500</v>
      </c>
      <c r="U170" s="136">
        <f t="shared" ref="U170:U185" si="106">IF(B170="","",(S170*G170))</f>
        <v>14875</v>
      </c>
      <c r="V170" s="137" t="s">
        <v>1186</v>
      </c>
      <c r="W170" s="138">
        <v>46090</v>
      </c>
      <c r="X170" s="139" t="s">
        <v>1766</v>
      </c>
      <c r="Y170" s="140" t="s">
        <v>1193</v>
      </c>
      <c r="Z170" s="141" t="s">
        <v>1767</v>
      </c>
      <c r="AA170" s="142">
        <v>12600</v>
      </c>
      <c r="AB170" s="142" t="s">
        <v>1190</v>
      </c>
      <c r="AC170" s="142" t="s">
        <v>1191</v>
      </c>
      <c r="AD170" s="143">
        <f t="shared" ref="AD170:AD185" si="107">IF(AB170="IVA Incluido",(AA170/1.19),AA170)</f>
        <v>10588.235294117647</v>
      </c>
      <c r="AE170" s="144">
        <f t="shared" ref="AE170:AE185" si="108">IF(AC170="Si tiene IVA",AD170*19%,0)</f>
        <v>2011.7647058823529</v>
      </c>
      <c r="AF170" s="144">
        <f t="shared" ref="AF170:AF185" si="109">AD170+AE170</f>
        <v>12600</v>
      </c>
      <c r="AG170" s="144">
        <f>IF(O170="","",(AA170*G170))</f>
        <v>12600</v>
      </c>
      <c r="AH170" s="144">
        <f t="shared" ref="AH170:AH185" si="110">IF(O170="","",(AF170*G170))</f>
        <v>12600</v>
      </c>
      <c r="AI170" s="145" t="s">
        <v>1186</v>
      </c>
      <c r="AJ170" s="146">
        <v>46090</v>
      </c>
      <c r="AK170" s="147" t="s">
        <v>1768</v>
      </c>
      <c r="AL170" s="148" t="s">
        <v>1193</v>
      </c>
      <c r="AM170" s="149" t="s">
        <v>1769</v>
      </c>
      <c r="AN170" s="150">
        <v>12000</v>
      </c>
      <c r="AO170" s="150" t="s">
        <v>1190</v>
      </c>
      <c r="AP170" s="151" t="s">
        <v>1191</v>
      </c>
      <c r="AQ170" s="152">
        <f t="shared" ref="AQ170:AQ185" si="111">IF(AO170="IVA Incluido",(AN170/1.19),AN170)</f>
        <v>10084.033613445379</v>
      </c>
      <c r="AR170" s="153">
        <f t="shared" ref="AR170:AR185" si="112">IF(AP170="Si tiene IVA",AQ170*19%,0)</f>
        <v>1915.966386554622</v>
      </c>
      <c r="AS170" s="153">
        <f t="shared" ref="AS170:AS185" si="113">AQ170+AR170</f>
        <v>12000.000000000002</v>
      </c>
      <c r="AT170" s="153">
        <f>IF(AB170="","",(AN170*G170))</f>
        <v>12000</v>
      </c>
      <c r="AU170" s="153">
        <f t="shared" ref="AU170:AU185" si="114">IF(AB170="","",(AS170*G170))</f>
        <v>12000.000000000002</v>
      </c>
      <c r="AV170" s="154">
        <f t="shared" ref="AV170:AV185" si="115">IF(A170="","",AVERAGE(S170,AF170,AS170))</f>
        <v>13158.333333333334</v>
      </c>
      <c r="AW170" s="154">
        <f t="shared" ref="AW170:AW185" si="116">IF(A170="","",AVERAGE(U170,AH170,AU170))</f>
        <v>13158.333333333334</v>
      </c>
      <c r="AX170" s="154">
        <f t="shared" ref="AX170:AX185" si="117">IF(N170="","",STDEV(U170,AH170,AU170))</f>
        <v>1516.6437727209811</v>
      </c>
      <c r="AY170" s="155">
        <f t="shared" ref="AY170:AY185" si="118">IF(N170="","",(AX170/AW170))</f>
        <v>0.11526108469063821</v>
      </c>
      <c r="AZ170" s="5"/>
      <c r="BA170" s="7">
        <f t="shared" ref="BA170:BA185" si="119">COUNTA(M170,Z170,AM170)</f>
        <v>3</v>
      </c>
    </row>
    <row r="171" spans="1:53" ht="72.599999999999994" hidden="1" customHeight="1">
      <c r="A171" s="6" t="s">
        <v>1182</v>
      </c>
      <c r="B171" s="6" t="s">
        <v>1251</v>
      </c>
      <c r="C171" s="6"/>
      <c r="D171" s="6" t="s">
        <v>1770</v>
      </c>
      <c r="E171" s="127" t="s">
        <v>1771</v>
      </c>
      <c r="F171" s="128" t="s">
        <v>191</v>
      </c>
      <c r="G171" s="129">
        <v>1</v>
      </c>
      <c r="H171" s="128" t="s">
        <v>192</v>
      </c>
      <c r="I171" s="130" t="s">
        <v>1186</v>
      </c>
      <c r="J171" s="131">
        <v>46090</v>
      </c>
      <c r="K171" s="132" t="s">
        <v>1579</v>
      </c>
      <c r="L171" s="133" t="s">
        <v>1193</v>
      </c>
      <c r="M171" s="131" t="s">
        <v>1580</v>
      </c>
      <c r="N171" s="134">
        <v>1000</v>
      </c>
      <c r="O171" s="134" t="s">
        <v>1197</v>
      </c>
      <c r="P171" s="134" t="s">
        <v>1191</v>
      </c>
      <c r="Q171" s="135">
        <f t="shared" si="103"/>
        <v>1000</v>
      </c>
      <c r="R171" s="136">
        <f t="shared" si="104"/>
        <v>190</v>
      </c>
      <c r="S171" s="136">
        <f t="shared" si="105"/>
        <v>1190</v>
      </c>
      <c r="T171" s="136">
        <f>IF(B171="","",(N171*G171))</f>
        <v>1000</v>
      </c>
      <c r="U171" s="136">
        <f t="shared" si="106"/>
        <v>1190</v>
      </c>
      <c r="V171" s="137" t="s">
        <v>1186</v>
      </c>
      <c r="W171" s="138">
        <v>46090</v>
      </c>
      <c r="X171" s="139" t="s">
        <v>1772</v>
      </c>
      <c r="Y171" s="140" t="s">
        <v>1193</v>
      </c>
      <c r="Z171" s="141" t="s">
        <v>1773</v>
      </c>
      <c r="AA171" s="142">
        <v>1671</v>
      </c>
      <c r="AB171" s="142" t="s">
        <v>1190</v>
      </c>
      <c r="AC171" s="142" t="s">
        <v>1191</v>
      </c>
      <c r="AD171" s="143">
        <f t="shared" si="107"/>
        <v>1404.201680672269</v>
      </c>
      <c r="AE171" s="144">
        <f t="shared" si="108"/>
        <v>266.79831932773112</v>
      </c>
      <c r="AF171" s="144">
        <f t="shared" si="109"/>
        <v>1671.0000000000002</v>
      </c>
      <c r="AG171" s="144">
        <f>IF(O171="","",(AA171*G171))</f>
        <v>1671</v>
      </c>
      <c r="AH171" s="144">
        <f t="shared" si="110"/>
        <v>1671.0000000000002</v>
      </c>
      <c r="AI171" s="145" t="s">
        <v>1186</v>
      </c>
      <c r="AJ171" s="146">
        <v>46090</v>
      </c>
      <c r="AK171" s="147" t="s">
        <v>1774</v>
      </c>
      <c r="AL171" s="148" t="s">
        <v>1193</v>
      </c>
      <c r="AM171" s="149" t="s">
        <v>1749</v>
      </c>
      <c r="AN171" s="150">
        <v>1400</v>
      </c>
      <c r="AO171" s="150" t="s">
        <v>1190</v>
      </c>
      <c r="AP171" s="151" t="s">
        <v>1191</v>
      </c>
      <c r="AQ171" s="152">
        <f t="shared" si="111"/>
        <v>1176.4705882352941</v>
      </c>
      <c r="AR171" s="153">
        <f t="shared" si="112"/>
        <v>223.52941176470588</v>
      </c>
      <c r="AS171" s="153">
        <f t="shared" si="113"/>
        <v>1400</v>
      </c>
      <c r="AT171" s="153">
        <f>IF(AB171="","",(AN171*G171))</f>
        <v>1400</v>
      </c>
      <c r="AU171" s="153">
        <f t="shared" si="114"/>
        <v>1400</v>
      </c>
      <c r="AV171" s="154">
        <f t="shared" si="115"/>
        <v>1420.3333333333333</v>
      </c>
      <c r="AW171" s="154">
        <f t="shared" si="116"/>
        <v>1420.3333333333333</v>
      </c>
      <c r="AX171" s="154">
        <f t="shared" si="117"/>
        <v>241.14380218727155</v>
      </c>
      <c r="AY171" s="155">
        <f t="shared" si="118"/>
        <v>0.16977972460967253</v>
      </c>
      <c r="AZ171" s="5"/>
      <c r="BA171" s="7">
        <f t="shared" si="119"/>
        <v>3</v>
      </c>
    </row>
    <row r="172" spans="1:53" ht="72.599999999999994" hidden="1" customHeight="1">
      <c r="A172" s="6" t="s">
        <v>1182</v>
      </c>
      <c r="B172" s="6" t="s">
        <v>1251</v>
      </c>
      <c r="C172" s="6"/>
      <c r="D172" s="6" t="s">
        <v>1775</v>
      </c>
      <c r="E172" s="127" t="s">
        <v>1776</v>
      </c>
      <c r="F172" s="128" t="s">
        <v>191</v>
      </c>
      <c r="G172" s="129">
        <v>1</v>
      </c>
      <c r="H172" s="128" t="s">
        <v>192</v>
      </c>
      <c r="I172" s="130" t="s">
        <v>1186</v>
      </c>
      <c r="J172" s="131">
        <v>46090</v>
      </c>
      <c r="K172" s="132" t="s">
        <v>1579</v>
      </c>
      <c r="L172" s="133" t="s">
        <v>1193</v>
      </c>
      <c r="M172" s="131" t="s">
        <v>1580</v>
      </c>
      <c r="N172" s="134">
        <v>3600</v>
      </c>
      <c r="O172" s="134" t="s">
        <v>1197</v>
      </c>
      <c r="P172" s="134" t="s">
        <v>1191</v>
      </c>
      <c r="Q172" s="135">
        <f t="shared" si="103"/>
        <v>3600</v>
      </c>
      <c r="R172" s="136">
        <f t="shared" si="104"/>
        <v>684</v>
      </c>
      <c r="S172" s="136">
        <f t="shared" si="105"/>
        <v>4284</v>
      </c>
      <c r="T172" s="136">
        <f>IF(B172="","",(N172*G172))</f>
        <v>3600</v>
      </c>
      <c r="U172" s="136">
        <f t="shared" si="106"/>
        <v>4284</v>
      </c>
      <c r="V172" s="137" t="s">
        <v>1186</v>
      </c>
      <c r="W172" s="138">
        <v>46090</v>
      </c>
      <c r="X172" s="139" t="s">
        <v>1777</v>
      </c>
      <c r="Y172" s="140" t="s">
        <v>1193</v>
      </c>
      <c r="Z172" s="141" t="s">
        <v>1778</v>
      </c>
      <c r="AA172" s="142">
        <v>3000</v>
      </c>
      <c r="AB172" s="142" t="s">
        <v>1190</v>
      </c>
      <c r="AC172" s="142" t="s">
        <v>1191</v>
      </c>
      <c r="AD172" s="143">
        <f t="shared" si="107"/>
        <v>2521.0084033613448</v>
      </c>
      <c r="AE172" s="144">
        <f t="shared" si="108"/>
        <v>478.99159663865549</v>
      </c>
      <c r="AF172" s="144">
        <f t="shared" si="109"/>
        <v>3000.0000000000005</v>
      </c>
      <c r="AG172" s="144">
        <f>IF(O172="","",(AA172*G172))</f>
        <v>3000</v>
      </c>
      <c r="AH172" s="144">
        <f t="shared" si="110"/>
        <v>3000.0000000000005</v>
      </c>
      <c r="AI172" s="145" t="s">
        <v>1186</v>
      </c>
      <c r="AJ172" s="146">
        <v>46090</v>
      </c>
      <c r="AK172" s="147" t="s">
        <v>1258</v>
      </c>
      <c r="AL172" s="148" t="s">
        <v>1193</v>
      </c>
      <c r="AM172" s="149" t="s">
        <v>1779</v>
      </c>
      <c r="AN172" s="150">
        <v>3500</v>
      </c>
      <c r="AO172" s="150" t="s">
        <v>1190</v>
      </c>
      <c r="AP172" s="151" t="s">
        <v>1191</v>
      </c>
      <c r="AQ172" s="152">
        <f t="shared" si="111"/>
        <v>2941.1764705882356</v>
      </c>
      <c r="AR172" s="153">
        <f t="shared" si="112"/>
        <v>558.82352941176475</v>
      </c>
      <c r="AS172" s="153">
        <f t="shared" si="113"/>
        <v>3500.0000000000005</v>
      </c>
      <c r="AT172" s="153">
        <f>IF(AB172="","",(AN172*G172))</f>
        <v>3500</v>
      </c>
      <c r="AU172" s="153">
        <f t="shared" si="114"/>
        <v>3500.0000000000005</v>
      </c>
      <c r="AV172" s="154">
        <f t="shared" si="115"/>
        <v>3594.6666666666665</v>
      </c>
      <c r="AW172" s="154">
        <f t="shared" si="116"/>
        <v>3594.6666666666665</v>
      </c>
      <c r="AX172" s="154">
        <f t="shared" si="117"/>
        <v>647.21351448600956</v>
      </c>
      <c r="AY172" s="155">
        <f t="shared" si="118"/>
        <v>0.18004826997941661</v>
      </c>
      <c r="AZ172" s="5"/>
      <c r="BA172" s="7">
        <f t="shared" si="119"/>
        <v>3</v>
      </c>
    </row>
    <row r="173" spans="1:53" ht="72.599999999999994" hidden="1" customHeight="1">
      <c r="A173" s="6" t="s">
        <v>1182</v>
      </c>
      <c r="B173" s="6" t="s">
        <v>1251</v>
      </c>
      <c r="C173" s="6"/>
      <c r="D173" s="6" t="s">
        <v>1780</v>
      </c>
      <c r="E173" s="127" t="s">
        <v>1781</v>
      </c>
      <c r="F173" s="128" t="s">
        <v>191</v>
      </c>
      <c r="G173" s="129">
        <v>1</v>
      </c>
      <c r="H173" s="128" t="s">
        <v>192</v>
      </c>
      <c r="I173" s="130" t="s">
        <v>1186</v>
      </c>
      <c r="J173" s="131">
        <v>46090</v>
      </c>
      <c r="K173" s="132" t="s">
        <v>1579</v>
      </c>
      <c r="L173" s="133" t="s">
        <v>1193</v>
      </c>
      <c r="M173" s="131" t="s">
        <v>1580</v>
      </c>
      <c r="N173" s="134">
        <v>3699</v>
      </c>
      <c r="O173" s="134" t="s">
        <v>1197</v>
      </c>
      <c r="P173" s="134" t="s">
        <v>1191</v>
      </c>
      <c r="Q173" s="135">
        <f t="shared" si="103"/>
        <v>3699</v>
      </c>
      <c r="R173" s="136">
        <f t="shared" si="104"/>
        <v>702.81000000000006</v>
      </c>
      <c r="S173" s="136">
        <f t="shared" si="105"/>
        <v>4401.8100000000004</v>
      </c>
      <c r="T173" s="136">
        <f>IF(B173="","",(N173*G173))</f>
        <v>3699</v>
      </c>
      <c r="U173" s="136">
        <f t="shared" si="106"/>
        <v>4401.8100000000004</v>
      </c>
      <c r="V173" s="137" t="s">
        <v>1186</v>
      </c>
      <c r="W173" s="138">
        <v>46090</v>
      </c>
      <c r="X173" s="139" t="s">
        <v>1713</v>
      </c>
      <c r="Y173" s="140" t="s">
        <v>1193</v>
      </c>
      <c r="Z173" s="141" t="s">
        <v>1714</v>
      </c>
      <c r="AA173" s="142">
        <v>3900</v>
      </c>
      <c r="AB173" s="142" t="s">
        <v>1190</v>
      </c>
      <c r="AC173" s="142" t="s">
        <v>1191</v>
      </c>
      <c r="AD173" s="143">
        <f t="shared" si="107"/>
        <v>3277.3109243697481</v>
      </c>
      <c r="AE173" s="144">
        <f t="shared" si="108"/>
        <v>622.6890756302522</v>
      </c>
      <c r="AF173" s="144">
        <f t="shared" si="109"/>
        <v>3900.0000000000005</v>
      </c>
      <c r="AG173" s="144">
        <f>IF(O173="","",(AA173*G173))</f>
        <v>3900</v>
      </c>
      <c r="AH173" s="144">
        <f t="shared" si="110"/>
        <v>3900.0000000000005</v>
      </c>
      <c r="AI173" s="145" t="s">
        <v>1186</v>
      </c>
      <c r="AJ173" s="146">
        <v>46090</v>
      </c>
      <c r="AK173" s="147" t="s">
        <v>1258</v>
      </c>
      <c r="AL173" s="148" t="s">
        <v>1193</v>
      </c>
      <c r="AM173" s="149" t="s">
        <v>1779</v>
      </c>
      <c r="AN173" s="150">
        <v>4500</v>
      </c>
      <c r="AO173" s="150" t="s">
        <v>1190</v>
      </c>
      <c r="AP173" s="151" t="s">
        <v>1191</v>
      </c>
      <c r="AQ173" s="152">
        <f t="shared" si="111"/>
        <v>3781.5126050420172</v>
      </c>
      <c r="AR173" s="153">
        <f t="shared" si="112"/>
        <v>718.48739495798327</v>
      </c>
      <c r="AS173" s="153">
        <f t="shared" si="113"/>
        <v>4500</v>
      </c>
      <c r="AT173" s="153">
        <f>IF(AB173="","",(AN173*G173))</f>
        <v>4500</v>
      </c>
      <c r="AU173" s="153">
        <f t="shared" si="114"/>
        <v>4500</v>
      </c>
      <c r="AV173" s="154">
        <f t="shared" si="115"/>
        <v>4267.2700000000004</v>
      </c>
      <c r="AW173" s="154">
        <f t="shared" si="116"/>
        <v>4267.2700000000004</v>
      </c>
      <c r="AX173" s="154">
        <f t="shared" si="117"/>
        <v>321.83187955825616</v>
      </c>
      <c r="AY173" s="155">
        <f t="shared" si="118"/>
        <v>7.541868209845079E-2</v>
      </c>
      <c r="AZ173" s="5"/>
      <c r="BA173" s="7">
        <f t="shared" si="119"/>
        <v>3</v>
      </c>
    </row>
    <row r="174" spans="1:53" ht="101.65" hidden="1" customHeight="1">
      <c r="A174" s="6" t="s">
        <v>1182</v>
      </c>
      <c r="B174" s="6" t="s">
        <v>1251</v>
      </c>
      <c r="C174" s="6"/>
      <c r="D174" s="6" t="s">
        <v>1782</v>
      </c>
      <c r="E174" s="127" t="s">
        <v>1783</v>
      </c>
      <c r="F174" s="128" t="s">
        <v>191</v>
      </c>
      <c r="G174" s="129">
        <v>1</v>
      </c>
      <c r="H174" s="128" t="s">
        <v>192</v>
      </c>
      <c r="I174" s="130" t="s">
        <v>1186</v>
      </c>
      <c r="J174" s="131">
        <v>46090</v>
      </c>
      <c r="K174" s="132" t="s">
        <v>1784</v>
      </c>
      <c r="L174" s="133" t="s">
        <v>1193</v>
      </c>
      <c r="M174" s="131" t="s">
        <v>1785</v>
      </c>
      <c r="N174" s="134">
        <v>40000</v>
      </c>
      <c r="O174" s="134" t="s">
        <v>1190</v>
      </c>
      <c r="P174" s="134" t="s">
        <v>1191</v>
      </c>
      <c r="Q174" s="135">
        <f t="shared" si="103"/>
        <v>33613.445378151264</v>
      </c>
      <c r="R174" s="136">
        <f t="shared" si="104"/>
        <v>6386.5546218487398</v>
      </c>
      <c r="S174" s="136">
        <f t="shared" si="105"/>
        <v>40000</v>
      </c>
      <c r="T174" s="136">
        <f>IF(R174="IVA Incluido",(Q174/1.19),Q174)</f>
        <v>33613.445378151264</v>
      </c>
      <c r="U174" s="136">
        <f t="shared" si="106"/>
        <v>40000</v>
      </c>
      <c r="V174" s="137" t="s">
        <v>1186</v>
      </c>
      <c r="W174" s="138">
        <v>46090</v>
      </c>
      <c r="X174" s="139" t="s">
        <v>1786</v>
      </c>
      <c r="Y174" s="140" t="s">
        <v>1193</v>
      </c>
      <c r="Z174" s="141" t="s">
        <v>1787</v>
      </c>
      <c r="AA174" s="142">
        <v>32000</v>
      </c>
      <c r="AB174" s="142" t="s">
        <v>1190</v>
      </c>
      <c r="AC174" s="142" t="s">
        <v>1191</v>
      </c>
      <c r="AD174" s="143">
        <f t="shared" si="107"/>
        <v>26890.756302521011</v>
      </c>
      <c r="AE174" s="144">
        <f t="shared" si="108"/>
        <v>5109.2436974789925</v>
      </c>
      <c r="AF174" s="144">
        <f t="shared" si="109"/>
        <v>32000.000000000004</v>
      </c>
      <c r="AG174" s="144">
        <f>IF(R174="IVA Incluido",(Q174/1.19),Q174)</f>
        <v>33613.445378151264</v>
      </c>
      <c r="AH174" s="144">
        <f t="shared" si="110"/>
        <v>32000.000000000004</v>
      </c>
      <c r="AI174" s="145" t="s">
        <v>1186</v>
      </c>
      <c r="AJ174" s="146">
        <v>46090</v>
      </c>
      <c r="AK174" s="147" t="s">
        <v>1788</v>
      </c>
      <c r="AL174" s="148" t="s">
        <v>1193</v>
      </c>
      <c r="AM174" s="149" t="s">
        <v>1789</v>
      </c>
      <c r="AN174" s="150">
        <v>45000</v>
      </c>
      <c r="AO174" s="150" t="s">
        <v>1190</v>
      </c>
      <c r="AP174" s="151" t="s">
        <v>1191</v>
      </c>
      <c r="AQ174" s="152">
        <f t="shared" si="111"/>
        <v>37815.126050420171</v>
      </c>
      <c r="AR174" s="153">
        <f t="shared" si="112"/>
        <v>7184.8739495798327</v>
      </c>
      <c r="AS174" s="153">
        <f t="shared" si="113"/>
        <v>45000</v>
      </c>
      <c r="AT174" s="153">
        <f>AQ174</f>
        <v>37815.126050420171</v>
      </c>
      <c r="AU174" s="153">
        <f t="shared" si="114"/>
        <v>45000</v>
      </c>
      <c r="AV174" s="154">
        <f t="shared" si="115"/>
        <v>39000</v>
      </c>
      <c r="AW174" s="154">
        <f t="shared" si="116"/>
        <v>39000</v>
      </c>
      <c r="AX174" s="154">
        <f t="shared" si="117"/>
        <v>6557.4385243020006</v>
      </c>
      <c r="AY174" s="155">
        <f t="shared" si="118"/>
        <v>0.16813944934107694</v>
      </c>
      <c r="AZ174" s="5"/>
      <c r="BA174" s="7">
        <f t="shared" si="119"/>
        <v>3</v>
      </c>
    </row>
    <row r="175" spans="1:53" ht="58.15" hidden="1" customHeight="1">
      <c r="A175" s="6" t="s">
        <v>1182</v>
      </c>
      <c r="B175" s="6" t="s">
        <v>1251</v>
      </c>
      <c r="C175" s="6">
        <v>60121116</v>
      </c>
      <c r="D175" s="6" t="s">
        <v>1790</v>
      </c>
      <c r="E175" s="127" t="s">
        <v>1791</v>
      </c>
      <c r="F175" s="128" t="s">
        <v>191</v>
      </c>
      <c r="G175" s="129">
        <v>1</v>
      </c>
      <c r="H175" s="128" t="s">
        <v>192</v>
      </c>
      <c r="I175" s="130" t="s">
        <v>1186</v>
      </c>
      <c r="J175" s="131">
        <v>46090</v>
      </c>
      <c r="K175" s="132" t="s">
        <v>1792</v>
      </c>
      <c r="L175" s="133" t="s">
        <v>1193</v>
      </c>
      <c r="M175" s="131" t="s">
        <v>1696</v>
      </c>
      <c r="N175" s="134">
        <v>900</v>
      </c>
      <c r="O175" s="134" t="s">
        <v>1190</v>
      </c>
      <c r="P175" s="134" t="s">
        <v>1191</v>
      </c>
      <c r="Q175" s="135">
        <f t="shared" si="103"/>
        <v>756.30252100840335</v>
      </c>
      <c r="R175" s="136">
        <f t="shared" si="104"/>
        <v>143.69747899159663</v>
      </c>
      <c r="S175" s="136">
        <f t="shared" si="105"/>
        <v>900</v>
      </c>
      <c r="T175" s="136">
        <f t="shared" ref="T175:T185" si="120">IF(B175="","",(N175*G175))</f>
        <v>900</v>
      </c>
      <c r="U175" s="136">
        <f t="shared" si="106"/>
        <v>900</v>
      </c>
      <c r="V175" s="137" t="s">
        <v>1186</v>
      </c>
      <c r="W175" s="138">
        <v>46090</v>
      </c>
      <c r="X175" s="139" t="s">
        <v>1793</v>
      </c>
      <c r="Y175" s="140" t="s">
        <v>1193</v>
      </c>
      <c r="Z175" s="141" t="s">
        <v>1757</v>
      </c>
      <c r="AA175" s="142">
        <v>900</v>
      </c>
      <c r="AB175" s="142" t="s">
        <v>1190</v>
      </c>
      <c r="AC175" s="142" t="s">
        <v>1191</v>
      </c>
      <c r="AD175" s="143">
        <f t="shared" si="107"/>
        <v>756.30252100840335</v>
      </c>
      <c r="AE175" s="144">
        <f t="shared" si="108"/>
        <v>143.69747899159663</v>
      </c>
      <c r="AF175" s="144">
        <f t="shared" si="109"/>
        <v>900</v>
      </c>
      <c r="AG175" s="144">
        <f t="shared" ref="AG175:AG185" si="121">IF(O175="","",(AA175*G175))</f>
        <v>900</v>
      </c>
      <c r="AH175" s="144">
        <f t="shared" si="110"/>
        <v>900</v>
      </c>
      <c r="AI175" s="145" t="s">
        <v>1186</v>
      </c>
      <c r="AJ175" s="146">
        <v>46090</v>
      </c>
      <c r="AK175" s="147" t="s">
        <v>1258</v>
      </c>
      <c r="AL175" s="148" t="s">
        <v>1193</v>
      </c>
      <c r="AM175" s="149" t="s">
        <v>1750</v>
      </c>
      <c r="AN175" s="150">
        <v>900</v>
      </c>
      <c r="AO175" s="150" t="s">
        <v>1190</v>
      </c>
      <c r="AP175" s="151" t="s">
        <v>1191</v>
      </c>
      <c r="AQ175" s="152">
        <f t="shared" si="111"/>
        <v>756.30252100840335</v>
      </c>
      <c r="AR175" s="153">
        <f t="shared" si="112"/>
        <v>143.69747899159663</v>
      </c>
      <c r="AS175" s="153">
        <f t="shared" si="113"/>
        <v>900</v>
      </c>
      <c r="AT175" s="153">
        <f t="shared" ref="AT175:AT185" si="122">IF(AB175="","",(AN175*G175))</f>
        <v>900</v>
      </c>
      <c r="AU175" s="153">
        <f t="shared" si="114"/>
        <v>900</v>
      </c>
      <c r="AV175" s="154">
        <f t="shared" si="115"/>
        <v>900</v>
      </c>
      <c r="AW175" s="154">
        <f t="shared" si="116"/>
        <v>900</v>
      </c>
      <c r="AX175" s="154">
        <f t="shared" si="117"/>
        <v>0</v>
      </c>
      <c r="AY175" s="155">
        <f t="shared" si="118"/>
        <v>0</v>
      </c>
      <c r="AZ175" s="5"/>
      <c r="BA175" s="7">
        <f t="shared" si="119"/>
        <v>3</v>
      </c>
    </row>
    <row r="176" spans="1:53" ht="72.599999999999994" hidden="1" customHeight="1">
      <c r="A176" s="6" t="s">
        <v>1182</v>
      </c>
      <c r="B176" s="6" t="s">
        <v>1251</v>
      </c>
      <c r="C176" s="6">
        <v>60121124</v>
      </c>
      <c r="D176" s="6" t="s">
        <v>1794</v>
      </c>
      <c r="E176" s="127" t="s">
        <v>1795</v>
      </c>
      <c r="F176" s="128" t="s">
        <v>191</v>
      </c>
      <c r="G176" s="129">
        <v>1</v>
      </c>
      <c r="H176" s="128" t="s">
        <v>192</v>
      </c>
      <c r="I176" s="130" t="s">
        <v>1186</v>
      </c>
      <c r="J176" s="131">
        <v>46090</v>
      </c>
      <c r="K176" s="132" t="s">
        <v>1258</v>
      </c>
      <c r="L176" s="133" t="s">
        <v>1188</v>
      </c>
      <c r="M176" s="131" t="s">
        <v>1750</v>
      </c>
      <c r="N176" s="134">
        <v>392</v>
      </c>
      <c r="O176" s="134" t="s">
        <v>1190</v>
      </c>
      <c r="P176" s="134" t="s">
        <v>1191</v>
      </c>
      <c r="Q176" s="135">
        <f t="shared" si="103"/>
        <v>329.41176470588238</v>
      </c>
      <c r="R176" s="136">
        <f t="shared" si="104"/>
        <v>62.588235294117652</v>
      </c>
      <c r="S176" s="136">
        <f t="shared" si="105"/>
        <v>392</v>
      </c>
      <c r="T176" s="136">
        <f t="shared" si="120"/>
        <v>392</v>
      </c>
      <c r="U176" s="136">
        <f t="shared" si="106"/>
        <v>392</v>
      </c>
      <c r="V176" s="137" t="s">
        <v>1186</v>
      </c>
      <c r="W176" s="138">
        <v>46090</v>
      </c>
      <c r="X176" s="139" t="s">
        <v>1796</v>
      </c>
      <c r="Y176" s="140" t="s">
        <v>1193</v>
      </c>
      <c r="Z176" s="141" t="s">
        <v>1797</v>
      </c>
      <c r="AA176" s="142">
        <v>500</v>
      </c>
      <c r="AB176" s="142" t="s">
        <v>1190</v>
      </c>
      <c r="AC176" s="142" t="s">
        <v>1191</v>
      </c>
      <c r="AD176" s="143">
        <f t="shared" si="107"/>
        <v>420.1680672268908</v>
      </c>
      <c r="AE176" s="144">
        <f t="shared" si="108"/>
        <v>79.831932773109259</v>
      </c>
      <c r="AF176" s="144">
        <f t="shared" si="109"/>
        <v>500.00000000000006</v>
      </c>
      <c r="AG176" s="144">
        <f t="shared" si="121"/>
        <v>500</v>
      </c>
      <c r="AH176" s="144">
        <f t="shared" si="110"/>
        <v>500.00000000000006</v>
      </c>
      <c r="AI176" s="145" t="s">
        <v>1186</v>
      </c>
      <c r="AJ176" s="146">
        <v>46090</v>
      </c>
      <c r="AK176" s="147" t="s">
        <v>1798</v>
      </c>
      <c r="AL176" s="148" t="s">
        <v>1193</v>
      </c>
      <c r="AM176" s="149" t="s">
        <v>1799</v>
      </c>
      <c r="AN176" s="150">
        <v>590</v>
      </c>
      <c r="AO176" s="150" t="s">
        <v>1190</v>
      </c>
      <c r="AP176" s="151" t="s">
        <v>1191</v>
      </c>
      <c r="AQ176" s="152">
        <f t="shared" si="111"/>
        <v>495.79831932773112</v>
      </c>
      <c r="AR176" s="153">
        <f t="shared" si="112"/>
        <v>94.201680672268921</v>
      </c>
      <c r="AS176" s="153">
        <f t="shared" si="113"/>
        <v>590</v>
      </c>
      <c r="AT176" s="153">
        <f t="shared" si="122"/>
        <v>590</v>
      </c>
      <c r="AU176" s="153">
        <f t="shared" si="114"/>
        <v>590</v>
      </c>
      <c r="AV176" s="154">
        <f t="shared" si="115"/>
        <v>494</v>
      </c>
      <c r="AW176" s="154">
        <f t="shared" si="116"/>
        <v>494</v>
      </c>
      <c r="AX176" s="154">
        <f t="shared" si="117"/>
        <v>99.136269851149834</v>
      </c>
      <c r="AY176" s="155">
        <f t="shared" si="118"/>
        <v>0.20068070820070816</v>
      </c>
      <c r="AZ176" s="5"/>
      <c r="BA176" s="7">
        <f t="shared" si="119"/>
        <v>3</v>
      </c>
    </row>
    <row r="177" spans="1:53" ht="72.599999999999994" hidden="1" customHeight="1">
      <c r="A177" s="6" t="s">
        <v>1182</v>
      </c>
      <c r="B177" s="6" t="s">
        <v>1251</v>
      </c>
      <c r="C177" s="6">
        <v>60121124</v>
      </c>
      <c r="D177" s="6" t="s">
        <v>1800</v>
      </c>
      <c r="E177" s="127" t="s">
        <v>1801</v>
      </c>
      <c r="F177" s="128" t="s">
        <v>191</v>
      </c>
      <c r="G177" s="129">
        <v>1</v>
      </c>
      <c r="H177" s="128" t="s">
        <v>192</v>
      </c>
      <c r="I177" s="130" t="s">
        <v>1186</v>
      </c>
      <c r="J177" s="131">
        <v>46090</v>
      </c>
      <c r="K177" s="132" t="s">
        <v>1579</v>
      </c>
      <c r="L177" s="133" t="s">
        <v>1193</v>
      </c>
      <c r="M177" s="131" t="s">
        <v>1580</v>
      </c>
      <c r="N177" s="134">
        <v>6620</v>
      </c>
      <c r="O177" s="134" t="s">
        <v>1197</v>
      </c>
      <c r="P177" s="134" t="s">
        <v>1191</v>
      </c>
      <c r="Q177" s="135">
        <f t="shared" si="103"/>
        <v>6620</v>
      </c>
      <c r="R177" s="136">
        <f t="shared" si="104"/>
        <v>1257.8</v>
      </c>
      <c r="S177" s="136">
        <f t="shared" si="105"/>
        <v>7877.8</v>
      </c>
      <c r="T177" s="136">
        <f t="shared" si="120"/>
        <v>6620</v>
      </c>
      <c r="U177" s="136">
        <f t="shared" si="106"/>
        <v>7877.8</v>
      </c>
      <c r="V177" s="137" t="s">
        <v>1186</v>
      </c>
      <c r="W177" s="138">
        <v>46090</v>
      </c>
      <c r="X177" s="139" t="s">
        <v>1713</v>
      </c>
      <c r="Y177" s="140" t="s">
        <v>1193</v>
      </c>
      <c r="Z177" s="141" t="s">
        <v>1714</v>
      </c>
      <c r="AA177" s="142">
        <v>6500</v>
      </c>
      <c r="AB177" s="142" t="s">
        <v>1190</v>
      </c>
      <c r="AC177" s="142" t="s">
        <v>1191</v>
      </c>
      <c r="AD177" s="143">
        <f t="shared" si="107"/>
        <v>5462.1848739495799</v>
      </c>
      <c r="AE177" s="144">
        <f t="shared" si="108"/>
        <v>1037.8151260504203</v>
      </c>
      <c r="AF177" s="144">
        <f t="shared" si="109"/>
        <v>6500</v>
      </c>
      <c r="AG177" s="144">
        <f t="shared" si="121"/>
        <v>6500</v>
      </c>
      <c r="AH177" s="144">
        <f t="shared" si="110"/>
        <v>6500</v>
      </c>
      <c r="AI177" s="145" t="s">
        <v>1186</v>
      </c>
      <c r="AJ177" s="146">
        <v>46090</v>
      </c>
      <c r="AK177" s="147" t="s">
        <v>1802</v>
      </c>
      <c r="AL177" s="148" t="s">
        <v>1193</v>
      </c>
      <c r="AM177" s="149" t="s">
        <v>1803</v>
      </c>
      <c r="AN177" s="150">
        <v>8385</v>
      </c>
      <c r="AO177" s="150" t="s">
        <v>1190</v>
      </c>
      <c r="AP177" s="151" t="s">
        <v>1191</v>
      </c>
      <c r="AQ177" s="152">
        <f t="shared" si="111"/>
        <v>7046.2184873949582</v>
      </c>
      <c r="AR177" s="153">
        <f t="shared" si="112"/>
        <v>1338.7815126050421</v>
      </c>
      <c r="AS177" s="153">
        <f t="shared" si="113"/>
        <v>8385</v>
      </c>
      <c r="AT177" s="153">
        <f t="shared" si="122"/>
        <v>8385</v>
      </c>
      <c r="AU177" s="153">
        <f t="shared" si="114"/>
        <v>8385</v>
      </c>
      <c r="AV177" s="154">
        <f t="shared" si="115"/>
        <v>7587.5999999999995</v>
      </c>
      <c r="AW177" s="154">
        <f t="shared" si="116"/>
        <v>7587.5999999999995</v>
      </c>
      <c r="AX177" s="154">
        <f t="shared" si="117"/>
        <v>975.43235541989338</v>
      </c>
      <c r="AY177" s="155">
        <f t="shared" si="118"/>
        <v>0.12855611200114575</v>
      </c>
      <c r="AZ177" s="5"/>
      <c r="BA177" s="7">
        <f t="shared" si="119"/>
        <v>3</v>
      </c>
    </row>
    <row r="178" spans="1:53" ht="72.599999999999994" hidden="1" customHeight="1">
      <c r="A178" s="6" t="s">
        <v>1182</v>
      </c>
      <c r="B178" s="6" t="s">
        <v>1251</v>
      </c>
      <c r="C178" s="6">
        <v>60121124</v>
      </c>
      <c r="D178" s="6" t="s">
        <v>1804</v>
      </c>
      <c r="E178" s="127" t="s">
        <v>1805</v>
      </c>
      <c r="F178" s="128" t="s">
        <v>191</v>
      </c>
      <c r="G178" s="129">
        <v>1</v>
      </c>
      <c r="H178" s="128" t="s">
        <v>192</v>
      </c>
      <c r="I178" s="130" t="s">
        <v>1186</v>
      </c>
      <c r="J178" s="131">
        <v>46090</v>
      </c>
      <c r="K178" s="132" t="s">
        <v>1258</v>
      </c>
      <c r="L178" s="133" t="s">
        <v>1193</v>
      </c>
      <c r="M178" s="131" t="s">
        <v>1750</v>
      </c>
      <c r="N178" s="134">
        <v>600</v>
      </c>
      <c r="O178" s="134" t="s">
        <v>1190</v>
      </c>
      <c r="P178" s="134" t="s">
        <v>1191</v>
      </c>
      <c r="Q178" s="135">
        <f t="shared" si="103"/>
        <v>504.20168067226894</v>
      </c>
      <c r="R178" s="136">
        <f t="shared" si="104"/>
        <v>95.798319327731093</v>
      </c>
      <c r="S178" s="136">
        <f t="shared" si="105"/>
        <v>600</v>
      </c>
      <c r="T178" s="136">
        <f t="shared" si="120"/>
        <v>600</v>
      </c>
      <c r="U178" s="136">
        <f t="shared" si="106"/>
        <v>600</v>
      </c>
      <c r="V178" s="137" t="s">
        <v>1186</v>
      </c>
      <c r="W178" s="138">
        <v>46090</v>
      </c>
      <c r="X178" s="139" t="s">
        <v>1796</v>
      </c>
      <c r="Y178" s="140" t="s">
        <v>1193</v>
      </c>
      <c r="Z178" s="141" t="s">
        <v>1797</v>
      </c>
      <c r="AA178" s="142">
        <v>500</v>
      </c>
      <c r="AB178" s="142" t="s">
        <v>1190</v>
      </c>
      <c r="AC178" s="142" t="s">
        <v>1191</v>
      </c>
      <c r="AD178" s="143">
        <f t="shared" si="107"/>
        <v>420.1680672268908</v>
      </c>
      <c r="AE178" s="144">
        <f t="shared" si="108"/>
        <v>79.831932773109259</v>
      </c>
      <c r="AF178" s="144">
        <f t="shared" si="109"/>
        <v>500.00000000000006</v>
      </c>
      <c r="AG178" s="144">
        <f t="shared" si="121"/>
        <v>500</v>
      </c>
      <c r="AH178" s="144">
        <f t="shared" si="110"/>
        <v>500.00000000000006</v>
      </c>
      <c r="AI178" s="145" t="s">
        <v>1186</v>
      </c>
      <c r="AJ178" s="146">
        <v>46090</v>
      </c>
      <c r="AK178" s="147" t="s">
        <v>1798</v>
      </c>
      <c r="AL178" s="148" t="s">
        <v>1193</v>
      </c>
      <c r="AM178" s="149" t="s">
        <v>1799</v>
      </c>
      <c r="AN178" s="150">
        <v>590</v>
      </c>
      <c r="AO178" s="150" t="s">
        <v>1190</v>
      </c>
      <c r="AP178" s="151" t="s">
        <v>1191</v>
      </c>
      <c r="AQ178" s="152">
        <f t="shared" si="111"/>
        <v>495.79831932773112</v>
      </c>
      <c r="AR178" s="153">
        <f t="shared" si="112"/>
        <v>94.201680672268921</v>
      </c>
      <c r="AS178" s="153">
        <f t="shared" si="113"/>
        <v>590</v>
      </c>
      <c r="AT178" s="153">
        <f t="shared" si="122"/>
        <v>590</v>
      </c>
      <c r="AU178" s="153">
        <f t="shared" si="114"/>
        <v>590</v>
      </c>
      <c r="AV178" s="154">
        <f t="shared" si="115"/>
        <v>563.33333333333337</v>
      </c>
      <c r="AW178" s="154">
        <f t="shared" si="116"/>
        <v>563.33333333333337</v>
      </c>
      <c r="AX178" s="154">
        <f t="shared" si="117"/>
        <v>55.075705472860982</v>
      </c>
      <c r="AY178" s="155">
        <f t="shared" si="118"/>
        <v>9.7767524508037246E-2</v>
      </c>
      <c r="AZ178" s="5"/>
      <c r="BA178" s="7">
        <f t="shared" si="119"/>
        <v>3</v>
      </c>
    </row>
    <row r="179" spans="1:53" ht="72.599999999999994" hidden="1" customHeight="1">
      <c r="A179" s="6" t="s">
        <v>1182</v>
      </c>
      <c r="B179" s="6" t="s">
        <v>1251</v>
      </c>
      <c r="C179" s="6">
        <v>14121901</v>
      </c>
      <c r="D179" s="6" t="s">
        <v>1806</v>
      </c>
      <c r="E179" s="127" t="s">
        <v>1807</v>
      </c>
      <c r="F179" s="128" t="s">
        <v>191</v>
      </c>
      <c r="G179" s="129">
        <v>1</v>
      </c>
      <c r="H179" s="128" t="s">
        <v>192</v>
      </c>
      <c r="I179" s="130" t="s">
        <v>1186</v>
      </c>
      <c r="J179" s="131">
        <v>46090</v>
      </c>
      <c r="K179" s="132" t="s">
        <v>1808</v>
      </c>
      <c r="L179" s="133" t="s">
        <v>1193</v>
      </c>
      <c r="M179" s="131" t="s">
        <v>1809</v>
      </c>
      <c r="N179" s="134">
        <v>500</v>
      </c>
      <c r="O179" s="134" t="s">
        <v>1190</v>
      </c>
      <c r="P179" s="134" t="s">
        <v>1191</v>
      </c>
      <c r="Q179" s="135">
        <f t="shared" si="103"/>
        <v>420.1680672268908</v>
      </c>
      <c r="R179" s="136">
        <f t="shared" si="104"/>
        <v>79.831932773109259</v>
      </c>
      <c r="S179" s="136">
        <f t="shared" si="105"/>
        <v>500.00000000000006</v>
      </c>
      <c r="T179" s="136">
        <f t="shared" si="120"/>
        <v>500</v>
      </c>
      <c r="U179" s="136">
        <f t="shared" si="106"/>
        <v>500.00000000000006</v>
      </c>
      <c r="V179" s="137" t="s">
        <v>1186</v>
      </c>
      <c r="W179" s="138">
        <v>46090</v>
      </c>
      <c r="X179" s="139" t="s">
        <v>1810</v>
      </c>
      <c r="Y179" s="140" t="s">
        <v>1193</v>
      </c>
      <c r="Z179" s="141" t="s">
        <v>1811</v>
      </c>
      <c r="AA179" s="142">
        <v>410</v>
      </c>
      <c r="AB179" s="142" t="s">
        <v>1190</v>
      </c>
      <c r="AC179" s="142" t="s">
        <v>1191</v>
      </c>
      <c r="AD179" s="143">
        <f t="shared" si="107"/>
        <v>344.53781512605042</v>
      </c>
      <c r="AE179" s="144">
        <f t="shared" si="108"/>
        <v>65.462184873949582</v>
      </c>
      <c r="AF179" s="144">
        <f t="shared" si="109"/>
        <v>410</v>
      </c>
      <c r="AG179" s="144">
        <f t="shared" si="121"/>
        <v>410</v>
      </c>
      <c r="AH179" s="144">
        <f t="shared" si="110"/>
        <v>410</v>
      </c>
      <c r="AI179" s="145" t="s">
        <v>1186</v>
      </c>
      <c r="AJ179" s="146">
        <v>46090</v>
      </c>
      <c r="AK179" s="147" t="s">
        <v>1258</v>
      </c>
      <c r="AL179" s="148" t="s">
        <v>1193</v>
      </c>
      <c r="AM179" s="149" t="s">
        <v>1750</v>
      </c>
      <c r="AN179" s="150">
        <v>500</v>
      </c>
      <c r="AO179" s="150" t="s">
        <v>1190</v>
      </c>
      <c r="AP179" s="151" t="s">
        <v>1191</v>
      </c>
      <c r="AQ179" s="152">
        <f t="shared" si="111"/>
        <v>420.1680672268908</v>
      </c>
      <c r="AR179" s="153">
        <f t="shared" si="112"/>
        <v>79.831932773109259</v>
      </c>
      <c r="AS179" s="153">
        <f t="shared" si="113"/>
        <v>500.00000000000006</v>
      </c>
      <c r="AT179" s="153">
        <f t="shared" si="122"/>
        <v>500</v>
      </c>
      <c r="AU179" s="153">
        <f t="shared" si="114"/>
        <v>500.00000000000006</v>
      </c>
      <c r="AV179" s="154">
        <f t="shared" si="115"/>
        <v>470</v>
      </c>
      <c r="AW179" s="154">
        <f t="shared" si="116"/>
        <v>470</v>
      </c>
      <c r="AX179" s="154">
        <f t="shared" si="117"/>
        <v>51.961524227066356</v>
      </c>
      <c r="AY179" s="155">
        <f t="shared" si="118"/>
        <v>0.1105564345256731</v>
      </c>
      <c r="AZ179" s="5"/>
      <c r="BA179" s="7">
        <f t="shared" si="119"/>
        <v>3</v>
      </c>
    </row>
    <row r="180" spans="1:53" ht="72.599999999999994" hidden="1" customHeight="1">
      <c r="A180" s="6" t="s">
        <v>1182</v>
      </c>
      <c r="B180" s="6" t="s">
        <v>1251</v>
      </c>
      <c r="C180" s="6">
        <v>31201610</v>
      </c>
      <c r="D180" s="6" t="s">
        <v>1812</v>
      </c>
      <c r="E180" s="127" t="s">
        <v>1813</v>
      </c>
      <c r="F180" s="128" t="s">
        <v>191</v>
      </c>
      <c r="G180" s="129">
        <v>1</v>
      </c>
      <c r="H180" s="128" t="s">
        <v>192</v>
      </c>
      <c r="I180" s="130" t="s">
        <v>1186</v>
      </c>
      <c r="J180" s="131">
        <v>46090</v>
      </c>
      <c r="K180" s="132" t="s">
        <v>1579</v>
      </c>
      <c r="L180" s="133" t="s">
        <v>1193</v>
      </c>
      <c r="M180" s="131" t="s">
        <v>1580</v>
      </c>
      <c r="N180" s="134">
        <v>2700</v>
      </c>
      <c r="O180" s="134" t="s">
        <v>1197</v>
      </c>
      <c r="P180" s="134" t="s">
        <v>1191</v>
      </c>
      <c r="Q180" s="135">
        <f t="shared" si="103"/>
        <v>2700</v>
      </c>
      <c r="R180" s="136">
        <f t="shared" si="104"/>
        <v>513</v>
      </c>
      <c r="S180" s="136">
        <f t="shared" si="105"/>
        <v>3213</v>
      </c>
      <c r="T180" s="136">
        <f t="shared" si="120"/>
        <v>2700</v>
      </c>
      <c r="U180" s="136">
        <f t="shared" si="106"/>
        <v>3213</v>
      </c>
      <c r="V180" s="137" t="s">
        <v>1186</v>
      </c>
      <c r="W180" s="138">
        <v>46090</v>
      </c>
      <c r="X180" s="139" t="s">
        <v>1814</v>
      </c>
      <c r="Y180" s="140" t="s">
        <v>1193</v>
      </c>
      <c r="Z180" s="141" t="s">
        <v>1811</v>
      </c>
      <c r="AA180" s="142">
        <v>3500</v>
      </c>
      <c r="AB180" s="142" t="s">
        <v>1190</v>
      </c>
      <c r="AC180" s="142" t="s">
        <v>1191</v>
      </c>
      <c r="AD180" s="143">
        <f t="shared" si="107"/>
        <v>2941.1764705882356</v>
      </c>
      <c r="AE180" s="144">
        <f t="shared" si="108"/>
        <v>558.82352941176475</v>
      </c>
      <c r="AF180" s="144">
        <f t="shared" si="109"/>
        <v>3500.0000000000005</v>
      </c>
      <c r="AG180" s="144">
        <f t="shared" si="121"/>
        <v>3500</v>
      </c>
      <c r="AH180" s="144">
        <f t="shared" si="110"/>
        <v>3500.0000000000005</v>
      </c>
      <c r="AI180" s="145" t="s">
        <v>1186</v>
      </c>
      <c r="AJ180" s="146">
        <v>46090</v>
      </c>
      <c r="AK180" s="147" t="s">
        <v>1815</v>
      </c>
      <c r="AL180" s="148" t="s">
        <v>1193</v>
      </c>
      <c r="AM180" s="149" t="s">
        <v>1816</v>
      </c>
      <c r="AN180" s="150">
        <v>2618</v>
      </c>
      <c r="AO180" s="150" t="s">
        <v>1190</v>
      </c>
      <c r="AP180" s="151" t="s">
        <v>1191</v>
      </c>
      <c r="AQ180" s="152">
        <f t="shared" si="111"/>
        <v>2200</v>
      </c>
      <c r="AR180" s="153">
        <f t="shared" si="112"/>
        <v>418</v>
      </c>
      <c r="AS180" s="153">
        <f t="shared" si="113"/>
        <v>2618</v>
      </c>
      <c r="AT180" s="153">
        <f t="shared" si="122"/>
        <v>2618</v>
      </c>
      <c r="AU180" s="153">
        <f t="shared" si="114"/>
        <v>2618</v>
      </c>
      <c r="AV180" s="154">
        <f t="shared" si="115"/>
        <v>3110.3333333333335</v>
      </c>
      <c r="AW180" s="154">
        <f t="shared" si="116"/>
        <v>3110.3333333333335</v>
      </c>
      <c r="AX180" s="154">
        <f t="shared" si="117"/>
        <v>449.87368597567007</v>
      </c>
      <c r="AY180" s="155">
        <f t="shared" si="118"/>
        <v>0.14463841581041798</v>
      </c>
      <c r="AZ180" s="5"/>
      <c r="BA180" s="7">
        <f t="shared" si="119"/>
        <v>3</v>
      </c>
    </row>
    <row r="181" spans="1:53" ht="87" hidden="1" customHeight="1">
      <c r="A181" s="6" t="s">
        <v>1182</v>
      </c>
      <c r="B181" s="6" t="s">
        <v>1251</v>
      </c>
      <c r="C181" s="6">
        <v>31201610</v>
      </c>
      <c r="D181" s="6" t="s">
        <v>1817</v>
      </c>
      <c r="E181" s="127" t="s">
        <v>1818</v>
      </c>
      <c r="F181" s="128" t="s">
        <v>191</v>
      </c>
      <c r="G181" s="129">
        <v>1</v>
      </c>
      <c r="H181" s="128" t="s">
        <v>192</v>
      </c>
      <c r="I181" s="130" t="s">
        <v>1186</v>
      </c>
      <c r="J181" s="131">
        <v>46090</v>
      </c>
      <c r="K181" s="132" t="s">
        <v>1579</v>
      </c>
      <c r="L181" s="133" t="s">
        <v>1193</v>
      </c>
      <c r="M181" s="131" t="s">
        <v>1580</v>
      </c>
      <c r="N181" s="134">
        <v>13000</v>
      </c>
      <c r="O181" s="134" t="s">
        <v>1197</v>
      </c>
      <c r="P181" s="134" t="s">
        <v>1191</v>
      </c>
      <c r="Q181" s="135">
        <f t="shared" si="103"/>
        <v>13000</v>
      </c>
      <c r="R181" s="136">
        <f t="shared" si="104"/>
        <v>2470</v>
      </c>
      <c r="S181" s="136">
        <f t="shared" si="105"/>
        <v>15470</v>
      </c>
      <c r="T181" s="136">
        <f t="shared" si="120"/>
        <v>13000</v>
      </c>
      <c r="U181" s="136">
        <f t="shared" si="106"/>
        <v>15470</v>
      </c>
      <c r="V181" s="137" t="s">
        <v>1186</v>
      </c>
      <c r="W181" s="138">
        <v>46090</v>
      </c>
      <c r="X181" s="139" t="s">
        <v>1258</v>
      </c>
      <c r="Y181" s="140" t="s">
        <v>1193</v>
      </c>
      <c r="Z181" s="141" t="s">
        <v>1750</v>
      </c>
      <c r="AA181" s="142">
        <v>16200</v>
      </c>
      <c r="AB181" s="142" t="s">
        <v>1190</v>
      </c>
      <c r="AC181" s="142" t="s">
        <v>1191</v>
      </c>
      <c r="AD181" s="143">
        <f t="shared" si="107"/>
        <v>13613.44537815126</v>
      </c>
      <c r="AE181" s="144">
        <f t="shared" si="108"/>
        <v>2586.5546218487393</v>
      </c>
      <c r="AF181" s="144">
        <f t="shared" si="109"/>
        <v>16200</v>
      </c>
      <c r="AG181" s="144">
        <f t="shared" si="121"/>
        <v>16200</v>
      </c>
      <c r="AH181" s="144">
        <f t="shared" si="110"/>
        <v>16200</v>
      </c>
      <c r="AI181" s="145" t="s">
        <v>1186</v>
      </c>
      <c r="AJ181" s="146">
        <v>46090</v>
      </c>
      <c r="AK181" s="147" t="s">
        <v>1819</v>
      </c>
      <c r="AL181" s="148" t="s">
        <v>1193</v>
      </c>
      <c r="AM181" s="149" t="s">
        <v>1820</v>
      </c>
      <c r="AN181" s="150">
        <v>16800</v>
      </c>
      <c r="AO181" s="150" t="s">
        <v>1190</v>
      </c>
      <c r="AP181" s="151" t="s">
        <v>1191</v>
      </c>
      <c r="AQ181" s="152">
        <f t="shared" si="111"/>
        <v>14117.64705882353</v>
      </c>
      <c r="AR181" s="153">
        <f t="shared" si="112"/>
        <v>2682.3529411764707</v>
      </c>
      <c r="AS181" s="153">
        <f t="shared" si="113"/>
        <v>16800</v>
      </c>
      <c r="AT181" s="153">
        <f t="shared" si="122"/>
        <v>16800</v>
      </c>
      <c r="AU181" s="153">
        <f t="shared" si="114"/>
        <v>16800</v>
      </c>
      <c r="AV181" s="154">
        <f t="shared" si="115"/>
        <v>16156.666666666666</v>
      </c>
      <c r="AW181" s="154">
        <f t="shared" si="116"/>
        <v>16156.666666666666</v>
      </c>
      <c r="AX181" s="154">
        <f t="shared" si="117"/>
        <v>666.05805552769448</v>
      </c>
      <c r="AY181" s="155">
        <f t="shared" si="118"/>
        <v>4.122496733202153E-2</v>
      </c>
      <c r="AZ181" s="5"/>
      <c r="BA181" s="7">
        <f t="shared" si="119"/>
        <v>3</v>
      </c>
    </row>
    <row r="182" spans="1:53" ht="72.599999999999994" hidden="1" customHeight="1">
      <c r="A182" s="6" t="s">
        <v>1182</v>
      </c>
      <c r="B182" s="6" t="s">
        <v>1251</v>
      </c>
      <c r="C182" s="6">
        <v>31201610</v>
      </c>
      <c r="D182" s="6" t="s">
        <v>1821</v>
      </c>
      <c r="E182" s="127" t="s">
        <v>1822</v>
      </c>
      <c r="F182" s="128" t="s">
        <v>191</v>
      </c>
      <c r="G182" s="129">
        <v>1</v>
      </c>
      <c r="H182" s="128" t="s">
        <v>192</v>
      </c>
      <c r="I182" s="130" t="s">
        <v>1186</v>
      </c>
      <c r="J182" s="131">
        <v>46090</v>
      </c>
      <c r="K182" s="132" t="s">
        <v>1823</v>
      </c>
      <c r="L182" s="133" t="s">
        <v>1193</v>
      </c>
      <c r="M182" s="131" t="s">
        <v>1824</v>
      </c>
      <c r="N182" s="134">
        <v>6600</v>
      </c>
      <c r="O182" s="134" t="s">
        <v>1197</v>
      </c>
      <c r="P182" s="134" t="s">
        <v>1191</v>
      </c>
      <c r="Q182" s="135">
        <f t="shared" si="103"/>
        <v>6600</v>
      </c>
      <c r="R182" s="136">
        <f t="shared" si="104"/>
        <v>1254</v>
      </c>
      <c r="S182" s="136">
        <f t="shared" si="105"/>
        <v>7854</v>
      </c>
      <c r="T182" s="136">
        <f t="shared" si="120"/>
        <v>6600</v>
      </c>
      <c r="U182" s="136">
        <f t="shared" si="106"/>
        <v>7854</v>
      </c>
      <c r="V182" s="137" t="s">
        <v>1186</v>
      </c>
      <c r="W182" s="138">
        <v>46090</v>
      </c>
      <c r="X182" s="139" t="s">
        <v>1713</v>
      </c>
      <c r="Y182" s="140" t="s">
        <v>1193</v>
      </c>
      <c r="Z182" s="141" t="s">
        <v>1714</v>
      </c>
      <c r="AA182" s="142">
        <v>7900</v>
      </c>
      <c r="AB182" s="142" t="s">
        <v>1190</v>
      </c>
      <c r="AC182" s="142" t="s">
        <v>1191</v>
      </c>
      <c r="AD182" s="143">
        <f t="shared" si="107"/>
        <v>6638.6554621848745</v>
      </c>
      <c r="AE182" s="144">
        <f t="shared" si="108"/>
        <v>1261.3445378151262</v>
      </c>
      <c r="AF182" s="144">
        <f t="shared" si="109"/>
        <v>7900.0000000000009</v>
      </c>
      <c r="AG182" s="144">
        <f t="shared" si="121"/>
        <v>7900</v>
      </c>
      <c r="AH182" s="144">
        <f t="shared" si="110"/>
        <v>7900.0000000000009</v>
      </c>
      <c r="AI182" s="145" t="s">
        <v>1186</v>
      </c>
      <c r="AJ182" s="146">
        <v>46090</v>
      </c>
      <c r="AK182" s="147" t="s">
        <v>1825</v>
      </c>
      <c r="AL182" s="148" t="s">
        <v>1193</v>
      </c>
      <c r="AM182" s="149" t="s">
        <v>1826</v>
      </c>
      <c r="AN182" s="150">
        <v>6500</v>
      </c>
      <c r="AO182" s="150" t="s">
        <v>1190</v>
      </c>
      <c r="AP182" s="151" t="s">
        <v>1191</v>
      </c>
      <c r="AQ182" s="152">
        <f t="shared" si="111"/>
        <v>5462.1848739495799</v>
      </c>
      <c r="AR182" s="153">
        <f t="shared" si="112"/>
        <v>1037.8151260504203</v>
      </c>
      <c r="AS182" s="153">
        <f t="shared" si="113"/>
        <v>6500</v>
      </c>
      <c r="AT182" s="153">
        <f t="shared" si="122"/>
        <v>6500</v>
      </c>
      <c r="AU182" s="153">
        <f t="shared" si="114"/>
        <v>6500</v>
      </c>
      <c r="AV182" s="154">
        <f t="shared" si="115"/>
        <v>7418</v>
      </c>
      <c r="AW182" s="154">
        <f t="shared" si="116"/>
        <v>7418</v>
      </c>
      <c r="AX182" s="154">
        <f t="shared" si="117"/>
        <v>795.34395075338341</v>
      </c>
      <c r="AY182" s="155">
        <f t="shared" si="118"/>
        <v>0.10721811145232993</v>
      </c>
      <c r="AZ182" s="5"/>
      <c r="BA182" s="7">
        <f t="shared" si="119"/>
        <v>3</v>
      </c>
    </row>
    <row r="183" spans="1:53" ht="72.599999999999994" hidden="1" customHeight="1">
      <c r="A183" s="6" t="s">
        <v>1182</v>
      </c>
      <c r="B183" s="6" t="s">
        <v>1183</v>
      </c>
      <c r="C183" s="6">
        <v>55121714</v>
      </c>
      <c r="D183" s="6" t="s">
        <v>1827</v>
      </c>
      <c r="E183" s="127" t="s">
        <v>1828</v>
      </c>
      <c r="F183" s="128" t="s">
        <v>191</v>
      </c>
      <c r="G183" s="129">
        <v>1</v>
      </c>
      <c r="H183" s="128" t="s">
        <v>192</v>
      </c>
      <c r="I183" s="130" t="s">
        <v>1230</v>
      </c>
      <c r="J183" s="131">
        <v>46070</v>
      </c>
      <c r="K183" s="132" t="s">
        <v>1200</v>
      </c>
      <c r="L183" s="133" t="s">
        <v>1193</v>
      </c>
      <c r="M183" s="131" t="s">
        <v>1196</v>
      </c>
      <c r="N183" s="134">
        <v>240000</v>
      </c>
      <c r="O183" s="134" t="s">
        <v>1197</v>
      </c>
      <c r="P183" s="134" t="s">
        <v>1191</v>
      </c>
      <c r="Q183" s="135">
        <f t="shared" si="103"/>
        <v>240000</v>
      </c>
      <c r="R183" s="136">
        <f t="shared" si="104"/>
        <v>45600</v>
      </c>
      <c r="S183" s="136">
        <f t="shared" si="105"/>
        <v>285600</v>
      </c>
      <c r="T183" s="136">
        <f t="shared" si="120"/>
        <v>240000</v>
      </c>
      <c r="U183" s="136">
        <f t="shared" si="106"/>
        <v>285600</v>
      </c>
      <c r="V183" s="137" t="s">
        <v>1230</v>
      </c>
      <c r="W183" s="138">
        <v>46070</v>
      </c>
      <c r="X183" s="139" t="s">
        <v>1231</v>
      </c>
      <c r="Y183" s="140" t="s">
        <v>1193</v>
      </c>
      <c r="Z183" s="141" t="s">
        <v>1211</v>
      </c>
      <c r="AA183" s="142">
        <v>220000</v>
      </c>
      <c r="AB183" s="142" t="s">
        <v>1197</v>
      </c>
      <c r="AC183" s="142" t="s">
        <v>1191</v>
      </c>
      <c r="AD183" s="143">
        <f t="shared" si="107"/>
        <v>220000</v>
      </c>
      <c r="AE183" s="144">
        <f t="shared" si="108"/>
        <v>41800</v>
      </c>
      <c r="AF183" s="144">
        <f t="shared" si="109"/>
        <v>261800</v>
      </c>
      <c r="AG183" s="144">
        <f t="shared" si="121"/>
        <v>220000</v>
      </c>
      <c r="AH183" s="144">
        <f t="shared" si="110"/>
        <v>261800</v>
      </c>
      <c r="AI183" s="145" t="s">
        <v>1230</v>
      </c>
      <c r="AJ183" s="146">
        <v>46071</v>
      </c>
      <c r="AK183" s="147" t="s">
        <v>1192</v>
      </c>
      <c r="AL183" s="148" t="s">
        <v>1188</v>
      </c>
      <c r="AM183" s="149" t="s">
        <v>1204</v>
      </c>
      <c r="AN183" s="150">
        <v>290000</v>
      </c>
      <c r="AO183" s="150" t="s">
        <v>1190</v>
      </c>
      <c r="AP183" s="151" t="s">
        <v>1191</v>
      </c>
      <c r="AQ183" s="152">
        <f t="shared" si="111"/>
        <v>243697.47899159664</v>
      </c>
      <c r="AR183" s="153">
        <f t="shared" si="112"/>
        <v>46302.521008403361</v>
      </c>
      <c r="AS183" s="153">
        <f t="shared" si="113"/>
        <v>290000</v>
      </c>
      <c r="AT183" s="153">
        <f t="shared" si="122"/>
        <v>290000</v>
      </c>
      <c r="AU183" s="153">
        <f t="shared" si="114"/>
        <v>290000</v>
      </c>
      <c r="AV183" s="154">
        <f t="shared" si="115"/>
        <v>279133.33333333331</v>
      </c>
      <c r="AW183" s="154">
        <f t="shared" si="116"/>
        <v>279133.33333333331</v>
      </c>
      <c r="AX183" s="154">
        <f t="shared" si="117"/>
        <v>15171.464442608476</v>
      </c>
      <c r="AY183" s="155">
        <f t="shared" si="118"/>
        <v>5.4352034067142861E-2</v>
      </c>
      <c r="AZ183" s="5" t="s">
        <v>1829</v>
      </c>
      <c r="BA183" s="7">
        <f t="shared" si="119"/>
        <v>3</v>
      </c>
    </row>
    <row r="184" spans="1:53" ht="58.15" hidden="1" customHeight="1">
      <c r="A184" s="6" t="s">
        <v>1182</v>
      </c>
      <c r="B184" s="6" t="s">
        <v>1183</v>
      </c>
      <c r="C184" s="6">
        <v>55121714</v>
      </c>
      <c r="D184" s="6" t="s">
        <v>1830</v>
      </c>
      <c r="E184" s="127" t="s">
        <v>1831</v>
      </c>
      <c r="F184" s="128" t="s">
        <v>191</v>
      </c>
      <c r="G184" s="129">
        <v>1</v>
      </c>
      <c r="H184" s="128" t="s">
        <v>192</v>
      </c>
      <c r="I184" s="130" t="s">
        <v>1230</v>
      </c>
      <c r="J184" s="131">
        <v>46070</v>
      </c>
      <c r="K184" s="132" t="s">
        <v>1200</v>
      </c>
      <c r="L184" s="133" t="s">
        <v>1193</v>
      </c>
      <c r="M184" s="131" t="s">
        <v>1196</v>
      </c>
      <c r="N184" s="134">
        <v>80000</v>
      </c>
      <c r="O184" s="134" t="s">
        <v>1197</v>
      </c>
      <c r="P184" s="134" t="s">
        <v>1191</v>
      </c>
      <c r="Q184" s="135">
        <f t="shared" si="103"/>
        <v>80000</v>
      </c>
      <c r="R184" s="136">
        <f t="shared" si="104"/>
        <v>15200</v>
      </c>
      <c r="S184" s="136">
        <f t="shared" si="105"/>
        <v>95200</v>
      </c>
      <c r="T184" s="136">
        <f t="shared" si="120"/>
        <v>80000</v>
      </c>
      <c r="U184" s="136">
        <f t="shared" si="106"/>
        <v>95200</v>
      </c>
      <c r="V184" s="137" t="s">
        <v>1230</v>
      </c>
      <c r="W184" s="138">
        <v>46070</v>
      </c>
      <c r="X184" s="139" t="s">
        <v>1221</v>
      </c>
      <c r="Y184" s="140" t="s">
        <v>1193</v>
      </c>
      <c r="Z184" s="141" t="s">
        <v>1521</v>
      </c>
      <c r="AA184" s="142">
        <v>75000</v>
      </c>
      <c r="AB184" s="142" t="s">
        <v>1197</v>
      </c>
      <c r="AC184" s="142" t="s">
        <v>1191</v>
      </c>
      <c r="AD184" s="143">
        <f t="shared" si="107"/>
        <v>75000</v>
      </c>
      <c r="AE184" s="144">
        <f t="shared" si="108"/>
        <v>14250</v>
      </c>
      <c r="AF184" s="144">
        <f t="shared" si="109"/>
        <v>89250</v>
      </c>
      <c r="AG184" s="144">
        <f t="shared" si="121"/>
        <v>75000</v>
      </c>
      <c r="AH184" s="144">
        <f t="shared" si="110"/>
        <v>89250</v>
      </c>
      <c r="AI184" s="145" t="s">
        <v>1230</v>
      </c>
      <c r="AJ184" s="146">
        <v>46070</v>
      </c>
      <c r="AK184" s="147" t="s">
        <v>1231</v>
      </c>
      <c r="AL184" s="148" t="s">
        <v>1193</v>
      </c>
      <c r="AM184" s="149" t="s">
        <v>1211</v>
      </c>
      <c r="AN184" s="150">
        <v>90000</v>
      </c>
      <c r="AO184" s="150" t="s">
        <v>1197</v>
      </c>
      <c r="AP184" s="151" t="s">
        <v>1191</v>
      </c>
      <c r="AQ184" s="152">
        <f t="shared" si="111"/>
        <v>90000</v>
      </c>
      <c r="AR184" s="153">
        <f t="shared" si="112"/>
        <v>17100</v>
      </c>
      <c r="AS184" s="153">
        <f t="shared" si="113"/>
        <v>107100</v>
      </c>
      <c r="AT184" s="153">
        <f t="shared" si="122"/>
        <v>90000</v>
      </c>
      <c r="AU184" s="153">
        <f t="shared" si="114"/>
        <v>107100</v>
      </c>
      <c r="AV184" s="154">
        <f t="shared" si="115"/>
        <v>97183.333333333328</v>
      </c>
      <c r="AW184" s="154">
        <f t="shared" si="116"/>
        <v>97183.333333333328</v>
      </c>
      <c r="AX184" s="154">
        <f t="shared" si="117"/>
        <v>9088.7751283290836</v>
      </c>
      <c r="AY184" s="155">
        <f t="shared" si="118"/>
        <v>9.3521952958282459E-2</v>
      </c>
      <c r="AZ184" s="5"/>
      <c r="BA184" s="7">
        <f t="shared" si="119"/>
        <v>3</v>
      </c>
    </row>
    <row r="185" spans="1:53" ht="58.15" hidden="1" customHeight="1">
      <c r="A185" s="6" t="s">
        <v>1182</v>
      </c>
      <c r="B185" s="6" t="s">
        <v>1183</v>
      </c>
      <c r="C185" s="6">
        <v>55121714</v>
      </c>
      <c r="D185" s="6" t="s">
        <v>1832</v>
      </c>
      <c r="E185" s="127" t="s">
        <v>1833</v>
      </c>
      <c r="F185" s="128" t="s">
        <v>191</v>
      </c>
      <c r="G185" s="129">
        <v>1</v>
      </c>
      <c r="H185" s="128" t="s">
        <v>192</v>
      </c>
      <c r="I185" s="130" t="s">
        <v>1230</v>
      </c>
      <c r="J185" s="131">
        <v>46070</v>
      </c>
      <c r="K185" s="132" t="s">
        <v>1200</v>
      </c>
      <c r="L185" s="133" t="s">
        <v>1193</v>
      </c>
      <c r="M185" s="131" t="s">
        <v>1196</v>
      </c>
      <c r="N185" s="134">
        <v>240000</v>
      </c>
      <c r="O185" s="134" t="s">
        <v>1197</v>
      </c>
      <c r="P185" s="134" t="s">
        <v>1191</v>
      </c>
      <c r="Q185" s="135">
        <f t="shared" si="103"/>
        <v>240000</v>
      </c>
      <c r="R185" s="136">
        <f t="shared" si="104"/>
        <v>45600</v>
      </c>
      <c r="S185" s="136">
        <f t="shared" si="105"/>
        <v>285600</v>
      </c>
      <c r="T185" s="136">
        <f t="shared" si="120"/>
        <v>240000</v>
      </c>
      <c r="U185" s="136">
        <f t="shared" si="106"/>
        <v>285600</v>
      </c>
      <c r="V185" s="137" t="s">
        <v>1230</v>
      </c>
      <c r="W185" s="138">
        <v>46070</v>
      </c>
      <c r="X185" s="139" t="s">
        <v>1221</v>
      </c>
      <c r="Y185" s="140" t="s">
        <v>1193</v>
      </c>
      <c r="Z185" s="141" t="s">
        <v>1521</v>
      </c>
      <c r="AA185" s="142">
        <v>200000</v>
      </c>
      <c r="AB185" s="142" t="s">
        <v>1197</v>
      </c>
      <c r="AC185" s="142" t="s">
        <v>1191</v>
      </c>
      <c r="AD185" s="143">
        <f t="shared" si="107"/>
        <v>200000</v>
      </c>
      <c r="AE185" s="144">
        <f t="shared" si="108"/>
        <v>38000</v>
      </c>
      <c r="AF185" s="144">
        <f t="shared" si="109"/>
        <v>238000</v>
      </c>
      <c r="AG185" s="144">
        <f t="shared" si="121"/>
        <v>200000</v>
      </c>
      <c r="AH185" s="144">
        <f t="shared" si="110"/>
        <v>238000</v>
      </c>
      <c r="AI185" s="145" t="s">
        <v>1230</v>
      </c>
      <c r="AJ185" s="146">
        <v>46071</v>
      </c>
      <c r="AK185" s="147" t="s">
        <v>1215</v>
      </c>
      <c r="AL185" s="148" t="s">
        <v>1193</v>
      </c>
      <c r="AM185" s="149" t="s">
        <v>1216</v>
      </c>
      <c r="AN185" s="150">
        <v>245000</v>
      </c>
      <c r="AO185" s="150" t="s">
        <v>1197</v>
      </c>
      <c r="AP185" s="151" t="s">
        <v>1217</v>
      </c>
      <c r="AQ185" s="152">
        <f t="shared" si="111"/>
        <v>245000</v>
      </c>
      <c r="AR185" s="153">
        <f t="shared" si="112"/>
        <v>0</v>
      </c>
      <c r="AS185" s="153">
        <f t="shared" si="113"/>
        <v>245000</v>
      </c>
      <c r="AT185" s="153">
        <f t="shared" si="122"/>
        <v>245000</v>
      </c>
      <c r="AU185" s="153">
        <f t="shared" si="114"/>
        <v>245000</v>
      </c>
      <c r="AV185" s="154">
        <f t="shared" si="115"/>
        <v>256200</v>
      </c>
      <c r="AW185" s="154">
        <f t="shared" si="116"/>
        <v>256200</v>
      </c>
      <c r="AX185" s="154">
        <f t="shared" si="117"/>
        <v>25700.583650960147</v>
      </c>
      <c r="AY185" s="155">
        <f t="shared" si="118"/>
        <v>0.10031453415675311</v>
      </c>
      <c r="AZ185" s="5"/>
      <c r="BA185" s="7">
        <f t="shared" si="119"/>
        <v>3</v>
      </c>
    </row>
    <row r="186" spans="1:53" ht="348" hidden="1" customHeight="1">
      <c r="A186" s="6" t="s">
        <v>569</v>
      </c>
      <c r="B186" s="6" t="s">
        <v>569</v>
      </c>
      <c r="C186" s="6" t="s">
        <v>569</v>
      </c>
      <c r="D186" s="6" t="s">
        <v>1834</v>
      </c>
      <c r="E186" s="127" t="s">
        <v>1835</v>
      </c>
      <c r="F186" s="128" t="s">
        <v>1247</v>
      </c>
      <c r="G186" s="129">
        <v>1</v>
      </c>
      <c r="H186" s="128"/>
      <c r="I186" s="130" t="s">
        <v>569</v>
      </c>
      <c r="J186" s="131" t="s">
        <v>569</v>
      </c>
      <c r="K186" s="132" t="s">
        <v>569</v>
      </c>
      <c r="L186" s="133" t="s">
        <v>569</v>
      </c>
      <c r="M186" s="131" t="s">
        <v>569</v>
      </c>
      <c r="N186" s="134"/>
      <c r="O186" s="134"/>
      <c r="P186" s="134"/>
      <c r="Q186" s="135" t="s">
        <v>1248</v>
      </c>
      <c r="R186" s="136" t="s">
        <v>1248</v>
      </c>
      <c r="S186" s="136" t="s">
        <v>1248</v>
      </c>
      <c r="T186" s="136" t="s">
        <v>1248</v>
      </c>
      <c r="U186" s="136" t="s">
        <v>1248</v>
      </c>
      <c r="V186" s="137" t="s">
        <v>569</v>
      </c>
      <c r="W186" s="138" t="s">
        <v>569</v>
      </c>
      <c r="X186" s="139" t="s">
        <v>569</v>
      </c>
      <c r="Y186" s="140" t="s">
        <v>569</v>
      </c>
      <c r="Z186" s="141" t="s">
        <v>1249</v>
      </c>
      <c r="AA186" s="142" t="s">
        <v>569</v>
      </c>
      <c r="AB186" s="142" t="s">
        <v>569</v>
      </c>
      <c r="AC186" s="142" t="s">
        <v>569</v>
      </c>
      <c r="AD186" s="143" t="s">
        <v>569</v>
      </c>
      <c r="AE186" s="144" t="s">
        <v>569</v>
      </c>
      <c r="AF186" s="144">
        <v>272391</v>
      </c>
      <c r="AG186" s="144">
        <v>5.5599999999999997E-2</v>
      </c>
      <c r="AH186" s="144">
        <v>287535</v>
      </c>
      <c r="AI186" s="145" t="s">
        <v>569</v>
      </c>
      <c r="AJ186" s="146" t="s">
        <v>569</v>
      </c>
      <c r="AK186" s="147" t="s">
        <v>569</v>
      </c>
      <c r="AL186" s="148" t="s">
        <v>569</v>
      </c>
      <c r="AM186" s="149" t="s">
        <v>1250</v>
      </c>
      <c r="AN186" s="150" t="s">
        <v>569</v>
      </c>
      <c r="AO186" s="150" t="s">
        <v>569</v>
      </c>
      <c r="AP186" s="151" t="s">
        <v>569</v>
      </c>
      <c r="AQ186" s="152">
        <v>234622</v>
      </c>
      <c r="AR186" s="153">
        <v>44578</v>
      </c>
      <c r="AS186" s="153">
        <v>279200</v>
      </c>
      <c r="AT186" s="153">
        <v>234622</v>
      </c>
      <c r="AU186" s="153">
        <v>279200</v>
      </c>
      <c r="AV186" s="154">
        <v>283368</v>
      </c>
      <c r="AW186" s="154">
        <v>283368</v>
      </c>
      <c r="AX186" s="154">
        <v>5893.84</v>
      </c>
      <c r="AY186" s="155">
        <v>2.0799999999999999E-2</v>
      </c>
      <c r="AZ186" s="5"/>
      <c r="BA186" s="7"/>
    </row>
    <row r="187" spans="1:53" ht="58.15" hidden="1" customHeight="1">
      <c r="A187" s="6" t="s">
        <v>1182</v>
      </c>
      <c r="B187" s="6" t="s">
        <v>1183</v>
      </c>
      <c r="C187" s="6">
        <v>55121720</v>
      </c>
      <c r="D187" s="6" t="s">
        <v>1836</v>
      </c>
      <c r="E187" s="127" t="s">
        <v>1837</v>
      </c>
      <c r="F187" s="128" t="s">
        <v>191</v>
      </c>
      <c r="G187" s="129">
        <v>1</v>
      </c>
      <c r="H187" s="128" t="s">
        <v>192</v>
      </c>
      <c r="I187" s="130" t="s">
        <v>1230</v>
      </c>
      <c r="J187" s="131">
        <v>46070</v>
      </c>
      <c r="K187" s="132" t="s">
        <v>1200</v>
      </c>
      <c r="L187" s="133" t="s">
        <v>1188</v>
      </c>
      <c r="M187" s="131" t="s">
        <v>1196</v>
      </c>
      <c r="N187" s="134">
        <v>18000</v>
      </c>
      <c r="O187" s="134" t="s">
        <v>1197</v>
      </c>
      <c r="P187" s="134" t="s">
        <v>1191</v>
      </c>
      <c r="Q187" s="135">
        <f>IF(O187="IVA Incluido",(N187/1.19),N187)</f>
        <v>18000</v>
      </c>
      <c r="R187" s="136">
        <f t="shared" ref="R187:R192" si="123">IF(P187="Si tiene IVA",Q187*19%,0)</f>
        <v>3420</v>
      </c>
      <c r="S187" s="136">
        <f t="shared" ref="S187:S192" si="124">Q187+R187</f>
        <v>21420</v>
      </c>
      <c r="T187" s="136">
        <f t="shared" ref="T187:T192" si="125">IF(B187="","",(N187*G187))</f>
        <v>18000</v>
      </c>
      <c r="U187" s="136">
        <f t="shared" ref="U187:U192" si="126">IF(B187="","",(S187*G187))</f>
        <v>21420</v>
      </c>
      <c r="V187" s="137" t="s">
        <v>1186</v>
      </c>
      <c r="W187" s="138">
        <v>46078</v>
      </c>
      <c r="X187" s="139" t="s">
        <v>1202</v>
      </c>
      <c r="Y187" s="140" t="s">
        <v>1193</v>
      </c>
      <c r="Z187" s="141" t="s">
        <v>1838</v>
      </c>
      <c r="AA187" s="142">
        <v>12500</v>
      </c>
      <c r="AB187" s="142" t="s">
        <v>1197</v>
      </c>
      <c r="AC187" s="142" t="s">
        <v>1191</v>
      </c>
      <c r="AD187" s="143">
        <f>IF(AB187="IVA Incluido",(AA187/1.19),AA187)</f>
        <v>12500</v>
      </c>
      <c r="AE187" s="144">
        <f t="shared" ref="AE187:AE192" si="127">IF(AC187="Si tiene IVA",AD187*19%,0)</f>
        <v>2375</v>
      </c>
      <c r="AF187" s="144">
        <f t="shared" ref="AF187:AF192" si="128">AD187+AE187</f>
        <v>14875</v>
      </c>
      <c r="AG187" s="144">
        <f t="shared" ref="AG187:AG192" si="129">IF(O187="","",(AA187*G187))</f>
        <v>12500</v>
      </c>
      <c r="AH187" s="144">
        <f t="shared" ref="AH187:AH192" si="130">IF(O187="","",(AF187*G187))</f>
        <v>14875</v>
      </c>
      <c r="AI187" s="145" t="s">
        <v>1186</v>
      </c>
      <c r="AJ187" s="146">
        <v>46078</v>
      </c>
      <c r="AK187" s="147" t="s">
        <v>1192</v>
      </c>
      <c r="AL187" s="148" t="s">
        <v>1188</v>
      </c>
      <c r="AM187" s="149" t="s">
        <v>1204</v>
      </c>
      <c r="AN187" s="150">
        <v>18000</v>
      </c>
      <c r="AO187" s="150" t="s">
        <v>1190</v>
      </c>
      <c r="AP187" s="151" t="s">
        <v>1191</v>
      </c>
      <c r="AQ187" s="152">
        <f t="shared" ref="AQ187:AQ192" si="131">IF(AO187="IVA Incluido",(AN187/1.19),AN187)</f>
        <v>15126.050420168069</v>
      </c>
      <c r="AR187" s="153">
        <f t="shared" ref="AR187:AR192" si="132">IF(AP187="Si tiene IVA",AQ187*19%,0)</f>
        <v>2873.9495798319331</v>
      </c>
      <c r="AS187" s="153">
        <f t="shared" ref="AS187:AS192" si="133">AQ187+AR187</f>
        <v>18000</v>
      </c>
      <c r="AT187" s="153">
        <f t="shared" ref="AT187:AT192" si="134">IF(AB187="","",(AN187*G187))</f>
        <v>18000</v>
      </c>
      <c r="AU187" s="153">
        <f t="shared" ref="AU187:AU192" si="135">IF(AB187="","",(AS187*G187))</f>
        <v>18000</v>
      </c>
      <c r="AV187" s="154">
        <f t="shared" ref="AV187:AV192" si="136">IF(A187="","",AVERAGE(S187,AF187,AS187))</f>
        <v>18098.333333333332</v>
      </c>
      <c r="AW187" s="154">
        <f t="shared" ref="AW187:AW192" si="137">IF(A187="","",AVERAGE(U187,AH187,AU187))</f>
        <v>18098.333333333332</v>
      </c>
      <c r="AX187" s="154">
        <f t="shared" ref="AX187:AX192" si="138">IF(N187="","",STDEV(U187,AH187,AU187))</f>
        <v>3273.6078466018671</v>
      </c>
      <c r="AY187" s="155">
        <f t="shared" ref="AY187:AY192" si="139">IF(N187="","",(AX187/AW187))</f>
        <v>0.18087896748882221</v>
      </c>
      <c r="AZ187" s="5"/>
      <c r="BA187" s="7">
        <f t="shared" ref="BA187:BA192" si="140">COUNTA(M187,Z187,AM187)</f>
        <v>3</v>
      </c>
    </row>
    <row r="188" spans="1:53" ht="58.15" hidden="1" customHeight="1">
      <c r="A188" s="6" t="s">
        <v>1182</v>
      </c>
      <c r="B188" s="6" t="s">
        <v>1183</v>
      </c>
      <c r="C188" s="6">
        <v>55121720</v>
      </c>
      <c r="D188" s="6" t="s">
        <v>1839</v>
      </c>
      <c r="E188" s="127" t="s">
        <v>1840</v>
      </c>
      <c r="F188" s="128" t="s">
        <v>191</v>
      </c>
      <c r="G188" s="129">
        <v>1</v>
      </c>
      <c r="H188" s="128" t="s">
        <v>192</v>
      </c>
      <c r="I188" s="130" t="s">
        <v>1186</v>
      </c>
      <c r="J188" s="131">
        <v>46078</v>
      </c>
      <c r="K188" s="132" t="s">
        <v>1200</v>
      </c>
      <c r="L188" s="133" t="s">
        <v>1188</v>
      </c>
      <c r="M188" s="131" t="s">
        <v>1196</v>
      </c>
      <c r="N188" s="134">
        <v>18000</v>
      </c>
      <c r="O188" s="134" t="s">
        <v>1197</v>
      </c>
      <c r="P188" s="134" t="s">
        <v>1191</v>
      </c>
      <c r="Q188" s="135">
        <v>18000</v>
      </c>
      <c r="R188" s="136">
        <f t="shared" si="123"/>
        <v>3420</v>
      </c>
      <c r="S188" s="136">
        <f t="shared" si="124"/>
        <v>21420</v>
      </c>
      <c r="T188" s="136">
        <f t="shared" si="125"/>
        <v>18000</v>
      </c>
      <c r="U188" s="136">
        <f t="shared" si="126"/>
        <v>21420</v>
      </c>
      <c r="V188" s="137" t="s">
        <v>1186</v>
      </c>
      <c r="W188" s="138">
        <v>46078</v>
      </c>
      <c r="X188" s="139" t="s">
        <v>1202</v>
      </c>
      <c r="Y188" s="140" t="s">
        <v>1193</v>
      </c>
      <c r="Z188" s="141" t="s">
        <v>1202</v>
      </c>
      <c r="AA188" s="142">
        <v>12500</v>
      </c>
      <c r="AB188" s="142" t="s">
        <v>1197</v>
      </c>
      <c r="AC188" s="142" t="s">
        <v>1191</v>
      </c>
      <c r="AD188" s="143">
        <v>12500</v>
      </c>
      <c r="AE188" s="144">
        <f t="shared" si="127"/>
        <v>2375</v>
      </c>
      <c r="AF188" s="144">
        <f t="shared" si="128"/>
        <v>14875</v>
      </c>
      <c r="AG188" s="144">
        <f t="shared" si="129"/>
        <v>12500</v>
      </c>
      <c r="AH188" s="144">
        <f t="shared" si="130"/>
        <v>14875</v>
      </c>
      <c r="AI188" s="145" t="s">
        <v>1186</v>
      </c>
      <c r="AJ188" s="146">
        <v>46078</v>
      </c>
      <c r="AK188" s="147" t="s">
        <v>1192</v>
      </c>
      <c r="AL188" s="148" t="s">
        <v>1188</v>
      </c>
      <c r="AM188" s="149" t="s">
        <v>1204</v>
      </c>
      <c r="AN188" s="150">
        <v>18000</v>
      </c>
      <c r="AO188" s="150" t="s">
        <v>1190</v>
      </c>
      <c r="AP188" s="151" t="s">
        <v>1191</v>
      </c>
      <c r="AQ188" s="152">
        <f t="shared" si="131"/>
        <v>15126.050420168069</v>
      </c>
      <c r="AR188" s="153">
        <f t="shared" si="132"/>
        <v>2873.9495798319331</v>
      </c>
      <c r="AS188" s="153">
        <f t="shared" si="133"/>
        <v>18000</v>
      </c>
      <c r="AT188" s="153">
        <f t="shared" si="134"/>
        <v>18000</v>
      </c>
      <c r="AU188" s="153">
        <f t="shared" si="135"/>
        <v>18000</v>
      </c>
      <c r="AV188" s="154">
        <f t="shared" si="136"/>
        <v>18098.333333333332</v>
      </c>
      <c r="AW188" s="154">
        <f t="shared" si="137"/>
        <v>18098.333333333332</v>
      </c>
      <c r="AX188" s="154">
        <f t="shared" si="138"/>
        <v>3273.6078466018671</v>
      </c>
      <c r="AY188" s="155">
        <f t="shared" si="139"/>
        <v>0.18087896748882221</v>
      </c>
      <c r="AZ188" s="5"/>
      <c r="BA188" s="7">
        <f t="shared" si="140"/>
        <v>3</v>
      </c>
    </row>
    <row r="189" spans="1:53" ht="58.15" hidden="1" customHeight="1">
      <c r="A189" s="6" t="s">
        <v>1182</v>
      </c>
      <c r="B189" s="6" t="s">
        <v>1183</v>
      </c>
      <c r="C189" s="6">
        <v>55121720</v>
      </c>
      <c r="D189" s="6" t="s">
        <v>1841</v>
      </c>
      <c r="E189" s="127" t="s">
        <v>1842</v>
      </c>
      <c r="F189" s="128" t="s">
        <v>191</v>
      </c>
      <c r="G189" s="129">
        <v>1</v>
      </c>
      <c r="H189" s="128" t="s">
        <v>192</v>
      </c>
      <c r="I189" s="130" t="s">
        <v>1186</v>
      </c>
      <c r="J189" s="131">
        <v>46078</v>
      </c>
      <c r="K189" s="132" t="s">
        <v>1200</v>
      </c>
      <c r="L189" s="133" t="s">
        <v>1188</v>
      </c>
      <c r="M189" s="131" t="s">
        <v>1196</v>
      </c>
      <c r="N189" s="134">
        <v>18000</v>
      </c>
      <c r="O189" s="134" t="s">
        <v>1197</v>
      </c>
      <c r="P189" s="134" t="s">
        <v>1191</v>
      </c>
      <c r="Q189" s="135">
        <v>18000</v>
      </c>
      <c r="R189" s="136">
        <f t="shared" si="123"/>
        <v>3420</v>
      </c>
      <c r="S189" s="136">
        <f t="shared" si="124"/>
        <v>21420</v>
      </c>
      <c r="T189" s="136">
        <f t="shared" si="125"/>
        <v>18000</v>
      </c>
      <c r="U189" s="136">
        <f t="shared" si="126"/>
        <v>21420</v>
      </c>
      <c r="V189" s="137" t="s">
        <v>1186</v>
      </c>
      <c r="W189" s="138">
        <v>46078</v>
      </c>
      <c r="X189" s="139" t="s">
        <v>1202</v>
      </c>
      <c r="Y189" s="140" t="s">
        <v>1193</v>
      </c>
      <c r="Z189" s="141" t="s">
        <v>1202</v>
      </c>
      <c r="AA189" s="142">
        <v>12500</v>
      </c>
      <c r="AB189" s="142" t="s">
        <v>1197</v>
      </c>
      <c r="AC189" s="142" t="s">
        <v>1191</v>
      </c>
      <c r="AD189" s="143">
        <v>12500</v>
      </c>
      <c r="AE189" s="144">
        <f t="shared" si="127"/>
        <v>2375</v>
      </c>
      <c r="AF189" s="144">
        <f t="shared" si="128"/>
        <v>14875</v>
      </c>
      <c r="AG189" s="144">
        <f t="shared" si="129"/>
        <v>12500</v>
      </c>
      <c r="AH189" s="144">
        <f t="shared" si="130"/>
        <v>14875</v>
      </c>
      <c r="AI189" s="145" t="s">
        <v>1186</v>
      </c>
      <c r="AJ189" s="146">
        <v>46078</v>
      </c>
      <c r="AK189" s="147" t="s">
        <v>1192</v>
      </c>
      <c r="AL189" s="148" t="s">
        <v>1188</v>
      </c>
      <c r="AM189" s="149" t="s">
        <v>1204</v>
      </c>
      <c r="AN189" s="150">
        <v>18000</v>
      </c>
      <c r="AO189" s="150" t="s">
        <v>1190</v>
      </c>
      <c r="AP189" s="151" t="s">
        <v>1191</v>
      </c>
      <c r="AQ189" s="152">
        <f t="shared" si="131"/>
        <v>15126.050420168069</v>
      </c>
      <c r="AR189" s="153">
        <f t="shared" si="132"/>
        <v>2873.9495798319331</v>
      </c>
      <c r="AS189" s="153">
        <f t="shared" si="133"/>
        <v>18000</v>
      </c>
      <c r="AT189" s="153">
        <f t="shared" si="134"/>
        <v>18000</v>
      </c>
      <c r="AU189" s="153">
        <f t="shared" si="135"/>
        <v>18000</v>
      </c>
      <c r="AV189" s="154">
        <f t="shared" si="136"/>
        <v>18098.333333333332</v>
      </c>
      <c r="AW189" s="154">
        <f t="shared" si="137"/>
        <v>18098.333333333332</v>
      </c>
      <c r="AX189" s="154">
        <f t="shared" si="138"/>
        <v>3273.6078466018671</v>
      </c>
      <c r="AY189" s="155">
        <f t="shared" si="139"/>
        <v>0.18087896748882221</v>
      </c>
      <c r="AZ189" s="5"/>
      <c r="BA189" s="7">
        <f t="shared" si="140"/>
        <v>3</v>
      </c>
    </row>
    <row r="190" spans="1:53" ht="116.1" hidden="1" customHeight="1">
      <c r="A190" s="6" t="s">
        <v>1182</v>
      </c>
      <c r="B190" s="6" t="s">
        <v>1251</v>
      </c>
      <c r="C190" s="6"/>
      <c r="D190" s="6" t="s">
        <v>1843</v>
      </c>
      <c r="E190" s="127" t="s">
        <v>1844</v>
      </c>
      <c r="F190" s="128" t="s">
        <v>191</v>
      </c>
      <c r="G190" s="129">
        <v>1</v>
      </c>
      <c r="H190" s="128" t="s">
        <v>192</v>
      </c>
      <c r="I190" s="130" t="s">
        <v>1199</v>
      </c>
      <c r="J190" s="131">
        <v>46092</v>
      </c>
      <c r="K190" s="132" t="s">
        <v>1579</v>
      </c>
      <c r="L190" s="133" t="s">
        <v>1188</v>
      </c>
      <c r="M190" s="131" t="s">
        <v>1580</v>
      </c>
      <c r="N190" s="134">
        <v>11000</v>
      </c>
      <c r="O190" s="134" t="s">
        <v>1197</v>
      </c>
      <c r="P190" s="134" t="s">
        <v>1191</v>
      </c>
      <c r="Q190" s="135">
        <f>IF(O190="IVA Incluido",(N190/1.19),N190)</f>
        <v>11000</v>
      </c>
      <c r="R190" s="136">
        <f t="shared" si="123"/>
        <v>2090</v>
      </c>
      <c r="S190" s="136">
        <f t="shared" si="124"/>
        <v>13090</v>
      </c>
      <c r="T190" s="136">
        <f t="shared" si="125"/>
        <v>11000</v>
      </c>
      <c r="U190" s="136">
        <f t="shared" si="126"/>
        <v>13090</v>
      </c>
      <c r="V190" s="137" t="s">
        <v>1199</v>
      </c>
      <c r="W190" s="138">
        <v>46092</v>
      </c>
      <c r="X190" s="139" t="s">
        <v>1845</v>
      </c>
      <c r="Y190" s="140" t="s">
        <v>1193</v>
      </c>
      <c r="Z190" s="141" t="s">
        <v>1846</v>
      </c>
      <c r="AA190" s="142">
        <v>14900</v>
      </c>
      <c r="AB190" s="142" t="s">
        <v>1190</v>
      </c>
      <c r="AC190" s="142" t="s">
        <v>1191</v>
      </c>
      <c r="AD190" s="143">
        <f>IF(AB190="IVA Incluido",(AA190/1.19),AA190)</f>
        <v>12521.008403361346</v>
      </c>
      <c r="AE190" s="144">
        <f t="shared" si="127"/>
        <v>2378.9915966386557</v>
      </c>
      <c r="AF190" s="144">
        <f t="shared" si="128"/>
        <v>14900.000000000002</v>
      </c>
      <c r="AG190" s="144">
        <f t="shared" si="129"/>
        <v>14900</v>
      </c>
      <c r="AH190" s="144">
        <f t="shared" si="130"/>
        <v>14900.000000000002</v>
      </c>
      <c r="AI190" s="145" t="s">
        <v>1199</v>
      </c>
      <c r="AJ190" s="146">
        <v>46092</v>
      </c>
      <c r="AK190" s="147" t="s">
        <v>1847</v>
      </c>
      <c r="AL190" s="148" t="s">
        <v>1193</v>
      </c>
      <c r="AM190" s="149" t="s">
        <v>769</v>
      </c>
      <c r="AN190" s="150">
        <v>19900</v>
      </c>
      <c r="AO190" s="150" t="s">
        <v>1190</v>
      </c>
      <c r="AP190" s="151" t="s">
        <v>1191</v>
      </c>
      <c r="AQ190" s="152">
        <f t="shared" si="131"/>
        <v>16722.689075630253</v>
      </c>
      <c r="AR190" s="153">
        <f t="shared" si="132"/>
        <v>3177.3109243697481</v>
      </c>
      <c r="AS190" s="153">
        <f t="shared" si="133"/>
        <v>19900</v>
      </c>
      <c r="AT190" s="153">
        <f t="shared" si="134"/>
        <v>19900</v>
      </c>
      <c r="AU190" s="153">
        <f t="shared" si="135"/>
        <v>19900</v>
      </c>
      <c r="AV190" s="154">
        <f t="shared" si="136"/>
        <v>15963.333333333334</v>
      </c>
      <c r="AW190" s="154">
        <f t="shared" si="137"/>
        <v>15963.333333333334</v>
      </c>
      <c r="AX190" s="154">
        <f t="shared" si="138"/>
        <v>3527.3266553203312</v>
      </c>
      <c r="AY190" s="155">
        <f t="shared" si="139"/>
        <v>0.22096429246107732</v>
      </c>
      <c r="AZ190" s="5"/>
      <c r="BA190" s="7">
        <f t="shared" si="140"/>
        <v>3</v>
      </c>
    </row>
    <row r="191" spans="1:53" ht="87" hidden="1" customHeight="1">
      <c r="A191" s="6" t="s">
        <v>1182</v>
      </c>
      <c r="B191" s="6" t="s">
        <v>1251</v>
      </c>
      <c r="C191" s="6">
        <v>60121211</v>
      </c>
      <c r="D191" s="6" t="s">
        <v>1848</v>
      </c>
      <c r="E191" s="127" t="s">
        <v>1849</v>
      </c>
      <c r="F191" s="128" t="s">
        <v>191</v>
      </c>
      <c r="G191" s="129">
        <v>1</v>
      </c>
      <c r="H191" s="128" t="s">
        <v>192</v>
      </c>
      <c r="I191" s="130" t="s">
        <v>1186</v>
      </c>
      <c r="J191" s="131">
        <v>46091</v>
      </c>
      <c r="K191" s="132" t="s">
        <v>1850</v>
      </c>
      <c r="L191" s="133" t="s">
        <v>1193</v>
      </c>
      <c r="M191" s="131" t="s">
        <v>1851</v>
      </c>
      <c r="N191" s="134">
        <v>42900</v>
      </c>
      <c r="O191" s="134" t="s">
        <v>1190</v>
      </c>
      <c r="P191" s="134" t="s">
        <v>1191</v>
      </c>
      <c r="Q191" s="135">
        <f>IF(O191="IVA Incluido",(N191/1.19),N191)</f>
        <v>36050.420168067227</v>
      </c>
      <c r="R191" s="136">
        <f t="shared" si="123"/>
        <v>6849.5798319327732</v>
      </c>
      <c r="S191" s="136">
        <f t="shared" si="124"/>
        <v>42900</v>
      </c>
      <c r="T191" s="136">
        <f t="shared" si="125"/>
        <v>42900</v>
      </c>
      <c r="U191" s="136">
        <f t="shared" si="126"/>
        <v>42900</v>
      </c>
      <c r="V191" s="137" t="s">
        <v>1186</v>
      </c>
      <c r="W191" s="138">
        <v>46091</v>
      </c>
      <c r="X191" s="139" t="s">
        <v>1852</v>
      </c>
      <c r="Y191" s="140" t="s">
        <v>1188</v>
      </c>
      <c r="Z191" s="141" t="s">
        <v>1700</v>
      </c>
      <c r="AA191" s="142">
        <v>49500</v>
      </c>
      <c r="AB191" s="142" t="s">
        <v>1190</v>
      </c>
      <c r="AC191" s="142" t="s">
        <v>1191</v>
      </c>
      <c r="AD191" s="143">
        <f>IF(AB191="IVA Incluido",(AA191/1.19),AA191)</f>
        <v>41596.638655462186</v>
      </c>
      <c r="AE191" s="144">
        <f t="shared" si="127"/>
        <v>7903.3613445378151</v>
      </c>
      <c r="AF191" s="144">
        <f t="shared" si="128"/>
        <v>49500</v>
      </c>
      <c r="AG191" s="144">
        <f t="shared" si="129"/>
        <v>49500</v>
      </c>
      <c r="AH191" s="144">
        <f t="shared" si="130"/>
        <v>49500</v>
      </c>
      <c r="AI191" s="145" t="s">
        <v>1186</v>
      </c>
      <c r="AJ191" s="146">
        <v>46091</v>
      </c>
      <c r="AK191" s="147" t="s">
        <v>1853</v>
      </c>
      <c r="AL191" s="148" t="s">
        <v>1193</v>
      </c>
      <c r="AM191" s="149" t="s">
        <v>1854</v>
      </c>
      <c r="AN191" s="150">
        <v>41000</v>
      </c>
      <c r="AO191" s="150" t="s">
        <v>1190</v>
      </c>
      <c r="AP191" s="151" t="s">
        <v>1191</v>
      </c>
      <c r="AQ191" s="152">
        <f t="shared" si="131"/>
        <v>34453.781512605041</v>
      </c>
      <c r="AR191" s="153">
        <f t="shared" si="132"/>
        <v>6546.2184873949582</v>
      </c>
      <c r="AS191" s="153">
        <f t="shared" si="133"/>
        <v>41000</v>
      </c>
      <c r="AT191" s="153">
        <f t="shared" si="134"/>
        <v>41000</v>
      </c>
      <c r="AU191" s="153">
        <f t="shared" si="135"/>
        <v>41000</v>
      </c>
      <c r="AV191" s="154">
        <f t="shared" si="136"/>
        <v>44466.666666666664</v>
      </c>
      <c r="AW191" s="154">
        <f t="shared" si="137"/>
        <v>44466.666666666664</v>
      </c>
      <c r="AX191" s="154">
        <f t="shared" si="138"/>
        <v>4461.3152021946771</v>
      </c>
      <c r="AY191" s="155">
        <f t="shared" si="139"/>
        <v>0.10032942733571239</v>
      </c>
      <c r="AZ191" s="5"/>
      <c r="BA191" s="7">
        <f t="shared" si="140"/>
        <v>3</v>
      </c>
    </row>
    <row r="192" spans="1:53" ht="87" hidden="1" customHeight="1">
      <c r="A192" s="6" t="s">
        <v>1182</v>
      </c>
      <c r="B192" s="6" t="s">
        <v>1251</v>
      </c>
      <c r="C192" s="6">
        <v>60121211</v>
      </c>
      <c r="D192" s="6" t="s">
        <v>1855</v>
      </c>
      <c r="E192" s="127" t="s">
        <v>1856</v>
      </c>
      <c r="F192" s="128" t="s">
        <v>191</v>
      </c>
      <c r="G192" s="129">
        <v>1</v>
      </c>
      <c r="H192" s="128" t="s">
        <v>192</v>
      </c>
      <c r="I192" s="130" t="s">
        <v>1199</v>
      </c>
      <c r="J192" s="131">
        <v>46100</v>
      </c>
      <c r="K192" s="132" t="s">
        <v>1857</v>
      </c>
      <c r="L192" s="133" t="s">
        <v>1193</v>
      </c>
      <c r="M192" s="131" t="s">
        <v>431</v>
      </c>
      <c r="N192" s="134">
        <v>34700</v>
      </c>
      <c r="O192" s="134" t="s">
        <v>1190</v>
      </c>
      <c r="P192" s="134" t="s">
        <v>1191</v>
      </c>
      <c r="Q192" s="135">
        <f>IF(O192="IVA Incluido",(N192/1.19),N192)</f>
        <v>29159.663865546219</v>
      </c>
      <c r="R192" s="136">
        <f t="shared" si="123"/>
        <v>5540.3361344537816</v>
      </c>
      <c r="S192" s="136">
        <f t="shared" si="124"/>
        <v>34700</v>
      </c>
      <c r="T192" s="136">
        <f t="shared" si="125"/>
        <v>34700</v>
      </c>
      <c r="U192" s="136">
        <f t="shared" si="126"/>
        <v>34700</v>
      </c>
      <c r="V192" s="137" t="s">
        <v>1199</v>
      </c>
      <c r="W192" s="138">
        <v>46100</v>
      </c>
      <c r="X192" s="139" t="s">
        <v>1256</v>
      </c>
      <c r="Y192" s="140" t="s">
        <v>1193</v>
      </c>
      <c r="Z192" s="141" t="s">
        <v>1858</v>
      </c>
      <c r="AA192" s="142">
        <v>27120</v>
      </c>
      <c r="AB192" s="142" t="s">
        <v>1197</v>
      </c>
      <c r="AC192" s="142" t="s">
        <v>1191</v>
      </c>
      <c r="AD192" s="143">
        <f>IF(AB192="IVA Incluido",(AA192/1.19),AA192)</f>
        <v>27120</v>
      </c>
      <c r="AE192" s="144">
        <f t="shared" si="127"/>
        <v>5152.8</v>
      </c>
      <c r="AF192" s="144">
        <f t="shared" si="128"/>
        <v>32272.799999999999</v>
      </c>
      <c r="AG192" s="144">
        <f t="shared" si="129"/>
        <v>27120</v>
      </c>
      <c r="AH192" s="144">
        <f t="shared" si="130"/>
        <v>32272.799999999999</v>
      </c>
      <c r="AI192" s="145" t="s">
        <v>1199</v>
      </c>
      <c r="AJ192" s="146">
        <v>46100</v>
      </c>
      <c r="AK192" s="147" t="s">
        <v>1423</v>
      </c>
      <c r="AL192" s="148" t="s">
        <v>1193</v>
      </c>
      <c r="AM192" s="149" t="s">
        <v>1859</v>
      </c>
      <c r="AN192" s="150">
        <v>33700</v>
      </c>
      <c r="AO192" s="150" t="s">
        <v>1190</v>
      </c>
      <c r="AP192" s="151" t="s">
        <v>1191</v>
      </c>
      <c r="AQ192" s="152">
        <f t="shared" si="131"/>
        <v>28319.327731092439</v>
      </c>
      <c r="AR192" s="153">
        <f t="shared" si="132"/>
        <v>5380.6722689075632</v>
      </c>
      <c r="AS192" s="153">
        <f t="shared" si="133"/>
        <v>33700</v>
      </c>
      <c r="AT192" s="153">
        <f t="shared" si="134"/>
        <v>33700</v>
      </c>
      <c r="AU192" s="153">
        <f t="shared" si="135"/>
        <v>33700</v>
      </c>
      <c r="AV192" s="154">
        <f t="shared" si="136"/>
        <v>33557.599999999999</v>
      </c>
      <c r="AW192" s="154">
        <f t="shared" si="137"/>
        <v>33557.599999999999</v>
      </c>
      <c r="AX192" s="154">
        <f t="shared" si="138"/>
        <v>1219.8496956592649</v>
      </c>
      <c r="AY192" s="155">
        <f t="shared" si="139"/>
        <v>3.6350921867453721E-2</v>
      </c>
      <c r="AZ192" s="5"/>
      <c r="BA192" s="7">
        <f t="shared" si="140"/>
        <v>3</v>
      </c>
    </row>
    <row r="193" spans="1:53" ht="348" hidden="1" customHeight="1">
      <c r="A193" s="6" t="s">
        <v>569</v>
      </c>
      <c r="B193" s="6" t="s">
        <v>569</v>
      </c>
      <c r="C193" s="6" t="s">
        <v>569</v>
      </c>
      <c r="D193" s="6" t="s">
        <v>1860</v>
      </c>
      <c r="E193" s="127" t="s">
        <v>1861</v>
      </c>
      <c r="F193" s="128" t="s">
        <v>1247</v>
      </c>
      <c r="G193" s="129">
        <v>1</v>
      </c>
      <c r="H193" s="128"/>
      <c r="I193" s="130" t="s">
        <v>569</v>
      </c>
      <c r="J193" s="131" t="s">
        <v>569</v>
      </c>
      <c r="K193" s="132" t="s">
        <v>569</v>
      </c>
      <c r="L193" s="133" t="s">
        <v>569</v>
      </c>
      <c r="M193" s="131" t="s">
        <v>569</v>
      </c>
      <c r="N193" s="134"/>
      <c r="O193" s="134"/>
      <c r="P193" s="134"/>
      <c r="Q193" s="135" t="s">
        <v>1248</v>
      </c>
      <c r="R193" s="136" t="s">
        <v>1248</v>
      </c>
      <c r="S193" s="136" t="s">
        <v>1248</v>
      </c>
      <c r="T193" s="136" t="s">
        <v>1248</v>
      </c>
      <c r="U193" s="136" t="s">
        <v>1248</v>
      </c>
      <c r="V193" s="137" t="s">
        <v>569</v>
      </c>
      <c r="W193" s="138" t="s">
        <v>569</v>
      </c>
      <c r="X193" s="139" t="s">
        <v>569</v>
      </c>
      <c r="Y193" s="140" t="s">
        <v>569</v>
      </c>
      <c r="Z193" s="141" t="s">
        <v>1249</v>
      </c>
      <c r="AA193" s="142" t="s">
        <v>569</v>
      </c>
      <c r="AB193" s="142" t="s">
        <v>569</v>
      </c>
      <c r="AC193" s="142" t="s">
        <v>569</v>
      </c>
      <c r="AD193" s="143" t="s">
        <v>569</v>
      </c>
      <c r="AE193" s="144" t="s">
        <v>569</v>
      </c>
      <c r="AF193" s="144">
        <v>2856099</v>
      </c>
      <c r="AG193" s="144">
        <v>5.5599999999999997E-2</v>
      </c>
      <c r="AH193" s="144">
        <v>3014898</v>
      </c>
      <c r="AI193" s="145" t="s">
        <v>569</v>
      </c>
      <c r="AJ193" s="146" t="s">
        <v>569</v>
      </c>
      <c r="AK193" s="147" t="s">
        <v>569</v>
      </c>
      <c r="AL193" s="148" t="s">
        <v>569</v>
      </c>
      <c r="AM193" s="149" t="s">
        <v>1250</v>
      </c>
      <c r="AN193" s="150" t="s">
        <v>569</v>
      </c>
      <c r="AO193" s="150" t="s">
        <v>569</v>
      </c>
      <c r="AP193" s="151" t="s">
        <v>569</v>
      </c>
      <c r="AQ193" s="152">
        <v>2448084</v>
      </c>
      <c r="AR193" s="153">
        <v>465136</v>
      </c>
      <c r="AS193" s="153">
        <v>2913220</v>
      </c>
      <c r="AT193" s="153">
        <v>2448084</v>
      </c>
      <c r="AU193" s="153">
        <v>2913220</v>
      </c>
      <c r="AV193" s="154">
        <v>2964059</v>
      </c>
      <c r="AW193" s="154">
        <v>2964059</v>
      </c>
      <c r="AX193" s="154">
        <v>71896.570000000007</v>
      </c>
      <c r="AY193" s="155">
        <v>2.4299999999999999E-2</v>
      </c>
      <c r="AZ193" s="5"/>
      <c r="BA193" s="7"/>
    </row>
    <row r="194" spans="1:53" ht="130.5" hidden="1" customHeight="1">
      <c r="A194" s="6" t="s">
        <v>1182</v>
      </c>
      <c r="B194" s="6" t="s">
        <v>1183</v>
      </c>
      <c r="C194" s="6">
        <v>53121602</v>
      </c>
      <c r="D194" s="6" t="s">
        <v>505</v>
      </c>
      <c r="E194" s="6" t="s">
        <v>1862</v>
      </c>
      <c r="F194" s="128" t="s">
        <v>191</v>
      </c>
      <c r="G194" s="129">
        <v>1</v>
      </c>
      <c r="H194" s="128" t="s">
        <v>192</v>
      </c>
      <c r="I194" s="158"/>
      <c r="J194" s="159"/>
      <c r="K194" s="159"/>
      <c r="L194" s="160"/>
      <c r="M194" s="159"/>
      <c r="N194" s="161"/>
      <c r="O194" s="161"/>
      <c r="P194" s="161"/>
      <c r="Q194" s="162"/>
      <c r="R194" s="163"/>
      <c r="S194" s="163"/>
      <c r="T194" s="163"/>
      <c r="U194" s="163"/>
      <c r="V194" s="164" t="s">
        <v>1230</v>
      </c>
      <c r="W194" s="165">
        <v>46087</v>
      </c>
      <c r="X194" s="166"/>
      <c r="Y194" s="167" t="s">
        <v>1193</v>
      </c>
      <c r="Z194" s="167" t="s">
        <v>1216</v>
      </c>
      <c r="AA194" s="168">
        <v>15000</v>
      </c>
      <c r="AB194" s="168" t="s">
        <v>1197</v>
      </c>
      <c r="AC194" s="168" t="s">
        <v>1197</v>
      </c>
      <c r="AD194" s="169">
        <v>15000</v>
      </c>
      <c r="AE194" s="170">
        <f>IF(AC194="Si tiene IVA",AD194*19%,0)</f>
        <v>0</v>
      </c>
      <c r="AF194" s="170">
        <f>AD194+AE194</f>
        <v>15000</v>
      </c>
      <c r="AG194" s="170">
        <f>IF(C194="","",(AA194*G194))</f>
        <v>15000</v>
      </c>
      <c r="AH194" s="170">
        <f>IF(C194="","",(AF194*G194))</f>
        <v>15000</v>
      </c>
      <c r="AI194" s="171" t="s">
        <v>1230</v>
      </c>
      <c r="AJ194" s="172">
        <v>46087</v>
      </c>
      <c r="AK194" s="173" t="s">
        <v>1231</v>
      </c>
      <c r="AL194" s="174" t="s">
        <v>1193</v>
      </c>
      <c r="AM194" s="175" t="s">
        <v>1211</v>
      </c>
      <c r="AN194" s="176">
        <v>12000</v>
      </c>
      <c r="AO194" s="151" t="s">
        <v>1197</v>
      </c>
      <c r="AP194" s="151" t="s">
        <v>1191</v>
      </c>
      <c r="AQ194" s="152">
        <f>IF(AO194="IVA Incluido",(AN194/1.19),AN194)</f>
        <v>12000</v>
      </c>
      <c r="AR194" s="153">
        <f>IF(AP194="Si tiene IVA",AQ194*19%,0)</f>
        <v>2280</v>
      </c>
      <c r="AS194" s="153">
        <f>AQ194+AR194</f>
        <v>14280</v>
      </c>
      <c r="AT194" s="153">
        <f>IF(AB194="","",(AN194*G194))</f>
        <v>12000</v>
      </c>
      <c r="AU194" s="153">
        <f>IF(AB194="","",(AS194*G194))</f>
        <v>14280</v>
      </c>
      <c r="AV194" s="154">
        <f>IF(A194="","",AVERAGE(S194,AF194,AS194))</f>
        <v>14640</v>
      </c>
      <c r="AW194" s="154">
        <f>IF(A194="","",AVERAGE(U194,AH194,AU194))</f>
        <v>14640</v>
      </c>
      <c r="AX194" s="154">
        <f>IF(B194="","",STDEV(U194,AH194,AU194))</f>
        <v>509.11688245431424</v>
      </c>
      <c r="AY194" s="155">
        <f>IF(C194="","",(AX194/AW194))</f>
        <v>3.4775743337043322E-2</v>
      </c>
      <c r="AZ194" s="5"/>
      <c r="BA194" s="7" t="s">
        <v>1679</v>
      </c>
    </row>
    <row r="195" spans="1:53" ht="87" hidden="1" customHeight="1">
      <c r="A195" s="6" t="s">
        <v>1182</v>
      </c>
      <c r="B195" s="6" t="s">
        <v>1251</v>
      </c>
      <c r="C195" s="6">
        <v>52121507</v>
      </c>
      <c r="D195" s="6" t="s">
        <v>1863</v>
      </c>
      <c r="E195" s="127" t="s">
        <v>1864</v>
      </c>
      <c r="F195" s="128" t="s">
        <v>191</v>
      </c>
      <c r="G195" s="129">
        <v>1</v>
      </c>
      <c r="H195" s="128" t="s">
        <v>192</v>
      </c>
      <c r="I195" s="130" t="s">
        <v>1186</v>
      </c>
      <c r="J195" s="131">
        <v>46091</v>
      </c>
      <c r="K195" s="132" t="s">
        <v>1713</v>
      </c>
      <c r="L195" s="133" t="s">
        <v>1188</v>
      </c>
      <c r="M195" s="131" t="s">
        <v>1865</v>
      </c>
      <c r="N195" s="134">
        <v>5200</v>
      </c>
      <c r="O195" s="134" t="s">
        <v>1190</v>
      </c>
      <c r="P195" s="134" t="s">
        <v>1191</v>
      </c>
      <c r="Q195" s="135">
        <f>IF(O195="IVA Incluido",(N195/1.19),N195)</f>
        <v>4369.7478991596645</v>
      </c>
      <c r="R195" s="136">
        <f>IF(P195="Si tiene IVA",Q195*19%,0)</f>
        <v>830.25210084033631</v>
      </c>
      <c r="S195" s="136">
        <f>Q195+R195</f>
        <v>5200.0000000000009</v>
      </c>
      <c r="T195" s="136">
        <f>IF(B195="","",(N195*G195))</f>
        <v>5200</v>
      </c>
      <c r="U195" s="136">
        <f>IF(B195="","",(S195*G195))</f>
        <v>5200.0000000000009</v>
      </c>
      <c r="V195" s="137" t="s">
        <v>1186</v>
      </c>
      <c r="W195" s="138">
        <v>46091</v>
      </c>
      <c r="X195" s="139" t="s">
        <v>1866</v>
      </c>
      <c r="Y195" s="140" t="s">
        <v>1193</v>
      </c>
      <c r="Z195" s="141" t="s">
        <v>1867</v>
      </c>
      <c r="AA195" s="142">
        <v>7500</v>
      </c>
      <c r="AB195" s="142" t="s">
        <v>1190</v>
      </c>
      <c r="AC195" s="142" t="s">
        <v>1191</v>
      </c>
      <c r="AD195" s="143">
        <f>IF(AB195="IVA Incluido",(AA195/1.19),AA195)</f>
        <v>6302.5210084033615</v>
      </c>
      <c r="AE195" s="144">
        <f>IF(AC195="Si tiene IVA",AD195*19%,0)</f>
        <v>1197.4789915966387</v>
      </c>
      <c r="AF195" s="144">
        <f>AD195+AE195</f>
        <v>7500</v>
      </c>
      <c r="AG195" s="144">
        <f>IF(O195="","",(AA195*G195))</f>
        <v>7500</v>
      </c>
      <c r="AH195" s="144">
        <f>IF(O195="","",(AF195*G195))</f>
        <v>7500</v>
      </c>
      <c r="AI195" s="145" t="s">
        <v>1186</v>
      </c>
      <c r="AJ195" s="146">
        <v>46091</v>
      </c>
      <c r="AK195" s="147" t="s">
        <v>1868</v>
      </c>
      <c r="AL195" s="148" t="s">
        <v>1188</v>
      </c>
      <c r="AM195" s="149" t="s">
        <v>1869</v>
      </c>
      <c r="AN195" s="150">
        <v>5900</v>
      </c>
      <c r="AO195" s="150" t="s">
        <v>1190</v>
      </c>
      <c r="AP195" s="151" t="s">
        <v>1191</v>
      </c>
      <c r="AQ195" s="152">
        <f>IF(AO195="IVA Incluido",(AN195/1.19),AN195)</f>
        <v>4957.9831932773113</v>
      </c>
      <c r="AR195" s="153">
        <f>IF(AP195="Si tiene IVA",AQ195*19%,0)</f>
        <v>942.01680672268913</v>
      </c>
      <c r="AS195" s="153">
        <f>AQ195+AR195</f>
        <v>5900</v>
      </c>
      <c r="AT195" s="153">
        <f>IF(AB195="","",(AN195*G195))</f>
        <v>5900</v>
      </c>
      <c r="AU195" s="153">
        <f>IF(AB195="","",(AS195*G195))</f>
        <v>5900</v>
      </c>
      <c r="AV195" s="154">
        <f>IF(A195="","",AVERAGE(S195,AF195,AS195))</f>
        <v>6200</v>
      </c>
      <c r="AW195" s="154">
        <f>IF(A195="","",AVERAGE(U195,AH195,AU195))</f>
        <v>6200</v>
      </c>
      <c r="AX195" s="154">
        <f>IF(N195="","",STDEV(U195,AH195,AU195))</f>
        <v>1178.9826122551628</v>
      </c>
      <c r="AY195" s="155">
        <f>IF(N195="","",(AX195/AW195))</f>
        <v>0.19015848584760692</v>
      </c>
      <c r="AZ195" s="5"/>
      <c r="BA195" s="7">
        <f>COUNTA(M195,Z195,AM195)</f>
        <v>3</v>
      </c>
    </row>
    <row r="196" spans="1:53" ht="72.599999999999994" hidden="1" customHeight="1">
      <c r="A196" s="6" t="s">
        <v>1182</v>
      </c>
      <c r="B196" s="6" t="s">
        <v>1251</v>
      </c>
      <c r="C196" s="6"/>
      <c r="D196" s="6" t="s">
        <v>1870</v>
      </c>
      <c r="E196" s="127" t="s">
        <v>1871</v>
      </c>
      <c r="F196" s="128" t="s">
        <v>191</v>
      </c>
      <c r="G196" s="129">
        <v>1</v>
      </c>
      <c r="H196" s="128" t="s">
        <v>192</v>
      </c>
      <c r="I196" s="130" t="s">
        <v>1186</v>
      </c>
      <c r="J196" s="131">
        <v>46091</v>
      </c>
      <c r="K196" s="132" t="s">
        <v>1579</v>
      </c>
      <c r="L196" s="133" t="s">
        <v>1193</v>
      </c>
      <c r="M196" s="131" t="s">
        <v>1580</v>
      </c>
      <c r="N196" s="134">
        <v>7000</v>
      </c>
      <c r="O196" s="134" t="s">
        <v>1197</v>
      </c>
      <c r="P196" s="134" t="s">
        <v>1191</v>
      </c>
      <c r="Q196" s="135">
        <f>IF(O196="IVA Incluido",(N196/1.19),N196)</f>
        <v>7000</v>
      </c>
      <c r="R196" s="136">
        <f>IF(P196="Si tiene IVA",Q196*19%,0)</f>
        <v>1330</v>
      </c>
      <c r="S196" s="136">
        <f>Q196+R196</f>
        <v>8330</v>
      </c>
      <c r="T196" s="136">
        <f>IF(B196="","",(N196*G196))</f>
        <v>7000</v>
      </c>
      <c r="U196" s="136">
        <f>IF(B196="","",(S196*G196))</f>
        <v>8330</v>
      </c>
      <c r="V196" s="137" t="s">
        <v>1186</v>
      </c>
      <c r="W196" s="138">
        <v>46091</v>
      </c>
      <c r="X196" s="139" t="s">
        <v>1713</v>
      </c>
      <c r="Y196" s="140" t="s">
        <v>1193</v>
      </c>
      <c r="Z196" s="141" t="s">
        <v>1865</v>
      </c>
      <c r="AA196" s="142">
        <v>6150</v>
      </c>
      <c r="AB196" s="142" t="s">
        <v>1190</v>
      </c>
      <c r="AC196" s="142" t="s">
        <v>1191</v>
      </c>
      <c r="AD196" s="143">
        <f>IF(AB196="IVA Incluido",(AA196/1.19),AA196)</f>
        <v>5168.0672268907565</v>
      </c>
      <c r="AE196" s="144">
        <f>IF(AC196="Si tiene IVA",AD196*19%,0)</f>
        <v>981.93277310924373</v>
      </c>
      <c r="AF196" s="144">
        <f>AD196+AE196</f>
        <v>6150</v>
      </c>
      <c r="AG196" s="144">
        <f>IF(O196="","",(AA196*G196))</f>
        <v>6150</v>
      </c>
      <c r="AH196" s="144">
        <f>IF(O196="","",(AF196*G196))</f>
        <v>6150</v>
      </c>
      <c r="AI196" s="145" t="s">
        <v>1186</v>
      </c>
      <c r="AJ196" s="146">
        <v>46091</v>
      </c>
      <c r="AK196" s="147" t="s">
        <v>1258</v>
      </c>
      <c r="AL196" s="148" t="s">
        <v>1188</v>
      </c>
      <c r="AM196" s="149" t="s">
        <v>1750</v>
      </c>
      <c r="AN196" s="150">
        <v>8500</v>
      </c>
      <c r="AO196" s="150" t="s">
        <v>1190</v>
      </c>
      <c r="AP196" s="151" t="s">
        <v>1191</v>
      </c>
      <c r="AQ196" s="152">
        <f>IF(AO196="IVA Incluido",(AN196/1.19),AN196)</f>
        <v>7142.8571428571431</v>
      </c>
      <c r="AR196" s="153">
        <f>IF(AP196="Si tiene IVA",AQ196*19%,0)</f>
        <v>1357.1428571428571</v>
      </c>
      <c r="AS196" s="153">
        <f>AQ196+AR196</f>
        <v>8500</v>
      </c>
      <c r="AT196" s="153">
        <f>IF(AB196="","",(AN196*G196))</f>
        <v>8500</v>
      </c>
      <c r="AU196" s="153">
        <f>IF(AB196="","",(AS196*G196))</f>
        <v>8500</v>
      </c>
      <c r="AV196" s="154">
        <f>IF(A196="","",AVERAGE(S196,AF196,AS196))</f>
        <v>7660</v>
      </c>
      <c r="AW196" s="154">
        <f>IF(A196="","",AVERAGE(U196,AH196,AU196))</f>
        <v>7660</v>
      </c>
      <c r="AX196" s="154">
        <f>IF(N196="","",STDEV(U196,AH196,AU196))</f>
        <v>1310.4579352272242</v>
      </c>
      <c r="AY196" s="155">
        <f>IF(N196="","",(AX196/AW196))</f>
        <v>0.17107805942914153</v>
      </c>
      <c r="AZ196" s="5"/>
      <c r="BA196" s="7">
        <f>COUNTA(M196,Z196,AM196)</f>
        <v>3</v>
      </c>
    </row>
    <row r="197" spans="1:53" ht="348" hidden="1" customHeight="1">
      <c r="A197" s="6" t="s">
        <v>569</v>
      </c>
      <c r="B197" s="6" t="s">
        <v>569</v>
      </c>
      <c r="C197" s="6" t="s">
        <v>569</v>
      </c>
      <c r="D197" s="6" t="s">
        <v>1872</v>
      </c>
      <c r="E197" s="127" t="s">
        <v>1873</v>
      </c>
      <c r="F197" s="128" t="s">
        <v>1247</v>
      </c>
      <c r="G197" s="129">
        <v>1</v>
      </c>
      <c r="H197" s="128"/>
      <c r="I197" s="130" t="s">
        <v>569</v>
      </c>
      <c r="J197" s="131" t="s">
        <v>569</v>
      </c>
      <c r="K197" s="132" t="s">
        <v>569</v>
      </c>
      <c r="L197" s="133" t="s">
        <v>569</v>
      </c>
      <c r="M197" s="131" t="s">
        <v>569</v>
      </c>
      <c r="N197" s="134"/>
      <c r="O197" s="134"/>
      <c r="P197" s="134"/>
      <c r="Q197" s="135" t="s">
        <v>1248</v>
      </c>
      <c r="R197" s="136" t="s">
        <v>1248</v>
      </c>
      <c r="S197" s="136" t="s">
        <v>1248</v>
      </c>
      <c r="T197" s="136" t="s">
        <v>1248</v>
      </c>
      <c r="U197" s="136" t="s">
        <v>1248</v>
      </c>
      <c r="V197" s="137" t="s">
        <v>569</v>
      </c>
      <c r="W197" s="138" t="s">
        <v>569</v>
      </c>
      <c r="X197" s="139" t="s">
        <v>569</v>
      </c>
      <c r="Y197" s="140" t="s">
        <v>569</v>
      </c>
      <c r="Z197" s="141" t="s">
        <v>1249</v>
      </c>
      <c r="AA197" s="142" t="s">
        <v>569</v>
      </c>
      <c r="AB197" s="142" t="s">
        <v>569</v>
      </c>
      <c r="AC197" s="142" t="s">
        <v>569</v>
      </c>
      <c r="AD197" s="143" t="s">
        <v>569</v>
      </c>
      <c r="AE197" s="144" t="s">
        <v>569</v>
      </c>
      <c r="AF197" s="144">
        <v>443956</v>
      </c>
      <c r="AG197" s="144">
        <v>5.5599999999999997E-2</v>
      </c>
      <c r="AH197" s="144">
        <v>468640</v>
      </c>
      <c r="AI197" s="145" t="s">
        <v>569</v>
      </c>
      <c r="AJ197" s="146" t="s">
        <v>569</v>
      </c>
      <c r="AK197" s="147" t="s">
        <v>569</v>
      </c>
      <c r="AL197" s="148" t="s">
        <v>569</v>
      </c>
      <c r="AM197" s="149" t="s">
        <v>1250</v>
      </c>
      <c r="AN197" s="150" t="s">
        <v>569</v>
      </c>
      <c r="AO197" s="150" t="s">
        <v>569</v>
      </c>
      <c r="AP197" s="151" t="s">
        <v>569</v>
      </c>
      <c r="AQ197" s="152">
        <v>382399</v>
      </c>
      <c r="AR197" s="153">
        <v>72656</v>
      </c>
      <c r="AS197" s="153">
        <v>455055</v>
      </c>
      <c r="AT197" s="153">
        <v>382399</v>
      </c>
      <c r="AU197" s="153">
        <v>455055</v>
      </c>
      <c r="AV197" s="154">
        <v>461847</v>
      </c>
      <c r="AW197" s="154">
        <v>461847</v>
      </c>
      <c r="AX197" s="154">
        <v>9606.08</v>
      </c>
      <c r="AY197" s="155">
        <v>2.0799999999999999E-2</v>
      </c>
      <c r="AZ197" s="5"/>
      <c r="BA197" s="7"/>
    </row>
    <row r="198" spans="1:53" ht="348" hidden="1" customHeight="1">
      <c r="A198" s="6" t="s">
        <v>569</v>
      </c>
      <c r="B198" s="6" t="s">
        <v>569</v>
      </c>
      <c r="C198" s="6" t="s">
        <v>569</v>
      </c>
      <c r="D198" s="6" t="s">
        <v>1874</v>
      </c>
      <c r="E198" s="127" t="s">
        <v>1875</v>
      </c>
      <c r="F198" s="128" t="s">
        <v>1247</v>
      </c>
      <c r="G198" s="129">
        <v>1</v>
      </c>
      <c r="H198" s="128"/>
      <c r="I198" s="130" t="s">
        <v>569</v>
      </c>
      <c r="J198" s="131" t="s">
        <v>569</v>
      </c>
      <c r="K198" s="132" t="s">
        <v>569</v>
      </c>
      <c r="L198" s="133" t="s">
        <v>569</v>
      </c>
      <c r="M198" s="131" t="s">
        <v>569</v>
      </c>
      <c r="N198" s="134"/>
      <c r="O198" s="134"/>
      <c r="P198" s="134"/>
      <c r="Q198" s="135" t="s">
        <v>1248</v>
      </c>
      <c r="R198" s="136" t="s">
        <v>1248</v>
      </c>
      <c r="S198" s="136" t="s">
        <v>1248</v>
      </c>
      <c r="T198" s="136" t="s">
        <v>1248</v>
      </c>
      <c r="U198" s="136" t="s">
        <v>1248</v>
      </c>
      <c r="V198" s="137" t="s">
        <v>569</v>
      </c>
      <c r="W198" s="138" t="s">
        <v>569</v>
      </c>
      <c r="X198" s="139" t="s">
        <v>569</v>
      </c>
      <c r="Y198" s="140" t="s">
        <v>569</v>
      </c>
      <c r="Z198" s="141" t="s">
        <v>1249</v>
      </c>
      <c r="AA198" s="142" t="s">
        <v>569</v>
      </c>
      <c r="AB198" s="142" t="s">
        <v>569</v>
      </c>
      <c r="AC198" s="142" t="s">
        <v>569</v>
      </c>
      <c r="AD198" s="143" t="s">
        <v>569</v>
      </c>
      <c r="AE198" s="144" t="s">
        <v>569</v>
      </c>
      <c r="AF198" s="144">
        <v>1288850</v>
      </c>
      <c r="AG198" s="144">
        <v>5.5599999999999997E-2</v>
      </c>
      <c r="AH198" s="144">
        <v>1360510</v>
      </c>
      <c r="AI198" s="145" t="s">
        <v>569</v>
      </c>
      <c r="AJ198" s="146" t="s">
        <v>569</v>
      </c>
      <c r="AK198" s="147" t="s">
        <v>569</v>
      </c>
      <c r="AL198" s="148" t="s">
        <v>569</v>
      </c>
      <c r="AM198" s="149" t="s">
        <v>1250</v>
      </c>
      <c r="AN198" s="150" t="s">
        <v>569</v>
      </c>
      <c r="AO198" s="150" t="s">
        <v>569</v>
      </c>
      <c r="AP198" s="151" t="s">
        <v>569</v>
      </c>
      <c r="AQ198" s="152">
        <v>1137221</v>
      </c>
      <c r="AR198" s="153">
        <v>216072</v>
      </c>
      <c r="AS198" s="153">
        <v>1353293</v>
      </c>
      <c r="AT198" s="153">
        <v>1137221</v>
      </c>
      <c r="AU198" s="153">
        <v>1353293</v>
      </c>
      <c r="AV198" s="154">
        <v>1356901</v>
      </c>
      <c r="AW198" s="154">
        <v>1356901</v>
      </c>
      <c r="AX198" s="154">
        <v>5103.59</v>
      </c>
      <c r="AY198" s="155">
        <v>3.8E-3</v>
      </c>
      <c r="AZ198" s="5"/>
      <c r="BA198" s="7"/>
    </row>
    <row r="199" spans="1:53" ht="261" hidden="1" customHeight="1">
      <c r="A199" s="6" t="s">
        <v>1182</v>
      </c>
      <c r="B199" s="6" t="s">
        <v>1236</v>
      </c>
      <c r="C199" s="6">
        <v>90101603</v>
      </c>
      <c r="D199" s="6" t="s">
        <v>1876</v>
      </c>
      <c r="E199" s="127" t="s">
        <v>1877</v>
      </c>
      <c r="F199" s="128" t="s">
        <v>191</v>
      </c>
      <c r="G199" s="129">
        <v>1</v>
      </c>
      <c r="H199" s="128" t="s">
        <v>192</v>
      </c>
      <c r="I199" s="130" t="s">
        <v>1186</v>
      </c>
      <c r="J199" s="131">
        <v>46153</v>
      </c>
      <c r="K199" s="132" t="s">
        <v>1878</v>
      </c>
      <c r="L199" s="133" t="s">
        <v>1188</v>
      </c>
      <c r="M199" s="131" t="s">
        <v>1879</v>
      </c>
      <c r="N199" s="134">
        <v>21600</v>
      </c>
      <c r="O199" s="134" t="s">
        <v>1262</v>
      </c>
      <c r="P199" s="134" t="s">
        <v>1263</v>
      </c>
      <c r="Q199" s="135">
        <f>IF(O199="IVA Incluido",(N199/1.19),IF(O199="Ipoconsumo Incluido",(N199/1.08),N199))</f>
        <v>21600</v>
      </c>
      <c r="R199" s="136">
        <f>IF(P199="Si tiene IVA",Q199*19%,IF(P199="Si tiene IPOCONSUMO",Q199*8%,0))</f>
        <v>1728</v>
      </c>
      <c r="S199" s="136">
        <f t="shared" ref="S199:S212" si="141">Q199+R199</f>
        <v>23328</v>
      </c>
      <c r="T199" s="136">
        <f>IF(R199="IVA Incluido",(Q199/1.19),IF(R199="Ipoconsumo Incluido",(Q199/1.08),Q199))</f>
        <v>21600</v>
      </c>
      <c r="U199" s="136">
        <f>Q199+R199</f>
        <v>23328</v>
      </c>
      <c r="V199" s="137" t="s">
        <v>1186</v>
      </c>
      <c r="W199" s="138">
        <v>46077</v>
      </c>
      <c r="X199" s="139" t="s">
        <v>1264</v>
      </c>
      <c r="Y199" s="140" t="s">
        <v>1193</v>
      </c>
      <c r="Z199" s="141" t="s">
        <v>1265</v>
      </c>
      <c r="AA199" s="142">
        <v>25000</v>
      </c>
      <c r="AB199" s="142" t="s">
        <v>1262</v>
      </c>
      <c r="AC199" s="142" t="s">
        <v>1263</v>
      </c>
      <c r="AD199" s="143">
        <f>IF(AB199="IVA Incluido",(AA199/1.19),IF(AB199="Ipoconsumo Incluido",(AA199/1.08),AA199))</f>
        <v>25000</v>
      </c>
      <c r="AE199" s="144">
        <f>IF(AC199="Si tiene IVA",AD199*19%,IF(AC199="Si tiene IPOCONSUMO",AD199*8%,0))</f>
        <v>2000</v>
      </c>
      <c r="AF199" s="144">
        <f t="shared" ref="AF199:AF212" si="142">AD199+AE199</f>
        <v>27000</v>
      </c>
      <c r="AG199" s="144">
        <f>IF(AE199="IVA Incluido",(AD199/1.19),IF(AE199="Ipoconsumo Incluido",(AD199/1.08),AD199))</f>
        <v>25000</v>
      </c>
      <c r="AH199" s="144">
        <f>AD199+AE199</f>
        <v>27000</v>
      </c>
      <c r="AI199" s="145" t="s">
        <v>1186</v>
      </c>
      <c r="AJ199" s="146">
        <v>46094</v>
      </c>
      <c r="AK199" s="147" t="s">
        <v>1266</v>
      </c>
      <c r="AL199" s="148" t="s">
        <v>1193</v>
      </c>
      <c r="AM199" s="149" t="s">
        <v>515</v>
      </c>
      <c r="AN199" s="150">
        <v>26824</v>
      </c>
      <c r="AO199" s="150" t="s">
        <v>1262</v>
      </c>
      <c r="AP199" s="151" t="s">
        <v>1263</v>
      </c>
      <c r="AQ199" s="152">
        <f>IF(AO199="IVA Incluido",(AN199/1.19),IF(AO199="Ipoconsumo Incluido",(AN199/1.08),AN199))</f>
        <v>26824</v>
      </c>
      <c r="AR199" s="153">
        <f>IF(AP199="Si tiene IVA",AQ199*19%,IF(AP199="Si tiene IPOCONSUMO",AQ199*8%,0))</f>
        <v>2145.92</v>
      </c>
      <c r="AS199" s="153">
        <f t="shared" ref="AS199:AS204" si="143">AQ199+AR199</f>
        <v>28969.919999999998</v>
      </c>
      <c r="AT199" s="153">
        <f>IF(AR199="IVA Incluido",(AQ199/1.19),IF(AR199="Ipoconsumo Incluido",(AQ199/1.08),AQ199))</f>
        <v>26824</v>
      </c>
      <c r="AU199" s="153">
        <f>AQ199+AR199</f>
        <v>28969.919999999998</v>
      </c>
      <c r="AV199" s="154">
        <f t="shared" ref="AV199:AV205" si="144">IF(A199="","",AVERAGE(S199,AF199,AS199))</f>
        <v>26432.639999999999</v>
      </c>
      <c r="AW199" s="154">
        <f t="shared" ref="AW199:AW205" si="145">IF(A199="","",AVERAGE(U199,AH199,AU199))</f>
        <v>26432.639999999999</v>
      </c>
      <c r="AX199" s="154">
        <f t="shared" ref="AX199:AX205" si="146">IF(N199="","",STDEV(U199,AH199,AU199))</f>
        <v>2863.4312194987319</v>
      </c>
      <c r="AY199" s="155">
        <f t="shared" ref="AY199:AY212" si="147">IF(N199="","",(AX199/AW199))</f>
        <v>0.10832936927596835</v>
      </c>
      <c r="AZ199" s="5"/>
      <c r="BA199" s="7">
        <f t="shared" ref="BA199:BA212" si="148">COUNTA(M199,Z199,AM199)</f>
        <v>3</v>
      </c>
    </row>
    <row r="200" spans="1:53" ht="130.5" hidden="1" customHeight="1">
      <c r="A200" s="6" t="s">
        <v>1182</v>
      </c>
      <c r="B200" s="6" t="s">
        <v>1236</v>
      </c>
      <c r="C200" s="6">
        <v>90101603</v>
      </c>
      <c r="D200" s="6" t="s">
        <v>1880</v>
      </c>
      <c r="E200" s="127" t="s">
        <v>1881</v>
      </c>
      <c r="F200" s="128" t="s">
        <v>191</v>
      </c>
      <c r="G200" s="129">
        <v>1</v>
      </c>
      <c r="H200" s="128" t="s">
        <v>192</v>
      </c>
      <c r="I200" s="130" t="s">
        <v>1186</v>
      </c>
      <c r="J200" s="131">
        <v>46153</v>
      </c>
      <c r="K200" s="132" t="s">
        <v>1266</v>
      </c>
      <c r="L200" s="133" t="s">
        <v>1193</v>
      </c>
      <c r="M200" s="131" t="s">
        <v>515</v>
      </c>
      <c r="N200" s="134">
        <v>14500</v>
      </c>
      <c r="O200" s="134" t="s">
        <v>1262</v>
      </c>
      <c r="P200" s="134" t="s">
        <v>1263</v>
      </c>
      <c r="Q200" s="135">
        <f>IF(O200="IVA Incluido",(N200/1.19),IF(O200="Ipoconsumo Incluido",(N200/1.08),N200))</f>
        <v>14500</v>
      </c>
      <c r="R200" s="136">
        <f>IF(P200="Si tiene IVA",Q200*19%,IF(P200="Si tiene IPOCONSUMO",Q200*8%,0))</f>
        <v>1160</v>
      </c>
      <c r="S200" s="136">
        <f t="shared" si="141"/>
        <v>15660</v>
      </c>
      <c r="T200" s="136">
        <f>IF(R200="IVA Incluido",(Q200/1.19),IF(R200="Ipoconsumo Incluido",(Q200/1.08),Q200))</f>
        <v>14500</v>
      </c>
      <c r="U200" s="136">
        <f>Q200+R200</f>
        <v>15660</v>
      </c>
      <c r="V200" s="137" t="s">
        <v>1186</v>
      </c>
      <c r="W200" s="138">
        <v>46153</v>
      </c>
      <c r="X200" s="139" t="s">
        <v>1364</v>
      </c>
      <c r="Y200" s="140" t="s">
        <v>1193</v>
      </c>
      <c r="Z200" s="141" t="s">
        <v>1283</v>
      </c>
      <c r="AA200" s="142">
        <v>16300</v>
      </c>
      <c r="AB200" s="142" t="s">
        <v>1262</v>
      </c>
      <c r="AC200" s="142" t="s">
        <v>1263</v>
      </c>
      <c r="AD200" s="143">
        <f>IF(AB200="IVA Incluido",(AA200/1.19),IF(AB200="Ipoconsumo Incluido",(AA200/1.08),AA200))</f>
        <v>16300</v>
      </c>
      <c r="AE200" s="144">
        <f>IF(AC200="Si tiene IVA",AD200*19%,IF(AC200="Si tiene IPOCONSUMO",AD200*8%,0))</f>
        <v>1304</v>
      </c>
      <c r="AF200" s="144">
        <f t="shared" si="142"/>
        <v>17604</v>
      </c>
      <c r="AG200" s="144">
        <f>IF(AE200="IVA Incluido",(AD200/1.19),IF(AE200="Ipoconsumo Incluido",(AD200/1.08),AD200))</f>
        <v>16300</v>
      </c>
      <c r="AH200" s="144">
        <f>AD200+AE200</f>
        <v>17604</v>
      </c>
      <c r="AI200" s="145" t="s">
        <v>1186</v>
      </c>
      <c r="AJ200" s="146">
        <v>46153</v>
      </c>
      <c r="AK200" s="147" t="s">
        <v>1882</v>
      </c>
      <c r="AL200" s="148" t="s">
        <v>1193</v>
      </c>
      <c r="AM200" s="149" t="s">
        <v>1883</v>
      </c>
      <c r="AN200" s="150">
        <v>15000</v>
      </c>
      <c r="AO200" s="150" t="s">
        <v>1262</v>
      </c>
      <c r="AP200" s="151" t="s">
        <v>1263</v>
      </c>
      <c r="AQ200" s="152">
        <f>IF(AO200="IVA Incluido",(AN200/1.19),IF(AO200="Ipoconsumo Incluido",(AN200/1.08),AN200))</f>
        <v>15000</v>
      </c>
      <c r="AR200" s="153">
        <f>IF(AP200="Si tiene IVA",AQ200*19%,IF(AP200="Si tiene IPOCONSUMO",AQ200*8%,0))</f>
        <v>1200</v>
      </c>
      <c r="AS200" s="153">
        <f t="shared" si="143"/>
        <v>16200</v>
      </c>
      <c r="AT200" s="153">
        <f>IF(AR200="IVA Incluido",(AQ200/1.19),IF(AR200="Ipoconsumo Incluido",(AQ200/1.08),AQ200))</f>
        <v>15000</v>
      </c>
      <c r="AU200" s="153">
        <f>AQ200+AR200</f>
        <v>16200</v>
      </c>
      <c r="AV200" s="154">
        <f t="shared" si="144"/>
        <v>16488</v>
      </c>
      <c r="AW200" s="154">
        <f t="shared" si="145"/>
        <v>16488</v>
      </c>
      <c r="AX200" s="154">
        <f t="shared" si="146"/>
        <v>1003.4899102631775</v>
      </c>
      <c r="AY200" s="155">
        <f t="shared" si="147"/>
        <v>6.0861833470595435E-2</v>
      </c>
      <c r="AZ200" s="5"/>
      <c r="BA200" s="7">
        <f t="shared" si="148"/>
        <v>3</v>
      </c>
    </row>
    <row r="201" spans="1:53" ht="348" hidden="1" customHeight="1">
      <c r="A201" s="6" t="s">
        <v>1182</v>
      </c>
      <c r="B201" s="6" t="s">
        <v>1236</v>
      </c>
      <c r="C201" s="6">
        <v>90101603</v>
      </c>
      <c r="D201" s="6" t="s">
        <v>187</v>
      </c>
      <c r="E201" s="127" t="s">
        <v>1884</v>
      </c>
      <c r="F201" s="128" t="s">
        <v>191</v>
      </c>
      <c r="G201" s="129">
        <v>1</v>
      </c>
      <c r="H201" s="128" t="s">
        <v>192</v>
      </c>
      <c r="I201" s="130" t="s">
        <v>1186</v>
      </c>
      <c r="J201" s="131">
        <v>46062</v>
      </c>
      <c r="K201" s="132" t="s">
        <v>1260</v>
      </c>
      <c r="L201" s="133" t="s">
        <v>1193</v>
      </c>
      <c r="M201" s="131" t="s">
        <v>1261</v>
      </c>
      <c r="N201" s="134">
        <v>11700</v>
      </c>
      <c r="O201" s="134" t="s">
        <v>1262</v>
      </c>
      <c r="P201" s="134" t="s">
        <v>1263</v>
      </c>
      <c r="Q201" s="135">
        <f>IF(O201="IVA Incluido",(N201/1.19),IF(O201="Ipoconsumo Incluido",(N201/1.08),N201))</f>
        <v>11700</v>
      </c>
      <c r="R201" s="136">
        <f>IF(P201="Si tiene IVA",Q201*19%,IF(P201="Si tiene IPOCONSUMO",Q201*8%,0))</f>
        <v>936</v>
      </c>
      <c r="S201" s="136">
        <f t="shared" si="141"/>
        <v>12636</v>
      </c>
      <c r="T201" s="136">
        <f>IF(R201="IVA Incluido",(Q201/1.19),IF(R201="Ipoconsumo Incluido",(Q201/1.08),Q201))</f>
        <v>11700</v>
      </c>
      <c r="U201" s="136">
        <f>Q201+R201</f>
        <v>12636</v>
      </c>
      <c r="V201" s="137" t="s">
        <v>1186</v>
      </c>
      <c r="W201" s="138">
        <v>46129</v>
      </c>
      <c r="X201" s="139" t="s">
        <v>1885</v>
      </c>
      <c r="Y201" s="140" t="s">
        <v>1188</v>
      </c>
      <c r="Z201" s="141" t="s">
        <v>1886</v>
      </c>
      <c r="AA201" s="142">
        <v>8570</v>
      </c>
      <c r="AB201" s="142" t="s">
        <v>1262</v>
      </c>
      <c r="AC201" s="142" t="s">
        <v>1263</v>
      </c>
      <c r="AD201" s="143">
        <f>IF(AB201="IVA Incluido",(AA201/1.19),IF(AB201="Ipoconsumo Incluido",(AA201/1.08),AA201))</f>
        <v>8570</v>
      </c>
      <c r="AE201" s="144">
        <f>IF(AC201="Si tiene IVA",AD201*19%,IF(AC201="Si tiene IPOCONSUMO",AD201*8%,0))</f>
        <v>685.6</v>
      </c>
      <c r="AF201" s="144">
        <f t="shared" si="142"/>
        <v>9255.6</v>
      </c>
      <c r="AG201" s="144">
        <f>IF(AE201="IVA Incluido",(AD201/1.19),IF(AE201="Ipoconsumo Incluido",(AD201/1.08),AD201))</f>
        <v>8570</v>
      </c>
      <c r="AH201" s="144">
        <f>AD201+AE201</f>
        <v>9255.6</v>
      </c>
      <c r="AI201" s="145" t="s">
        <v>1887</v>
      </c>
      <c r="AJ201" s="146" t="s">
        <v>569</v>
      </c>
      <c r="AK201" s="147"/>
      <c r="AL201" s="148"/>
      <c r="AM201" s="149" t="s">
        <v>1249</v>
      </c>
      <c r="AN201" s="150">
        <v>13871</v>
      </c>
      <c r="AO201" s="150"/>
      <c r="AP201" s="151"/>
      <c r="AQ201" s="152">
        <f>AN201/1.08</f>
        <v>12843.518518518518</v>
      </c>
      <c r="AR201" s="153">
        <f>AQ201*8%</f>
        <v>1027.4814814814815</v>
      </c>
      <c r="AS201" s="153">
        <f t="shared" si="143"/>
        <v>13871</v>
      </c>
      <c r="AT201" s="153">
        <f>IF(AR201="IVA Incluido",(AQ201/1.19),IF(AR201="Ipoconsumo Incluido",(AQ201/1.08),AQ201))</f>
        <v>12843.518518518518</v>
      </c>
      <c r="AU201" s="153">
        <f>AQ201+AR201</f>
        <v>13871</v>
      </c>
      <c r="AV201" s="154">
        <f t="shared" si="144"/>
        <v>11920.866666666667</v>
      </c>
      <c r="AW201" s="154">
        <f t="shared" si="145"/>
        <v>11920.866666666667</v>
      </c>
      <c r="AX201" s="154">
        <f t="shared" si="146"/>
        <v>2389.3599672994737</v>
      </c>
      <c r="AY201" s="155">
        <f t="shared" si="147"/>
        <v>0.20043508866520951</v>
      </c>
      <c r="AZ201" s="5" t="s">
        <v>1888</v>
      </c>
      <c r="BA201" s="7">
        <f t="shared" si="148"/>
        <v>3</v>
      </c>
    </row>
    <row r="202" spans="1:53" ht="72.599999999999994" hidden="1" customHeight="1">
      <c r="A202" s="6" t="s">
        <v>1182</v>
      </c>
      <c r="B202" s="6" t="s">
        <v>1251</v>
      </c>
      <c r="C202" s="6">
        <v>14111514</v>
      </c>
      <c r="D202" s="6" t="s">
        <v>1889</v>
      </c>
      <c r="E202" s="127" t="s">
        <v>1890</v>
      </c>
      <c r="F202" s="128" t="s">
        <v>191</v>
      </c>
      <c r="G202" s="129">
        <v>1</v>
      </c>
      <c r="H202" s="128" t="s">
        <v>192</v>
      </c>
      <c r="I202" s="130" t="s">
        <v>1186</v>
      </c>
      <c r="J202" s="131">
        <v>46091</v>
      </c>
      <c r="K202" s="132" t="s">
        <v>1713</v>
      </c>
      <c r="L202" s="133" t="s">
        <v>1193</v>
      </c>
      <c r="M202" s="131" t="s">
        <v>1891</v>
      </c>
      <c r="N202" s="134">
        <v>15000</v>
      </c>
      <c r="O202" s="134" t="s">
        <v>1190</v>
      </c>
      <c r="P202" s="134" t="s">
        <v>1191</v>
      </c>
      <c r="Q202" s="135">
        <f t="shared" ref="Q202:Q212" si="149">IF(O202="IVA Incluido",(N202/1.19),N202)</f>
        <v>12605.042016806723</v>
      </c>
      <c r="R202" s="136">
        <f t="shared" ref="R202:R212" si="150">IF(P202="Si tiene IVA",Q202*19%,0)</f>
        <v>2394.9579831932774</v>
      </c>
      <c r="S202" s="136">
        <f t="shared" si="141"/>
        <v>15000</v>
      </c>
      <c r="T202" s="136">
        <f t="shared" ref="T202:T212" si="151">IF(B202="","",(N202*G202))</f>
        <v>15000</v>
      </c>
      <c r="U202" s="136">
        <f t="shared" ref="U202:U212" si="152">IF(B202="","",(S202*G202))</f>
        <v>15000</v>
      </c>
      <c r="V202" s="137" t="s">
        <v>1186</v>
      </c>
      <c r="W202" s="138">
        <v>46091</v>
      </c>
      <c r="X202" s="139" t="s">
        <v>1258</v>
      </c>
      <c r="Y202" s="140" t="s">
        <v>1193</v>
      </c>
      <c r="Z202" s="141" t="s">
        <v>1750</v>
      </c>
      <c r="AA202" s="142">
        <v>15000</v>
      </c>
      <c r="AB202" s="142" t="s">
        <v>1190</v>
      </c>
      <c r="AC202" s="142" t="s">
        <v>1191</v>
      </c>
      <c r="AD202" s="143">
        <f t="shared" ref="AD202:AD212" si="153">IF(AB202="IVA Incluido",(AA202/1.19),AA202)</f>
        <v>12605.042016806723</v>
      </c>
      <c r="AE202" s="144">
        <f t="shared" ref="AE202:AE212" si="154">IF(AC202="Si tiene IVA",AD202*19%,0)</f>
        <v>2394.9579831932774</v>
      </c>
      <c r="AF202" s="144">
        <f t="shared" si="142"/>
        <v>15000</v>
      </c>
      <c r="AG202" s="144">
        <f t="shared" ref="AG202:AG212" si="155">IF(O202="","",(AA202*G202))</f>
        <v>15000</v>
      </c>
      <c r="AH202" s="144">
        <f t="shared" ref="AH202:AH212" si="156">IF(O202="","",(AF202*G202))</f>
        <v>15000</v>
      </c>
      <c r="AI202" s="145" t="s">
        <v>1186</v>
      </c>
      <c r="AJ202" s="146">
        <v>46091</v>
      </c>
      <c r="AK202" s="147" t="s">
        <v>1579</v>
      </c>
      <c r="AL202" s="148" t="s">
        <v>1193</v>
      </c>
      <c r="AM202" s="149" t="s">
        <v>1580</v>
      </c>
      <c r="AN202" s="150">
        <v>15497</v>
      </c>
      <c r="AO202" s="150" t="s">
        <v>1197</v>
      </c>
      <c r="AP202" s="151" t="s">
        <v>1191</v>
      </c>
      <c r="AQ202" s="152">
        <f>IF(AO202="IVA Incluido",(AN202/1.19),AN202)</f>
        <v>15497</v>
      </c>
      <c r="AR202" s="153">
        <f>IF(AP202="Si tiene IVA",AQ202*19%,0)</f>
        <v>2944.43</v>
      </c>
      <c r="AS202" s="153">
        <f t="shared" si="143"/>
        <v>18441.43</v>
      </c>
      <c r="AT202" s="153">
        <f>IF(AB202="","",(AN202*G202))</f>
        <v>15497</v>
      </c>
      <c r="AU202" s="153">
        <f>IF(AB202="","",(AS202*G202))</f>
        <v>18441.43</v>
      </c>
      <c r="AV202" s="154">
        <f t="shared" si="144"/>
        <v>16147.143333333333</v>
      </c>
      <c r="AW202" s="154">
        <f t="shared" si="145"/>
        <v>16147.143333333333</v>
      </c>
      <c r="AX202" s="154">
        <f t="shared" si="146"/>
        <v>1986.9105368972539</v>
      </c>
      <c r="AY202" s="155">
        <f t="shared" si="147"/>
        <v>0.12305028176690411</v>
      </c>
      <c r="AZ202" s="5"/>
      <c r="BA202" s="7">
        <f t="shared" si="148"/>
        <v>3</v>
      </c>
    </row>
    <row r="203" spans="1:53" ht="72.599999999999994" hidden="1" customHeight="1">
      <c r="A203" s="6" t="s">
        <v>1182</v>
      </c>
      <c r="B203" s="6" t="s">
        <v>1251</v>
      </c>
      <c r="C203" s="6">
        <v>14111514</v>
      </c>
      <c r="D203" s="6" t="s">
        <v>1892</v>
      </c>
      <c r="E203" s="127" t="s">
        <v>1893</v>
      </c>
      <c r="F203" s="128" t="s">
        <v>191</v>
      </c>
      <c r="G203" s="129">
        <v>1</v>
      </c>
      <c r="H203" s="128" t="s">
        <v>192</v>
      </c>
      <c r="I203" s="130" t="s">
        <v>1186</v>
      </c>
      <c r="J203" s="131">
        <v>46091</v>
      </c>
      <c r="K203" s="132" t="s">
        <v>1579</v>
      </c>
      <c r="L203" s="133" t="s">
        <v>1193</v>
      </c>
      <c r="M203" s="131" t="s">
        <v>1580</v>
      </c>
      <c r="N203" s="134">
        <v>18500</v>
      </c>
      <c r="O203" s="134" t="s">
        <v>1197</v>
      </c>
      <c r="P203" s="134" t="s">
        <v>1191</v>
      </c>
      <c r="Q203" s="135">
        <f t="shared" si="149"/>
        <v>18500</v>
      </c>
      <c r="R203" s="136">
        <f t="shared" si="150"/>
        <v>3515</v>
      </c>
      <c r="S203" s="136">
        <f t="shared" si="141"/>
        <v>22015</v>
      </c>
      <c r="T203" s="136">
        <f t="shared" si="151"/>
        <v>18500</v>
      </c>
      <c r="U203" s="136">
        <f t="shared" si="152"/>
        <v>22015</v>
      </c>
      <c r="V203" s="137" t="s">
        <v>1186</v>
      </c>
      <c r="W203" s="138">
        <v>46091</v>
      </c>
      <c r="X203" s="139" t="s">
        <v>1713</v>
      </c>
      <c r="Y203" s="140" t="s">
        <v>1193</v>
      </c>
      <c r="Z203" s="141" t="s">
        <v>1894</v>
      </c>
      <c r="AA203" s="142">
        <v>19000</v>
      </c>
      <c r="AB203" s="142" t="s">
        <v>1190</v>
      </c>
      <c r="AC203" s="142" t="s">
        <v>1191</v>
      </c>
      <c r="AD203" s="143">
        <f t="shared" si="153"/>
        <v>15966.386554621849</v>
      </c>
      <c r="AE203" s="144">
        <f t="shared" si="154"/>
        <v>3033.6134453781515</v>
      </c>
      <c r="AF203" s="144">
        <f t="shared" si="142"/>
        <v>19000</v>
      </c>
      <c r="AG203" s="144">
        <f t="shared" si="155"/>
        <v>19000</v>
      </c>
      <c r="AH203" s="144">
        <f t="shared" si="156"/>
        <v>19000</v>
      </c>
      <c r="AI203" s="145" t="s">
        <v>1186</v>
      </c>
      <c r="AJ203" s="146">
        <v>46091</v>
      </c>
      <c r="AK203" s="147" t="s">
        <v>1258</v>
      </c>
      <c r="AL203" s="148" t="s">
        <v>1193</v>
      </c>
      <c r="AM203" s="149" t="s">
        <v>1750</v>
      </c>
      <c r="AN203" s="150">
        <v>22000</v>
      </c>
      <c r="AO203" s="150" t="s">
        <v>1190</v>
      </c>
      <c r="AP203" s="151" t="s">
        <v>1191</v>
      </c>
      <c r="AQ203" s="152">
        <f>IF(AO203="IVA Incluido",(AN203/1.19),AN203)</f>
        <v>18487.394957983193</v>
      </c>
      <c r="AR203" s="153">
        <f>IF(AP203="Si tiene IVA",AQ203*19%,0)</f>
        <v>3512.6050420168067</v>
      </c>
      <c r="AS203" s="153">
        <f t="shared" si="143"/>
        <v>22000</v>
      </c>
      <c r="AT203" s="153">
        <f>IF(AB203="","",(AN203*G203))</f>
        <v>22000</v>
      </c>
      <c r="AU203" s="153">
        <f>IF(AB203="","",(AS203*G203))</f>
        <v>22000</v>
      </c>
      <c r="AV203" s="154">
        <f t="shared" si="144"/>
        <v>21005</v>
      </c>
      <c r="AW203" s="154">
        <f t="shared" si="145"/>
        <v>21005</v>
      </c>
      <c r="AX203" s="154">
        <f t="shared" si="146"/>
        <v>1736.3971319948671</v>
      </c>
      <c r="AY203" s="155">
        <f t="shared" si="147"/>
        <v>8.2665895358003672E-2</v>
      </c>
      <c r="AZ203" s="5"/>
      <c r="BA203" s="7">
        <f t="shared" si="148"/>
        <v>3</v>
      </c>
    </row>
    <row r="204" spans="1:53" ht="101.65" hidden="1" customHeight="1">
      <c r="A204" s="6" t="s">
        <v>1182</v>
      </c>
      <c r="B204" s="6" t="s">
        <v>1251</v>
      </c>
      <c r="C204" s="6">
        <v>44121619</v>
      </c>
      <c r="D204" s="6" t="s">
        <v>1895</v>
      </c>
      <c r="E204" s="127" t="s">
        <v>1896</v>
      </c>
      <c r="F204" s="128" t="s">
        <v>191</v>
      </c>
      <c r="G204" s="129">
        <v>1</v>
      </c>
      <c r="H204" s="128" t="s">
        <v>192</v>
      </c>
      <c r="I204" s="130" t="s">
        <v>1186</v>
      </c>
      <c r="J204" s="131">
        <v>46091</v>
      </c>
      <c r="K204" s="132" t="s">
        <v>1579</v>
      </c>
      <c r="L204" s="133" t="s">
        <v>1193</v>
      </c>
      <c r="M204" s="131" t="s">
        <v>1580</v>
      </c>
      <c r="N204" s="134">
        <v>5461</v>
      </c>
      <c r="O204" s="134" t="s">
        <v>1197</v>
      </c>
      <c r="P204" s="134" t="s">
        <v>1191</v>
      </c>
      <c r="Q204" s="135">
        <f t="shared" si="149"/>
        <v>5461</v>
      </c>
      <c r="R204" s="136">
        <f t="shared" si="150"/>
        <v>1037.5899999999999</v>
      </c>
      <c r="S204" s="136">
        <f t="shared" si="141"/>
        <v>6498.59</v>
      </c>
      <c r="T204" s="136">
        <f t="shared" si="151"/>
        <v>5461</v>
      </c>
      <c r="U204" s="136">
        <f t="shared" si="152"/>
        <v>6498.59</v>
      </c>
      <c r="V204" s="137" t="s">
        <v>1186</v>
      </c>
      <c r="W204" s="138">
        <v>46091</v>
      </c>
      <c r="X204" s="139" t="s">
        <v>1713</v>
      </c>
      <c r="Y204" s="140" t="s">
        <v>1193</v>
      </c>
      <c r="Z204" s="141" t="s">
        <v>1894</v>
      </c>
      <c r="AA204" s="142">
        <v>6600</v>
      </c>
      <c r="AB204" s="142" t="s">
        <v>1190</v>
      </c>
      <c r="AC204" s="142" t="s">
        <v>1191</v>
      </c>
      <c r="AD204" s="143">
        <f t="shared" si="153"/>
        <v>5546.2184873949582</v>
      </c>
      <c r="AE204" s="144">
        <f t="shared" si="154"/>
        <v>1053.7815126050421</v>
      </c>
      <c r="AF204" s="144">
        <f t="shared" si="142"/>
        <v>6600</v>
      </c>
      <c r="AG204" s="144">
        <f t="shared" si="155"/>
        <v>6600</v>
      </c>
      <c r="AH204" s="144">
        <f t="shared" si="156"/>
        <v>6600</v>
      </c>
      <c r="AI204" s="145" t="s">
        <v>1186</v>
      </c>
      <c r="AJ204" s="146">
        <v>46091</v>
      </c>
      <c r="AK204" s="147" t="s">
        <v>1897</v>
      </c>
      <c r="AL204" s="148" t="s">
        <v>1193</v>
      </c>
      <c r="AM204" s="149" t="s">
        <v>1898</v>
      </c>
      <c r="AN204" s="150">
        <v>6684</v>
      </c>
      <c r="AO204" s="150" t="s">
        <v>1190</v>
      </c>
      <c r="AP204" s="151" t="s">
        <v>1191</v>
      </c>
      <c r="AQ204" s="152">
        <f>IF(AO204="IVA Incluido",(AN204/1.19),AN204)</f>
        <v>5616.8067226890762</v>
      </c>
      <c r="AR204" s="153">
        <f>IF(AP204="Si tiene IVA",AQ204*19%,0)</f>
        <v>1067.1932773109245</v>
      </c>
      <c r="AS204" s="153">
        <f t="shared" si="143"/>
        <v>6684.0000000000009</v>
      </c>
      <c r="AT204" s="153">
        <f>IF(AB204="","",(AN204*G204))</f>
        <v>6684</v>
      </c>
      <c r="AU204" s="153">
        <f>IF(AB204="","",(AS204*G204))</f>
        <v>6684.0000000000009</v>
      </c>
      <c r="AV204" s="154">
        <f t="shared" si="144"/>
        <v>6594.1966666666667</v>
      </c>
      <c r="AW204" s="154">
        <f t="shared" si="145"/>
        <v>6594.1966666666667</v>
      </c>
      <c r="AX204" s="154">
        <f t="shared" si="146"/>
        <v>92.841133304874091</v>
      </c>
      <c r="AY204" s="155">
        <f t="shared" si="147"/>
        <v>1.4079218136483761E-2</v>
      </c>
      <c r="AZ204" s="5"/>
      <c r="BA204" s="7">
        <f t="shared" si="148"/>
        <v>3</v>
      </c>
    </row>
    <row r="205" spans="1:53" ht="72.599999999999994" hidden="1" customHeight="1">
      <c r="A205" s="6" t="s">
        <v>1182</v>
      </c>
      <c r="B205" s="6" t="s">
        <v>1429</v>
      </c>
      <c r="C205" s="6" t="s">
        <v>1430</v>
      </c>
      <c r="D205" s="6" t="s">
        <v>1899</v>
      </c>
      <c r="E205" s="127" t="s">
        <v>1900</v>
      </c>
      <c r="F205" s="128" t="s">
        <v>191</v>
      </c>
      <c r="G205" s="129">
        <v>1</v>
      </c>
      <c r="H205" s="128" t="s">
        <v>305</v>
      </c>
      <c r="I205" s="130" t="s">
        <v>1199</v>
      </c>
      <c r="J205" s="131">
        <v>46142</v>
      </c>
      <c r="K205" s="132" t="s">
        <v>1901</v>
      </c>
      <c r="L205" s="133" t="s">
        <v>1188</v>
      </c>
      <c r="M205" s="131" t="s">
        <v>1902</v>
      </c>
      <c r="N205" s="134">
        <v>470589</v>
      </c>
      <c r="O205" s="134" t="s">
        <v>1197</v>
      </c>
      <c r="P205" s="134" t="s">
        <v>1191</v>
      </c>
      <c r="Q205" s="135">
        <f t="shared" si="149"/>
        <v>470589</v>
      </c>
      <c r="R205" s="136">
        <f t="shared" si="150"/>
        <v>89411.91</v>
      </c>
      <c r="S205" s="136">
        <f t="shared" si="141"/>
        <v>560000.91</v>
      </c>
      <c r="T205" s="136">
        <f t="shared" si="151"/>
        <v>470589</v>
      </c>
      <c r="U205" s="136">
        <f t="shared" si="152"/>
        <v>560000.91</v>
      </c>
      <c r="V205" s="137" t="s">
        <v>1199</v>
      </c>
      <c r="W205" s="138">
        <v>46142</v>
      </c>
      <c r="X205" s="139" t="s">
        <v>1903</v>
      </c>
      <c r="Y205" s="140" t="s">
        <v>1188</v>
      </c>
      <c r="Z205" s="141" t="s">
        <v>1903</v>
      </c>
      <c r="AA205" s="142">
        <v>361345</v>
      </c>
      <c r="AB205" s="142" t="s">
        <v>1197</v>
      </c>
      <c r="AC205" s="142" t="s">
        <v>1191</v>
      </c>
      <c r="AD205" s="143">
        <f t="shared" si="153"/>
        <v>361345</v>
      </c>
      <c r="AE205" s="144">
        <f t="shared" si="154"/>
        <v>68655.55</v>
      </c>
      <c r="AF205" s="144">
        <f t="shared" si="142"/>
        <v>430000.55</v>
      </c>
      <c r="AG205" s="144">
        <f t="shared" si="155"/>
        <v>361345</v>
      </c>
      <c r="AH205" s="144">
        <f t="shared" si="156"/>
        <v>430000.55</v>
      </c>
      <c r="AI205" s="145"/>
      <c r="AJ205" s="146"/>
      <c r="AK205" s="147"/>
      <c r="AL205" s="148"/>
      <c r="AM205" s="149"/>
      <c r="AN205" s="150"/>
      <c r="AO205" s="150"/>
      <c r="AP205" s="151"/>
      <c r="AQ205" s="152"/>
      <c r="AR205" s="153"/>
      <c r="AS205" s="153"/>
      <c r="AT205" s="153"/>
      <c r="AU205" s="153"/>
      <c r="AV205" s="154">
        <f t="shared" si="144"/>
        <v>495000.73</v>
      </c>
      <c r="AW205" s="154">
        <f t="shared" si="145"/>
        <v>495000.73</v>
      </c>
      <c r="AX205" s="154">
        <f t="shared" si="146"/>
        <v>91924.136112692839</v>
      </c>
      <c r="AY205" s="155">
        <f t="shared" si="147"/>
        <v>0.18570505161213166</v>
      </c>
      <c r="AZ205" s="5"/>
      <c r="BA205" s="7">
        <f t="shared" si="148"/>
        <v>2</v>
      </c>
    </row>
    <row r="206" spans="1:53" ht="72.599999999999994" hidden="1" customHeight="1">
      <c r="A206" s="6" t="s">
        <v>1182</v>
      </c>
      <c r="B206" s="6" t="s">
        <v>1429</v>
      </c>
      <c r="C206" s="6" t="s">
        <v>1430</v>
      </c>
      <c r="D206" s="6" t="s">
        <v>1904</v>
      </c>
      <c r="E206" s="127" t="s">
        <v>1905</v>
      </c>
      <c r="F206" s="128" t="s">
        <v>191</v>
      </c>
      <c r="G206" s="129">
        <v>1</v>
      </c>
      <c r="H206" s="128" t="s">
        <v>305</v>
      </c>
      <c r="I206" s="130" t="s">
        <v>1201</v>
      </c>
      <c r="J206" s="131">
        <v>46142</v>
      </c>
      <c r="K206" s="132" t="s">
        <v>1901</v>
      </c>
      <c r="L206" s="133" t="s">
        <v>1188</v>
      </c>
      <c r="M206" s="131" t="s">
        <v>1902</v>
      </c>
      <c r="N206" s="134">
        <v>302522</v>
      </c>
      <c r="O206" s="134" t="s">
        <v>1197</v>
      </c>
      <c r="P206" s="134" t="s">
        <v>1191</v>
      </c>
      <c r="Q206" s="135">
        <f t="shared" si="149"/>
        <v>302522</v>
      </c>
      <c r="R206" s="136">
        <f t="shared" si="150"/>
        <v>57479.18</v>
      </c>
      <c r="S206" s="136">
        <f t="shared" si="141"/>
        <v>360001.18</v>
      </c>
      <c r="T206" s="136">
        <f t="shared" si="151"/>
        <v>302522</v>
      </c>
      <c r="U206" s="136">
        <f t="shared" si="152"/>
        <v>360001.18</v>
      </c>
      <c r="V206" s="137" t="s">
        <v>1199</v>
      </c>
      <c r="W206" s="138">
        <v>46142</v>
      </c>
      <c r="X206" s="139" t="s">
        <v>1903</v>
      </c>
      <c r="Y206" s="140" t="s">
        <v>1193</v>
      </c>
      <c r="Z206" s="141" t="s">
        <v>1903</v>
      </c>
      <c r="AA206" s="142">
        <v>252101</v>
      </c>
      <c r="AB206" s="142" t="s">
        <v>1197</v>
      </c>
      <c r="AC206" s="142" t="s">
        <v>1191</v>
      </c>
      <c r="AD206" s="143">
        <f t="shared" si="153"/>
        <v>252101</v>
      </c>
      <c r="AE206" s="144">
        <f t="shared" si="154"/>
        <v>47899.19</v>
      </c>
      <c r="AF206" s="144">
        <f t="shared" si="142"/>
        <v>300000.19</v>
      </c>
      <c r="AG206" s="144">
        <f t="shared" si="155"/>
        <v>252101</v>
      </c>
      <c r="AH206" s="144">
        <f t="shared" si="156"/>
        <v>300000.19</v>
      </c>
      <c r="AI206" s="145"/>
      <c r="AJ206" s="146"/>
      <c r="AK206" s="147"/>
      <c r="AL206" s="148"/>
      <c r="AM206" s="149"/>
      <c r="AN206" s="150"/>
      <c r="AO206" s="150"/>
      <c r="AP206" s="151"/>
      <c r="AQ206" s="152"/>
      <c r="AR206" s="153"/>
      <c r="AS206" s="153"/>
      <c r="AT206" s="153"/>
      <c r="AU206" s="153"/>
      <c r="AV206" s="154">
        <f>IF(A206="","",AVERAGE(S206,AF206))</f>
        <v>330000.685</v>
      </c>
      <c r="AW206" s="154">
        <f>IF(A206="","",AVERAGE(U206,AH206))</f>
        <v>330000.685</v>
      </c>
      <c r="AX206" s="154">
        <f>IF(N206="","",STDEV(U206,AH206))</f>
        <v>42427.106906906221</v>
      </c>
      <c r="AY206" s="155">
        <f t="shared" si="147"/>
        <v>0.12856672375363773</v>
      </c>
      <c r="AZ206" s="5"/>
      <c r="BA206" s="7">
        <f t="shared" si="148"/>
        <v>2</v>
      </c>
    </row>
    <row r="207" spans="1:53" ht="72.599999999999994" hidden="1" customHeight="1">
      <c r="A207" s="6" t="s">
        <v>1182</v>
      </c>
      <c r="B207" s="6" t="s">
        <v>1429</v>
      </c>
      <c r="C207" s="6" t="s">
        <v>1430</v>
      </c>
      <c r="D207" s="6" t="s">
        <v>1906</v>
      </c>
      <c r="E207" s="127" t="s">
        <v>1907</v>
      </c>
      <c r="F207" s="128" t="s">
        <v>191</v>
      </c>
      <c r="G207" s="129">
        <v>1</v>
      </c>
      <c r="H207" s="128" t="s">
        <v>305</v>
      </c>
      <c r="I207" s="130" t="s">
        <v>1199</v>
      </c>
      <c r="J207" s="131">
        <v>46142</v>
      </c>
      <c r="K207" s="132" t="s">
        <v>1908</v>
      </c>
      <c r="L207" s="133" t="s">
        <v>1188</v>
      </c>
      <c r="M207" s="131" t="s">
        <v>1903</v>
      </c>
      <c r="N207" s="134">
        <v>361345</v>
      </c>
      <c r="O207" s="134" t="s">
        <v>1197</v>
      </c>
      <c r="P207" s="134" t="s">
        <v>1191</v>
      </c>
      <c r="Q207" s="135">
        <f t="shared" si="149"/>
        <v>361345</v>
      </c>
      <c r="R207" s="136">
        <f t="shared" si="150"/>
        <v>68655.55</v>
      </c>
      <c r="S207" s="136">
        <f t="shared" si="141"/>
        <v>430000.55</v>
      </c>
      <c r="T207" s="136">
        <f t="shared" si="151"/>
        <v>361345</v>
      </c>
      <c r="U207" s="136">
        <f t="shared" si="152"/>
        <v>430000.55</v>
      </c>
      <c r="V207" s="137" t="s">
        <v>1199</v>
      </c>
      <c r="W207" s="138">
        <v>46142</v>
      </c>
      <c r="X207" s="139" t="s">
        <v>1901</v>
      </c>
      <c r="Y207" s="140" t="s">
        <v>1188</v>
      </c>
      <c r="Z207" s="141" t="s">
        <v>1902</v>
      </c>
      <c r="AA207" s="142">
        <v>470589</v>
      </c>
      <c r="AB207" s="142" t="s">
        <v>1197</v>
      </c>
      <c r="AC207" s="142" t="s">
        <v>1191</v>
      </c>
      <c r="AD207" s="143">
        <f t="shared" si="153"/>
        <v>470589</v>
      </c>
      <c r="AE207" s="144">
        <f t="shared" si="154"/>
        <v>89411.91</v>
      </c>
      <c r="AF207" s="144">
        <f t="shared" si="142"/>
        <v>560000.91</v>
      </c>
      <c r="AG207" s="144">
        <f t="shared" si="155"/>
        <v>470589</v>
      </c>
      <c r="AH207" s="144">
        <f t="shared" si="156"/>
        <v>560000.91</v>
      </c>
      <c r="AI207" s="145"/>
      <c r="AJ207" s="146"/>
      <c r="AK207" s="147"/>
      <c r="AL207" s="148"/>
      <c r="AM207" s="149"/>
      <c r="AN207" s="150"/>
      <c r="AO207" s="150"/>
      <c r="AP207" s="151"/>
      <c r="AQ207" s="152"/>
      <c r="AR207" s="153"/>
      <c r="AS207" s="153"/>
      <c r="AT207" s="153"/>
      <c r="AU207" s="153"/>
      <c r="AV207" s="154">
        <f>IF(A207="","",AVERAGE(S207,AF207,AS207))</f>
        <v>495000.73</v>
      </c>
      <c r="AW207" s="154">
        <f>IF(A207="","",AVERAGE(U207,AH207,AU207))</f>
        <v>495000.73</v>
      </c>
      <c r="AX207" s="154">
        <f>IF(N207="","",STDEV(U207,AH207,AU207))</f>
        <v>91924.136112692839</v>
      </c>
      <c r="AY207" s="155">
        <f t="shared" si="147"/>
        <v>0.18570505161213166</v>
      </c>
      <c r="AZ207" s="5"/>
      <c r="BA207" s="7">
        <f t="shared" si="148"/>
        <v>2</v>
      </c>
    </row>
    <row r="208" spans="1:53" ht="72.599999999999994" hidden="1" customHeight="1">
      <c r="A208" s="6" t="s">
        <v>1182</v>
      </c>
      <c r="B208" s="6" t="s">
        <v>1429</v>
      </c>
      <c r="C208" s="6" t="s">
        <v>1430</v>
      </c>
      <c r="D208" s="6" t="s">
        <v>1909</v>
      </c>
      <c r="E208" s="127" t="s">
        <v>1910</v>
      </c>
      <c r="F208" s="128" t="s">
        <v>191</v>
      </c>
      <c r="G208" s="129">
        <v>1</v>
      </c>
      <c r="H208" s="128" t="s">
        <v>305</v>
      </c>
      <c r="I208" s="130" t="s">
        <v>1201</v>
      </c>
      <c r="J208" s="131">
        <v>46147</v>
      </c>
      <c r="K208" s="132" t="s">
        <v>1901</v>
      </c>
      <c r="L208" s="133" t="s">
        <v>1188</v>
      </c>
      <c r="M208" s="131" t="s">
        <v>1902</v>
      </c>
      <c r="N208" s="134">
        <v>302522</v>
      </c>
      <c r="O208" s="134" t="s">
        <v>1197</v>
      </c>
      <c r="P208" s="134" t="s">
        <v>1191</v>
      </c>
      <c r="Q208" s="135">
        <f t="shared" si="149"/>
        <v>302522</v>
      </c>
      <c r="R208" s="136">
        <f t="shared" si="150"/>
        <v>57479.18</v>
      </c>
      <c r="S208" s="136">
        <f t="shared" si="141"/>
        <v>360001.18</v>
      </c>
      <c r="T208" s="136">
        <f t="shared" si="151"/>
        <v>302522</v>
      </c>
      <c r="U208" s="136">
        <f t="shared" si="152"/>
        <v>360001.18</v>
      </c>
      <c r="V208" s="137" t="s">
        <v>1199</v>
      </c>
      <c r="W208" s="138">
        <v>46143</v>
      </c>
      <c r="X208" s="139" t="s">
        <v>1903</v>
      </c>
      <c r="Y208" s="140" t="s">
        <v>1188</v>
      </c>
      <c r="Z208" s="141" t="s">
        <v>1903</v>
      </c>
      <c r="AA208" s="142">
        <v>252101</v>
      </c>
      <c r="AB208" s="142" t="s">
        <v>1197</v>
      </c>
      <c r="AC208" s="142" t="s">
        <v>1191</v>
      </c>
      <c r="AD208" s="143">
        <f t="shared" si="153"/>
        <v>252101</v>
      </c>
      <c r="AE208" s="144">
        <f t="shared" si="154"/>
        <v>47899.19</v>
      </c>
      <c r="AF208" s="144">
        <f t="shared" si="142"/>
        <v>300000.19</v>
      </c>
      <c r="AG208" s="144">
        <f t="shared" si="155"/>
        <v>252101</v>
      </c>
      <c r="AH208" s="144">
        <f t="shared" si="156"/>
        <v>300000.19</v>
      </c>
      <c r="AI208" s="145"/>
      <c r="AJ208" s="146"/>
      <c r="AK208" s="147"/>
      <c r="AL208" s="148"/>
      <c r="AM208" s="149"/>
      <c r="AN208" s="150"/>
      <c r="AO208" s="150"/>
      <c r="AP208" s="151"/>
      <c r="AQ208" s="152"/>
      <c r="AR208" s="153"/>
      <c r="AS208" s="153"/>
      <c r="AT208" s="153"/>
      <c r="AU208" s="153"/>
      <c r="AV208" s="154">
        <f>IF(A208="","",AVERAGE(S208,AF208,AS208))</f>
        <v>330000.685</v>
      </c>
      <c r="AW208" s="154">
        <f>IF(A208="","",AVERAGE(U208,AH208,AU208))</f>
        <v>330000.685</v>
      </c>
      <c r="AX208" s="154">
        <f>IF(N208="","",STDEV(U208,AH208,AU208))</f>
        <v>42427.106906906221</v>
      </c>
      <c r="AY208" s="155">
        <f t="shared" si="147"/>
        <v>0.12856672375363773</v>
      </c>
      <c r="AZ208" s="5"/>
      <c r="BA208" s="7">
        <f t="shared" si="148"/>
        <v>2</v>
      </c>
    </row>
    <row r="209" spans="1:53" ht="72.599999999999994" hidden="1" customHeight="1">
      <c r="A209" s="6" t="s">
        <v>1182</v>
      </c>
      <c r="B209" s="6" t="s">
        <v>1429</v>
      </c>
      <c r="C209" s="6" t="s">
        <v>1430</v>
      </c>
      <c r="D209" s="6" t="s">
        <v>1911</v>
      </c>
      <c r="E209" s="127" t="s">
        <v>1912</v>
      </c>
      <c r="F209" s="128" t="s">
        <v>191</v>
      </c>
      <c r="G209" s="129">
        <v>1</v>
      </c>
      <c r="H209" s="128" t="s">
        <v>305</v>
      </c>
      <c r="I209" s="130" t="s">
        <v>1201</v>
      </c>
      <c r="J209" s="131">
        <v>46100</v>
      </c>
      <c r="K209" s="132" t="s">
        <v>1901</v>
      </c>
      <c r="L209" s="133" t="s">
        <v>1193</v>
      </c>
      <c r="M209" s="131" t="s">
        <v>1902</v>
      </c>
      <c r="N209" s="134">
        <v>302522</v>
      </c>
      <c r="O209" s="134" t="s">
        <v>1197</v>
      </c>
      <c r="P209" s="134" t="s">
        <v>1191</v>
      </c>
      <c r="Q209" s="135">
        <f t="shared" si="149"/>
        <v>302522</v>
      </c>
      <c r="R209" s="136">
        <f t="shared" si="150"/>
        <v>57479.18</v>
      </c>
      <c r="S209" s="136">
        <f t="shared" si="141"/>
        <v>360001.18</v>
      </c>
      <c r="T209" s="136">
        <f t="shared" si="151"/>
        <v>302522</v>
      </c>
      <c r="U209" s="136">
        <f t="shared" si="152"/>
        <v>360001.18</v>
      </c>
      <c r="V209" s="137" t="s">
        <v>1186</v>
      </c>
      <c r="W209" s="138">
        <v>46139</v>
      </c>
      <c r="X209" s="139" t="s">
        <v>1903</v>
      </c>
      <c r="Y209" s="140" t="s">
        <v>1188</v>
      </c>
      <c r="Z209" s="141" t="s">
        <v>1903</v>
      </c>
      <c r="AA209" s="142">
        <v>252101</v>
      </c>
      <c r="AB209" s="142" t="s">
        <v>1197</v>
      </c>
      <c r="AC209" s="142" t="s">
        <v>1191</v>
      </c>
      <c r="AD209" s="143">
        <f t="shared" si="153"/>
        <v>252101</v>
      </c>
      <c r="AE209" s="144">
        <f t="shared" si="154"/>
        <v>47899.19</v>
      </c>
      <c r="AF209" s="144">
        <f t="shared" si="142"/>
        <v>300000.19</v>
      </c>
      <c r="AG209" s="144">
        <f t="shared" si="155"/>
        <v>252101</v>
      </c>
      <c r="AH209" s="144">
        <f t="shared" si="156"/>
        <v>300000.19</v>
      </c>
      <c r="AI209" s="145"/>
      <c r="AJ209" s="146"/>
      <c r="AK209" s="147"/>
      <c r="AL209" s="148"/>
      <c r="AM209" s="149"/>
      <c r="AN209" s="150"/>
      <c r="AO209" s="150"/>
      <c r="AP209" s="151"/>
      <c r="AQ209" s="152"/>
      <c r="AR209" s="153"/>
      <c r="AS209" s="153"/>
      <c r="AT209" s="153"/>
      <c r="AU209" s="153"/>
      <c r="AV209" s="154">
        <f>IF(A209="","",AVERAGE(S209,AF209))</f>
        <v>330000.685</v>
      </c>
      <c r="AW209" s="154">
        <f>IF(A209="","",AVERAGE(U209,AH209))</f>
        <v>330000.685</v>
      </c>
      <c r="AX209" s="154">
        <f>IF(N209="","",STDEV(U209,AH209))</f>
        <v>42427.106906906221</v>
      </c>
      <c r="AY209" s="155">
        <f t="shared" si="147"/>
        <v>0.12856672375363773</v>
      </c>
      <c r="AZ209" s="5"/>
      <c r="BA209" s="7">
        <f t="shared" si="148"/>
        <v>2</v>
      </c>
    </row>
    <row r="210" spans="1:53" ht="72.599999999999994" hidden="1" customHeight="1">
      <c r="A210" s="6" t="s">
        <v>1182</v>
      </c>
      <c r="B210" s="6" t="s">
        <v>1429</v>
      </c>
      <c r="C210" s="6" t="s">
        <v>1430</v>
      </c>
      <c r="D210" s="6" t="s">
        <v>1913</v>
      </c>
      <c r="E210" s="127" t="s">
        <v>1914</v>
      </c>
      <c r="F210" s="128" t="s">
        <v>191</v>
      </c>
      <c r="G210" s="129">
        <v>1</v>
      </c>
      <c r="H210" s="128" t="s">
        <v>305</v>
      </c>
      <c r="I210" s="130" t="s">
        <v>1201</v>
      </c>
      <c r="J210" s="131">
        <v>46143</v>
      </c>
      <c r="K210" s="132" t="s">
        <v>1901</v>
      </c>
      <c r="L210" s="133" t="s">
        <v>1188</v>
      </c>
      <c r="M210" s="131" t="s">
        <v>1902</v>
      </c>
      <c r="N210" s="134">
        <v>302522</v>
      </c>
      <c r="O210" s="134" t="s">
        <v>1197</v>
      </c>
      <c r="P210" s="134" t="s">
        <v>1191</v>
      </c>
      <c r="Q210" s="135">
        <f t="shared" si="149"/>
        <v>302522</v>
      </c>
      <c r="R210" s="136">
        <f t="shared" si="150"/>
        <v>57479.18</v>
      </c>
      <c r="S210" s="136">
        <f t="shared" si="141"/>
        <v>360001.18</v>
      </c>
      <c r="T210" s="136">
        <f t="shared" si="151"/>
        <v>302522</v>
      </c>
      <c r="U210" s="136">
        <f t="shared" si="152"/>
        <v>360001.18</v>
      </c>
      <c r="V210" s="137" t="s">
        <v>1199</v>
      </c>
      <c r="W210" s="138">
        <v>46143</v>
      </c>
      <c r="X210" s="139" t="s">
        <v>1903</v>
      </c>
      <c r="Y210" s="140" t="s">
        <v>1188</v>
      </c>
      <c r="Z210" s="141" t="s">
        <v>1903</v>
      </c>
      <c r="AA210" s="142">
        <v>361345</v>
      </c>
      <c r="AB210" s="142" t="s">
        <v>1197</v>
      </c>
      <c r="AC210" s="142" t="s">
        <v>1191</v>
      </c>
      <c r="AD210" s="143">
        <f t="shared" si="153"/>
        <v>361345</v>
      </c>
      <c r="AE210" s="144">
        <f t="shared" si="154"/>
        <v>68655.55</v>
      </c>
      <c r="AF210" s="144">
        <f t="shared" si="142"/>
        <v>430000.55</v>
      </c>
      <c r="AG210" s="144">
        <f t="shared" si="155"/>
        <v>361345</v>
      </c>
      <c r="AH210" s="144">
        <f t="shared" si="156"/>
        <v>430000.55</v>
      </c>
      <c r="AI210" s="145"/>
      <c r="AJ210" s="146"/>
      <c r="AK210" s="147"/>
      <c r="AL210" s="148"/>
      <c r="AM210" s="149"/>
      <c r="AN210" s="150"/>
      <c r="AO210" s="150"/>
      <c r="AP210" s="151"/>
      <c r="AQ210" s="152"/>
      <c r="AR210" s="153"/>
      <c r="AS210" s="153"/>
      <c r="AT210" s="153"/>
      <c r="AU210" s="153"/>
      <c r="AV210" s="154">
        <f>IF(A210="","",AVERAGE(S210,AF210,AS210))</f>
        <v>395000.86499999999</v>
      </c>
      <c r="AW210" s="154">
        <f>IF(A210="","",AVERAGE(U210,AH210,AU210))</f>
        <v>395000.86499999999</v>
      </c>
      <c r="AX210" s="154">
        <f>IF(N210="","",STDEV(U210,AH210,AU210))</f>
        <v>49497.029205786173</v>
      </c>
      <c r="AY210" s="155">
        <f t="shared" si="147"/>
        <v>0.12530866028808868</v>
      </c>
      <c r="AZ210" s="5"/>
      <c r="BA210" s="7">
        <f t="shared" si="148"/>
        <v>2</v>
      </c>
    </row>
    <row r="211" spans="1:53" ht="72.599999999999994" hidden="1" customHeight="1">
      <c r="A211" s="6" t="s">
        <v>1182</v>
      </c>
      <c r="B211" s="6" t="s">
        <v>1429</v>
      </c>
      <c r="C211" s="6" t="s">
        <v>1430</v>
      </c>
      <c r="D211" s="6" t="s">
        <v>1915</v>
      </c>
      <c r="E211" s="127" t="s">
        <v>1916</v>
      </c>
      <c r="F211" s="128" t="s">
        <v>191</v>
      </c>
      <c r="G211" s="129">
        <v>1</v>
      </c>
      <c r="H211" s="128" t="s">
        <v>305</v>
      </c>
      <c r="I211" s="130" t="s">
        <v>1201</v>
      </c>
      <c r="J211" s="131">
        <v>46143</v>
      </c>
      <c r="K211" s="132" t="s">
        <v>1903</v>
      </c>
      <c r="L211" s="133" t="s">
        <v>1188</v>
      </c>
      <c r="M211" s="131" t="s">
        <v>1903</v>
      </c>
      <c r="N211" s="134">
        <v>361345</v>
      </c>
      <c r="O211" s="134" t="s">
        <v>1197</v>
      </c>
      <c r="P211" s="134" t="s">
        <v>1191</v>
      </c>
      <c r="Q211" s="135">
        <f t="shared" si="149"/>
        <v>361345</v>
      </c>
      <c r="R211" s="136">
        <f t="shared" si="150"/>
        <v>68655.55</v>
      </c>
      <c r="S211" s="136">
        <f t="shared" si="141"/>
        <v>430000.55</v>
      </c>
      <c r="T211" s="136">
        <f t="shared" si="151"/>
        <v>361345</v>
      </c>
      <c r="U211" s="136">
        <f t="shared" si="152"/>
        <v>430000.55</v>
      </c>
      <c r="V211" s="137" t="s">
        <v>1199</v>
      </c>
      <c r="W211" s="138">
        <v>46143</v>
      </c>
      <c r="X211" s="139" t="s">
        <v>1901</v>
      </c>
      <c r="Y211" s="140" t="s">
        <v>1188</v>
      </c>
      <c r="Z211" s="141" t="s">
        <v>1902</v>
      </c>
      <c r="AA211" s="142">
        <v>302522</v>
      </c>
      <c r="AB211" s="142" t="s">
        <v>1197</v>
      </c>
      <c r="AC211" s="142" t="s">
        <v>1191</v>
      </c>
      <c r="AD211" s="143">
        <f t="shared" si="153"/>
        <v>302522</v>
      </c>
      <c r="AE211" s="144">
        <f t="shared" si="154"/>
        <v>57479.18</v>
      </c>
      <c r="AF211" s="144">
        <f t="shared" si="142"/>
        <v>360001.18</v>
      </c>
      <c r="AG211" s="144">
        <f t="shared" si="155"/>
        <v>302522</v>
      </c>
      <c r="AH211" s="144">
        <f t="shared" si="156"/>
        <v>360001.18</v>
      </c>
      <c r="AI211" s="145"/>
      <c r="AJ211" s="146"/>
      <c r="AK211" s="147"/>
      <c r="AL211" s="148"/>
      <c r="AM211" s="149"/>
      <c r="AN211" s="150"/>
      <c r="AO211" s="150"/>
      <c r="AP211" s="151"/>
      <c r="AQ211" s="152"/>
      <c r="AR211" s="153"/>
      <c r="AS211" s="153"/>
      <c r="AT211" s="153"/>
      <c r="AU211" s="153"/>
      <c r="AV211" s="154">
        <f>IF(A211="","",AVERAGE(S211,AF211,AS211))</f>
        <v>395000.86499999999</v>
      </c>
      <c r="AW211" s="154">
        <f>IF(A211="","",AVERAGE(U211,AH211,AU211))</f>
        <v>395000.86499999999</v>
      </c>
      <c r="AX211" s="154">
        <f>IF(N211="","",STDEV(U211,AH211,AU211))</f>
        <v>49497.029205786173</v>
      </c>
      <c r="AY211" s="155">
        <f t="shared" si="147"/>
        <v>0.12530866028808868</v>
      </c>
      <c r="AZ211" s="5"/>
      <c r="BA211" s="7">
        <f t="shared" si="148"/>
        <v>2</v>
      </c>
    </row>
    <row r="212" spans="1:53" ht="72.599999999999994" hidden="1" customHeight="1">
      <c r="A212" s="6" t="s">
        <v>1182</v>
      </c>
      <c r="B212" s="6" t="s">
        <v>1429</v>
      </c>
      <c r="C212" s="6" t="s">
        <v>1430</v>
      </c>
      <c r="D212" s="6" t="s">
        <v>1917</v>
      </c>
      <c r="E212" s="127" t="s">
        <v>1918</v>
      </c>
      <c r="F212" s="128" t="s">
        <v>191</v>
      </c>
      <c r="G212" s="129">
        <v>1</v>
      </c>
      <c r="H212" s="128" t="s">
        <v>305</v>
      </c>
      <c r="I212" s="130" t="s">
        <v>1201</v>
      </c>
      <c r="J212" s="131">
        <v>46143</v>
      </c>
      <c r="K212" s="132" t="s">
        <v>1903</v>
      </c>
      <c r="L212" s="133" t="s">
        <v>1188</v>
      </c>
      <c r="M212" s="131" t="s">
        <v>1903</v>
      </c>
      <c r="N212" s="134">
        <v>252101</v>
      </c>
      <c r="O212" s="134" t="s">
        <v>1197</v>
      </c>
      <c r="P212" s="134" t="s">
        <v>1191</v>
      </c>
      <c r="Q212" s="135">
        <f t="shared" si="149"/>
        <v>252101</v>
      </c>
      <c r="R212" s="136">
        <f t="shared" si="150"/>
        <v>47899.19</v>
      </c>
      <c r="S212" s="136">
        <f t="shared" si="141"/>
        <v>300000.19</v>
      </c>
      <c r="T212" s="136">
        <f t="shared" si="151"/>
        <v>252101</v>
      </c>
      <c r="U212" s="136">
        <f t="shared" si="152"/>
        <v>300000.19</v>
      </c>
      <c r="V212" s="137" t="s">
        <v>1199</v>
      </c>
      <c r="W212" s="138">
        <v>46143</v>
      </c>
      <c r="X212" s="139" t="s">
        <v>1901</v>
      </c>
      <c r="Y212" s="140" t="s">
        <v>1188</v>
      </c>
      <c r="Z212" s="141" t="s">
        <v>1902</v>
      </c>
      <c r="AA212" s="142">
        <v>302522</v>
      </c>
      <c r="AB212" s="142" t="s">
        <v>1197</v>
      </c>
      <c r="AC212" s="142" t="s">
        <v>1191</v>
      </c>
      <c r="AD212" s="143">
        <f t="shared" si="153"/>
        <v>302522</v>
      </c>
      <c r="AE212" s="144">
        <f t="shared" si="154"/>
        <v>57479.18</v>
      </c>
      <c r="AF212" s="144">
        <f t="shared" si="142"/>
        <v>360001.18</v>
      </c>
      <c r="AG212" s="144">
        <f t="shared" si="155"/>
        <v>302522</v>
      </c>
      <c r="AH212" s="144">
        <f t="shared" si="156"/>
        <v>360001.18</v>
      </c>
      <c r="AI212" s="145"/>
      <c r="AJ212" s="146"/>
      <c r="AK212" s="147"/>
      <c r="AL212" s="148"/>
      <c r="AM212" s="149"/>
      <c r="AN212" s="150"/>
      <c r="AO212" s="150"/>
      <c r="AP212" s="151"/>
      <c r="AQ212" s="152"/>
      <c r="AR212" s="153"/>
      <c r="AS212" s="153"/>
      <c r="AT212" s="153"/>
      <c r="AU212" s="153"/>
      <c r="AV212" s="154">
        <f>IF(A212="","",AVERAGE(S212,AF212,AS212))</f>
        <v>330000.685</v>
      </c>
      <c r="AW212" s="154">
        <f>IF(A212="","",AVERAGE(U212,AH212,AU212))</f>
        <v>330000.685</v>
      </c>
      <c r="AX212" s="154">
        <f>IF(N212="","",STDEV(U212,AH212,AU212))</f>
        <v>42427.106906906221</v>
      </c>
      <c r="AY212" s="155">
        <f t="shared" si="147"/>
        <v>0.12856672375363773</v>
      </c>
      <c r="AZ212" s="5"/>
      <c r="BA212" s="7">
        <f t="shared" si="148"/>
        <v>2</v>
      </c>
    </row>
    <row r="213" spans="1:53" ht="72.599999999999994" hidden="1" customHeight="1">
      <c r="A213" s="6" t="s">
        <v>569</v>
      </c>
      <c r="B213" s="6" t="s">
        <v>569</v>
      </c>
      <c r="C213" s="6" t="s">
        <v>569</v>
      </c>
      <c r="D213" s="6" t="s">
        <v>1919</v>
      </c>
      <c r="E213" s="127" t="s">
        <v>1920</v>
      </c>
      <c r="F213" s="128" t="s">
        <v>1011</v>
      </c>
      <c r="G213" s="129">
        <v>1</v>
      </c>
      <c r="H213" s="128"/>
      <c r="I213" s="130" t="s">
        <v>569</v>
      </c>
      <c r="J213" s="131" t="s">
        <v>569</v>
      </c>
      <c r="K213" s="132" t="s">
        <v>569</v>
      </c>
      <c r="L213" s="133" t="s">
        <v>569</v>
      </c>
      <c r="M213" s="131" t="s">
        <v>569</v>
      </c>
      <c r="N213" s="134"/>
      <c r="O213" s="134"/>
      <c r="P213" s="134"/>
      <c r="Q213" s="135">
        <v>840000</v>
      </c>
      <c r="R213" s="136">
        <v>159600</v>
      </c>
      <c r="S213" s="136">
        <v>999600</v>
      </c>
      <c r="T213" s="136">
        <v>840000</v>
      </c>
      <c r="U213" s="136">
        <v>999600</v>
      </c>
      <c r="V213" s="137" t="s">
        <v>569</v>
      </c>
      <c r="W213" s="138" t="s">
        <v>569</v>
      </c>
      <c r="X213" s="139" t="s">
        <v>569</v>
      </c>
      <c r="Y213" s="140" t="s">
        <v>569</v>
      </c>
      <c r="Z213" s="141" t="s">
        <v>1248</v>
      </c>
      <c r="AA213" s="142" t="s">
        <v>569</v>
      </c>
      <c r="AB213" s="142" t="s">
        <v>569</v>
      </c>
      <c r="AC213" s="142" t="s">
        <v>569</v>
      </c>
      <c r="AD213" s="143" t="s">
        <v>569</v>
      </c>
      <c r="AE213" s="144" t="s">
        <v>569</v>
      </c>
      <c r="AF213" s="144" t="s">
        <v>1248</v>
      </c>
      <c r="AG213" s="144" t="s">
        <v>1248</v>
      </c>
      <c r="AH213" s="144" t="s">
        <v>1248</v>
      </c>
      <c r="AI213" s="145" t="s">
        <v>569</v>
      </c>
      <c r="AJ213" s="146" t="s">
        <v>569</v>
      </c>
      <c r="AK213" s="147" t="s">
        <v>569</v>
      </c>
      <c r="AL213" s="148" t="s">
        <v>569</v>
      </c>
      <c r="AM213" s="149" t="s">
        <v>1250</v>
      </c>
      <c r="AN213" s="150" t="s">
        <v>569</v>
      </c>
      <c r="AO213" s="150" t="s">
        <v>569</v>
      </c>
      <c r="AP213" s="151" t="s">
        <v>569</v>
      </c>
      <c r="AQ213" s="152">
        <v>588235</v>
      </c>
      <c r="AR213" s="153">
        <v>111765</v>
      </c>
      <c r="AS213" s="153">
        <v>700000</v>
      </c>
      <c r="AT213" s="153">
        <v>588235</v>
      </c>
      <c r="AU213" s="153">
        <v>700000</v>
      </c>
      <c r="AV213" s="154">
        <v>849800</v>
      </c>
      <c r="AW213" s="154">
        <v>849800</v>
      </c>
      <c r="AX213" s="154">
        <v>211849.19</v>
      </c>
      <c r="AY213" s="155">
        <v>0.24929999999999999</v>
      </c>
      <c r="AZ213" s="5"/>
      <c r="BA213" s="7"/>
    </row>
    <row r="214" spans="1:53" ht="348" hidden="1" customHeight="1">
      <c r="A214" s="6" t="s">
        <v>569</v>
      </c>
      <c r="B214" s="6" t="s">
        <v>569</v>
      </c>
      <c r="C214" s="6" t="s">
        <v>569</v>
      </c>
      <c r="D214" s="6" t="s">
        <v>1921</v>
      </c>
      <c r="E214" s="127" t="s">
        <v>1922</v>
      </c>
      <c r="F214" s="128" t="s">
        <v>1247</v>
      </c>
      <c r="G214" s="129">
        <v>1</v>
      </c>
      <c r="H214" s="128"/>
      <c r="I214" s="130" t="s">
        <v>569</v>
      </c>
      <c r="J214" s="131" t="s">
        <v>569</v>
      </c>
      <c r="K214" s="132" t="s">
        <v>569</v>
      </c>
      <c r="L214" s="133" t="s">
        <v>569</v>
      </c>
      <c r="M214" s="131" t="s">
        <v>569</v>
      </c>
      <c r="N214" s="134"/>
      <c r="O214" s="134"/>
      <c r="P214" s="134"/>
      <c r="Q214" s="135" t="s">
        <v>1248</v>
      </c>
      <c r="R214" s="136" t="s">
        <v>1248</v>
      </c>
      <c r="S214" s="136" t="s">
        <v>1248</v>
      </c>
      <c r="T214" s="136" t="s">
        <v>1248</v>
      </c>
      <c r="U214" s="136" t="s">
        <v>1248</v>
      </c>
      <c r="V214" s="137" t="s">
        <v>569</v>
      </c>
      <c r="W214" s="138" t="s">
        <v>569</v>
      </c>
      <c r="X214" s="139" t="s">
        <v>569</v>
      </c>
      <c r="Y214" s="140" t="s">
        <v>569</v>
      </c>
      <c r="Z214" s="141" t="s">
        <v>1249</v>
      </c>
      <c r="AA214" s="142" t="s">
        <v>569</v>
      </c>
      <c r="AB214" s="142" t="s">
        <v>569</v>
      </c>
      <c r="AC214" s="142" t="s">
        <v>569</v>
      </c>
      <c r="AD214" s="143" t="s">
        <v>569</v>
      </c>
      <c r="AE214" s="144" t="s">
        <v>569</v>
      </c>
      <c r="AF214" s="144">
        <v>998691</v>
      </c>
      <c r="AG214" s="144">
        <v>5.5599999999999997E-2</v>
      </c>
      <c r="AH214" s="144">
        <v>1054218</v>
      </c>
      <c r="AI214" s="145" t="s">
        <v>569</v>
      </c>
      <c r="AJ214" s="146" t="s">
        <v>569</v>
      </c>
      <c r="AK214" s="147" t="s">
        <v>569</v>
      </c>
      <c r="AL214" s="148" t="s">
        <v>569</v>
      </c>
      <c r="AM214" s="149" t="s">
        <v>1250</v>
      </c>
      <c r="AN214" s="150" t="s">
        <v>569</v>
      </c>
      <c r="AO214" s="150" t="s">
        <v>569</v>
      </c>
      <c r="AP214" s="151" t="s">
        <v>569</v>
      </c>
      <c r="AQ214" s="152">
        <v>856021</v>
      </c>
      <c r="AR214" s="153">
        <v>162644</v>
      </c>
      <c r="AS214" s="153">
        <v>1018665</v>
      </c>
      <c r="AT214" s="153">
        <v>856021</v>
      </c>
      <c r="AU214" s="153">
        <v>1018665</v>
      </c>
      <c r="AV214" s="154">
        <v>1036442</v>
      </c>
      <c r="AW214" s="154">
        <v>1036442</v>
      </c>
      <c r="AX214" s="154">
        <v>25140.06</v>
      </c>
      <c r="AY214" s="155">
        <v>2.4299999999999999E-2</v>
      </c>
      <c r="AZ214" s="5"/>
      <c r="BA214" s="7"/>
    </row>
    <row r="215" spans="1:53" ht="409.5" hidden="1" customHeight="1">
      <c r="A215" s="6" t="s">
        <v>569</v>
      </c>
      <c r="B215" s="6" t="s">
        <v>569</v>
      </c>
      <c r="C215" s="6" t="s">
        <v>569</v>
      </c>
      <c r="D215" s="6" t="s">
        <v>1923</v>
      </c>
      <c r="E215" s="127" t="s">
        <v>1924</v>
      </c>
      <c r="F215" s="128" t="s">
        <v>1247</v>
      </c>
      <c r="G215" s="129">
        <v>1</v>
      </c>
      <c r="H215" s="128"/>
      <c r="I215" s="130" t="s">
        <v>569</v>
      </c>
      <c r="J215" s="131" t="s">
        <v>569</v>
      </c>
      <c r="K215" s="132" t="s">
        <v>569</v>
      </c>
      <c r="L215" s="133" t="s">
        <v>569</v>
      </c>
      <c r="M215" s="131" t="s">
        <v>569</v>
      </c>
      <c r="N215" s="134"/>
      <c r="O215" s="134"/>
      <c r="P215" s="134"/>
      <c r="Q215" s="135" t="s">
        <v>1248</v>
      </c>
      <c r="R215" s="136" t="s">
        <v>1248</v>
      </c>
      <c r="S215" s="136" t="s">
        <v>1248</v>
      </c>
      <c r="T215" s="136" t="s">
        <v>1248</v>
      </c>
      <c r="U215" s="136" t="s">
        <v>1248</v>
      </c>
      <c r="V215" s="137" t="s">
        <v>569</v>
      </c>
      <c r="W215" s="138" t="s">
        <v>569</v>
      </c>
      <c r="X215" s="139" t="s">
        <v>569</v>
      </c>
      <c r="Y215" s="140" t="s">
        <v>569</v>
      </c>
      <c r="Z215" s="141" t="s">
        <v>1249</v>
      </c>
      <c r="AA215" s="142" t="s">
        <v>569</v>
      </c>
      <c r="AB215" s="142" t="s">
        <v>569</v>
      </c>
      <c r="AC215" s="142" t="s">
        <v>569</v>
      </c>
      <c r="AD215" s="143" t="s">
        <v>569</v>
      </c>
      <c r="AE215" s="144" t="s">
        <v>569</v>
      </c>
      <c r="AF215" s="144">
        <v>1642500</v>
      </c>
      <c r="AG215" s="144">
        <v>5.5599999999999997E-2</v>
      </c>
      <c r="AH215" s="144">
        <v>1733823</v>
      </c>
      <c r="AI215" s="145" t="s">
        <v>569</v>
      </c>
      <c r="AJ215" s="146" t="s">
        <v>569</v>
      </c>
      <c r="AK215" s="147" t="s">
        <v>569</v>
      </c>
      <c r="AL215" s="148" t="s">
        <v>569</v>
      </c>
      <c r="AM215" s="149" t="s">
        <v>1250</v>
      </c>
      <c r="AN215" s="150" t="s">
        <v>569</v>
      </c>
      <c r="AO215" s="150" t="s">
        <v>569</v>
      </c>
      <c r="AP215" s="151" t="s">
        <v>569</v>
      </c>
      <c r="AQ215" s="152">
        <v>1435462</v>
      </c>
      <c r="AR215" s="153">
        <v>272738</v>
      </c>
      <c r="AS215" s="153">
        <v>1708200</v>
      </c>
      <c r="AT215" s="153">
        <v>1435462</v>
      </c>
      <c r="AU215" s="153">
        <v>1708200</v>
      </c>
      <c r="AV215" s="154">
        <v>1721012</v>
      </c>
      <c r="AW215" s="154">
        <v>1721012</v>
      </c>
      <c r="AX215" s="154">
        <v>18118.2</v>
      </c>
      <c r="AY215" s="155">
        <v>1.0500000000000001E-2</v>
      </c>
      <c r="AZ215" s="5"/>
      <c r="BA215" s="7"/>
    </row>
    <row r="216" spans="1:53" ht="409.5" hidden="1" customHeight="1">
      <c r="A216" s="6" t="s">
        <v>569</v>
      </c>
      <c r="B216" s="6" t="s">
        <v>569</v>
      </c>
      <c r="C216" s="6" t="s">
        <v>569</v>
      </c>
      <c r="D216" s="6" t="s">
        <v>1925</v>
      </c>
      <c r="E216" s="127" t="s">
        <v>1926</v>
      </c>
      <c r="F216" s="128" t="s">
        <v>1247</v>
      </c>
      <c r="G216" s="129">
        <v>1</v>
      </c>
      <c r="H216" s="128"/>
      <c r="I216" s="130" t="s">
        <v>569</v>
      </c>
      <c r="J216" s="131" t="s">
        <v>569</v>
      </c>
      <c r="K216" s="132" t="s">
        <v>569</v>
      </c>
      <c r="L216" s="133" t="s">
        <v>569</v>
      </c>
      <c r="M216" s="131" t="s">
        <v>569</v>
      </c>
      <c r="N216" s="134"/>
      <c r="O216" s="134"/>
      <c r="P216" s="134"/>
      <c r="Q216" s="135" t="s">
        <v>1248</v>
      </c>
      <c r="R216" s="136" t="s">
        <v>1248</v>
      </c>
      <c r="S216" s="136" t="s">
        <v>1248</v>
      </c>
      <c r="T216" s="136" t="s">
        <v>1248</v>
      </c>
      <c r="U216" s="136" t="s">
        <v>1248</v>
      </c>
      <c r="V216" s="137" t="s">
        <v>569</v>
      </c>
      <c r="W216" s="138" t="s">
        <v>569</v>
      </c>
      <c r="X216" s="139" t="s">
        <v>569</v>
      </c>
      <c r="Y216" s="140" t="s">
        <v>569</v>
      </c>
      <c r="Z216" s="141" t="s">
        <v>1249</v>
      </c>
      <c r="AA216" s="142" t="s">
        <v>569</v>
      </c>
      <c r="AB216" s="142" t="s">
        <v>569</v>
      </c>
      <c r="AC216" s="142" t="s">
        <v>569</v>
      </c>
      <c r="AD216" s="143" t="s">
        <v>569</v>
      </c>
      <c r="AE216" s="144" t="s">
        <v>569</v>
      </c>
      <c r="AF216" s="144">
        <v>1255750</v>
      </c>
      <c r="AG216" s="144">
        <v>5.5599999999999997E-2</v>
      </c>
      <c r="AH216" s="144">
        <v>1325570</v>
      </c>
      <c r="AI216" s="145" t="s">
        <v>569</v>
      </c>
      <c r="AJ216" s="146" t="s">
        <v>569</v>
      </c>
      <c r="AK216" s="147" t="s">
        <v>569</v>
      </c>
      <c r="AL216" s="148" t="s">
        <v>569</v>
      </c>
      <c r="AM216" s="149" t="s">
        <v>1250</v>
      </c>
      <c r="AN216" s="150" t="s">
        <v>569</v>
      </c>
      <c r="AO216" s="150" t="s">
        <v>569</v>
      </c>
      <c r="AP216" s="151" t="s">
        <v>569</v>
      </c>
      <c r="AQ216" s="152">
        <v>1097462</v>
      </c>
      <c r="AR216" s="153">
        <v>208518</v>
      </c>
      <c r="AS216" s="153">
        <v>1305980</v>
      </c>
      <c r="AT216" s="153">
        <v>1097462</v>
      </c>
      <c r="AU216" s="153">
        <v>1305980</v>
      </c>
      <c r="AV216" s="154">
        <v>1315775</v>
      </c>
      <c r="AW216" s="154">
        <v>1315775</v>
      </c>
      <c r="AX216" s="154">
        <v>13852.01</v>
      </c>
      <c r="AY216" s="155">
        <v>1.0500000000000001E-2</v>
      </c>
      <c r="AZ216" s="5"/>
      <c r="BA216" s="7"/>
    </row>
    <row r="217" spans="1:53" ht="409.5" hidden="1" customHeight="1">
      <c r="A217" s="6" t="s">
        <v>569</v>
      </c>
      <c r="B217" s="6" t="s">
        <v>569</v>
      </c>
      <c r="C217" s="6" t="s">
        <v>569</v>
      </c>
      <c r="D217" s="6" t="s">
        <v>1927</v>
      </c>
      <c r="E217" s="127" t="s">
        <v>1928</v>
      </c>
      <c r="F217" s="128" t="s">
        <v>1247</v>
      </c>
      <c r="G217" s="129">
        <v>1</v>
      </c>
      <c r="H217" s="128"/>
      <c r="I217" s="130" t="s">
        <v>569</v>
      </c>
      <c r="J217" s="131" t="s">
        <v>569</v>
      </c>
      <c r="K217" s="132" t="s">
        <v>569</v>
      </c>
      <c r="L217" s="133" t="s">
        <v>569</v>
      </c>
      <c r="M217" s="131" t="s">
        <v>569</v>
      </c>
      <c r="N217" s="134"/>
      <c r="O217" s="134"/>
      <c r="P217" s="134"/>
      <c r="Q217" s="135" t="s">
        <v>1248</v>
      </c>
      <c r="R217" s="136" t="s">
        <v>1248</v>
      </c>
      <c r="S217" s="136" t="s">
        <v>1248</v>
      </c>
      <c r="T217" s="136" t="s">
        <v>1248</v>
      </c>
      <c r="U217" s="136" t="s">
        <v>1248</v>
      </c>
      <c r="V217" s="137" t="s">
        <v>569</v>
      </c>
      <c r="W217" s="138" t="s">
        <v>569</v>
      </c>
      <c r="X217" s="139" t="s">
        <v>569</v>
      </c>
      <c r="Y217" s="140" t="s">
        <v>569</v>
      </c>
      <c r="Z217" s="141" t="s">
        <v>1249</v>
      </c>
      <c r="AA217" s="142" t="s">
        <v>569</v>
      </c>
      <c r="AB217" s="142" t="s">
        <v>569</v>
      </c>
      <c r="AC217" s="142" t="s">
        <v>569</v>
      </c>
      <c r="AD217" s="143" t="s">
        <v>569</v>
      </c>
      <c r="AE217" s="144" t="s">
        <v>569</v>
      </c>
      <c r="AF217" s="144">
        <v>1325000</v>
      </c>
      <c r="AG217" s="144">
        <v>5.5599999999999997E-2</v>
      </c>
      <c r="AH217" s="144">
        <v>1398670</v>
      </c>
      <c r="AI217" s="145" t="s">
        <v>569</v>
      </c>
      <c r="AJ217" s="146" t="s">
        <v>569</v>
      </c>
      <c r="AK217" s="147" t="s">
        <v>569</v>
      </c>
      <c r="AL217" s="148" t="s">
        <v>569</v>
      </c>
      <c r="AM217" s="149" t="s">
        <v>1250</v>
      </c>
      <c r="AN217" s="150" t="s">
        <v>569</v>
      </c>
      <c r="AO217" s="150" t="s">
        <v>569</v>
      </c>
      <c r="AP217" s="151" t="s">
        <v>569</v>
      </c>
      <c r="AQ217" s="152">
        <v>1157983</v>
      </c>
      <c r="AR217" s="153">
        <v>220017</v>
      </c>
      <c r="AS217" s="153">
        <v>1378000</v>
      </c>
      <c r="AT217" s="153">
        <v>1157983</v>
      </c>
      <c r="AU217" s="153">
        <v>1378000</v>
      </c>
      <c r="AV217" s="154">
        <v>1388335</v>
      </c>
      <c r="AW217" s="154">
        <v>1388335</v>
      </c>
      <c r="AX217" s="154">
        <v>14615.9</v>
      </c>
      <c r="AY217" s="155">
        <v>1.0500000000000001E-2</v>
      </c>
      <c r="AZ217" s="5"/>
      <c r="BA217" s="7"/>
    </row>
    <row r="218" spans="1:53" ht="409.5" hidden="1" customHeight="1">
      <c r="A218" s="6" t="s">
        <v>1182</v>
      </c>
      <c r="B218" s="6" t="s">
        <v>1236</v>
      </c>
      <c r="C218" s="6">
        <v>78111803</v>
      </c>
      <c r="D218" s="6" t="s">
        <v>1929</v>
      </c>
      <c r="E218" s="127" t="s">
        <v>1930</v>
      </c>
      <c r="F218" s="128" t="s">
        <v>1011</v>
      </c>
      <c r="G218" s="129">
        <v>1</v>
      </c>
      <c r="H218" s="128" t="s">
        <v>305</v>
      </c>
      <c r="I218" s="130" t="s">
        <v>1186</v>
      </c>
      <c r="J218" s="131">
        <v>46085</v>
      </c>
      <c r="K218" s="132" t="s">
        <v>1931</v>
      </c>
      <c r="L218" s="133" t="s">
        <v>1193</v>
      </c>
      <c r="M218" s="131" t="s">
        <v>1932</v>
      </c>
      <c r="N218" s="134">
        <v>468000</v>
      </c>
      <c r="O218" s="134" t="s">
        <v>1197</v>
      </c>
      <c r="P218" s="134" t="s">
        <v>1217</v>
      </c>
      <c r="Q218" s="135">
        <f t="shared" ref="Q218:Q231" si="157">IF(O218="IVA Incluido",(N218/1.19),N218)</f>
        <v>468000</v>
      </c>
      <c r="R218" s="136">
        <f t="shared" ref="R218:R231" si="158">IF(P218="Si tiene IVA",Q218*19%,0)</f>
        <v>0</v>
      </c>
      <c r="S218" s="136">
        <f t="shared" ref="S218:S231" si="159">Q218+R218</f>
        <v>468000</v>
      </c>
      <c r="T218" s="136">
        <f t="shared" ref="T218:T230" si="160">IF(B218="","",(N218*G218))</f>
        <v>468000</v>
      </c>
      <c r="U218" s="136">
        <f t="shared" ref="U218:U231" si="161">IF(B218="","",(S218*G218))</f>
        <v>468000</v>
      </c>
      <c r="V218" s="137" t="s">
        <v>1357</v>
      </c>
      <c r="W218" s="138">
        <v>46140</v>
      </c>
      <c r="X218" s="139" t="s">
        <v>1933</v>
      </c>
      <c r="Y218" s="140" t="s">
        <v>1193</v>
      </c>
      <c r="Z218" s="141" t="s">
        <v>1934</v>
      </c>
      <c r="AA218" s="142">
        <v>536000</v>
      </c>
      <c r="AB218" s="142" t="s">
        <v>1197</v>
      </c>
      <c r="AC218" s="142" t="s">
        <v>1217</v>
      </c>
      <c r="AD218" s="143">
        <f>IF(AB218="IVA Incluido",(AA218/1.19),IF(AB218="Ipoconsumo Incluido",(AA218/1.08),AA218))</f>
        <v>536000</v>
      </c>
      <c r="AE218" s="144">
        <f t="shared" ref="AE218:AE231" si="162">IF(AC218="Si tiene IVA",AD218*19%,0)</f>
        <v>0</v>
      </c>
      <c r="AF218" s="144">
        <f t="shared" ref="AF218:AF231" si="163">AD218+AE218</f>
        <v>536000</v>
      </c>
      <c r="AG218" s="144">
        <f t="shared" ref="AG218:AG223" si="164">IF(O218="","",(AA218*G218))</f>
        <v>536000</v>
      </c>
      <c r="AH218" s="144">
        <f t="shared" ref="AH218:AH223" si="165">IF(O218="","",(AF218*G218))</f>
        <v>536000</v>
      </c>
      <c r="AI218" s="145" t="s">
        <v>1357</v>
      </c>
      <c r="AJ218" s="146">
        <v>46140</v>
      </c>
      <c r="AK218" s="147" t="s">
        <v>1935</v>
      </c>
      <c r="AL218" s="148" t="s">
        <v>1193</v>
      </c>
      <c r="AM218" s="149" t="s">
        <v>1936</v>
      </c>
      <c r="AN218" s="150">
        <v>700000</v>
      </c>
      <c r="AO218" s="150" t="s">
        <v>1197</v>
      </c>
      <c r="AP218" s="151" t="s">
        <v>1217</v>
      </c>
      <c r="AQ218" s="152">
        <f>IF(AO218="IVA Incluido",(AN218/1.19),IF(AO218="Ipoconsumo Incluido",(AN218/1.08),AN218))</f>
        <v>700000</v>
      </c>
      <c r="AR218" s="153">
        <f>IF(AP218="Si tiene IVA",AQ218*19%,0)</f>
        <v>0</v>
      </c>
      <c r="AS218" s="153">
        <f>AQ218+AR218</f>
        <v>700000</v>
      </c>
      <c r="AT218" s="153">
        <f>IF(AB218="","",(AN218*G218))</f>
        <v>700000</v>
      </c>
      <c r="AU218" s="153">
        <f>IF(AB218="","",(AS218*G218))</f>
        <v>700000</v>
      </c>
      <c r="AV218" s="154">
        <f>IF(A218="","",AVERAGE(S218,AF218,AS218))</f>
        <v>568000</v>
      </c>
      <c r="AW218" s="154">
        <f>IF(A218="","",AVERAGE(U218,AH218,AU218))</f>
        <v>568000</v>
      </c>
      <c r="AX218" s="154">
        <f>IF(N218="","",STDEV(U218,AH218,AU218))</f>
        <v>119264.41212700459</v>
      </c>
      <c r="AY218" s="155">
        <f t="shared" ref="AY218:AY231" si="166">IF(N218="","",(AX218/AW218))</f>
        <v>0.2099725565616278</v>
      </c>
      <c r="AZ218" s="5"/>
      <c r="BA218" s="7">
        <f t="shared" ref="BA218:BA231" si="167">COUNTA(M218,Z218,AM218)</f>
        <v>3</v>
      </c>
    </row>
    <row r="219" spans="1:53" ht="409.5" hidden="1" customHeight="1">
      <c r="A219" s="6" t="s">
        <v>1182</v>
      </c>
      <c r="B219" s="6" t="s">
        <v>1236</v>
      </c>
      <c r="C219" s="6">
        <v>78111803</v>
      </c>
      <c r="D219" s="6" t="s">
        <v>205</v>
      </c>
      <c r="E219" s="127" t="s">
        <v>1930</v>
      </c>
      <c r="F219" s="128" t="s">
        <v>1011</v>
      </c>
      <c r="G219" s="129">
        <v>1</v>
      </c>
      <c r="H219" s="128" t="s">
        <v>305</v>
      </c>
      <c r="I219" s="130" t="s">
        <v>1186</v>
      </c>
      <c r="J219" s="131">
        <v>46085</v>
      </c>
      <c r="K219" s="132" t="s">
        <v>1937</v>
      </c>
      <c r="L219" s="133" t="s">
        <v>1188</v>
      </c>
      <c r="M219" s="131" t="s">
        <v>1938</v>
      </c>
      <c r="N219" s="134">
        <v>385000</v>
      </c>
      <c r="O219" s="134" t="s">
        <v>1197</v>
      </c>
      <c r="P219" s="134" t="s">
        <v>1217</v>
      </c>
      <c r="Q219" s="135">
        <f t="shared" si="157"/>
        <v>385000</v>
      </c>
      <c r="R219" s="136">
        <f t="shared" si="158"/>
        <v>0</v>
      </c>
      <c r="S219" s="136">
        <f t="shared" si="159"/>
        <v>385000</v>
      </c>
      <c r="T219" s="136">
        <f t="shared" si="160"/>
        <v>385000</v>
      </c>
      <c r="U219" s="136">
        <f t="shared" si="161"/>
        <v>385000</v>
      </c>
      <c r="V219" s="137" t="s">
        <v>1357</v>
      </c>
      <c r="W219" s="138">
        <v>46140</v>
      </c>
      <c r="X219" s="139" t="s">
        <v>1935</v>
      </c>
      <c r="Y219" s="140" t="s">
        <v>1193</v>
      </c>
      <c r="Z219" s="141" t="s">
        <v>1936</v>
      </c>
      <c r="AA219" s="142">
        <v>350000</v>
      </c>
      <c r="AB219" s="142" t="s">
        <v>1197</v>
      </c>
      <c r="AC219" s="142" t="s">
        <v>1217</v>
      </c>
      <c r="AD219" s="143">
        <f>IF(AB219="IVA Incluido",(AA219/1.19),AA219)</f>
        <v>350000</v>
      </c>
      <c r="AE219" s="144">
        <f t="shared" si="162"/>
        <v>0</v>
      </c>
      <c r="AF219" s="144">
        <f t="shared" si="163"/>
        <v>350000</v>
      </c>
      <c r="AG219" s="144">
        <f t="shared" si="164"/>
        <v>350000</v>
      </c>
      <c r="AH219" s="144">
        <f t="shared" si="165"/>
        <v>350000</v>
      </c>
      <c r="AI219" s="145" t="s">
        <v>1433</v>
      </c>
      <c r="AJ219" s="146">
        <v>46149</v>
      </c>
      <c r="AK219" s="147" t="s">
        <v>1931</v>
      </c>
      <c r="AL219" s="148" t="s">
        <v>1188</v>
      </c>
      <c r="AM219" s="149" t="s">
        <v>1931</v>
      </c>
      <c r="AN219" s="150">
        <v>285000</v>
      </c>
      <c r="AO219" s="150" t="s">
        <v>1197</v>
      </c>
      <c r="AP219" s="151" t="s">
        <v>1217</v>
      </c>
      <c r="AQ219" s="152">
        <f>IF(AO219="IVA Incluido",(AN219/1.19),AN219)</f>
        <v>285000</v>
      </c>
      <c r="AR219" s="153">
        <f>IF(AP219="Si tiene IVA",AQ219*19%,0)</f>
        <v>0</v>
      </c>
      <c r="AS219" s="153">
        <f>AQ219+AR219</f>
        <v>285000</v>
      </c>
      <c r="AT219" s="153">
        <f>IF(AB219="","",(AN219*G219))</f>
        <v>285000</v>
      </c>
      <c r="AU219" s="153">
        <f>IF(AB219="","",(AS219*G219))</f>
        <v>285000</v>
      </c>
      <c r="AV219" s="154">
        <f>IF(A219="","",AVERAGE(S219,AF219,AS219))</f>
        <v>340000</v>
      </c>
      <c r="AW219" s="154">
        <f>IF(A219="","",AVERAGE(U219,AH219,AU219))</f>
        <v>340000</v>
      </c>
      <c r="AX219" s="154">
        <f>IF(N219="","",STDEV(U219,AH219,AU219))</f>
        <v>50744.457825461097</v>
      </c>
      <c r="AY219" s="155">
        <f t="shared" si="166"/>
        <v>0.14924840536900322</v>
      </c>
      <c r="AZ219" s="5"/>
      <c r="BA219" s="7">
        <f t="shared" si="167"/>
        <v>3</v>
      </c>
    </row>
    <row r="220" spans="1:53" ht="409.5" hidden="1" customHeight="1">
      <c r="A220" s="6" t="s">
        <v>1182</v>
      </c>
      <c r="B220" s="6" t="s">
        <v>1236</v>
      </c>
      <c r="C220" s="6">
        <v>78111803</v>
      </c>
      <c r="D220" s="6" t="s">
        <v>1939</v>
      </c>
      <c r="E220" s="127" t="s">
        <v>1940</v>
      </c>
      <c r="F220" s="128" t="s">
        <v>1011</v>
      </c>
      <c r="G220" s="129">
        <v>1</v>
      </c>
      <c r="H220" s="128" t="s">
        <v>305</v>
      </c>
      <c r="I220" s="130" t="s">
        <v>1186</v>
      </c>
      <c r="J220" s="131">
        <v>46085</v>
      </c>
      <c r="K220" s="132" t="s">
        <v>1931</v>
      </c>
      <c r="L220" s="133" t="s">
        <v>1193</v>
      </c>
      <c r="M220" s="131" t="s">
        <v>1932</v>
      </c>
      <c r="N220" s="134">
        <v>715000</v>
      </c>
      <c r="O220" s="134" t="s">
        <v>1197</v>
      </c>
      <c r="P220" s="134" t="s">
        <v>1217</v>
      </c>
      <c r="Q220" s="135">
        <f t="shared" si="157"/>
        <v>715000</v>
      </c>
      <c r="R220" s="136">
        <f t="shared" si="158"/>
        <v>0</v>
      </c>
      <c r="S220" s="136">
        <f t="shared" si="159"/>
        <v>715000</v>
      </c>
      <c r="T220" s="136">
        <f t="shared" si="160"/>
        <v>715000</v>
      </c>
      <c r="U220" s="136">
        <f t="shared" si="161"/>
        <v>715000</v>
      </c>
      <c r="V220" s="137" t="s">
        <v>1186</v>
      </c>
      <c r="W220" s="138">
        <v>46085</v>
      </c>
      <c r="X220" s="139" t="s">
        <v>1937</v>
      </c>
      <c r="Y220" s="140" t="s">
        <v>1188</v>
      </c>
      <c r="Z220" s="141" t="s">
        <v>1938</v>
      </c>
      <c r="AA220" s="142">
        <v>715000</v>
      </c>
      <c r="AB220" s="142" t="s">
        <v>1197</v>
      </c>
      <c r="AC220" s="142" t="s">
        <v>1217</v>
      </c>
      <c r="AD220" s="143">
        <f>IF(AB220="IVA Incluido",(AA220/1.19),AA220)</f>
        <v>715000</v>
      </c>
      <c r="AE220" s="144">
        <f t="shared" si="162"/>
        <v>0</v>
      </c>
      <c r="AF220" s="144">
        <f t="shared" si="163"/>
        <v>715000</v>
      </c>
      <c r="AG220" s="144">
        <f t="shared" si="164"/>
        <v>715000</v>
      </c>
      <c r="AH220" s="144">
        <f t="shared" si="165"/>
        <v>715000</v>
      </c>
      <c r="AI220" s="145"/>
      <c r="AJ220" s="146"/>
      <c r="AK220" s="147"/>
      <c r="AL220" s="148"/>
      <c r="AM220" s="149"/>
      <c r="AN220" s="150"/>
      <c r="AO220" s="150"/>
      <c r="AP220" s="151"/>
      <c r="AQ220" s="152"/>
      <c r="AR220" s="153"/>
      <c r="AS220" s="153"/>
      <c r="AT220" s="153"/>
      <c r="AU220" s="153"/>
      <c r="AV220" s="154">
        <f>IF(A220="","",AVERAGE(S220,AF220,AS220))</f>
        <v>715000</v>
      </c>
      <c r="AW220" s="154">
        <f>IF(A220="","",AVERAGE(U220,AH220,AU220))</f>
        <v>715000</v>
      </c>
      <c r="AX220" s="154">
        <f>IF(N220="","",STDEV(U220,AH220,AU220))</f>
        <v>0</v>
      </c>
      <c r="AY220" s="155">
        <f t="shared" si="166"/>
        <v>0</v>
      </c>
      <c r="AZ220" s="5"/>
      <c r="BA220" s="7">
        <f t="shared" si="167"/>
        <v>2</v>
      </c>
    </row>
    <row r="221" spans="1:53" ht="409.5" hidden="1" customHeight="1">
      <c r="A221" s="6" t="s">
        <v>1182</v>
      </c>
      <c r="B221" s="6" t="s">
        <v>1236</v>
      </c>
      <c r="C221" s="6">
        <v>78111803</v>
      </c>
      <c r="D221" s="6" t="s">
        <v>1941</v>
      </c>
      <c r="E221" s="127" t="s">
        <v>1940</v>
      </c>
      <c r="F221" s="128" t="s">
        <v>1011</v>
      </c>
      <c r="G221" s="129">
        <v>1</v>
      </c>
      <c r="H221" s="128" t="s">
        <v>305</v>
      </c>
      <c r="I221" s="130" t="s">
        <v>1186</v>
      </c>
      <c r="J221" s="131">
        <v>46085</v>
      </c>
      <c r="K221" s="132" t="s">
        <v>1931</v>
      </c>
      <c r="L221" s="133" t="s">
        <v>1193</v>
      </c>
      <c r="M221" s="131" t="s">
        <v>1932</v>
      </c>
      <c r="N221" s="134">
        <v>390000</v>
      </c>
      <c r="O221" s="134" t="s">
        <v>1197</v>
      </c>
      <c r="P221" s="134" t="s">
        <v>1217</v>
      </c>
      <c r="Q221" s="135">
        <f t="shared" si="157"/>
        <v>390000</v>
      </c>
      <c r="R221" s="136">
        <f t="shared" si="158"/>
        <v>0</v>
      </c>
      <c r="S221" s="136">
        <f t="shared" si="159"/>
        <v>390000</v>
      </c>
      <c r="T221" s="136">
        <f t="shared" si="160"/>
        <v>390000</v>
      </c>
      <c r="U221" s="136">
        <f t="shared" si="161"/>
        <v>390000</v>
      </c>
      <c r="V221" s="137" t="s">
        <v>1357</v>
      </c>
      <c r="W221" s="138">
        <v>46141</v>
      </c>
      <c r="X221" s="139" t="s">
        <v>1935</v>
      </c>
      <c r="Y221" s="140" t="s">
        <v>1193</v>
      </c>
      <c r="Z221" s="141" t="s">
        <v>1936</v>
      </c>
      <c r="AA221" s="142">
        <v>510000</v>
      </c>
      <c r="AB221" s="142" t="s">
        <v>1197</v>
      </c>
      <c r="AC221" s="142" t="s">
        <v>1217</v>
      </c>
      <c r="AD221" s="143">
        <f>IF(AB221="IVA Incluido",(AA221/1.19),AA221)</f>
        <v>510000</v>
      </c>
      <c r="AE221" s="144">
        <f t="shared" si="162"/>
        <v>0</v>
      </c>
      <c r="AF221" s="144">
        <f t="shared" si="163"/>
        <v>510000</v>
      </c>
      <c r="AG221" s="144">
        <f t="shared" si="164"/>
        <v>510000</v>
      </c>
      <c r="AH221" s="144">
        <f t="shared" si="165"/>
        <v>510000</v>
      </c>
      <c r="AI221" s="145"/>
      <c r="AJ221" s="146"/>
      <c r="AK221" s="147"/>
      <c r="AL221" s="148"/>
      <c r="AM221" s="149"/>
      <c r="AN221" s="150"/>
      <c r="AO221" s="150"/>
      <c r="AP221" s="151"/>
      <c r="AQ221" s="152"/>
      <c r="AR221" s="153"/>
      <c r="AS221" s="153"/>
      <c r="AT221" s="153"/>
      <c r="AU221" s="153"/>
      <c r="AV221" s="154">
        <f>IF(A221="","",AVERAGE(S221,AF221))</f>
        <v>450000</v>
      </c>
      <c r="AW221" s="154">
        <f>IF(A221="","",AVERAGE(U221,AH221))</f>
        <v>450000</v>
      </c>
      <c r="AX221" s="154">
        <f>IF(N221="","",STDEV(U221,AH221))</f>
        <v>84852.813742385697</v>
      </c>
      <c r="AY221" s="155">
        <f t="shared" si="166"/>
        <v>0.18856180831641267</v>
      </c>
      <c r="AZ221" s="5" t="s">
        <v>1942</v>
      </c>
      <c r="BA221" s="7">
        <f t="shared" si="167"/>
        <v>2</v>
      </c>
    </row>
    <row r="222" spans="1:53" ht="409.5" hidden="1" customHeight="1">
      <c r="A222" s="6" t="s">
        <v>1182</v>
      </c>
      <c r="B222" s="6" t="s">
        <v>1236</v>
      </c>
      <c r="C222" s="6">
        <v>78111803</v>
      </c>
      <c r="D222" s="6" t="s">
        <v>203</v>
      </c>
      <c r="E222" s="127" t="s">
        <v>1943</v>
      </c>
      <c r="F222" s="128" t="s">
        <v>1011</v>
      </c>
      <c r="G222" s="129">
        <v>1</v>
      </c>
      <c r="H222" s="128" t="s">
        <v>305</v>
      </c>
      <c r="I222" s="130" t="s">
        <v>1186</v>
      </c>
      <c r="J222" s="131">
        <v>46085</v>
      </c>
      <c r="K222" s="132" t="s">
        <v>1931</v>
      </c>
      <c r="L222" s="133" t="s">
        <v>1193</v>
      </c>
      <c r="M222" s="131" t="s">
        <v>1932</v>
      </c>
      <c r="N222" s="134">
        <v>850000</v>
      </c>
      <c r="O222" s="134" t="s">
        <v>1197</v>
      </c>
      <c r="P222" s="134" t="s">
        <v>1217</v>
      </c>
      <c r="Q222" s="135">
        <f t="shared" si="157"/>
        <v>850000</v>
      </c>
      <c r="R222" s="136">
        <f t="shared" si="158"/>
        <v>0</v>
      </c>
      <c r="S222" s="136">
        <f t="shared" si="159"/>
        <v>850000</v>
      </c>
      <c r="T222" s="136">
        <f t="shared" si="160"/>
        <v>850000</v>
      </c>
      <c r="U222" s="136">
        <f t="shared" si="161"/>
        <v>850000</v>
      </c>
      <c r="V222" s="137" t="s">
        <v>1186</v>
      </c>
      <c r="W222" s="138">
        <v>46085</v>
      </c>
      <c r="X222" s="139" t="s">
        <v>1937</v>
      </c>
      <c r="Y222" s="140" t="s">
        <v>1188</v>
      </c>
      <c r="Z222" s="141" t="s">
        <v>1938</v>
      </c>
      <c r="AA222" s="142">
        <v>790000</v>
      </c>
      <c r="AB222" s="142" t="s">
        <v>1197</v>
      </c>
      <c r="AC222" s="142" t="s">
        <v>1217</v>
      </c>
      <c r="AD222" s="143">
        <f>IF(AB222="IVA Incluido",(AA222/1.19),AA222)</f>
        <v>790000</v>
      </c>
      <c r="AE222" s="144">
        <f t="shared" si="162"/>
        <v>0</v>
      </c>
      <c r="AF222" s="144">
        <f t="shared" si="163"/>
        <v>790000</v>
      </c>
      <c r="AG222" s="144">
        <f t="shared" si="164"/>
        <v>790000</v>
      </c>
      <c r="AH222" s="144">
        <f t="shared" si="165"/>
        <v>790000</v>
      </c>
      <c r="AI222" s="145"/>
      <c r="AJ222" s="146"/>
      <c r="AK222" s="147"/>
      <c r="AL222" s="148"/>
      <c r="AM222" s="149"/>
      <c r="AN222" s="150"/>
      <c r="AO222" s="150"/>
      <c r="AP222" s="151"/>
      <c r="AQ222" s="152"/>
      <c r="AR222" s="153"/>
      <c r="AS222" s="153"/>
      <c r="AT222" s="153"/>
      <c r="AU222" s="153"/>
      <c r="AV222" s="154">
        <f>IF(A222="","",AVERAGE(S222,AF222,AS222))</f>
        <v>820000</v>
      </c>
      <c r="AW222" s="154">
        <f>IF(A222="","",AVERAGE(U222,AH222,AU222))</f>
        <v>820000</v>
      </c>
      <c r="AX222" s="154">
        <f>IF(N222="","",STDEV(U222,AH222,AU222))</f>
        <v>42426.406871192848</v>
      </c>
      <c r="AY222" s="155">
        <f t="shared" si="166"/>
        <v>5.1739520574625428E-2</v>
      </c>
      <c r="AZ222" s="5"/>
      <c r="BA222" s="7">
        <f t="shared" si="167"/>
        <v>2</v>
      </c>
    </row>
    <row r="223" spans="1:53" ht="409.5" hidden="1" customHeight="1">
      <c r="A223" s="6" t="s">
        <v>1182</v>
      </c>
      <c r="B223" s="6" t="s">
        <v>1236</v>
      </c>
      <c r="C223" s="6">
        <v>78111803</v>
      </c>
      <c r="D223" s="6" t="s">
        <v>1944</v>
      </c>
      <c r="E223" s="127" t="s">
        <v>1945</v>
      </c>
      <c r="F223" s="128" t="s">
        <v>1011</v>
      </c>
      <c r="G223" s="129">
        <v>1</v>
      </c>
      <c r="H223" s="128" t="s">
        <v>305</v>
      </c>
      <c r="I223" s="130" t="s">
        <v>1186</v>
      </c>
      <c r="J223" s="131">
        <v>46085</v>
      </c>
      <c r="K223" s="132" t="s">
        <v>1937</v>
      </c>
      <c r="L223" s="133" t="s">
        <v>1188</v>
      </c>
      <c r="M223" s="131" t="s">
        <v>1938</v>
      </c>
      <c r="N223" s="134">
        <v>590000</v>
      </c>
      <c r="O223" s="134" t="s">
        <v>1197</v>
      </c>
      <c r="P223" s="134" t="s">
        <v>1217</v>
      </c>
      <c r="Q223" s="135">
        <f t="shared" si="157"/>
        <v>590000</v>
      </c>
      <c r="R223" s="136">
        <f t="shared" si="158"/>
        <v>0</v>
      </c>
      <c r="S223" s="136">
        <f t="shared" si="159"/>
        <v>590000</v>
      </c>
      <c r="T223" s="136">
        <f t="shared" si="160"/>
        <v>590000</v>
      </c>
      <c r="U223" s="136">
        <f t="shared" si="161"/>
        <v>590000</v>
      </c>
      <c r="V223" s="137" t="s">
        <v>1357</v>
      </c>
      <c r="W223" s="138">
        <v>46140</v>
      </c>
      <c r="X223" s="139" t="s">
        <v>1935</v>
      </c>
      <c r="Y223" s="140" t="s">
        <v>1946</v>
      </c>
      <c r="Z223" s="141" t="s">
        <v>1947</v>
      </c>
      <c r="AA223" s="142">
        <v>570000</v>
      </c>
      <c r="AB223" s="142" t="s">
        <v>1197</v>
      </c>
      <c r="AC223" s="142" t="s">
        <v>1217</v>
      </c>
      <c r="AD223" s="143">
        <f>IF(AB223="IVA Incluido",(AA223/1.19),AA223)</f>
        <v>570000</v>
      </c>
      <c r="AE223" s="144">
        <f t="shared" si="162"/>
        <v>0</v>
      </c>
      <c r="AF223" s="144">
        <f t="shared" si="163"/>
        <v>570000</v>
      </c>
      <c r="AG223" s="144">
        <f t="shared" si="164"/>
        <v>570000</v>
      </c>
      <c r="AH223" s="144">
        <f t="shared" si="165"/>
        <v>570000</v>
      </c>
      <c r="AI223" s="145" t="s">
        <v>1433</v>
      </c>
      <c r="AJ223" s="146">
        <v>46149</v>
      </c>
      <c r="AK223" s="147" t="s">
        <v>1931</v>
      </c>
      <c r="AL223" s="148" t="s">
        <v>1188</v>
      </c>
      <c r="AM223" s="149" t="s">
        <v>1931</v>
      </c>
      <c r="AN223" s="150">
        <v>466000</v>
      </c>
      <c r="AO223" s="150" t="s">
        <v>1197</v>
      </c>
      <c r="AP223" s="151" t="s">
        <v>1217</v>
      </c>
      <c r="AQ223" s="152">
        <f t="shared" ref="AQ223:AQ228" si="168">IF(AO223="IVA Incluido",(AN223/1.19),AN223)</f>
        <v>466000</v>
      </c>
      <c r="AR223" s="153">
        <f t="shared" ref="AR223:AR228" si="169">IF(AP223="Si tiene IVA",AQ223*19%,0)</f>
        <v>0</v>
      </c>
      <c r="AS223" s="153">
        <f t="shared" ref="AS223:AS228" si="170">AQ223+AR223</f>
        <v>466000</v>
      </c>
      <c r="AT223" s="153">
        <f t="shared" ref="AT223:AT228" si="171">IF(AB223="","",(AN223*G223))</f>
        <v>466000</v>
      </c>
      <c r="AU223" s="153">
        <f t="shared" ref="AU223:AU228" si="172">IF(AB223="","",(AS223*G223))</f>
        <v>466000</v>
      </c>
      <c r="AV223" s="154">
        <f>IF(A223="","",AVERAGE(S223,AF223,AS223))</f>
        <v>542000</v>
      </c>
      <c r="AW223" s="154">
        <f>IF(A223="","",AVERAGE(U223,AH223,AU223))</f>
        <v>542000</v>
      </c>
      <c r="AX223" s="154">
        <f>IF(N223="","",STDEV(U223,AH223,AU223))</f>
        <v>66573.267908372945</v>
      </c>
      <c r="AY223" s="155">
        <f t="shared" si="166"/>
        <v>0.12282890758002389</v>
      </c>
      <c r="AZ223" s="5"/>
      <c r="BA223" s="7">
        <f t="shared" si="167"/>
        <v>3</v>
      </c>
    </row>
    <row r="224" spans="1:53" ht="409.5" hidden="1" customHeight="1">
      <c r="A224" s="6" t="s">
        <v>1182</v>
      </c>
      <c r="B224" s="6" t="s">
        <v>1236</v>
      </c>
      <c r="C224" s="6">
        <v>78111803</v>
      </c>
      <c r="D224" s="6" t="s">
        <v>1948</v>
      </c>
      <c r="E224" s="127" t="s">
        <v>1930</v>
      </c>
      <c r="F224" s="128" t="s">
        <v>191</v>
      </c>
      <c r="G224" s="129">
        <v>1</v>
      </c>
      <c r="H224" s="128" t="s">
        <v>192</v>
      </c>
      <c r="I224" s="130" t="s">
        <v>1186</v>
      </c>
      <c r="J224" s="131">
        <v>46085</v>
      </c>
      <c r="K224" s="132" t="s">
        <v>1931</v>
      </c>
      <c r="L224" s="133" t="s">
        <v>1193</v>
      </c>
      <c r="M224" s="131" t="s">
        <v>1932</v>
      </c>
      <c r="N224" s="134">
        <v>317000</v>
      </c>
      <c r="O224" s="134" t="s">
        <v>1197</v>
      </c>
      <c r="P224" s="134" t="s">
        <v>1217</v>
      </c>
      <c r="Q224" s="135">
        <f t="shared" si="157"/>
        <v>317000</v>
      </c>
      <c r="R224" s="136">
        <f t="shared" si="158"/>
        <v>0</v>
      </c>
      <c r="S224" s="136">
        <f t="shared" si="159"/>
        <v>317000</v>
      </c>
      <c r="T224" s="136">
        <f t="shared" si="160"/>
        <v>317000</v>
      </c>
      <c r="U224" s="136">
        <f t="shared" si="161"/>
        <v>317000</v>
      </c>
      <c r="V224" s="137" t="s">
        <v>1357</v>
      </c>
      <c r="W224" s="138">
        <v>46140</v>
      </c>
      <c r="X224" s="139" t="s">
        <v>1935</v>
      </c>
      <c r="Y224" s="140" t="s">
        <v>1949</v>
      </c>
      <c r="Z224" s="141" t="s">
        <v>1936</v>
      </c>
      <c r="AA224" s="142">
        <v>350000</v>
      </c>
      <c r="AB224" s="142" t="s">
        <v>1197</v>
      </c>
      <c r="AC224" s="142" t="s">
        <v>1217</v>
      </c>
      <c r="AD224" s="143">
        <f>IF(AB224="IVA Incluido",(AA224/1.19),IF(AB224="Ipoconsumo Incluido",(AA224/1.08),AA224))</f>
        <v>350000</v>
      </c>
      <c r="AE224" s="144">
        <f t="shared" si="162"/>
        <v>0</v>
      </c>
      <c r="AF224" s="144">
        <f t="shared" si="163"/>
        <v>350000</v>
      </c>
      <c r="AG224" s="144">
        <f>IF(AB224="","",(AA224*G224))</f>
        <v>350000</v>
      </c>
      <c r="AH224" s="144">
        <f>IF(AB224="","",(AF224*G224))</f>
        <v>350000</v>
      </c>
      <c r="AI224" s="145"/>
      <c r="AJ224" s="146"/>
      <c r="AK224" s="147"/>
      <c r="AL224" s="148"/>
      <c r="AM224" s="149"/>
      <c r="AN224" s="150"/>
      <c r="AO224" s="150"/>
      <c r="AP224" s="151"/>
      <c r="AQ224" s="152">
        <f t="shared" si="168"/>
        <v>0</v>
      </c>
      <c r="AR224" s="153">
        <f t="shared" si="169"/>
        <v>0</v>
      </c>
      <c r="AS224" s="153">
        <f t="shared" si="170"/>
        <v>0</v>
      </c>
      <c r="AT224" s="153">
        <f t="shared" si="171"/>
        <v>0</v>
      </c>
      <c r="AU224" s="153">
        <f t="shared" si="172"/>
        <v>0</v>
      </c>
      <c r="AV224" s="154">
        <f>IF(A224="","",AVERAGE(S224,AF224))</f>
        <v>333500</v>
      </c>
      <c r="AW224" s="154">
        <f>IF(A224="","",AVERAGE(U224,AH224))</f>
        <v>333500</v>
      </c>
      <c r="AX224" s="154">
        <f>IF(N224="","",STDEV(U224,AH224))</f>
        <v>23334.523779156068</v>
      </c>
      <c r="AY224" s="155">
        <f t="shared" si="166"/>
        <v>6.9968587043946234E-2</v>
      </c>
      <c r="AZ224" s="5" t="s">
        <v>1942</v>
      </c>
      <c r="BA224" s="7">
        <f t="shared" si="167"/>
        <v>2</v>
      </c>
    </row>
    <row r="225" spans="1:53" ht="409.5" hidden="1" customHeight="1">
      <c r="A225" s="6" t="s">
        <v>1182</v>
      </c>
      <c r="B225" s="6" t="s">
        <v>1236</v>
      </c>
      <c r="C225" s="6">
        <v>78111803</v>
      </c>
      <c r="D225" s="6" t="s">
        <v>1950</v>
      </c>
      <c r="E225" s="127" t="s">
        <v>1930</v>
      </c>
      <c r="F225" s="128" t="s">
        <v>1011</v>
      </c>
      <c r="G225" s="129">
        <v>1</v>
      </c>
      <c r="H225" s="128" t="s">
        <v>305</v>
      </c>
      <c r="I225" s="130" t="s">
        <v>1357</v>
      </c>
      <c r="J225" s="131">
        <v>46140</v>
      </c>
      <c r="K225" s="132" t="s">
        <v>1935</v>
      </c>
      <c r="L225" s="133" t="s">
        <v>1193</v>
      </c>
      <c r="M225" s="131" t="s">
        <v>1936</v>
      </c>
      <c r="N225" s="134">
        <v>175000</v>
      </c>
      <c r="O225" s="134" t="s">
        <v>1197</v>
      </c>
      <c r="P225" s="134" t="s">
        <v>1217</v>
      </c>
      <c r="Q225" s="135">
        <f t="shared" si="157"/>
        <v>175000</v>
      </c>
      <c r="R225" s="136">
        <f t="shared" si="158"/>
        <v>0</v>
      </c>
      <c r="S225" s="136">
        <f t="shared" si="159"/>
        <v>175000</v>
      </c>
      <c r="T225" s="136">
        <f t="shared" si="160"/>
        <v>175000</v>
      </c>
      <c r="U225" s="136">
        <f t="shared" si="161"/>
        <v>175000</v>
      </c>
      <c r="V225" s="137" t="s">
        <v>1186</v>
      </c>
      <c r="W225" s="138">
        <v>46085</v>
      </c>
      <c r="X225" s="139" t="s">
        <v>1931</v>
      </c>
      <c r="Y225" s="140" t="s">
        <v>1193</v>
      </c>
      <c r="Z225" s="141" t="s">
        <v>1932</v>
      </c>
      <c r="AA225" s="142">
        <v>165000</v>
      </c>
      <c r="AB225" s="142" t="s">
        <v>1197</v>
      </c>
      <c r="AC225" s="142" t="s">
        <v>1217</v>
      </c>
      <c r="AD225" s="143">
        <f t="shared" ref="AD225:AD231" si="173">IF(AB225="IVA Incluido",(AA225/1.19),AA225)</f>
        <v>165000</v>
      </c>
      <c r="AE225" s="144">
        <f t="shared" si="162"/>
        <v>0</v>
      </c>
      <c r="AF225" s="144">
        <f t="shared" si="163"/>
        <v>165000</v>
      </c>
      <c r="AG225" s="144">
        <f t="shared" ref="AG225:AG231" si="174">IF(O225="","",(AA225*G225))</f>
        <v>165000</v>
      </c>
      <c r="AH225" s="144">
        <f t="shared" ref="AH225:AH231" si="175">IF(O225="","",(AF225*G225))</f>
        <v>165000</v>
      </c>
      <c r="AI225" s="145"/>
      <c r="AJ225" s="146"/>
      <c r="AK225" s="147"/>
      <c r="AL225" s="148"/>
      <c r="AM225" s="149"/>
      <c r="AN225" s="150"/>
      <c r="AO225" s="150"/>
      <c r="AP225" s="151"/>
      <c r="AQ225" s="152">
        <f t="shared" si="168"/>
        <v>0</v>
      </c>
      <c r="AR225" s="153">
        <f t="shared" si="169"/>
        <v>0</v>
      </c>
      <c r="AS225" s="153">
        <f t="shared" si="170"/>
        <v>0</v>
      </c>
      <c r="AT225" s="153">
        <f t="shared" si="171"/>
        <v>0</v>
      </c>
      <c r="AU225" s="153">
        <f t="shared" si="172"/>
        <v>0</v>
      </c>
      <c r="AV225" s="154">
        <f>IF(A225="","",AVERAGE(S225,AF225))</f>
        <v>170000</v>
      </c>
      <c r="AW225" s="154">
        <f>IF(A225="","",AVERAGE(U225,AH225))</f>
        <v>170000</v>
      </c>
      <c r="AX225" s="154">
        <f>IF(N225="","",STDEV(U225,AH225))</f>
        <v>7071.0678118654751</v>
      </c>
      <c r="AY225" s="155">
        <f t="shared" si="166"/>
        <v>4.1594516540385144E-2</v>
      </c>
      <c r="AZ225" s="5" t="s">
        <v>1942</v>
      </c>
      <c r="BA225" s="7">
        <f t="shared" si="167"/>
        <v>2</v>
      </c>
    </row>
    <row r="226" spans="1:53" ht="409.5" hidden="1" customHeight="1">
      <c r="A226" s="6" t="s">
        <v>1182</v>
      </c>
      <c r="B226" s="6" t="s">
        <v>1236</v>
      </c>
      <c r="C226" s="6">
        <v>78111803</v>
      </c>
      <c r="D226" s="6" t="s">
        <v>1951</v>
      </c>
      <c r="E226" s="127" t="s">
        <v>1940</v>
      </c>
      <c r="F226" s="128" t="s">
        <v>1011</v>
      </c>
      <c r="G226" s="129">
        <v>1</v>
      </c>
      <c r="H226" s="128" t="s">
        <v>305</v>
      </c>
      <c r="I226" s="130" t="s">
        <v>1186</v>
      </c>
      <c r="J226" s="131">
        <v>46085</v>
      </c>
      <c r="K226" s="132" t="s">
        <v>1931</v>
      </c>
      <c r="L226" s="133" t="s">
        <v>1193</v>
      </c>
      <c r="M226" s="131" t="s">
        <v>1932</v>
      </c>
      <c r="N226" s="134">
        <v>300000</v>
      </c>
      <c r="O226" s="134" t="s">
        <v>1197</v>
      </c>
      <c r="P226" s="134" t="s">
        <v>1217</v>
      </c>
      <c r="Q226" s="135">
        <f t="shared" si="157"/>
        <v>300000</v>
      </c>
      <c r="R226" s="136">
        <f t="shared" si="158"/>
        <v>0</v>
      </c>
      <c r="S226" s="136">
        <f t="shared" si="159"/>
        <v>300000</v>
      </c>
      <c r="T226" s="136">
        <f t="shared" si="160"/>
        <v>300000</v>
      </c>
      <c r="U226" s="136">
        <f t="shared" si="161"/>
        <v>300000</v>
      </c>
      <c r="V226" s="137" t="s">
        <v>1186</v>
      </c>
      <c r="W226" s="138">
        <v>46085</v>
      </c>
      <c r="X226" s="139" t="s">
        <v>1937</v>
      </c>
      <c r="Y226" s="140" t="s">
        <v>1188</v>
      </c>
      <c r="Z226" s="141" t="s">
        <v>1938</v>
      </c>
      <c r="AA226" s="142">
        <v>400000</v>
      </c>
      <c r="AB226" s="142" t="s">
        <v>1197</v>
      </c>
      <c r="AC226" s="142" t="s">
        <v>1217</v>
      </c>
      <c r="AD226" s="143">
        <f t="shared" si="173"/>
        <v>400000</v>
      </c>
      <c r="AE226" s="144">
        <f t="shared" si="162"/>
        <v>0</v>
      </c>
      <c r="AF226" s="144">
        <f t="shared" si="163"/>
        <v>400000</v>
      </c>
      <c r="AG226" s="144">
        <f t="shared" si="174"/>
        <v>400000</v>
      </c>
      <c r="AH226" s="144">
        <f t="shared" si="175"/>
        <v>400000</v>
      </c>
      <c r="AI226" s="145" t="s">
        <v>1357</v>
      </c>
      <c r="AJ226" s="146">
        <v>46141</v>
      </c>
      <c r="AK226" s="147" t="s">
        <v>1935</v>
      </c>
      <c r="AL226" s="148" t="s">
        <v>1193</v>
      </c>
      <c r="AM226" s="149" t="s">
        <v>1936</v>
      </c>
      <c r="AN226" s="150">
        <v>250000</v>
      </c>
      <c r="AO226" s="150" t="s">
        <v>1197</v>
      </c>
      <c r="AP226" s="151" t="s">
        <v>1217</v>
      </c>
      <c r="AQ226" s="152">
        <f t="shared" si="168"/>
        <v>250000</v>
      </c>
      <c r="AR226" s="153">
        <f t="shared" si="169"/>
        <v>0</v>
      </c>
      <c r="AS226" s="153">
        <f t="shared" si="170"/>
        <v>250000</v>
      </c>
      <c r="AT226" s="153">
        <f t="shared" si="171"/>
        <v>250000</v>
      </c>
      <c r="AU226" s="153">
        <f t="shared" si="172"/>
        <v>250000</v>
      </c>
      <c r="AV226" s="154">
        <f>IF(A226="","",AVERAGE(S226,AS226))</f>
        <v>275000</v>
      </c>
      <c r="AW226" s="154">
        <f>IF(A226="","",AVERAGE(U226,AU226))</f>
        <v>275000</v>
      </c>
      <c r="AX226" s="154">
        <f>IF(N226="","",STDEV(U226,AU226))</f>
        <v>35355.33905932738</v>
      </c>
      <c r="AY226" s="155">
        <f t="shared" si="166"/>
        <v>0.12856486930664501</v>
      </c>
      <c r="AZ226" s="5"/>
      <c r="BA226" s="7">
        <f t="shared" si="167"/>
        <v>3</v>
      </c>
    </row>
    <row r="227" spans="1:53" ht="409.5" hidden="1" customHeight="1">
      <c r="A227" s="6" t="s">
        <v>1182</v>
      </c>
      <c r="B227" s="6" t="s">
        <v>1236</v>
      </c>
      <c r="C227" s="6">
        <v>78111803</v>
      </c>
      <c r="D227" s="6" t="s">
        <v>1952</v>
      </c>
      <c r="E227" s="127" t="s">
        <v>1940</v>
      </c>
      <c r="F227" s="128" t="s">
        <v>1011</v>
      </c>
      <c r="G227" s="129">
        <v>1</v>
      </c>
      <c r="H227" s="128" t="s">
        <v>305</v>
      </c>
      <c r="I227" s="130" t="s">
        <v>1186</v>
      </c>
      <c r="J227" s="131">
        <v>46085</v>
      </c>
      <c r="K227" s="132" t="s">
        <v>1937</v>
      </c>
      <c r="L227" s="133" t="s">
        <v>1188</v>
      </c>
      <c r="M227" s="131" t="s">
        <v>1938</v>
      </c>
      <c r="N227" s="134">
        <v>585000</v>
      </c>
      <c r="O227" s="134" t="s">
        <v>1197</v>
      </c>
      <c r="P227" s="134" t="s">
        <v>1217</v>
      </c>
      <c r="Q227" s="135">
        <f t="shared" si="157"/>
        <v>585000</v>
      </c>
      <c r="R227" s="136">
        <f t="shared" si="158"/>
        <v>0</v>
      </c>
      <c r="S227" s="136">
        <f t="shared" si="159"/>
        <v>585000</v>
      </c>
      <c r="T227" s="136">
        <f t="shared" si="160"/>
        <v>585000</v>
      </c>
      <c r="U227" s="136">
        <f t="shared" si="161"/>
        <v>585000</v>
      </c>
      <c r="V227" s="137" t="s">
        <v>1357</v>
      </c>
      <c r="W227" s="138">
        <v>46140</v>
      </c>
      <c r="X227" s="139" t="s">
        <v>1935</v>
      </c>
      <c r="Y227" s="140" t="s">
        <v>1193</v>
      </c>
      <c r="Z227" s="141" t="s">
        <v>1947</v>
      </c>
      <c r="AA227" s="142">
        <v>500000</v>
      </c>
      <c r="AB227" s="142" t="s">
        <v>1197</v>
      </c>
      <c r="AC227" s="142" t="s">
        <v>1217</v>
      </c>
      <c r="AD227" s="143">
        <f t="shared" si="173"/>
        <v>500000</v>
      </c>
      <c r="AE227" s="144">
        <f t="shared" si="162"/>
        <v>0</v>
      </c>
      <c r="AF227" s="144">
        <f t="shared" si="163"/>
        <v>500000</v>
      </c>
      <c r="AG227" s="144">
        <f t="shared" si="174"/>
        <v>500000</v>
      </c>
      <c r="AH227" s="144">
        <f t="shared" si="175"/>
        <v>500000</v>
      </c>
      <c r="AI227" s="145" t="s">
        <v>1186</v>
      </c>
      <c r="AJ227" s="146">
        <v>46085</v>
      </c>
      <c r="AK227" s="147" t="s">
        <v>1931</v>
      </c>
      <c r="AL227" s="148" t="s">
        <v>1193</v>
      </c>
      <c r="AM227" s="149" t="s">
        <v>1932</v>
      </c>
      <c r="AN227" s="150">
        <v>590000</v>
      </c>
      <c r="AO227" s="150" t="s">
        <v>1197</v>
      </c>
      <c r="AP227" s="151" t="s">
        <v>1217</v>
      </c>
      <c r="AQ227" s="152">
        <f t="shared" si="168"/>
        <v>590000</v>
      </c>
      <c r="AR227" s="153">
        <f t="shared" si="169"/>
        <v>0</v>
      </c>
      <c r="AS227" s="153">
        <f t="shared" si="170"/>
        <v>590000</v>
      </c>
      <c r="AT227" s="153">
        <f t="shared" si="171"/>
        <v>590000</v>
      </c>
      <c r="AU227" s="153">
        <f t="shared" si="172"/>
        <v>590000</v>
      </c>
      <c r="AV227" s="154">
        <f>IF(A227="","",AVERAGE(S227,AF227,AS227))</f>
        <v>558333.33333333337</v>
      </c>
      <c r="AW227" s="154">
        <f>IF(A227="","",AVERAGE(U227,AH227,AU227))</f>
        <v>558333.33333333337</v>
      </c>
      <c r="AX227" s="154">
        <f>IF(N227="","",STDEV(U227,AH227,AU227))</f>
        <v>50579.969684978394</v>
      </c>
      <c r="AY227" s="155">
        <f t="shared" si="166"/>
        <v>9.0590990480558312E-2</v>
      </c>
      <c r="AZ227" s="5"/>
      <c r="BA227" s="7">
        <f t="shared" si="167"/>
        <v>3</v>
      </c>
    </row>
    <row r="228" spans="1:53" ht="409.5" hidden="1" customHeight="1">
      <c r="A228" s="6" t="s">
        <v>1182</v>
      </c>
      <c r="B228" s="6" t="s">
        <v>1236</v>
      </c>
      <c r="C228" s="6">
        <v>78111803</v>
      </c>
      <c r="D228" s="6" t="s">
        <v>1953</v>
      </c>
      <c r="E228" s="127" t="s">
        <v>1943</v>
      </c>
      <c r="F228" s="128" t="s">
        <v>1011</v>
      </c>
      <c r="G228" s="129">
        <v>1</v>
      </c>
      <c r="H228" s="128" t="s">
        <v>305</v>
      </c>
      <c r="I228" s="130" t="s">
        <v>1357</v>
      </c>
      <c r="J228" s="131">
        <v>46085</v>
      </c>
      <c r="K228" s="132" t="s">
        <v>1931</v>
      </c>
      <c r="L228" s="133" t="s">
        <v>1193</v>
      </c>
      <c r="M228" s="131" t="s">
        <v>1932</v>
      </c>
      <c r="N228" s="134">
        <v>850000</v>
      </c>
      <c r="O228" s="134" t="s">
        <v>1197</v>
      </c>
      <c r="P228" s="134" t="s">
        <v>1217</v>
      </c>
      <c r="Q228" s="135">
        <f t="shared" si="157"/>
        <v>850000</v>
      </c>
      <c r="R228" s="136">
        <f t="shared" si="158"/>
        <v>0</v>
      </c>
      <c r="S228" s="136">
        <f t="shared" si="159"/>
        <v>850000</v>
      </c>
      <c r="T228" s="136">
        <f t="shared" si="160"/>
        <v>850000</v>
      </c>
      <c r="U228" s="136">
        <f t="shared" si="161"/>
        <v>850000</v>
      </c>
      <c r="V228" s="137" t="s">
        <v>1369</v>
      </c>
      <c r="W228" s="138">
        <v>46085</v>
      </c>
      <c r="X228" s="139" t="s">
        <v>1937</v>
      </c>
      <c r="Y228" s="140" t="s">
        <v>1188</v>
      </c>
      <c r="Z228" s="141" t="s">
        <v>1938</v>
      </c>
      <c r="AA228" s="142">
        <v>640000</v>
      </c>
      <c r="AB228" s="142" t="s">
        <v>1197</v>
      </c>
      <c r="AC228" s="142" t="s">
        <v>1217</v>
      </c>
      <c r="AD228" s="143">
        <f t="shared" si="173"/>
        <v>640000</v>
      </c>
      <c r="AE228" s="144">
        <f t="shared" si="162"/>
        <v>0</v>
      </c>
      <c r="AF228" s="144">
        <f t="shared" si="163"/>
        <v>640000</v>
      </c>
      <c r="AG228" s="144">
        <f t="shared" si="174"/>
        <v>640000</v>
      </c>
      <c r="AH228" s="144">
        <f t="shared" si="175"/>
        <v>640000</v>
      </c>
      <c r="AI228" s="145" t="s">
        <v>1954</v>
      </c>
      <c r="AJ228" s="146">
        <v>46133</v>
      </c>
      <c r="AK228" s="147" t="s">
        <v>1955</v>
      </c>
      <c r="AL228" s="148" t="s">
        <v>1193</v>
      </c>
      <c r="AM228" s="149" t="s">
        <v>1956</v>
      </c>
      <c r="AN228" s="150">
        <v>540000</v>
      </c>
      <c r="AO228" s="150" t="s">
        <v>1197</v>
      </c>
      <c r="AP228" s="151" t="s">
        <v>1217</v>
      </c>
      <c r="AQ228" s="152">
        <f t="shared" si="168"/>
        <v>540000</v>
      </c>
      <c r="AR228" s="153">
        <f t="shared" si="169"/>
        <v>0</v>
      </c>
      <c r="AS228" s="153">
        <f t="shared" si="170"/>
        <v>540000</v>
      </c>
      <c r="AT228" s="153">
        <f t="shared" si="171"/>
        <v>540000</v>
      </c>
      <c r="AU228" s="153">
        <f t="shared" si="172"/>
        <v>540000</v>
      </c>
      <c r="AV228" s="154">
        <f>IF(A228="","",AVERAGE(AF228,AS228))</f>
        <v>590000</v>
      </c>
      <c r="AW228" s="154">
        <f>IF(A228="","",AVERAGE(AH228,AU228))</f>
        <v>590000</v>
      </c>
      <c r="AX228" s="154">
        <f>IF(N228="","",STDEV(AH228,AU228))</f>
        <v>70710.67811865476</v>
      </c>
      <c r="AY228" s="155">
        <f t="shared" si="166"/>
        <v>0.11984860698077078</v>
      </c>
      <c r="AZ228" s="5"/>
      <c r="BA228" s="7">
        <f t="shared" si="167"/>
        <v>3</v>
      </c>
    </row>
    <row r="229" spans="1:53" ht="409.5" hidden="1" customHeight="1">
      <c r="A229" s="6" t="s">
        <v>1182</v>
      </c>
      <c r="B229" s="6" t="s">
        <v>1236</v>
      </c>
      <c r="C229" s="6">
        <v>78111803</v>
      </c>
      <c r="D229" s="6" t="s">
        <v>1957</v>
      </c>
      <c r="E229" s="127" t="s">
        <v>1943</v>
      </c>
      <c r="F229" s="128" t="s">
        <v>1011</v>
      </c>
      <c r="G229" s="129">
        <v>1</v>
      </c>
      <c r="H229" s="128" t="s">
        <v>305</v>
      </c>
      <c r="I229" s="130" t="s">
        <v>1433</v>
      </c>
      <c r="J229" s="131">
        <v>46149</v>
      </c>
      <c r="K229" s="132" t="s">
        <v>1931</v>
      </c>
      <c r="L229" s="133" t="s">
        <v>1188</v>
      </c>
      <c r="M229" s="131" t="s">
        <v>1931</v>
      </c>
      <c r="N229" s="134">
        <v>325000</v>
      </c>
      <c r="O229" s="134" t="s">
        <v>1197</v>
      </c>
      <c r="P229" s="134" t="s">
        <v>1217</v>
      </c>
      <c r="Q229" s="135">
        <f t="shared" si="157"/>
        <v>325000</v>
      </c>
      <c r="R229" s="136">
        <f t="shared" si="158"/>
        <v>0</v>
      </c>
      <c r="S229" s="136">
        <f t="shared" si="159"/>
        <v>325000</v>
      </c>
      <c r="T229" s="136">
        <f t="shared" si="160"/>
        <v>325000</v>
      </c>
      <c r="U229" s="136">
        <f t="shared" si="161"/>
        <v>325000</v>
      </c>
      <c r="V229" s="137" t="s">
        <v>1433</v>
      </c>
      <c r="W229" s="138">
        <v>46149</v>
      </c>
      <c r="X229" s="139" t="s">
        <v>1935</v>
      </c>
      <c r="Y229" s="140" t="s">
        <v>1188</v>
      </c>
      <c r="Z229" s="141" t="s">
        <v>1947</v>
      </c>
      <c r="AA229" s="142">
        <v>270000</v>
      </c>
      <c r="AB229" s="142" t="s">
        <v>1197</v>
      </c>
      <c r="AC229" s="142" t="s">
        <v>1217</v>
      </c>
      <c r="AD229" s="143">
        <f t="shared" si="173"/>
        <v>270000</v>
      </c>
      <c r="AE229" s="144">
        <f t="shared" si="162"/>
        <v>0</v>
      </c>
      <c r="AF229" s="144">
        <f t="shared" si="163"/>
        <v>270000</v>
      </c>
      <c r="AG229" s="144">
        <f t="shared" si="174"/>
        <v>270000</v>
      </c>
      <c r="AH229" s="144">
        <f t="shared" si="175"/>
        <v>270000</v>
      </c>
      <c r="AI229" s="145"/>
      <c r="AJ229" s="146"/>
      <c r="AK229" s="147"/>
      <c r="AL229" s="148"/>
      <c r="AM229" s="149"/>
      <c r="AN229" s="150"/>
      <c r="AO229" s="150"/>
      <c r="AP229" s="151"/>
      <c r="AQ229" s="152"/>
      <c r="AR229" s="153"/>
      <c r="AS229" s="153"/>
      <c r="AT229" s="153"/>
      <c r="AU229" s="153"/>
      <c r="AV229" s="154">
        <f>IF(A229="","",AVERAGE(AF229,AS229))</f>
        <v>270000</v>
      </c>
      <c r="AW229" s="154">
        <f>IF(A229="","",AVERAGE(AH229,AU229))</f>
        <v>270000</v>
      </c>
      <c r="AX229" s="154">
        <f>IF(N229="","",STDEV(U229,AH229,AU229))</f>
        <v>38890.872965260111</v>
      </c>
      <c r="AY229" s="155">
        <f t="shared" si="166"/>
        <v>0.1440402702417041</v>
      </c>
      <c r="AZ229" s="5" t="s">
        <v>1958</v>
      </c>
      <c r="BA229" s="7">
        <f t="shared" si="167"/>
        <v>2</v>
      </c>
    </row>
    <row r="230" spans="1:53" ht="72.599999999999994" hidden="1" customHeight="1">
      <c r="A230" s="6" t="s">
        <v>1182</v>
      </c>
      <c r="B230" s="6" t="s">
        <v>1251</v>
      </c>
      <c r="C230" s="6">
        <v>31201632</v>
      </c>
      <c r="D230" s="6" t="s">
        <v>1959</v>
      </c>
      <c r="E230" s="127" t="s">
        <v>1960</v>
      </c>
      <c r="F230" s="128" t="s">
        <v>191</v>
      </c>
      <c r="G230" s="129">
        <v>1</v>
      </c>
      <c r="H230" s="128" t="s">
        <v>192</v>
      </c>
      <c r="I230" s="130" t="s">
        <v>1186</v>
      </c>
      <c r="J230" s="131">
        <v>46091</v>
      </c>
      <c r="K230" s="132" t="s">
        <v>1579</v>
      </c>
      <c r="L230" s="133" t="s">
        <v>1193</v>
      </c>
      <c r="M230" s="131" t="s">
        <v>1580</v>
      </c>
      <c r="N230" s="134">
        <v>13950</v>
      </c>
      <c r="O230" s="134" t="s">
        <v>1197</v>
      </c>
      <c r="P230" s="134" t="s">
        <v>1191</v>
      </c>
      <c r="Q230" s="135">
        <f t="shared" si="157"/>
        <v>13950</v>
      </c>
      <c r="R230" s="136">
        <f t="shared" si="158"/>
        <v>2650.5</v>
      </c>
      <c r="S230" s="136">
        <f t="shared" si="159"/>
        <v>16600.5</v>
      </c>
      <c r="T230" s="136">
        <f t="shared" si="160"/>
        <v>13950</v>
      </c>
      <c r="U230" s="136">
        <f t="shared" si="161"/>
        <v>16600.5</v>
      </c>
      <c r="V230" s="137" t="s">
        <v>1186</v>
      </c>
      <c r="W230" s="138">
        <v>46091</v>
      </c>
      <c r="X230" s="139" t="s">
        <v>1713</v>
      </c>
      <c r="Y230" s="140" t="s">
        <v>1193</v>
      </c>
      <c r="Z230" s="141" t="s">
        <v>1894</v>
      </c>
      <c r="AA230" s="142">
        <v>14800</v>
      </c>
      <c r="AB230" s="142" t="s">
        <v>1190</v>
      </c>
      <c r="AC230" s="142" t="s">
        <v>1191</v>
      </c>
      <c r="AD230" s="143">
        <f t="shared" si="173"/>
        <v>12436.974789915967</v>
      </c>
      <c r="AE230" s="144">
        <f t="shared" si="162"/>
        <v>2363.0252100840335</v>
      </c>
      <c r="AF230" s="144">
        <f t="shared" si="163"/>
        <v>14800</v>
      </c>
      <c r="AG230" s="144">
        <f t="shared" si="174"/>
        <v>14800</v>
      </c>
      <c r="AH230" s="144">
        <f t="shared" si="175"/>
        <v>14800</v>
      </c>
      <c r="AI230" s="145" t="s">
        <v>1186</v>
      </c>
      <c r="AJ230" s="146">
        <v>46091</v>
      </c>
      <c r="AK230" s="147" t="s">
        <v>1961</v>
      </c>
      <c r="AL230" s="148" t="s">
        <v>1193</v>
      </c>
      <c r="AM230" s="149" t="s">
        <v>1962</v>
      </c>
      <c r="AN230" s="150">
        <v>14000</v>
      </c>
      <c r="AO230" s="150" t="s">
        <v>1190</v>
      </c>
      <c r="AP230" s="151" t="s">
        <v>1191</v>
      </c>
      <c r="AQ230" s="152">
        <f>IF(AO230="IVA Incluido",(AN230/1.19),AN230)</f>
        <v>11764.705882352942</v>
      </c>
      <c r="AR230" s="153">
        <f>IF(AP230="Si tiene IVA",AQ230*19%,0)</f>
        <v>2235.294117647059</v>
      </c>
      <c r="AS230" s="153">
        <f>AQ230+AR230</f>
        <v>14000.000000000002</v>
      </c>
      <c r="AT230" s="153">
        <f>IF(AB230="","",(AN230*G230))</f>
        <v>14000</v>
      </c>
      <c r="AU230" s="153">
        <f>IF(AB230="","",(AS230*G230))</f>
        <v>14000.000000000002</v>
      </c>
      <c r="AV230" s="154">
        <f>IF(A230="","",AVERAGE(S230,AF230,AS230))</f>
        <v>15133.5</v>
      </c>
      <c r="AW230" s="154">
        <f>IF(A230="","",AVERAGE(U230,AH230,AU230))</f>
        <v>15133.5</v>
      </c>
      <c r="AX230" s="154">
        <f>IF(N230="","",STDEV(U230,AH230,AU230))</f>
        <v>1331.940970914251</v>
      </c>
      <c r="AY230" s="155">
        <f t="shared" si="166"/>
        <v>8.8012751241566795E-2</v>
      </c>
      <c r="AZ230" s="5"/>
      <c r="BA230" s="7">
        <f t="shared" si="167"/>
        <v>3</v>
      </c>
    </row>
    <row r="231" spans="1:53" ht="72.599999999999994" hidden="1" customHeight="1">
      <c r="A231" s="6" t="s">
        <v>1182</v>
      </c>
      <c r="B231" s="6" t="s">
        <v>1251</v>
      </c>
      <c r="C231" s="6">
        <v>31201632</v>
      </c>
      <c r="D231" s="6" t="s">
        <v>1963</v>
      </c>
      <c r="E231" s="127" t="s">
        <v>1964</v>
      </c>
      <c r="F231" s="128" t="s">
        <v>191</v>
      </c>
      <c r="G231" s="129">
        <v>1</v>
      </c>
      <c r="H231" s="128" t="s">
        <v>192</v>
      </c>
      <c r="I231" s="130" t="s">
        <v>1186</v>
      </c>
      <c r="J231" s="131">
        <v>46091</v>
      </c>
      <c r="K231" s="132" t="s">
        <v>1579</v>
      </c>
      <c r="L231" s="133" t="s">
        <v>1193</v>
      </c>
      <c r="M231" s="131" t="s">
        <v>1580</v>
      </c>
      <c r="N231" s="134">
        <v>13950</v>
      </c>
      <c r="O231" s="134" t="s">
        <v>1197</v>
      </c>
      <c r="P231" s="134" t="s">
        <v>1191</v>
      </c>
      <c r="Q231" s="135">
        <f t="shared" si="157"/>
        <v>13950</v>
      </c>
      <c r="R231" s="136">
        <f t="shared" si="158"/>
        <v>2650.5</v>
      </c>
      <c r="S231" s="136">
        <f t="shared" si="159"/>
        <v>16600.5</v>
      </c>
      <c r="T231" s="136"/>
      <c r="U231" s="136">
        <f t="shared" si="161"/>
        <v>16600.5</v>
      </c>
      <c r="V231" s="137" t="s">
        <v>1186</v>
      </c>
      <c r="W231" s="138">
        <v>46091</v>
      </c>
      <c r="X231" s="139" t="s">
        <v>1713</v>
      </c>
      <c r="Y231" s="140" t="s">
        <v>1193</v>
      </c>
      <c r="Z231" s="141" t="s">
        <v>1894</v>
      </c>
      <c r="AA231" s="142">
        <v>14800</v>
      </c>
      <c r="AB231" s="142" t="s">
        <v>1190</v>
      </c>
      <c r="AC231" s="142" t="s">
        <v>1191</v>
      </c>
      <c r="AD231" s="143">
        <f t="shared" si="173"/>
        <v>12436.974789915967</v>
      </c>
      <c r="AE231" s="144">
        <f t="shared" si="162"/>
        <v>2363.0252100840335</v>
      </c>
      <c r="AF231" s="144">
        <f t="shared" si="163"/>
        <v>14800</v>
      </c>
      <c r="AG231" s="144">
        <f t="shared" si="174"/>
        <v>14800</v>
      </c>
      <c r="AH231" s="144">
        <f t="shared" si="175"/>
        <v>14800</v>
      </c>
      <c r="AI231" s="145" t="s">
        <v>1186</v>
      </c>
      <c r="AJ231" s="146">
        <v>46091</v>
      </c>
      <c r="AK231" s="147" t="s">
        <v>1258</v>
      </c>
      <c r="AL231" s="148" t="s">
        <v>1193</v>
      </c>
      <c r="AM231" s="149" t="s">
        <v>1965</v>
      </c>
      <c r="AN231" s="150">
        <v>14400</v>
      </c>
      <c r="AO231" s="150" t="s">
        <v>1190</v>
      </c>
      <c r="AP231" s="151" t="s">
        <v>1191</v>
      </c>
      <c r="AQ231" s="152">
        <f>IF(AO231="IVA Incluido",(AN231/1.19),AN231)</f>
        <v>12100.840336134454</v>
      </c>
      <c r="AR231" s="153">
        <f>IF(AP231="Si tiene IVA",AQ231*19%,0)</f>
        <v>2299.159663865546</v>
      </c>
      <c r="AS231" s="153">
        <f>AQ231+AR231</f>
        <v>14400</v>
      </c>
      <c r="AT231" s="153">
        <f>IF(AB231="","",(AN231*G231))</f>
        <v>14400</v>
      </c>
      <c r="AU231" s="153">
        <f>IF(AB231="","",(AS231*G231))</f>
        <v>14400</v>
      </c>
      <c r="AV231" s="154">
        <f>IF(A231="","",AVERAGE(S231,AF231,AS231))</f>
        <v>15266.833333333334</v>
      </c>
      <c r="AW231" s="154">
        <f>IF(A231="","",AVERAGE(U231,AH231,AU231))</f>
        <v>15266.833333333334</v>
      </c>
      <c r="AX231" s="154">
        <f>IF(N231="","",STDEV(U231,AH231,AU231))</f>
        <v>1172.1774965137888</v>
      </c>
      <c r="AY231" s="155">
        <f t="shared" si="166"/>
        <v>7.6779347158685299E-2</v>
      </c>
      <c r="AZ231" s="5"/>
      <c r="BA231" s="7">
        <f t="shared" si="167"/>
        <v>3</v>
      </c>
    </row>
    <row r="232" spans="1:53" ht="348" hidden="1" customHeight="1">
      <c r="A232" s="6" t="s">
        <v>569</v>
      </c>
      <c r="B232" s="6" t="s">
        <v>569</v>
      </c>
      <c r="C232" s="6" t="s">
        <v>569</v>
      </c>
      <c r="D232" s="6" t="s">
        <v>1966</v>
      </c>
      <c r="E232" s="127" t="s">
        <v>1967</v>
      </c>
      <c r="F232" s="128" t="s">
        <v>1247</v>
      </c>
      <c r="G232" s="129">
        <v>1</v>
      </c>
      <c r="H232" s="128"/>
      <c r="I232" s="130" t="s">
        <v>569</v>
      </c>
      <c r="J232" s="131" t="s">
        <v>569</v>
      </c>
      <c r="K232" s="132" t="s">
        <v>569</v>
      </c>
      <c r="L232" s="133" t="s">
        <v>569</v>
      </c>
      <c r="M232" s="131" t="s">
        <v>569</v>
      </c>
      <c r="N232" s="134"/>
      <c r="O232" s="134"/>
      <c r="P232" s="134"/>
      <c r="Q232" s="135" t="s">
        <v>1248</v>
      </c>
      <c r="R232" s="136" t="s">
        <v>1248</v>
      </c>
      <c r="S232" s="136" t="s">
        <v>1248</v>
      </c>
      <c r="T232" s="136" t="s">
        <v>1248</v>
      </c>
      <c r="U232" s="136" t="s">
        <v>1248</v>
      </c>
      <c r="V232" s="137" t="s">
        <v>569</v>
      </c>
      <c r="W232" s="138" t="s">
        <v>569</v>
      </c>
      <c r="X232" s="139" t="s">
        <v>569</v>
      </c>
      <c r="Y232" s="140" t="s">
        <v>569</v>
      </c>
      <c r="Z232" s="141" t="s">
        <v>1249</v>
      </c>
      <c r="AA232" s="142" t="s">
        <v>569</v>
      </c>
      <c r="AB232" s="142" t="s">
        <v>569</v>
      </c>
      <c r="AC232" s="142" t="s">
        <v>569</v>
      </c>
      <c r="AD232" s="143" t="s">
        <v>569</v>
      </c>
      <c r="AE232" s="144" t="s">
        <v>569</v>
      </c>
      <c r="AF232" s="144">
        <v>171496</v>
      </c>
      <c r="AG232" s="144">
        <v>5.5599999999999997E-2</v>
      </c>
      <c r="AH232" s="144">
        <v>181031</v>
      </c>
      <c r="AI232" s="145" t="s">
        <v>569</v>
      </c>
      <c r="AJ232" s="146" t="s">
        <v>569</v>
      </c>
      <c r="AK232" s="147" t="s">
        <v>569</v>
      </c>
      <c r="AL232" s="148" t="s">
        <v>569</v>
      </c>
      <c r="AM232" s="149" t="s">
        <v>1250</v>
      </c>
      <c r="AN232" s="150" t="s">
        <v>569</v>
      </c>
      <c r="AO232" s="150" t="s">
        <v>569</v>
      </c>
      <c r="AP232" s="151" t="s">
        <v>569</v>
      </c>
      <c r="AQ232" s="152">
        <v>146996</v>
      </c>
      <c r="AR232" s="153">
        <v>27929</v>
      </c>
      <c r="AS232" s="153">
        <v>174925</v>
      </c>
      <c r="AT232" s="153">
        <v>146996</v>
      </c>
      <c r="AU232" s="153">
        <v>174925</v>
      </c>
      <c r="AV232" s="154">
        <v>177978</v>
      </c>
      <c r="AW232" s="154">
        <v>177978</v>
      </c>
      <c r="AX232" s="154">
        <v>4317.0600000000004</v>
      </c>
      <c r="AY232" s="155">
        <v>2.4299999999999999E-2</v>
      </c>
      <c r="AZ232" s="5"/>
      <c r="BA232" s="7"/>
    </row>
    <row r="233" spans="1:53" ht="58.15" hidden="1" customHeight="1">
      <c r="A233" s="6" t="s">
        <v>1182</v>
      </c>
      <c r="B233" s="6" t="s">
        <v>1251</v>
      </c>
      <c r="C233" s="6">
        <v>44121506</v>
      </c>
      <c r="D233" s="6" t="s">
        <v>1968</v>
      </c>
      <c r="E233" s="127" t="s">
        <v>1969</v>
      </c>
      <c r="F233" s="128" t="s">
        <v>191</v>
      </c>
      <c r="G233" s="129">
        <v>1</v>
      </c>
      <c r="H233" s="128" t="s">
        <v>192</v>
      </c>
      <c r="I233" s="130" t="s">
        <v>1199</v>
      </c>
      <c r="J233" s="131">
        <v>46069</v>
      </c>
      <c r="K233" s="132" t="s">
        <v>1258</v>
      </c>
      <c r="L233" s="133" t="s">
        <v>1193</v>
      </c>
      <c r="M233" s="131" t="s">
        <v>1750</v>
      </c>
      <c r="N233" s="134">
        <v>8200</v>
      </c>
      <c r="O233" s="134" t="s">
        <v>1190</v>
      </c>
      <c r="P233" s="134" t="s">
        <v>1191</v>
      </c>
      <c r="Q233" s="135">
        <f>IF(O233="IVA Incluido",(N233/1.19),N233)</f>
        <v>6890.7563025210084</v>
      </c>
      <c r="R233" s="136">
        <f>IF(P233="Si tiene IVA",Q233*19%,0)</f>
        <v>1309.2436974789916</v>
      </c>
      <c r="S233" s="136">
        <f>Q233+R233</f>
        <v>8200</v>
      </c>
      <c r="T233" s="136">
        <f>IF(B233="","",(N233*G233))</f>
        <v>8200</v>
      </c>
      <c r="U233" s="136">
        <f>IF(B233="","",(S233*G233))</f>
        <v>8200</v>
      </c>
      <c r="V233" s="137" t="s">
        <v>1199</v>
      </c>
      <c r="W233" s="138">
        <v>46069</v>
      </c>
      <c r="X233" s="139" t="s">
        <v>1970</v>
      </c>
      <c r="Y233" s="140" t="s">
        <v>1193</v>
      </c>
      <c r="Z233" s="141" t="s">
        <v>1971</v>
      </c>
      <c r="AA233" s="142">
        <v>10500</v>
      </c>
      <c r="AB233" s="142" t="s">
        <v>1190</v>
      </c>
      <c r="AC233" s="142" t="s">
        <v>1191</v>
      </c>
      <c r="AD233" s="143">
        <f>IF(AB233="IVA Incluido",(AA233/1.19),AA233)</f>
        <v>8823.5294117647063</v>
      </c>
      <c r="AE233" s="144">
        <f>IF(AC233="Si tiene IVA",AD233*19%,0)</f>
        <v>1676.4705882352941</v>
      </c>
      <c r="AF233" s="144">
        <f>AD233+AE233</f>
        <v>10500</v>
      </c>
      <c r="AG233" s="144">
        <f>IF(O233="","",(AA233*G233))</f>
        <v>10500</v>
      </c>
      <c r="AH233" s="144">
        <f>IF(O233="","",(AF233*G233))</f>
        <v>10500</v>
      </c>
      <c r="AI233" s="145" t="s">
        <v>1199</v>
      </c>
      <c r="AJ233" s="146">
        <v>46069</v>
      </c>
      <c r="AK233" s="147" t="s">
        <v>1461</v>
      </c>
      <c r="AL233" s="148" t="s">
        <v>1193</v>
      </c>
      <c r="AM233" s="149" t="s">
        <v>1462</v>
      </c>
      <c r="AN233" s="150">
        <v>6126</v>
      </c>
      <c r="AO233" s="150" t="s">
        <v>1197</v>
      </c>
      <c r="AP233" s="151" t="s">
        <v>1191</v>
      </c>
      <c r="AQ233" s="152">
        <f>IF(AO233="IVA Incluido",(AN233/1.19),AN233)</f>
        <v>6126</v>
      </c>
      <c r="AR233" s="153">
        <f>IF(AP233="Si tiene IVA",AQ233*19%,0)</f>
        <v>1163.94</v>
      </c>
      <c r="AS233" s="153">
        <f>AQ233+AR233</f>
        <v>7289.9400000000005</v>
      </c>
      <c r="AT233" s="153">
        <f>IF(AB233="","",(AN233*G233))</f>
        <v>6126</v>
      </c>
      <c r="AU233" s="153">
        <f>IF(AB233="","",(AS233*G233))</f>
        <v>7289.9400000000005</v>
      </c>
      <c r="AV233" s="154">
        <f>IF(A233="","",AVERAGE(S233,AF233,AS233))</f>
        <v>8663.3133333333335</v>
      </c>
      <c r="AW233" s="154">
        <f>IF(A233="","",AVERAGE(U233,AH233,AU233))</f>
        <v>8663.3133333333335</v>
      </c>
      <c r="AX233" s="154">
        <f>IF(N233="","",STDEV(U233,AH233,AU233))</f>
        <v>1654.423082084294</v>
      </c>
      <c r="AY233" s="155">
        <f>IF(N233="","",(AX233/AW233))</f>
        <v>0.19096886126912499</v>
      </c>
      <c r="AZ233" s="5"/>
      <c r="BA233" s="7">
        <f>COUNTA(M233,Z233,AM233)</f>
        <v>3</v>
      </c>
    </row>
    <row r="234" spans="1:53" ht="348" hidden="1" customHeight="1">
      <c r="A234" s="6" t="s">
        <v>569</v>
      </c>
      <c r="B234" s="6" t="s">
        <v>569</v>
      </c>
      <c r="C234" s="6" t="s">
        <v>569</v>
      </c>
      <c r="D234" s="6" t="s">
        <v>1972</v>
      </c>
      <c r="E234" s="127" t="s">
        <v>1973</v>
      </c>
      <c r="F234" s="128" t="s">
        <v>1247</v>
      </c>
      <c r="G234" s="129">
        <v>1</v>
      </c>
      <c r="H234" s="128"/>
      <c r="I234" s="130" t="s">
        <v>569</v>
      </c>
      <c r="J234" s="131" t="s">
        <v>569</v>
      </c>
      <c r="K234" s="132" t="s">
        <v>569</v>
      </c>
      <c r="L234" s="133" t="s">
        <v>569</v>
      </c>
      <c r="M234" s="131" t="s">
        <v>569</v>
      </c>
      <c r="N234" s="134"/>
      <c r="O234" s="134"/>
      <c r="P234" s="134"/>
      <c r="Q234" s="135" t="s">
        <v>1248</v>
      </c>
      <c r="R234" s="136" t="s">
        <v>1248</v>
      </c>
      <c r="S234" s="136" t="s">
        <v>1248</v>
      </c>
      <c r="T234" s="136" t="s">
        <v>1248</v>
      </c>
      <c r="U234" s="136" t="s">
        <v>1248</v>
      </c>
      <c r="V234" s="137" t="s">
        <v>569</v>
      </c>
      <c r="W234" s="138" t="s">
        <v>569</v>
      </c>
      <c r="X234" s="139" t="s">
        <v>569</v>
      </c>
      <c r="Y234" s="140" t="s">
        <v>569</v>
      </c>
      <c r="Z234" s="141" t="s">
        <v>1249</v>
      </c>
      <c r="AA234" s="142" t="s">
        <v>569</v>
      </c>
      <c r="AB234" s="142" t="s">
        <v>569</v>
      </c>
      <c r="AC234" s="142" t="s">
        <v>569</v>
      </c>
      <c r="AD234" s="143" t="s">
        <v>569</v>
      </c>
      <c r="AE234" s="144" t="s">
        <v>569</v>
      </c>
      <c r="AF234" s="144">
        <v>277125</v>
      </c>
      <c r="AG234" s="144">
        <v>5.5599999999999997E-2</v>
      </c>
      <c r="AH234" s="144">
        <v>292533</v>
      </c>
      <c r="AI234" s="145" t="s">
        <v>569</v>
      </c>
      <c r="AJ234" s="146" t="s">
        <v>569</v>
      </c>
      <c r="AK234" s="147" t="s">
        <v>569</v>
      </c>
      <c r="AL234" s="148" t="s">
        <v>569</v>
      </c>
      <c r="AM234" s="149" t="s">
        <v>1250</v>
      </c>
      <c r="AN234" s="150" t="s">
        <v>569</v>
      </c>
      <c r="AO234" s="150" t="s">
        <v>569</v>
      </c>
      <c r="AP234" s="151" t="s">
        <v>569</v>
      </c>
      <c r="AQ234" s="152">
        <v>237536</v>
      </c>
      <c r="AR234" s="153">
        <v>45132</v>
      </c>
      <c r="AS234" s="153">
        <v>282668</v>
      </c>
      <c r="AT234" s="153">
        <v>237536</v>
      </c>
      <c r="AU234" s="153">
        <v>282668</v>
      </c>
      <c r="AV234" s="154">
        <v>287600</v>
      </c>
      <c r="AW234" s="154">
        <v>287600</v>
      </c>
      <c r="AX234" s="154">
        <v>6976.07</v>
      </c>
      <c r="AY234" s="155">
        <v>2.4299999999999999E-2</v>
      </c>
      <c r="AZ234" s="5"/>
      <c r="BA234" s="7"/>
    </row>
    <row r="235" spans="1:53" ht="348" hidden="1" customHeight="1">
      <c r="A235" s="6" t="s">
        <v>569</v>
      </c>
      <c r="B235" s="6" t="s">
        <v>569</v>
      </c>
      <c r="C235" s="6" t="s">
        <v>569</v>
      </c>
      <c r="D235" s="6" t="s">
        <v>1974</v>
      </c>
      <c r="E235" s="127" t="s">
        <v>1975</v>
      </c>
      <c r="F235" s="128" t="s">
        <v>1247</v>
      </c>
      <c r="G235" s="129">
        <v>1</v>
      </c>
      <c r="H235" s="128"/>
      <c r="I235" s="130" t="s">
        <v>569</v>
      </c>
      <c r="J235" s="131" t="s">
        <v>569</v>
      </c>
      <c r="K235" s="132" t="s">
        <v>569</v>
      </c>
      <c r="L235" s="133" t="s">
        <v>569</v>
      </c>
      <c r="M235" s="131" t="s">
        <v>569</v>
      </c>
      <c r="N235" s="134"/>
      <c r="O235" s="134"/>
      <c r="P235" s="134"/>
      <c r="Q235" s="135" t="s">
        <v>1248</v>
      </c>
      <c r="R235" s="136" t="s">
        <v>1248</v>
      </c>
      <c r="S235" s="136" t="s">
        <v>1248</v>
      </c>
      <c r="T235" s="136" t="s">
        <v>1248</v>
      </c>
      <c r="U235" s="136" t="s">
        <v>1248</v>
      </c>
      <c r="V235" s="137" t="s">
        <v>569</v>
      </c>
      <c r="W235" s="138" t="s">
        <v>569</v>
      </c>
      <c r="X235" s="139" t="s">
        <v>569</v>
      </c>
      <c r="Y235" s="140" t="s">
        <v>569</v>
      </c>
      <c r="Z235" s="141" t="s">
        <v>1249</v>
      </c>
      <c r="AA235" s="142" t="s">
        <v>569</v>
      </c>
      <c r="AB235" s="142" t="s">
        <v>569</v>
      </c>
      <c r="AC235" s="142" t="s">
        <v>569</v>
      </c>
      <c r="AD235" s="143" t="s">
        <v>569</v>
      </c>
      <c r="AE235" s="144" t="s">
        <v>569</v>
      </c>
      <c r="AF235" s="144">
        <v>5920228</v>
      </c>
      <c r="AG235" s="144">
        <v>5.5599999999999997E-2</v>
      </c>
      <c r="AH235" s="144">
        <v>6249392</v>
      </c>
      <c r="AI235" s="145" t="s">
        <v>569</v>
      </c>
      <c r="AJ235" s="146" t="s">
        <v>569</v>
      </c>
      <c r="AK235" s="147" t="s">
        <v>569</v>
      </c>
      <c r="AL235" s="148" t="s">
        <v>569</v>
      </c>
      <c r="AM235" s="149" t="s">
        <v>1250</v>
      </c>
      <c r="AN235" s="150" t="s">
        <v>569</v>
      </c>
      <c r="AO235" s="150" t="s">
        <v>569</v>
      </c>
      <c r="AP235" s="151" t="s">
        <v>569</v>
      </c>
      <c r="AQ235" s="152">
        <v>5074481</v>
      </c>
      <c r="AR235" s="153">
        <v>964151</v>
      </c>
      <c r="AS235" s="153">
        <v>6038632</v>
      </c>
      <c r="AT235" s="153">
        <v>5074481</v>
      </c>
      <c r="AU235" s="153">
        <v>6038632</v>
      </c>
      <c r="AV235" s="154">
        <v>6144012</v>
      </c>
      <c r="AW235" s="154">
        <v>6144012</v>
      </c>
      <c r="AX235" s="154">
        <v>149029.9</v>
      </c>
      <c r="AY235" s="155">
        <v>2.4299999999999999E-2</v>
      </c>
      <c r="AZ235" s="5"/>
      <c r="BA235" s="7"/>
    </row>
    <row r="236" spans="1:53" ht="348" hidden="1" customHeight="1">
      <c r="A236" s="6" t="s">
        <v>569</v>
      </c>
      <c r="B236" s="6" t="s">
        <v>569</v>
      </c>
      <c r="C236" s="6" t="s">
        <v>569</v>
      </c>
      <c r="D236" s="6" t="s">
        <v>1976</v>
      </c>
      <c r="E236" s="127" t="s">
        <v>1977</v>
      </c>
      <c r="F236" s="128" t="s">
        <v>1247</v>
      </c>
      <c r="G236" s="129">
        <v>1</v>
      </c>
      <c r="H236" s="128"/>
      <c r="I236" s="130" t="s">
        <v>569</v>
      </c>
      <c r="J236" s="131" t="s">
        <v>569</v>
      </c>
      <c r="K236" s="132" t="s">
        <v>569</v>
      </c>
      <c r="L236" s="133" t="s">
        <v>569</v>
      </c>
      <c r="M236" s="131" t="s">
        <v>569</v>
      </c>
      <c r="N236" s="134"/>
      <c r="O236" s="134"/>
      <c r="P236" s="134"/>
      <c r="Q236" s="135" t="s">
        <v>1248</v>
      </c>
      <c r="R236" s="136" t="s">
        <v>1248</v>
      </c>
      <c r="S236" s="136" t="s">
        <v>1248</v>
      </c>
      <c r="T236" s="136" t="s">
        <v>1248</v>
      </c>
      <c r="U236" s="136" t="s">
        <v>1248</v>
      </c>
      <c r="V236" s="137" t="s">
        <v>569</v>
      </c>
      <c r="W236" s="138" t="s">
        <v>569</v>
      </c>
      <c r="X236" s="139" t="s">
        <v>569</v>
      </c>
      <c r="Y236" s="140" t="s">
        <v>569</v>
      </c>
      <c r="Z236" s="141" t="s">
        <v>1249</v>
      </c>
      <c r="AA236" s="142" t="s">
        <v>569</v>
      </c>
      <c r="AB236" s="142" t="s">
        <v>569</v>
      </c>
      <c r="AC236" s="142" t="s">
        <v>569</v>
      </c>
      <c r="AD236" s="143" t="s">
        <v>569</v>
      </c>
      <c r="AE236" s="144" t="s">
        <v>569</v>
      </c>
      <c r="AF236" s="144">
        <v>9767300</v>
      </c>
      <c r="AG236" s="144">
        <v>5.5599999999999997E-2</v>
      </c>
      <c r="AH236" s="144">
        <v>10310362</v>
      </c>
      <c r="AI236" s="145" t="s">
        <v>569</v>
      </c>
      <c r="AJ236" s="146" t="s">
        <v>569</v>
      </c>
      <c r="AK236" s="147" t="s">
        <v>569</v>
      </c>
      <c r="AL236" s="148" t="s">
        <v>569</v>
      </c>
      <c r="AM236" s="149" t="s">
        <v>1250</v>
      </c>
      <c r="AN236" s="150" t="s">
        <v>569</v>
      </c>
      <c r="AO236" s="150" t="s">
        <v>569</v>
      </c>
      <c r="AP236" s="151" t="s">
        <v>569</v>
      </c>
      <c r="AQ236" s="152">
        <v>8371971</v>
      </c>
      <c r="AR236" s="153">
        <v>1590675</v>
      </c>
      <c r="AS236" s="153">
        <v>9962646</v>
      </c>
      <c r="AT236" s="153">
        <v>8371971</v>
      </c>
      <c r="AU236" s="153">
        <v>9962646</v>
      </c>
      <c r="AV236" s="154">
        <v>10136504</v>
      </c>
      <c r="AW236" s="154">
        <v>10136504</v>
      </c>
      <c r="AX236" s="154">
        <v>245872.26</v>
      </c>
      <c r="AY236" s="155">
        <v>2.4299999999999999E-2</v>
      </c>
      <c r="AZ236" s="5"/>
      <c r="BA236" s="7"/>
    </row>
    <row r="237" spans="1:53" ht="87" hidden="1" customHeight="1">
      <c r="A237" s="6" t="s">
        <v>1182</v>
      </c>
      <c r="B237" s="6" t="s">
        <v>1251</v>
      </c>
      <c r="C237" s="6">
        <v>44122012</v>
      </c>
      <c r="D237" s="6" t="s">
        <v>1978</v>
      </c>
      <c r="E237" s="127" t="s">
        <v>1978</v>
      </c>
      <c r="F237" s="128" t="s">
        <v>191</v>
      </c>
      <c r="G237" s="129">
        <v>1</v>
      </c>
      <c r="H237" s="128" t="s">
        <v>192</v>
      </c>
      <c r="I237" s="130" t="s">
        <v>1186</v>
      </c>
      <c r="J237" s="131">
        <v>46091</v>
      </c>
      <c r="K237" s="132" t="s">
        <v>1979</v>
      </c>
      <c r="L237" s="133" t="s">
        <v>1193</v>
      </c>
      <c r="M237" s="131" t="s">
        <v>1980</v>
      </c>
      <c r="N237" s="134">
        <v>5200</v>
      </c>
      <c r="O237" s="134" t="s">
        <v>1190</v>
      </c>
      <c r="P237" s="134" t="s">
        <v>1191</v>
      </c>
      <c r="Q237" s="135">
        <f t="shared" ref="Q237:Q248" si="176">IF(O237="IVA Incluido",(N237/1.19),N237)</f>
        <v>4369.7478991596645</v>
      </c>
      <c r="R237" s="136">
        <f>IF(P237="Si tiene IVA",Q237*19%,0)</f>
        <v>830.25210084033631</v>
      </c>
      <c r="S237" s="136">
        <f t="shared" ref="S237:S248" si="177">Q237+R237</f>
        <v>5200.0000000000009</v>
      </c>
      <c r="T237" s="136">
        <f t="shared" ref="T237:T248" si="178">IF(B237="","",(N237*G237))</f>
        <v>5200</v>
      </c>
      <c r="U237" s="136">
        <f t="shared" ref="U237:U248" si="179">IF(B237="","",(S237*G237))</f>
        <v>5200.0000000000009</v>
      </c>
      <c r="V237" s="137" t="s">
        <v>1186</v>
      </c>
      <c r="W237" s="138">
        <v>46091</v>
      </c>
      <c r="X237" s="139" t="s">
        <v>1579</v>
      </c>
      <c r="Y237" s="140" t="s">
        <v>1193</v>
      </c>
      <c r="Z237" s="141" t="s">
        <v>1737</v>
      </c>
      <c r="AA237" s="142">
        <v>4200</v>
      </c>
      <c r="AB237" s="142" t="s">
        <v>1197</v>
      </c>
      <c r="AC237" s="142" t="s">
        <v>1191</v>
      </c>
      <c r="AD237" s="143">
        <f t="shared" ref="AD237:AD248" si="180">IF(AB237="IVA Incluido",(AA237/1.19),AA237)</f>
        <v>4200</v>
      </c>
      <c r="AE237" s="144">
        <f>IF(AC237="Si tiene IVA",AD237*19%,0)</f>
        <v>798</v>
      </c>
      <c r="AF237" s="144">
        <f t="shared" ref="AF237:AF248" si="181">AD237+AE237</f>
        <v>4998</v>
      </c>
      <c r="AG237" s="144">
        <f t="shared" ref="AG237:AG248" si="182">IF(O237="","",(AA237*G237))</f>
        <v>4200</v>
      </c>
      <c r="AH237" s="144">
        <f t="shared" ref="AH237:AH248" si="183">IF(O237="","",(AF237*G237))</f>
        <v>4998</v>
      </c>
      <c r="AI237" s="145" t="s">
        <v>1186</v>
      </c>
      <c r="AJ237" s="146">
        <v>46091</v>
      </c>
      <c r="AK237" s="147" t="s">
        <v>1713</v>
      </c>
      <c r="AL237" s="148" t="s">
        <v>1193</v>
      </c>
      <c r="AM237" s="149" t="s">
        <v>1714</v>
      </c>
      <c r="AN237" s="150">
        <v>4800</v>
      </c>
      <c r="AO237" s="150" t="s">
        <v>1190</v>
      </c>
      <c r="AP237" s="151" t="s">
        <v>1191</v>
      </c>
      <c r="AQ237" s="152">
        <f>IF(AO237="IVA Incluido",(AN237/1.19),AN237)</f>
        <v>4033.6134453781515</v>
      </c>
      <c r="AR237" s="153">
        <f>IF(AP237="Si tiene IVA",AQ237*19%,0)</f>
        <v>766.38655462184875</v>
      </c>
      <c r="AS237" s="153">
        <f t="shared" ref="AS237:AS248" si="184">AQ237+AR237</f>
        <v>4800</v>
      </c>
      <c r="AT237" s="153">
        <f t="shared" ref="AT237:AT248" si="185">IF(AB237="","",(AN237*G237))</f>
        <v>4800</v>
      </c>
      <c r="AU237" s="153">
        <f t="shared" ref="AU237:AU248" si="186">IF(AB237="","",(AS237*G237))</f>
        <v>4800</v>
      </c>
      <c r="AV237" s="154">
        <f>IF(A237="","",AVERAGE(S237,AF237,AS237))</f>
        <v>4999.333333333333</v>
      </c>
      <c r="AW237" s="154">
        <f>IF(A237="","",AVERAGE(U237,AH237,AU237))</f>
        <v>4999.333333333333</v>
      </c>
      <c r="AX237" s="154">
        <f>IF(N237="","",STDEV(U237,AH237,AU237))</f>
        <v>200.00333330555648</v>
      </c>
      <c r="AY237" s="155">
        <f t="shared" ref="AY237:AY248" si="187">IF(N237="","",(AX237/AW237))</f>
        <v>4.0006000794550571E-2</v>
      </c>
      <c r="AZ237" s="5"/>
      <c r="BA237" s="7">
        <f t="shared" ref="BA237:BA248" si="188">COUNTA(M237,Z237,AM237)</f>
        <v>3</v>
      </c>
    </row>
    <row r="238" spans="1:53" ht="101.65" hidden="1" customHeight="1">
      <c r="A238" s="6" t="s">
        <v>1182</v>
      </c>
      <c r="B238" s="6" t="s">
        <v>1251</v>
      </c>
      <c r="C238" s="6">
        <v>44111905</v>
      </c>
      <c r="D238" s="6" t="s">
        <v>1981</v>
      </c>
      <c r="E238" s="127" t="s">
        <v>1982</v>
      </c>
      <c r="F238" s="128" t="s">
        <v>191</v>
      </c>
      <c r="G238" s="129">
        <v>1</v>
      </c>
      <c r="H238" s="128" t="s">
        <v>192</v>
      </c>
      <c r="I238" s="130" t="s">
        <v>1186</v>
      </c>
      <c r="J238" s="131">
        <v>46091</v>
      </c>
      <c r="K238" s="132" t="s">
        <v>1579</v>
      </c>
      <c r="L238" s="133" t="s">
        <v>1193</v>
      </c>
      <c r="M238" s="131" t="s">
        <v>1580</v>
      </c>
      <c r="N238" s="134">
        <v>106000</v>
      </c>
      <c r="O238" s="134" t="s">
        <v>1197</v>
      </c>
      <c r="P238" s="134" t="s">
        <v>1191</v>
      </c>
      <c r="Q238" s="135">
        <f t="shared" si="176"/>
        <v>106000</v>
      </c>
      <c r="R238" s="136">
        <f>IF(P238="Si tiene IVA",Q238*19%,0)</f>
        <v>20140</v>
      </c>
      <c r="S238" s="136">
        <f t="shared" si="177"/>
        <v>126140</v>
      </c>
      <c r="T238" s="136">
        <f t="shared" si="178"/>
        <v>106000</v>
      </c>
      <c r="U238" s="136">
        <f t="shared" si="179"/>
        <v>126140</v>
      </c>
      <c r="V238" s="137" t="s">
        <v>1186</v>
      </c>
      <c r="W238" s="138">
        <v>46091</v>
      </c>
      <c r="X238" s="139" t="s">
        <v>1983</v>
      </c>
      <c r="Y238" s="140" t="s">
        <v>1193</v>
      </c>
      <c r="Z238" s="141" t="s">
        <v>1984</v>
      </c>
      <c r="AA238" s="142">
        <v>132000</v>
      </c>
      <c r="AB238" s="142" t="s">
        <v>1190</v>
      </c>
      <c r="AC238" s="142" t="s">
        <v>1191</v>
      </c>
      <c r="AD238" s="143">
        <f t="shared" si="180"/>
        <v>110924.36974789917</v>
      </c>
      <c r="AE238" s="144">
        <f>IF(AC238="Si tiene IVA",AD238*19%,0)</f>
        <v>21075.630252100844</v>
      </c>
      <c r="AF238" s="144">
        <f t="shared" si="181"/>
        <v>132000</v>
      </c>
      <c r="AG238" s="144">
        <f t="shared" si="182"/>
        <v>132000</v>
      </c>
      <c r="AH238" s="144">
        <f t="shared" si="183"/>
        <v>132000</v>
      </c>
      <c r="AI238" s="145" t="s">
        <v>1186</v>
      </c>
      <c r="AJ238" s="146">
        <v>46091</v>
      </c>
      <c r="AK238" s="147" t="s">
        <v>1985</v>
      </c>
      <c r="AL238" s="148" t="s">
        <v>1193</v>
      </c>
      <c r="AM238" s="149" t="s">
        <v>1730</v>
      </c>
      <c r="AN238" s="150">
        <v>159900</v>
      </c>
      <c r="AO238" s="150" t="s">
        <v>1190</v>
      </c>
      <c r="AP238" s="151" t="s">
        <v>1191</v>
      </c>
      <c r="AQ238" s="152">
        <f>IF(AO238="IVA Incluido",(AN238/1.19),AN238)</f>
        <v>134369.74789915967</v>
      </c>
      <c r="AR238" s="153">
        <f>IF(AP238="Si tiene IVA",AQ238*19%,0)</f>
        <v>25530.252100840338</v>
      </c>
      <c r="AS238" s="153">
        <f t="shared" si="184"/>
        <v>159900</v>
      </c>
      <c r="AT238" s="153">
        <f t="shared" si="185"/>
        <v>159900</v>
      </c>
      <c r="AU238" s="153">
        <f t="shared" si="186"/>
        <v>159900</v>
      </c>
      <c r="AV238" s="154">
        <f>IF(A238="","",AVERAGE(S238,AF238,AS238))</f>
        <v>139346.66666666666</v>
      </c>
      <c r="AW238" s="154">
        <f>IF(A238="","",AVERAGE(U238,AH238,AU238))</f>
        <v>139346.66666666666</v>
      </c>
      <c r="AX238" s="154">
        <f>IF(N238="","",STDEV(U238,AH238,AU238))</f>
        <v>18039.249799626705</v>
      </c>
      <c r="AY238" s="155">
        <f t="shared" si="187"/>
        <v>0.12945591187178287</v>
      </c>
      <c r="AZ238" s="5"/>
      <c r="BA238" s="7">
        <f t="shared" si="188"/>
        <v>3</v>
      </c>
    </row>
    <row r="239" spans="1:53" ht="58.15" hidden="1" customHeight="1">
      <c r="A239" s="6" t="s">
        <v>1182</v>
      </c>
      <c r="B239" s="6" t="s">
        <v>1251</v>
      </c>
      <c r="C239" s="6">
        <v>60121201</v>
      </c>
      <c r="D239" s="6" t="s">
        <v>1986</v>
      </c>
      <c r="E239" s="127" t="s">
        <v>1987</v>
      </c>
      <c r="F239" s="128" t="s">
        <v>191</v>
      </c>
      <c r="G239" s="129">
        <v>1</v>
      </c>
      <c r="H239" s="128" t="s">
        <v>192</v>
      </c>
      <c r="I239" s="130" t="s">
        <v>1186</v>
      </c>
      <c r="J239" s="131">
        <v>46091</v>
      </c>
      <c r="K239" s="132" t="s">
        <v>1988</v>
      </c>
      <c r="L239" s="133" t="s">
        <v>1193</v>
      </c>
      <c r="M239" s="131" t="s">
        <v>1989</v>
      </c>
      <c r="N239" s="134">
        <v>1316</v>
      </c>
      <c r="O239" s="134" t="s">
        <v>1190</v>
      </c>
      <c r="P239" s="134" t="s">
        <v>1191</v>
      </c>
      <c r="Q239" s="135">
        <f t="shared" si="176"/>
        <v>1105.8823529411766</v>
      </c>
      <c r="R239" s="136">
        <f>IF(P239="Si tiene IVA",Q239*19%,0)</f>
        <v>210.11764705882356</v>
      </c>
      <c r="S239" s="136">
        <f t="shared" si="177"/>
        <v>1316.0000000000002</v>
      </c>
      <c r="T239" s="136">
        <f t="shared" si="178"/>
        <v>1316</v>
      </c>
      <c r="U239" s="136">
        <f t="shared" si="179"/>
        <v>1316.0000000000002</v>
      </c>
      <c r="V239" s="137" t="s">
        <v>1186</v>
      </c>
      <c r="W239" s="138">
        <v>46099</v>
      </c>
      <c r="X239" s="139" t="s">
        <v>1990</v>
      </c>
      <c r="Y239" s="140" t="s">
        <v>1193</v>
      </c>
      <c r="Z239" s="141" t="s">
        <v>1991</v>
      </c>
      <c r="AA239" s="142">
        <v>1500</v>
      </c>
      <c r="AB239" s="142" t="s">
        <v>1190</v>
      </c>
      <c r="AC239" s="142" t="s">
        <v>1191</v>
      </c>
      <c r="AD239" s="143">
        <f t="shared" si="180"/>
        <v>1260.5042016806724</v>
      </c>
      <c r="AE239" s="144">
        <f>IF(AC239="Si tiene IVA",AD239*19%,0)</f>
        <v>239.49579831932775</v>
      </c>
      <c r="AF239" s="144">
        <f t="shared" si="181"/>
        <v>1500.0000000000002</v>
      </c>
      <c r="AG239" s="144">
        <f t="shared" si="182"/>
        <v>1500</v>
      </c>
      <c r="AH239" s="144">
        <f t="shared" si="183"/>
        <v>1500.0000000000002</v>
      </c>
      <c r="AI239" s="145" t="s">
        <v>1186</v>
      </c>
      <c r="AJ239" s="146">
        <v>46099</v>
      </c>
      <c r="AK239" s="147" t="s">
        <v>1992</v>
      </c>
      <c r="AL239" s="148" t="s">
        <v>1193</v>
      </c>
      <c r="AM239" s="149" t="s">
        <v>1993</v>
      </c>
      <c r="AN239" s="150">
        <v>1200</v>
      </c>
      <c r="AO239" s="150" t="s">
        <v>1190</v>
      </c>
      <c r="AP239" s="151" t="s">
        <v>1191</v>
      </c>
      <c r="AQ239" s="152">
        <f>IF(AO239="IVA Incluido",(AN239/1.19),AN239)</f>
        <v>1008.4033613445379</v>
      </c>
      <c r="AR239" s="153">
        <f>IF(AP239="Si tiene IVA",AQ239*19%,0)</f>
        <v>191.59663865546219</v>
      </c>
      <c r="AS239" s="153">
        <f t="shared" si="184"/>
        <v>1200</v>
      </c>
      <c r="AT239" s="153">
        <f t="shared" si="185"/>
        <v>1200</v>
      </c>
      <c r="AU239" s="153">
        <f t="shared" si="186"/>
        <v>1200</v>
      </c>
      <c r="AV239" s="154">
        <f>IF(A239="","",AVERAGE(S239,AF239,AS239))</f>
        <v>1338.6666666666667</v>
      </c>
      <c r="AW239" s="154">
        <f>IF(A239="","",AVERAGE(U239,AH239,AU239))</f>
        <v>1338.6666666666667</v>
      </c>
      <c r="AX239" s="154">
        <f>IF(N239="","",STDEV(U239,AH239,AU239))</f>
        <v>151.27899171178186</v>
      </c>
      <c r="AY239" s="155">
        <f t="shared" si="187"/>
        <v>0.11300721492413983</v>
      </c>
      <c r="AZ239" s="5"/>
      <c r="BA239" s="7">
        <f t="shared" si="188"/>
        <v>3</v>
      </c>
    </row>
    <row r="240" spans="1:53" ht="72.599999999999994" hidden="1" customHeight="1">
      <c r="A240" s="6" t="s">
        <v>1182</v>
      </c>
      <c r="B240" s="6" t="s">
        <v>1251</v>
      </c>
      <c r="C240" s="6">
        <v>60121201</v>
      </c>
      <c r="D240" s="6" t="s">
        <v>1994</v>
      </c>
      <c r="E240" s="127" t="s">
        <v>1995</v>
      </c>
      <c r="F240" s="128" t="s">
        <v>191</v>
      </c>
      <c r="G240" s="129">
        <v>1</v>
      </c>
      <c r="H240" s="128" t="s">
        <v>192</v>
      </c>
      <c r="I240" s="130" t="s">
        <v>1186</v>
      </c>
      <c r="J240" s="131">
        <v>46091</v>
      </c>
      <c r="K240" s="132" t="s">
        <v>1996</v>
      </c>
      <c r="L240" s="133" t="s">
        <v>1193</v>
      </c>
      <c r="M240" s="131" t="s">
        <v>1997</v>
      </c>
      <c r="N240" s="134">
        <v>3900</v>
      </c>
      <c r="O240" s="134" t="s">
        <v>1190</v>
      </c>
      <c r="P240" s="134" t="s">
        <v>1191</v>
      </c>
      <c r="Q240" s="135">
        <f t="shared" si="176"/>
        <v>3277.3109243697481</v>
      </c>
      <c r="R240" s="136">
        <f>IF(P240="Si tiene IVA",Q240*19%,0)</f>
        <v>622.6890756302522</v>
      </c>
      <c r="S240" s="136">
        <f t="shared" si="177"/>
        <v>3900.0000000000005</v>
      </c>
      <c r="T240" s="136">
        <f t="shared" si="178"/>
        <v>3900</v>
      </c>
      <c r="U240" s="136">
        <f t="shared" si="179"/>
        <v>3900.0000000000005</v>
      </c>
      <c r="V240" s="137" t="s">
        <v>1186</v>
      </c>
      <c r="W240" s="138">
        <v>46091</v>
      </c>
      <c r="X240" s="139" t="s">
        <v>1998</v>
      </c>
      <c r="Y240" s="140" t="s">
        <v>1193</v>
      </c>
      <c r="Z240" s="141" t="s">
        <v>1867</v>
      </c>
      <c r="AA240" s="142">
        <v>3200</v>
      </c>
      <c r="AB240" s="142" t="s">
        <v>1190</v>
      </c>
      <c r="AC240" s="142" t="s">
        <v>1191</v>
      </c>
      <c r="AD240" s="143">
        <f t="shared" si="180"/>
        <v>2689.0756302521008</v>
      </c>
      <c r="AE240" s="144">
        <f>IF(AC240="Si tiene IVA",AD240*19%,0)</f>
        <v>510.92436974789916</v>
      </c>
      <c r="AF240" s="144">
        <f t="shared" si="181"/>
        <v>3200</v>
      </c>
      <c r="AG240" s="144">
        <f t="shared" si="182"/>
        <v>3200</v>
      </c>
      <c r="AH240" s="144">
        <f t="shared" si="183"/>
        <v>3200</v>
      </c>
      <c r="AI240" s="145" t="s">
        <v>1186</v>
      </c>
      <c r="AJ240" s="146">
        <v>46091</v>
      </c>
      <c r="AK240" s="147" t="s">
        <v>1713</v>
      </c>
      <c r="AL240" s="148" t="s">
        <v>1193</v>
      </c>
      <c r="AM240" s="149" t="s">
        <v>1714</v>
      </c>
      <c r="AN240" s="150">
        <v>3900</v>
      </c>
      <c r="AO240" s="150" t="s">
        <v>1190</v>
      </c>
      <c r="AP240" s="151" t="s">
        <v>1191</v>
      </c>
      <c r="AQ240" s="152">
        <f>IF(AO240="IVA Incluido",(AN240/1.19),AN240)</f>
        <v>3277.3109243697481</v>
      </c>
      <c r="AR240" s="153">
        <f>IF(AP240="Si tiene IVA",AQ240*19%,0)</f>
        <v>622.6890756302522</v>
      </c>
      <c r="AS240" s="153">
        <f t="shared" si="184"/>
        <v>3900.0000000000005</v>
      </c>
      <c r="AT240" s="153">
        <f t="shared" si="185"/>
        <v>3900</v>
      </c>
      <c r="AU240" s="153">
        <f t="shared" si="186"/>
        <v>3900.0000000000005</v>
      </c>
      <c r="AV240" s="154">
        <f>IF(A240="","",AVERAGE(S240,AF240,AS240))</f>
        <v>3666.6666666666665</v>
      </c>
      <c r="AW240" s="154">
        <f>IF(A240="","",AVERAGE(U240,AH240,AU240))</f>
        <v>3666.6666666666665</v>
      </c>
      <c r="AX240" s="154">
        <f>IF(N240="","",STDEV(U240,AH240,AU240))</f>
        <v>404.14518843273828</v>
      </c>
      <c r="AY240" s="155">
        <f t="shared" si="187"/>
        <v>0.11022141502711044</v>
      </c>
      <c r="AZ240" s="5"/>
      <c r="BA240" s="7">
        <f t="shared" si="188"/>
        <v>3</v>
      </c>
    </row>
    <row r="241" spans="1:53" ht="409.5" hidden="1" customHeight="1">
      <c r="A241" s="6" t="s">
        <v>1182</v>
      </c>
      <c r="B241" s="6" t="s">
        <v>1251</v>
      </c>
      <c r="C241" s="6">
        <v>44121618</v>
      </c>
      <c r="D241" s="6" t="s">
        <v>1999</v>
      </c>
      <c r="E241" s="127" t="s">
        <v>2000</v>
      </c>
      <c r="F241" s="128" t="s">
        <v>191</v>
      </c>
      <c r="G241" s="129">
        <v>1</v>
      </c>
      <c r="H241" s="128" t="s">
        <v>192</v>
      </c>
      <c r="I241" s="130" t="s">
        <v>1199</v>
      </c>
      <c r="J241" s="131">
        <v>46105</v>
      </c>
      <c r="K241" s="132" t="s">
        <v>2001</v>
      </c>
      <c r="L241" s="133" t="s">
        <v>1193</v>
      </c>
      <c r="M241" s="131" t="s">
        <v>2002</v>
      </c>
      <c r="N241" s="134">
        <v>6373</v>
      </c>
      <c r="O241" s="134" t="s">
        <v>1190</v>
      </c>
      <c r="P241" s="134" t="s">
        <v>1191</v>
      </c>
      <c r="Q241" s="135">
        <f t="shared" si="176"/>
        <v>5355.4621848739498</v>
      </c>
      <c r="R241" s="136">
        <f>IF(P241="Si tiene IVA",Q241*19%,0)</f>
        <v>1017.5378151260505</v>
      </c>
      <c r="S241" s="136">
        <f t="shared" si="177"/>
        <v>6373</v>
      </c>
      <c r="T241" s="136">
        <f t="shared" si="178"/>
        <v>6373</v>
      </c>
      <c r="U241" s="136">
        <f t="shared" si="179"/>
        <v>6373</v>
      </c>
      <c r="V241" s="137" t="s">
        <v>1199</v>
      </c>
      <c r="W241" s="138">
        <v>46105</v>
      </c>
      <c r="X241" s="139" t="s">
        <v>2003</v>
      </c>
      <c r="Y241" s="140" t="s">
        <v>1193</v>
      </c>
      <c r="Z241" s="141" t="s">
        <v>2004</v>
      </c>
      <c r="AA241" s="142">
        <v>6900</v>
      </c>
      <c r="AB241" s="142" t="s">
        <v>1190</v>
      </c>
      <c r="AC241" s="142" t="s">
        <v>1191</v>
      </c>
      <c r="AD241" s="143">
        <f t="shared" si="180"/>
        <v>5798.3193277310929</v>
      </c>
      <c r="AE241" s="144">
        <f>IF(AC241="Si tiene IVA",AD241*19%,0)</f>
        <v>1101.6806722689078</v>
      </c>
      <c r="AF241" s="144">
        <f t="shared" si="181"/>
        <v>6900.0000000000009</v>
      </c>
      <c r="AG241" s="144">
        <f t="shared" si="182"/>
        <v>6900</v>
      </c>
      <c r="AH241" s="144">
        <f t="shared" si="183"/>
        <v>6900.0000000000009</v>
      </c>
      <c r="AI241" s="145"/>
      <c r="AJ241" s="146"/>
      <c r="AK241" s="147"/>
      <c r="AL241" s="148"/>
      <c r="AM241" s="149"/>
      <c r="AN241" s="150"/>
      <c r="AO241" s="150"/>
      <c r="AP241" s="151"/>
      <c r="AQ241" s="152"/>
      <c r="AR241" s="153"/>
      <c r="AS241" s="153">
        <f t="shared" si="184"/>
        <v>0</v>
      </c>
      <c r="AT241" s="153">
        <f t="shared" si="185"/>
        <v>0</v>
      </c>
      <c r="AU241" s="153">
        <f t="shared" si="186"/>
        <v>0</v>
      </c>
      <c r="AV241" s="154">
        <f>IF(A241="","",AVERAGE(S241,AF241))</f>
        <v>6636.5</v>
      </c>
      <c r="AW241" s="154">
        <f>IF(A241="","",AVERAGE(U241,AH241))</f>
        <v>6636.5</v>
      </c>
      <c r="AX241" s="154">
        <f>IF(N241="","",STDEV(U241,AH241))</f>
        <v>372.64527368531117</v>
      </c>
      <c r="AY241" s="155">
        <f t="shared" si="187"/>
        <v>5.6150873756545039E-2</v>
      </c>
      <c r="AZ241" s="5" t="s">
        <v>2005</v>
      </c>
      <c r="BA241" s="7">
        <f t="shared" si="188"/>
        <v>2</v>
      </c>
    </row>
    <row r="242" spans="1:53" ht="72.599999999999994" hidden="1" customHeight="1">
      <c r="A242" s="6" t="s">
        <v>1182</v>
      </c>
      <c r="B242" s="6" t="s">
        <v>1251</v>
      </c>
      <c r="C242" s="6">
        <v>44121618</v>
      </c>
      <c r="D242" s="6" t="s">
        <v>2006</v>
      </c>
      <c r="E242" s="127" t="s">
        <v>2007</v>
      </c>
      <c r="F242" s="128" t="s">
        <v>191</v>
      </c>
      <c r="G242" s="129">
        <v>1</v>
      </c>
      <c r="H242" s="128" t="s">
        <v>192</v>
      </c>
      <c r="I242" s="130" t="s">
        <v>1199</v>
      </c>
      <c r="J242" s="131">
        <v>46090</v>
      </c>
      <c r="K242" s="132" t="s">
        <v>2008</v>
      </c>
      <c r="L242" s="133" t="s">
        <v>1193</v>
      </c>
      <c r="M242" s="131" t="s">
        <v>230</v>
      </c>
      <c r="N242" s="134">
        <v>45900</v>
      </c>
      <c r="O242" s="134" t="s">
        <v>1190</v>
      </c>
      <c r="P242" s="134" t="s">
        <v>1191</v>
      </c>
      <c r="Q242" s="135">
        <f t="shared" si="176"/>
        <v>38571.428571428572</v>
      </c>
      <c r="R242" s="136">
        <v>7329</v>
      </c>
      <c r="S242" s="136">
        <f t="shared" si="177"/>
        <v>45900.428571428572</v>
      </c>
      <c r="T242" s="136">
        <f t="shared" si="178"/>
        <v>45900</v>
      </c>
      <c r="U242" s="136">
        <f t="shared" si="179"/>
        <v>45900.428571428572</v>
      </c>
      <c r="V242" s="137" t="s">
        <v>1199</v>
      </c>
      <c r="W242" s="138">
        <v>46090</v>
      </c>
      <c r="X242" s="139" t="s">
        <v>2009</v>
      </c>
      <c r="Y242" s="140" t="s">
        <v>1193</v>
      </c>
      <c r="Z242" s="141" t="s">
        <v>2010</v>
      </c>
      <c r="AA242" s="142">
        <v>54000</v>
      </c>
      <c r="AB242" s="142" t="s">
        <v>1190</v>
      </c>
      <c r="AC242" s="142" t="s">
        <v>1191</v>
      </c>
      <c r="AD242" s="143">
        <f t="shared" si="180"/>
        <v>45378.151260504201</v>
      </c>
      <c r="AE242" s="144">
        <v>8622</v>
      </c>
      <c r="AF242" s="144">
        <f t="shared" si="181"/>
        <v>54000.151260504201</v>
      </c>
      <c r="AG242" s="144">
        <f t="shared" si="182"/>
        <v>54000</v>
      </c>
      <c r="AH242" s="144">
        <f t="shared" si="183"/>
        <v>54000.151260504201</v>
      </c>
      <c r="AI242" s="145" t="s">
        <v>1199</v>
      </c>
      <c r="AJ242" s="146">
        <v>46090</v>
      </c>
      <c r="AK242" s="147" t="s">
        <v>2011</v>
      </c>
      <c r="AL242" s="148" t="s">
        <v>1193</v>
      </c>
      <c r="AM242" s="149" t="s">
        <v>2012</v>
      </c>
      <c r="AN242" s="150">
        <v>39418</v>
      </c>
      <c r="AO242" s="150" t="s">
        <v>1190</v>
      </c>
      <c r="AP242" s="151" t="s">
        <v>1191</v>
      </c>
      <c r="AQ242" s="152">
        <f t="shared" ref="AQ242:AQ248" si="189">IF(AO242="IVA Incluido",(AN242/1.19),AN242)</f>
        <v>33124.36974789916</v>
      </c>
      <c r="AR242" s="153">
        <v>6294</v>
      </c>
      <c r="AS242" s="153">
        <f t="shared" si="184"/>
        <v>39418.36974789916</v>
      </c>
      <c r="AT242" s="153">
        <f t="shared" si="185"/>
        <v>39418</v>
      </c>
      <c r="AU242" s="153">
        <f t="shared" si="186"/>
        <v>39418.36974789916</v>
      </c>
      <c r="AV242" s="154">
        <f t="shared" ref="AV242:AV248" si="190">IF(A242="","",AVERAGE(S242,AF242,AS242))</f>
        <v>46439.64985994398</v>
      </c>
      <c r="AW242" s="154">
        <f t="shared" ref="AW242:AW248" si="191">IF(A242="","",AVERAGE(U242,AH242,AU242))</f>
        <v>46439.64985994398</v>
      </c>
      <c r="AX242" s="154">
        <f t="shared" ref="AX242:AX248" si="192">IF(N242="","",STDEV(U242,AH242,AU242))</f>
        <v>7305.8303921476117</v>
      </c>
      <c r="AY242" s="155">
        <f t="shared" si="187"/>
        <v>0.15731880869431741</v>
      </c>
      <c r="AZ242" s="5"/>
      <c r="BA242" s="7">
        <f t="shared" si="188"/>
        <v>3</v>
      </c>
    </row>
    <row r="243" spans="1:53" ht="101.65" hidden="1" customHeight="1">
      <c r="A243" s="6" t="s">
        <v>1182</v>
      </c>
      <c r="B243" s="6" t="s">
        <v>1251</v>
      </c>
      <c r="C243" s="6">
        <v>44121618</v>
      </c>
      <c r="D243" s="6" t="s">
        <v>2013</v>
      </c>
      <c r="E243" s="127" t="s">
        <v>2014</v>
      </c>
      <c r="F243" s="128" t="s">
        <v>191</v>
      </c>
      <c r="G243" s="129">
        <v>1</v>
      </c>
      <c r="H243" s="128" t="s">
        <v>192</v>
      </c>
      <c r="I243" s="130" t="s">
        <v>1186</v>
      </c>
      <c r="J243" s="131">
        <v>46091</v>
      </c>
      <c r="K243" s="132" t="s">
        <v>2015</v>
      </c>
      <c r="L243" s="133" t="s">
        <v>1193</v>
      </c>
      <c r="M243" s="131" t="s">
        <v>2016</v>
      </c>
      <c r="N243" s="134">
        <v>1500</v>
      </c>
      <c r="O243" s="134" t="s">
        <v>1190</v>
      </c>
      <c r="P243" s="134" t="s">
        <v>1191</v>
      </c>
      <c r="Q243" s="135">
        <f t="shared" si="176"/>
        <v>1260.5042016806724</v>
      </c>
      <c r="R243" s="136">
        <f>Q243*19%</f>
        <v>239.49579831932775</v>
      </c>
      <c r="S243" s="136">
        <f t="shared" si="177"/>
        <v>1500.0000000000002</v>
      </c>
      <c r="T243" s="136">
        <f t="shared" si="178"/>
        <v>1500</v>
      </c>
      <c r="U243" s="136">
        <f t="shared" si="179"/>
        <v>1500.0000000000002</v>
      </c>
      <c r="V243" s="137" t="s">
        <v>1186</v>
      </c>
      <c r="W243" s="138">
        <v>46091</v>
      </c>
      <c r="X243" s="139" t="s">
        <v>2017</v>
      </c>
      <c r="Y243" s="140" t="s">
        <v>1193</v>
      </c>
      <c r="Z243" s="141" t="s">
        <v>1239</v>
      </c>
      <c r="AA243" s="142">
        <v>2000</v>
      </c>
      <c r="AB243" s="142" t="s">
        <v>1190</v>
      </c>
      <c r="AC243" s="142" t="s">
        <v>1191</v>
      </c>
      <c r="AD243" s="143">
        <f t="shared" si="180"/>
        <v>1680.6722689075632</v>
      </c>
      <c r="AE243" s="144">
        <f>AD243*19%</f>
        <v>319.32773109243703</v>
      </c>
      <c r="AF243" s="144">
        <f t="shared" si="181"/>
        <v>2000.0000000000002</v>
      </c>
      <c r="AG243" s="144">
        <f t="shared" si="182"/>
        <v>2000</v>
      </c>
      <c r="AH243" s="144">
        <f t="shared" si="183"/>
        <v>2000.0000000000002</v>
      </c>
      <c r="AI243" s="145" t="s">
        <v>1186</v>
      </c>
      <c r="AJ243" s="146">
        <v>46091</v>
      </c>
      <c r="AK243" s="147" t="s">
        <v>2018</v>
      </c>
      <c r="AL243" s="148" t="s">
        <v>1193</v>
      </c>
      <c r="AM243" s="149" t="s">
        <v>1997</v>
      </c>
      <c r="AN243" s="150">
        <v>1400</v>
      </c>
      <c r="AO243" s="150" t="s">
        <v>1190</v>
      </c>
      <c r="AP243" s="151" t="s">
        <v>1191</v>
      </c>
      <c r="AQ243" s="152">
        <f t="shared" si="189"/>
        <v>1176.4705882352941</v>
      </c>
      <c r="AR243" s="153">
        <f>AQ243*19%</f>
        <v>223.52941176470588</v>
      </c>
      <c r="AS243" s="153">
        <f t="shared" si="184"/>
        <v>1400</v>
      </c>
      <c r="AT243" s="153">
        <f t="shared" si="185"/>
        <v>1400</v>
      </c>
      <c r="AU243" s="153">
        <f t="shared" si="186"/>
        <v>1400</v>
      </c>
      <c r="AV243" s="154">
        <f t="shared" si="190"/>
        <v>1633.3333333333333</v>
      </c>
      <c r="AW243" s="154">
        <f t="shared" si="191"/>
        <v>1633.3333333333333</v>
      </c>
      <c r="AX243" s="154">
        <f t="shared" si="192"/>
        <v>321.45502536643352</v>
      </c>
      <c r="AY243" s="155">
        <f t="shared" si="187"/>
        <v>0.19680919920393888</v>
      </c>
      <c r="AZ243" s="5"/>
      <c r="BA243" s="7">
        <f t="shared" si="188"/>
        <v>3</v>
      </c>
    </row>
    <row r="244" spans="1:53" ht="72.599999999999994" hidden="1" customHeight="1">
      <c r="A244" s="6" t="s">
        <v>1182</v>
      </c>
      <c r="B244" s="6" t="s">
        <v>1251</v>
      </c>
      <c r="C244" s="6"/>
      <c r="D244" s="6" t="s">
        <v>2019</v>
      </c>
      <c r="E244" s="127" t="s">
        <v>2020</v>
      </c>
      <c r="F244" s="128" t="s">
        <v>191</v>
      </c>
      <c r="G244" s="129">
        <v>1</v>
      </c>
      <c r="H244" s="128" t="s">
        <v>192</v>
      </c>
      <c r="I244" s="130" t="s">
        <v>1199</v>
      </c>
      <c r="J244" s="131">
        <v>46090</v>
      </c>
      <c r="K244" s="132" t="s">
        <v>1579</v>
      </c>
      <c r="L244" s="133" t="s">
        <v>1188</v>
      </c>
      <c r="M244" s="131" t="s">
        <v>1580</v>
      </c>
      <c r="N244" s="134">
        <v>3300</v>
      </c>
      <c r="O244" s="134" t="s">
        <v>1190</v>
      </c>
      <c r="P244" s="134" t="s">
        <v>1191</v>
      </c>
      <c r="Q244" s="135">
        <f t="shared" si="176"/>
        <v>2773.1092436974791</v>
      </c>
      <c r="R244" s="136">
        <f>Q244*19%</f>
        <v>526.89075630252103</v>
      </c>
      <c r="S244" s="136">
        <f t="shared" si="177"/>
        <v>3300</v>
      </c>
      <c r="T244" s="136">
        <f t="shared" si="178"/>
        <v>3300</v>
      </c>
      <c r="U244" s="136">
        <f t="shared" si="179"/>
        <v>3300</v>
      </c>
      <c r="V244" s="137" t="s">
        <v>1199</v>
      </c>
      <c r="W244" s="138">
        <v>46090</v>
      </c>
      <c r="X244" s="139" t="s">
        <v>2021</v>
      </c>
      <c r="Y244" s="140" t="s">
        <v>1193</v>
      </c>
      <c r="Z244" s="141" t="s">
        <v>2012</v>
      </c>
      <c r="AA244" s="142">
        <v>2827</v>
      </c>
      <c r="AB244" s="142" t="s">
        <v>1190</v>
      </c>
      <c r="AC244" s="142" t="s">
        <v>1190</v>
      </c>
      <c r="AD244" s="143">
        <f t="shared" si="180"/>
        <v>2375.6302521008406</v>
      </c>
      <c r="AE244" s="144">
        <f>AD244*19%</f>
        <v>451.36974789915973</v>
      </c>
      <c r="AF244" s="144">
        <f t="shared" si="181"/>
        <v>2827.0000000000005</v>
      </c>
      <c r="AG244" s="144">
        <f t="shared" si="182"/>
        <v>2827</v>
      </c>
      <c r="AH244" s="144">
        <f t="shared" si="183"/>
        <v>2827.0000000000005</v>
      </c>
      <c r="AI244" s="145" t="s">
        <v>1199</v>
      </c>
      <c r="AJ244" s="146">
        <v>46090</v>
      </c>
      <c r="AK244" s="147" t="s">
        <v>2022</v>
      </c>
      <c r="AL244" s="148" t="s">
        <v>1193</v>
      </c>
      <c r="AM244" s="149" t="s">
        <v>2023</v>
      </c>
      <c r="AN244" s="150">
        <v>3161</v>
      </c>
      <c r="AO244" s="150" t="s">
        <v>1190</v>
      </c>
      <c r="AP244" s="151" t="s">
        <v>1190</v>
      </c>
      <c r="AQ244" s="152">
        <f t="shared" si="189"/>
        <v>2656.3025210084033</v>
      </c>
      <c r="AR244" s="153">
        <f>AQ244*19%</f>
        <v>504.69747899159665</v>
      </c>
      <c r="AS244" s="153">
        <f t="shared" si="184"/>
        <v>3161</v>
      </c>
      <c r="AT244" s="153">
        <f t="shared" si="185"/>
        <v>3161</v>
      </c>
      <c r="AU244" s="153">
        <f t="shared" si="186"/>
        <v>3161</v>
      </c>
      <c r="AV244" s="154">
        <f t="shared" si="190"/>
        <v>3096</v>
      </c>
      <c r="AW244" s="154">
        <f t="shared" si="191"/>
        <v>3096</v>
      </c>
      <c r="AX244" s="154">
        <f t="shared" si="192"/>
        <v>243.10697233933845</v>
      </c>
      <c r="AY244" s="155">
        <f t="shared" si="187"/>
        <v>7.8522923882215268E-2</v>
      </c>
      <c r="AZ244" s="5"/>
      <c r="BA244" s="7">
        <f t="shared" si="188"/>
        <v>3</v>
      </c>
    </row>
    <row r="245" spans="1:53" ht="87" hidden="1" customHeight="1">
      <c r="A245" s="6" t="s">
        <v>1182</v>
      </c>
      <c r="B245" s="6" t="s">
        <v>1251</v>
      </c>
      <c r="C245" s="6"/>
      <c r="D245" s="6" t="s">
        <v>2024</v>
      </c>
      <c r="E245" s="127" t="s">
        <v>2025</v>
      </c>
      <c r="F245" s="128" t="s">
        <v>191</v>
      </c>
      <c r="G245" s="129">
        <v>1</v>
      </c>
      <c r="H245" s="128" t="s">
        <v>192</v>
      </c>
      <c r="I245" s="130" t="s">
        <v>1186</v>
      </c>
      <c r="J245" s="131">
        <v>46091</v>
      </c>
      <c r="K245" s="132" t="s">
        <v>2026</v>
      </c>
      <c r="L245" s="133" t="s">
        <v>1193</v>
      </c>
      <c r="M245" s="131" t="s">
        <v>2027</v>
      </c>
      <c r="N245" s="134">
        <v>1000</v>
      </c>
      <c r="O245" s="134" t="s">
        <v>1190</v>
      </c>
      <c r="P245" s="134" t="s">
        <v>1191</v>
      </c>
      <c r="Q245" s="135">
        <f t="shared" si="176"/>
        <v>840.3361344537816</v>
      </c>
      <c r="R245" s="136">
        <f>Q245*19%</f>
        <v>159.66386554621852</v>
      </c>
      <c r="S245" s="136">
        <f t="shared" si="177"/>
        <v>1000.0000000000001</v>
      </c>
      <c r="T245" s="136">
        <f t="shared" si="178"/>
        <v>1000</v>
      </c>
      <c r="U245" s="136">
        <f t="shared" si="179"/>
        <v>1000.0000000000001</v>
      </c>
      <c r="V245" s="137" t="s">
        <v>1186</v>
      </c>
      <c r="W245" s="138">
        <v>46091</v>
      </c>
      <c r="X245" s="139" t="s">
        <v>2028</v>
      </c>
      <c r="Y245" s="140" t="s">
        <v>1193</v>
      </c>
      <c r="Z245" s="141" t="s">
        <v>2029</v>
      </c>
      <c r="AA245" s="142">
        <v>1200</v>
      </c>
      <c r="AB245" s="142" t="s">
        <v>1190</v>
      </c>
      <c r="AC245" s="142" t="s">
        <v>1191</v>
      </c>
      <c r="AD245" s="143">
        <f t="shared" si="180"/>
        <v>1008.4033613445379</v>
      </c>
      <c r="AE245" s="144">
        <f>AD245*19%</f>
        <v>191.59663865546219</v>
      </c>
      <c r="AF245" s="144">
        <f t="shared" si="181"/>
        <v>1200</v>
      </c>
      <c r="AG245" s="144">
        <f t="shared" si="182"/>
        <v>1200</v>
      </c>
      <c r="AH245" s="144">
        <f t="shared" si="183"/>
        <v>1200</v>
      </c>
      <c r="AI245" s="145" t="s">
        <v>1186</v>
      </c>
      <c r="AJ245" s="146">
        <v>46091</v>
      </c>
      <c r="AK245" s="147" t="s">
        <v>2030</v>
      </c>
      <c r="AL245" s="148" t="s">
        <v>1193</v>
      </c>
      <c r="AM245" s="149" t="s">
        <v>2031</v>
      </c>
      <c r="AN245" s="150">
        <v>1200</v>
      </c>
      <c r="AO245" s="150" t="s">
        <v>1190</v>
      </c>
      <c r="AP245" s="151" t="s">
        <v>1191</v>
      </c>
      <c r="AQ245" s="152">
        <f t="shared" si="189"/>
        <v>1008.4033613445379</v>
      </c>
      <c r="AR245" s="153">
        <f>AQ245*19%</f>
        <v>191.59663865546219</v>
      </c>
      <c r="AS245" s="153">
        <f t="shared" si="184"/>
        <v>1200</v>
      </c>
      <c r="AT245" s="153">
        <f t="shared" si="185"/>
        <v>1200</v>
      </c>
      <c r="AU245" s="153">
        <f t="shared" si="186"/>
        <v>1200</v>
      </c>
      <c r="AV245" s="154">
        <f t="shared" si="190"/>
        <v>1133.3333333333333</v>
      </c>
      <c r="AW245" s="154">
        <f t="shared" si="191"/>
        <v>1133.3333333333333</v>
      </c>
      <c r="AX245" s="154">
        <f t="shared" si="192"/>
        <v>115.47005383792508</v>
      </c>
      <c r="AY245" s="155">
        <f t="shared" si="187"/>
        <v>0.1018853416216986</v>
      </c>
      <c r="AZ245" s="5"/>
      <c r="BA245" s="7">
        <f t="shared" si="188"/>
        <v>3</v>
      </c>
    </row>
    <row r="246" spans="1:53" ht="101.65" hidden="1" customHeight="1">
      <c r="A246" s="6" t="s">
        <v>1182</v>
      </c>
      <c r="B246" s="6" t="s">
        <v>1183</v>
      </c>
      <c r="C246" s="6">
        <v>53121602</v>
      </c>
      <c r="D246" s="6" t="s">
        <v>2032</v>
      </c>
      <c r="E246" s="127" t="s">
        <v>2033</v>
      </c>
      <c r="F246" s="128" t="s">
        <v>191</v>
      </c>
      <c r="G246" s="129">
        <v>1</v>
      </c>
      <c r="H246" s="128" t="s">
        <v>192</v>
      </c>
      <c r="I246" s="130" t="s">
        <v>1230</v>
      </c>
      <c r="J246" s="131">
        <v>46070</v>
      </c>
      <c r="K246" s="132" t="s">
        <v>1200</v>
      </c>
      <c r="L246" s="133" t="s">
        <v>1193</v>
      </c>
      <c r="M246" s="131" t="s">
        <v>1196</v>
      </c>
      <c r="N246" s="134">
        <v>17500</v>
      </c>
      <c r="O246" s="134" t="s">
        <v>1197</v>
      </c>
      <c r="P246" s="134" t="s">
        <v>1191</v>
      </c>
      <c r="Q246" s="135">
        <f t="shared" si="176"/>
        <v>17500</v>
      </c>
      <c r="R246" s="136">
        <f>IF(P246="Si tiene IVA",Q246*19%,0)</f>
        <v>3325</v>
      </c>
      <c r="S246" s="136">
        <f t="shared" si="177"/>
        <v>20825</v>
      </c>
      <c r="T246" s="136">
        <f t="shared" si="178"/>
        <v>17500</v>
      </c>
      <c r="U246" s="136">
        <f t="shared" si="179"/>
        <v>20825</v>
      </c>
      <c r="V246" s="137" t="s">
        <v>1230</v>
      </c>
      <c r="W246" s="138">
        <v>46070</v>
      </c>
      <c r="X246" s="139" t="s">
        <v>1221</v>
      </c>
      <c r="Y246" s="140" t="s">
        <v>1193</v>
      </c>
      <c r="Z246" s="141" t="s">
        <v>1521</v>
      </c>
      <c r="AA246" s="142">
        <v>20000</v>
      </c>
      <c r="AB246" s="142" t="s">
        <v>1197</v>
      </c>
      <c r="AC246" s="142" t="s">
        <v>1191</v>
      </c>
      <c r="AD246" s="143">
        <f t="shared" si="180"/>
        <v>20000</v>
      </c>
      <c r="AE246" s="144">
        <f>IF(AC246="Si tiene IVA",AD246*19%,0)</f>
        <v>3800</v>
      </c>
      <c r="AF246" s="144">
        <f t="shared" si="181"/>
        <v>23800</v>
      </c>
      <c r="AG246" s="144">
        <f t="shared" si="182"/>
        <v>20000</v>
      </c>
      <c r="AH246" s="144">
        <f t="shared" si="183"/>
        <v>23800</v>
      </c>
      <c r="AI246" s="145" t="s">
        <v>1230</v>
      </c>
      <c r="AJ246" s="146">
        <v>46071</v>
      </c>
      <c r="AK246" s="147" t="s">
        <v>1215</v>
      </c>
      <c r="AL246" s="148" t="s">
        <v>1193</v>
      </c>
      <c r="AM246" s="149" t="s">
        <v>1216</v>
      </c>
      <c r="AN246" s="150">
        <v>18000</v>
      </c>
      <c r="AO246" s="150" t="s">
        <v>1197</v>
      </c>
      <c r="AP246" s="151" t="s">
        <v>1217</v>
      </c>
      <c r="AQ246" s="152">
        <f t="shared" si="189"/>
        <v>18000</v>
      </c>
      <c r="AR246" s="153">
        <f>IF(AP246="Si tiene IVA",AQ246*19%,0)</f>
        <v>0</v>
      </c>
      <c r="AS246" s="153">
        <f t="shared" si="184"/>
        <v>18000</v>
      </c>
      <c r="AT246" s="153">
        <f t="shared" si="185"/>
        <v>18000</v>
      </c>
      <c r="AU246" s="153">
        <f t="shared" si="186"/>
        <v>18000</v>
      </c>
      <c r="AV246" s="154">
        <f t="shared" si="190"/>
        <v>20875</v>
      </c>
      <c r="AW246" s="154">
        <f t="shared" si="191"/>
        <v>20875</v>
      </c>
      <c r="AX246" s="154">
        <f t="shared" si="192"/>
        <v>2900.3232578455804</v>
      </c>
      <c r="AY246" s="155">
        <f t="shared" si="187"/>
        <v>0.13893764109439907</v>
      </c>
      <c r="AZ246" s="5"/>
      <c r="BA246" s="7">
        <f t="shared" si="188"/>
        <v>3</v>
      </c>
    </row>
    <row r="247" spans="1:53" ht="87" hidden="1" customHeight="1">
      <c r="A247" s="6" t="s">
        <v>1182</v>
      </c>
      <c r="B247" s="6" t="s">
        <v>1183</v>
      </c>
      <c r="C247" s="6">
        <v>82101505</v>
      </c>
      <c r="D247" s="6" t="s">
        <v>2034</v>
      </c>
      <c r="E247" s="127" t="s">
        <v>2035</v>
      </c>
      <c r="F247" s="128" t="s">
        <v>2036</v>
      </c>
      <c r="G247" s="129">
        <v>100</v>
      </c>
      <c r="H247" s="128" t="s">
        <v>192</v>
      </c>
      <c r="I247" s="130" t="s">
        <v>1199</v>
      </c>
      <c r="J247" s="131">
        <v>46147</v>
      </c>
      <c r="K247" s="132" t="s">
        <v>2037</v>
      </c>
      <c r="L247" s="133" t="s">
        <v>1188</v>
      </c>
      <c r="M247" s="131" t="s">
        <v>2038</v>
      </c>
      <c r="N247" s="134">
        <v>110000</v>
      </c>
      <c r="O247" s="134" t="s">
        <v>1190</v>
      </c>
      <c r="P247" s="134" t="s">
        <v>1191</v>
      </c>
      <c r="Q247" s="135">
        <f t="shared" si="176"/>
        <v>92436.97478991597</v>
      </c>
      <c r="R247" s="136">
        <f>IF(P247="Si tiene IVA",Q247*19%,0)</f>
        <v>17563.025210084033</v>
      </c>
      <c r="S247" s="136">
        <f t="shared" si="177"/>
        <v>110000</v>
      </c>
      <c r="T247" s="136">
        <f t="shared" si="178"/>
        <v>11000000</v>
      </c>
      <c r="U247" s="136">
        <f t="shared" si="179"/>
        <v>11000000</v>
      </c>
      <c r="V247" s="137" t="s">
        <v>1201</v>
      </c>
      <c r="W247" s="138">
        <v>46070</v>
      </c>
      <c r="X247" s="139" t="s">
        <v>1231</v>
      </c>
      <c r="Y247" s="140" t="s">
        <v>1188</v>
      </c>
      <c r="Z247" s="141" t="s">
        <v>1211</v>
      </c>
      <c r="AA247" s="142">
        <v>120000</v>
      </c>
      <c r="AB247" s="142" t="s">
        <v>1197</v>
      </c>
      <c r="AC247" s="142" t="s">
        <v>1191</v>
      </c>
      <c r="AD247" s="143">
        <f t="shared" si="180"/>
        <v>120000</v>
      </c>
      <c r="AE247" s="144">
        <f>IF(AC247="Si tiene IVA",AD247*19%,0)</f>
        <v>22800</v>
      </c>
      <c r="AF247" s="144">
        <f t="shared" si="181"/>
        <v>142800</v>
      </c>
      <c r="AG247" s="144">
        <f t="shared" si="182"/>
        <v>12000000</v>
      </c>
      <c r="AH247" s="144">
        <f t="shared" si="183"/>
        <v>14280000</v>
      </c>
      <c r="AI247" s="145" t="s">
        <v>1230</v>
      </c>
      <c r="AJ247" s="146">
        <v>46072</v>
      </c>
      <c r="AK247" s="147" t="s">
        <v>1232</v>
      </c>
      <c r="AL247" s="148" t="s">
        <v>1188</v>
      </c>
      <c r="AM247" s="149" t="s">
        <v>1233</v>
      </c>
      <c r="AN247" s="150">
        <v>120000</v>
      </c>
      <c r="AO247" s="150" t="s">
        <v>1197</v>
      </c>
      <c r="AP247" s="151" t="s">
        <v>1217</v>
      </c>
      <c r="AQ247" s="152">
        <f t="shared" si="189"/>
        <v>120000</v>
      </c>
      <c r="AR247" s="153">
        <f>IF(AP247="Si tiene IVA",AQ247*19%,0)</f>
        <v>0</v>
      </c>
      <c r="AS247" s="153">
        <f t="shared" si="184"/>
        <v>120000</v>
      </c>
      <c r="AT247" s="153">
        <f t="shared" si="185"/>
        <v>12000000</v>
      </c>
      <c r="AU247" s="153">
        <f t="shared" si="186"/>
        <v>12000000</v>
      </c>
      <c r="AV247" s="154">
        <f t="shared" si="190"/>
        <v>124266.66666666667</v>
      </c>
      <c r="AW247" s="154">
        <f t="shared" si="191"/>
        <v>12426666.666666666</v>
      </c>
      <c r="AX247" s="154">
        <f t="shared" si="192"/>
        <v>1681110.7439230003</v>
      </c>
      <c r="AY247" s="155">
        <f t="shared" si="187"/>
        <v>0.13528251694659338</v>
      </c>
      <c r="AZ247" s="5" t="s">
        <v>2039</v>
      </c>
      <c r="BA247" s="7">
        <f t="shared" si="188"/>
        <v>3</v>
      </c>
    </row>
    <row r="248" spans="1:53" ht="58.15" hidden="1" customHeight="1">
      <c r="A248" s="6" t="s">
        <v>1182</v>
      </c>
      <c r="B248" s="6" t="s">
        <v>1183</v>
      </c>
      <c r="C248" s="6">
        <v>82101505</v>
      </c>
      <c r="D248" s="6" t="s">
        <v>2040</v>
      </c>
      <c r="E248" s="127" t="s">
        <v>2035</v>
      </c>
      <c r="F248" s="128" t="s">
        <v>191</v>
      </c>
      <c r="G248" s="129">
        <v>1</v>
      </c>
      <c r="H248" s="128" t="s">
        <v>192</v>
      </c>
      <c r="I248" s="130" t="s">
        <v>2041</v>
      </c>
      <c r="J248" s="131">
        <v>46147</v>
      </c>
      <c r="K248" s="132" t="s">
        <v>1192</v>
      </c>
      <c r="L248" s="133" t="s">
        <v>1188</v>
      </c>
      <c r="M248" s="131" t="s">
        <v>1204</v>
      </c>
      <c r="N248" s="134">
        <v>290000</v>
      </c>
      <c r="O248" s="134" t="s">
        <v>1190</v>
      </c>
      <c r="P248" s="134" t="s">
        <v>1191</v>
      </c>
      <c r="Q248" s="135">
        <f t="shared" si="176"/>
        <v>243697.47899159664</v>
      </c>
      <c r="R248" s="136">
        <f>IF(P248="Si tiene IVA",Q248*19%,0)</f>
        <v>46302.521008403361</v>
      </c>
      <c r="S248" s="136">
        <f t="shared" si="177"/>
        <v>290000</v>
      </c>
      <c r="T248" s="136">
        <f t="shared" si="178"/>
        <v>290000</v>
      </c>
      <c r="U248" s="136">
        <f t="shared" si="179"/>
        <v>290000</v>
      </c>
      <c r="V248" s="137" t="s">
        <v>1201</v>
      </c>
      <c r="W248" s="138">
        <v>46147</v>
      </c>
      <c r="X248" s="139" t="s">
        <v>1215</v>
      </c>
      <c r="Y248" s="140" t="s">
        <v>1188</v>
      </c>
      <c r="Z248" s="141" t="s">
        <v>1216</v>
      </c>
      <c r="AA248" s="142">
        <v>200000</v>
      </c>
      <c r="AB248" s="142" t="s">
        <v>1197</v>
      </c>
      <c r="AC248" s="142" t="s">
        <v>1217</v>
      </c>
      <c r="AD248" s="143">
        <f t="shared" si="180"/>
        <v>200000</v>
      </c>
      <c r="AE248" s="144">
        <f>IF(AC248="Si tiene IVA",AD248*19%,0)</f>
        <v>0</v>
      </c>
      <c r="AF248" s="144">
        <f t="shared" si="181"/>
        <v>200000</v>
      </c>
      <c r="AG248" s="144">
        <f t="shared" si="182"/>
        <v>200000</v>
      </c>
      <c r="AH248" s="144">
        <f t="shared" si="183"/>
        <v>200000</v>
      </c>
      <c r="AI248" s="145" t="s">
        <v>1201</v>
      </c>
      <c r="AJ248" s="146">
        <v>46147</v>
      </c>
      <c r="AK248" s="147" t="s">
        <v>2042</v>
      </c>
      <c r="AL248" s="148" t="s">
        <v>1188</v>
      </c>
      <c r="AM248" s="149" t="s">
        <v>1227</v>
      </c>
      <c r="AN248" s="150">
        <v>240000</v>
      </c>
      <c r="AO248" s="150" t="s">
        <v>1197</v>
      </c>
      <c r="AP248" s="151" t="s">
        <v>1217</v>
      </c>
      <c r="AQ248" s="152">
        <f t="shared" si="189"/>
        <v>240000</v>
      </c>
      <c r="AR248" s="153">
        <f>IF(AP248="Si tiene IVA",AQ248*19%,0)</f>
        <v>0</v>
      </c>
      <c r="AS248" s="153">
        <f t="shared" si="184"/>
        <v>240000</v>
      </c>
      <c r="AT248" s="153">
        <f t="shared" si="185"/>
        <v>240000</v>
      </c>
      <c r="AU248" s="153">
        <f t="shared" si="186"/>
        <v>240000</v>
      </c>
      <c r="AV248" s="154">
        <f t="shared" si="190"/>
        <v>243333.33333333334</v>
      </c>
      <c r="AW248" s="154">
        <f t="shared" si="191"/>
        <v>243333.33333333334</v>
      </c>
      <c r="AX248" s="154">
        <f t="shared" si="192"/>
        <v>45092.497528228887</v>
      </c>
      <c r="AY248" s="155">
        <f t="shared" si="187"/>
        <v>0.18531163367765296</v>
      </c>
      <c r="AZ248" s="5"/>
      <c r="BA248" s="7">
        <f t="shared" si="188"/>
        <v>3</v>
      </c>
    </row>
    <row r="249" spans="1:53" ht="43.15" hidden="1" customHeight="1">
      <c r="A249" s="256" t="s">
        <v>1161</v>
      </c>
      <c r="B249" s="256" t="s">
        <v>1162</v>
      </c>
      <c r="C249" s="256" t="s">
        <v>1163</v>
      </c>
      <c r="D249" s="256" t="s">
        <v>25</v>
      </c>
      <c r="F249" s="328" t="s">
        <v>27</v>
      </c>
      <c r="G249" s="328" t="s">
        <v>28</v>
      </c>
      <c r="H249" s="261" t="s">
        <v>2043</v>
      </c>
      <c r="I249" s="324" t="s">
        <v>1164</v>
      </c>
      <c r="J249" s="324" t="s">
        <v>1165</v>
      </c>
      <c r="K249" s="330" t="s">
        <v>1166</v>
      </c>
      <c r="L249" s="324" t="s">
        <v>1167</v>
      </c>
      <c r="M249" s="324" t="s">
        <v>29</v>
      </c>
      <c r="N249" s="324" t="s">
        <v>1168</v>
      </c>
      <c r="O249" s="324" t="s">
        <v>1169</v>
      </c>
      <c r="P249" s="324" t="s">
        <v>1170</v>
      </c>
      <c r="Q249" s="324" t="s">
        <v>170</v>
      </c>
      <c r="R249" s="324" t="s">
        <v>31</v>
      </c>
      <c r="S249" s="324" t="s">
        <v>32</v>
      </c>
      <c r="T249" s="324" t="s">
        <v>33</v>
      </c>
      <c r="U249" s="324" t="s">
        <v>34</v>
      </c>
      <c r="V249" s="328" t="s">
        <v>1171</v>
      </c>
      <c r="W249" s="328" t="s">
        <v>1172</v>
      </c>
      <c r="X249" s="329" t="s">
        <v>1173</v>
      </c>
      <c r="Y249" s="328" t="s">
        <v>1174</v>
      </c>
      <c r="Z249" s="329" t="s">
        <v>35</v>
      </c>
      <c r="AA249" s="328" t="s">
        <v>1175</v>
      </c>
      <c r="AB249" s="328" t="s">
        <v>1169</v>
      </c>
      <c r="AC249" s="328" t="s">
        <v>1170</v>
      </c>
      <c r="AD249" s="328" t="s">
        <v>30</v>
      </c>
      <c r="AE249" s="328" t="s">
        <v>31</v>
      </c>
      <c r="AF249" s="328" t="s">
        <v>32</v>
      </c>
      <c r="AG249" s="328" t="s">
        <v>33</v>
      </c>
      <c r="AH249" s="328" t="s">
        <v>34</v>
      </c>
      <c r="AI249" s="327" t="s">
        <v>1176</v>
      </c>
      <c r="AJ249" s="327" t="s">
        <v>1177</v>
      </c>
      <c r="AK249" s="326" t="s">
        <v>1178</v>
      </c>
      <c r="AL249" s="327" t="s">
        <v>1179</v>
      </c>
      <c r="AM249" s="327" t="s">
        <v>36</v>
      </c>
      <c r="AN249" s="327" t="s">
        <v>1175</v>
      </c>
      <c r="AO249" s="327" t="s">
        <v>1169</v>
      </c>
      <c r="AP249" s="326" t="s">
        <v>1170</v>
      </c>
      <c r="AQ249" s="325" t="s">
        <v>30</v>
      </c>
      <c r="AR249" s="325" t="s">
        <v>31</v>
      </c>
      <c r="AS249" s="325" t="s">
        <v>32</v>
      </c>
      <c r="AT249" s="325" t="s">
        <v>33</v>
      </c>
      <c r="AU249" s="325" t="s">
        <v>34</v>
      </c>
      <c r="AV249" s="324" t="s">
        <v>38</v>
      </c>
      <c r="AW249" s="324" t="s">
        <v>39</v>
      </c>
      <c r="AX249" s="324" t="s">
        <v>40</v>
      </c>
      <c r="AY249" s="324" t="s">
        <v>41</v>
      </c>
    </row>
    <row r="250" spans="1:53" ht="57.6" hidden="1">
      <c r="A250" s="257" t="s">
        <v>2044</v>
      </c>
      <c r="B250" s="258" t="s">
        <v>2045</v>
      </c>
      <c r="C250" s="258">
        <v>12162003</v>
      </c>
      <c r="D250" s="257" t="s">
        <v>726</v>
      </c>
      <c r="F250" s="258" t="s">
        <v>568</v>
      </c>
      <c r="G250" s="262">
        <v>1</v>
      </c>
      <c r="H250" s="262" t="s">
        <v>192</v>
      </c>
      <c r="I250" s="321" t="s">
        <v>1357</v>
      </c>
      <c r="J250" s="322">
        <v>46176</v>
      </c>
      <c r="K250" s="263" t="s">
        <v>2046</v>
      </c>
      <c r="L250" s="264" t="s">
        <v>1188</v>
      </c>
      <c r="M250" s="265" t="s">
        <v>380</v>
      </c>
      <c r="N250" s="266">
        <v>2200</v>
      </c>
      <c r="O250" s="267" t="s">
        <v>1197</v>
      </c>
      <c r="P250" s="268" t="s">
        <v>1217</v>
      </c>
      <c r="Q250" s="269">
        <v>2200</v>
      </c>
      <c r="R250" s="270" t="s">
        <v>2047</v>
      </c>
      <c r="S250" s="271">
        <v>2200</v>
      </c>
      <c r="T250" s="272">
        <v>2200</v>
      </c>
      <c r="U250" s="272">
        <v>2200</v>
      </c>
      <c r="V250" s="273" t="s">
        <v>1357</v>
      </c>
      <c r="W250" s="274">
        <v>46176</v>
      </c>
      <c r="X250" s="263" t="s">
        <v>2048</v>
      </c>
      <c r="Y250" s="276" t="s">
        <v>1188</v>
      </c>
      <c r="Z250" s="277" t="s">
        <v>381</v>
      </c>
      <c r="AA250" s="278">
        <v>2000</v>
      </c>
      <c r="AB250" s="279" t="s">
        <v>1197</v>
      </c>
      <c r="AC250" s="280" t="s">
        <v>1217</v>
      </c>
      <c r="AD250" s="281">
        <v>2000</v>
      </c>
      <c r="AE250" s="282" t="s">
        <v>2047</v>
      </c>
      <c r="AF250" s="283">
        <v>2000</v>
      </c>
      <c r="AG250" s="284">
        <v>2000</v>
      </c>
      <c r="AH250" s="284">
        <v>2000</v>
      </c>
      <c r="AI250" s="285" t="s">
        <v>1201</v>
      </c>
      <c r="AJ250" s="286">
        <v>46195</v>
      </c>
      <c r="AK250" s="263" t="s">
        <v>728</v>
      </c>
      <c r="AL250" s="288" t="s">
        <v>1193</v>
      </c>
      <c r="AM250" s="288" t="s">
        <v>728</v>
      </c>
      <c r="AN250" s="289">
        <v>2400</v>
      </c>
      <c r="AO250" s="290" t="s">
        <v>1190</v>
      </c>
      <c r="AP250" s="290" t="s">
        <v>1191</v>
      </c>
      <c r="AQ250" s="291">
        <v>2016.81</v>
      </c>
      <c r="AR250" s="292">
        <v>383</v>
      </c>
      <c r="AS250" s="292">
        <v>2400</v>
      </c>
      <c r="AT250" s="293">
        <v>2017</v>
      </c>
      <c r="AU250" s="293">
        <v>2400</v>
      </c>
      <c r="AV250" s="294">
        <v>2200</v>
      </c>
      <c r="AW250" s="294">
        <v>2200</v>
      </c>
      <c r="AX250" s="295">
        <v>200</v>
      </c>
      <c r="AY250" s="296">
        <v>9.0899999999999995E-2</v>
      </c>
    </row>
    <row r="251" spans="1:53" ht="57.6" hidden="1">
      <c r="A251" s="257" t="s">
        <v>2044</v>
      </c>
      <c r="B251" s="258" t="s">
        <v>2045</v>
      </c>
      <c r="C251" s="258">
        <v>12181602</v>
      </c>
      <c r="D251" s="257" t="s">
        <v>942</v>
      </c>
      <c r="F251" s="258" t="s">
        <v>568</v>
      </c>
      <c r="G251" s="262">
        <v>1</v>
      </c>
      <c r="H251" s="262" t="s">
        <v>192</v>
      </c>
      <c r="I251" s="321" t="s">
        <v>1186</v>
      </c>
      <c r="J251" s="322">
        <v>46169</v>
      </c>
      <c r="K251" s="263" t="s">
        <v>2049</v>
      </c>
      <c r="L251" s="264" t="s">
        <v>1193</v>
      </c>
      <c r="M251" s="265" t="s">
        <v>934</v>
      </c>
      <c r="N251" s="266">
        <v>25050</v>
      </c>
      <c r="O251" s="267" t="s">
        <v>1190</v>
      </c>
      <c r="P251" s="268" t="s">
        <v>1191</v>
      </c>
      <c r="Q251" s="269">
        <v>21050.42</v>
      </c>
      <c r="R251" s="271">
        <v>4000</v>
      </c>
      <c r="S251" s="271">
        <v>25050</v>
      </c>
      <c r="T251" s="272">
        <v>21050</v>
      </c>
      <c r="U251" s="272">
        <v>25050</v>
      </c>
      <c r="V251" s="273" t="s">
        <v>1186</v>
      </c>
      <c r="W251" s="274">
        <v>46169</v>
      </c>
      <c r="X251" s="263" t="s">
        <v>2050</v>
      </c>
      <c r="Y251" s="276" t="s">
        <v>1193</v>
      </c>
      <c r="Z251" s="277" t="s">
        <v>944</v>
      </c>
      <c r="AA251" s="278">
        <v>21900</v>
      </c>
      <c r="AB251" s="279" t="s">
        <v>1190</v>
      </c>
      <c r="AC251" s="280" t="s">
        <v>1191</v>
      </c>
      <c r="AD251" s="281">
        <v>18403.36</v>
      </c>
      <c r="AE251" s="283">
        <v>3497</v>
      </c>
      <c r="AF251" s="283">
        <v>21900</v>
      </c>
      <c r="AG251" s="284">
        <v>18403</v>
      </c>
      <c r="AH251" s="284">
        <v>21900</v>
      </c>
      <c r="AI251" s="285" t="s">
        <v>1186</v>
      </c>
      <c r="AJ251" s="286">
        <v>46169</v>
      </c>
      <c r="AK251" s="263" t="s">
        <v>2051</v>
      </c>
      <c r="AL251" s="288" t="s">
        <v>1193</v>
      </c>
      <c r="AM251" s="263" t="s">
        <v>945</v>
      </c>
      <c r="AN251" s="289">
        <v>22700</v>
      </c>
      <c r="AO251" s="290" t="s">
        <v>1190</v>
      </c>
      <c r="AP251" s="290" t="s">
        <v>1191</v>
      </c>
      <c r="AQ251" s="291">
        <v>19075.63</v>
      </c>
      <c r="AR251" s="292">
        <v>3624</v>
      </c>
      <c r="AS251" s="292">
        <v>22700</v>
      </c>
      <c r="AT251" s="293">
        <v>19076</v>
      </c>
      <c r="AU251" s="293">
        <v>22700</v>
      </c>
      <c r="AV251" s="294">
        <v>23216.67</v>
      </c>
      <c r="AW251" s="294">
        <v>23216.67</v>
      </c>
      <c r="AX251" s="294">
        <v>1637.33</v>
      </c>
      <c r="AY251" s="299">
        <v>7.0499999999999993E-2</v>
      </c>
    </row>
    <row r="252" spans="1:53" ht="57.6" hidden="1">
      <c r="A252" s="257" t="s">
        <v>2044</v>
      </c>
      <c r="B252" s="258" t="s">
        <v>2045</v>
      </c>
      <c r="C252" s="258">
        <v>12181602</v>
      </c>
      <c r="D252" s="257" t="s">
        <v>2052</v>
      </c>
      <c r="F252" s="258" t="s">
        <v>568</v>
      </c>
      <c r="G252" s="262">
        <v>1</v>
      </c>
      <c r="H252" s="262" t="s">
        <v>192</v>
      </c>
      <c r="I252" s="321" t="s">
        <v>1186</v>
      </c>
      <c r="J252" s="322">
        <v>46170</v>
      </c>
      <c r="K252" s="263" t="s">
        <v>2053</v>
      </c>
      <c r="L252" s="264" t="s">
        <v>1193</v>
      </c>
      <c r="M252" s="265" t="s">
        <v>769</v>
      </c>
      <c r="N252" s="266">
        <v>55000</v>
      </c>
      <c r="O252" s="267" t="s">
        <v>1190</v>
      </c>
      <c r="P252" s="268" t="s">
        <v>1191</v>
      </c>
      <c r="Q252" s="269">
        <v>46218.49</v>
      </c>
      <c r="R252" s="271">
        <v>8782</v>
      </c>
      <c r="S252" s="271">
        <v>55000</v>
      </c>
      <c r="T252" s="272">
        <v>46218</v>
      </c>
      <c r="U252" s="272">
        <v>55000</v>
      </c>
      <c r="V252" s="273" t="s">
        <v>1186</v>
      </c>
      <c r="W252" s="274">
        <v>46170</v>
      </c>
      <c r="X252" s="263" t="s">
        <v>2054</v>
      </c>
      <c r="Y252" s="276" t="s">
        <v>1193</v>
      </c>
      <c r="Z252" s="277" t="s">
        <v>2055</v>
      </c>
      <c r="AA252" s="278">
        <v>57000</v>
      </c>
      <c r="AB252" s="279" t="s">
        <v>1190</v>
      </c>
      <c r="AC252" s="280" t="s">
        <v>1191</v>
      </c>
      <c r="AD252" s="281">
        <v>47899.16</v>
      </c>
      <c r="AE252" s="283">
        <v>9101</v>
      </c>
      <c r="AF252" s="283">
        <v>57000</v>
      </c>
      <c r="AG252" s="284">
        <v>47899</v>
      </c>
      <c r="AH252" s="284">
        <v>57000</v>
      </c>
      <c r="AI252" s="285" t="s">
        <v>1186</v>
      </c>
      <c r="AJ252" s="286">
        <v>46170</v>
      </c>
      <c r="AK252" s="263" t="s">
        <v>2056</v>
      </c>
      <c r="AL252" s="288" t="s">
        <v>1193</v>
      </c>
      <c r="AM252" s="298" t="s">
        <v>949</v>
      </c>
      <c r="AN252" s="289">
        <v>68000</v>
      </c>
      <c r="AO252" s="290" t="s">
        <v>1190</v>
      </c>
      <c r="AP252" s="290" t="s">
        <v>1191</v>
      </c>
      <c r="AQ252" s="291">
        <v>57142.86</v>
      </c>
      <c r="AR252" s="292">
        <v>10857</v>
      </c>
      <c r="AS252" s="292">
        <v>68000</v>
      </c>
      <c r="AT252" s="293">
        <v>57143</v>
      </c>
      <c r="AU252" s="293">
        <v>68000</v>
      </c>
      <c r="AV252" s="294">
        <v>60000</v>
      </c>
      <c r="AW252" s="294">
        <v>60000</v>
      </c>
      <c r="AX252" s="294">
        <v>7000</v>
      </c>
      <c r="AY252" s="299">
        <v>0.1167</v>
      </c>
    </row>
    <row r="253" spans="1:53" ht="57.6" hidden="1">
      <c r="A253" s="257" t="s">
        <v>2044</v>
      </c>
      <c r="B253" s="258" t="s">
        <v>2045</v>
      </c>
      <c r="C253" s="258">
        <v>12162003</v>
      </c>
      <c r="D253" s="257" t="s">
        <v>855</v>
      </c>
      <c r="F253" s="258" t="s">
        <v>568</v>
      </c>
      <c r="G253" s="262">
        <v>1</v>
      </c>
      <c r="H253" s="262" t="s">
        <v>192</v>
      </c>
      <c r="I253" s="321" t="s">
        <v>1186</v>
      </c>
      <c r="J253" s="322">
        <v>46174</v>
      </c>
      <c r="K253" s="263" t="s">
        <v>2057</v>
      </c>
      <c r="L253" s="264" t="s">
        <v>1193</v>
      </c>
      <c r="M253" s="265" t="s">
        <v>328</v>
      </c>
      <c r="N253" s="266">
        <v>40000</v>
      </c>
      <c r="O253" s="267" t="s">
        <v>1190</v>
      </c>
      <c r="P253" s="268" t="s">
        <v>1191</v>
      </c>
      <c r="Q253" s="269">
        <v>33613.449999999997</v>
      </c>
      <c r="R253" s="271">
        <v>6387</v>
      </c>
      <c r="S253" s="271">
        <v>40000</v>
      </c>
      <c r="T253" s="272">
        <v>33613</v>
      </c>
      <c r="U253" s="272">
        <v>40000</v>
      </c>
      <c r="V253" s="273" t="s">
        <v>1186</v>
      </c>
      <c r="W253" s="274">
        <v>46174</v>
      </c>
      <c r="X253" s="263" t="s">
        <v>2058</v>
      </c>
      <c r="Y253" s="276" t="s">
        <v>1193</v>
      </c>
      <c r="Z253" s="277" t="s">
        <v>857</v>
      </c>
      <c r="AA253" s="278">
        <v>32000</v>
      </c>
      <c r="AB253" s="279" t="s">
        <v>1190</v>
      </c>
      <c r="AC253" s="280" t="s">
        <v>1191</v>
      </c>
      <c r="AD253" s="281">
        <v>26890.76</v>
      </c>
      <c r="AE253" s="283">
        <v>5109</v>
      </c>
      <c r="AF253" s="283">
        <v>32000</v>
      </c>
      <c r="AG253" s="284">
        <v>26891</v>
      </c>
      <c r="AH253" s="284">
        <v>32000</v>
      </c>
      <c r="AI253" s="285" t="s">
        <v>1186</v>
      </c>
      <c r="AJ253" s="286">
        <v>46174</v>
      </c>
      <c r="AK253" s="263" t="s">
        <v>2059</v>
      </c>
      <c r="AL253" s="288" t="s">
        <v>1193</v>
      </c>
      <c r="AM253" s="298" t="s">
        <v>284</v>
      </c>
      <c r="AN253" s="289">
        <v>35900</v>
      </c>
      <c r="AO253" s="290" t="s">
        <v>1190</v>
      </c>
      <c r="AP253" s="290" t="s">
        <v>1191</v>
      </c>
      <c r="AQ253" s="291">
        <v>30168.07</v>
      </c>
      <c r="AR253" s="292">
        <v>5732</v>
      </c>
      <c r="AS253" s="292">
        <v>35900</v>
      </c>
      <c r="AT253" s="293">
        <v>30168</v>
      </c>
      <c r="AU253" s="293">
        <v>35900</v>
      </c>
      <c r="AV253" s="294">
        <v>35966.67</v>
      </c>
      <c r="AW253" s="294">
        <v>35966.67</v>
      </c>
      <c r="AX253" s="294">
        <v>4000.42</v>
      </c>
      <c r="AY253" s="299">
        <v>0.11119999999999999</v>
      </c>
    </row>
    <row r="254" spans="1:53" ht="57.6" hidden="1">
      <c r="A254" s="257" t="s">
        <v>2044</v>
      </c>
      <c r="B254" s="258" t="s">
        <v>2045</v>
      </c>
      <c r="C254" s="258">
        <v>12181500</v>
      </c>
      <c r="D254" s="257" t="s">
        <v>2060</v>
      </c>
      <c r="F254" s="258" t="s">
        <v>191</v>
      </c>
      <c r="G254" s="262">
        <v>40</v>
      </c>
      <c r="H254" s="262" t="s">
        <v>192</v>
      </c>
      <c r="I254" s="321" t="s">
        <v>1186</v>
      </c>
      <c r="J254" s="322">
        <v>46174</v>
      </c>
      <c r="K254" s="263" t="s">
        <v>2061</v>
      </c>
      <c r="L254" s="264" t="s">
        <v>1193</v>
      </c>
      <c r="M254" s="265" t="s">
        <v>341</v>
      </c>
      <c r="N254" s="266">
        <v>19000</v>
      </c>
      <c r="O254" s="267" t="s">
        <v>1190</v>
      </c>
      <c r="P254" s="268" t="s">
        <v>1191</v>
      </c>
      <c r="Q254" s="269">
        <v>15966.39</v>
      </c>
      <c r="R254" s="271">
        <v>3034</v>
      </c>
      <c r="S254" s="271">
        <v>19000</v>
      </c>
      <c r="T254" s="272">
        <v>638655</v>
      </c>
      <c r="U254" s="272">
        <v>760000</v>
      </c>
      <c r="V254" s="273" t="s">
        <v>1357</v>
      </c>
      <c r="W254" s="274">
        <v>46169</v>
      </c>
      <c r="X254" s="263" t="s">
        <v>2062</v>
      </c>
      <c r="Y254" s="276" t="s">
        <v>1188</v>
      </c>
      <c r="Z254" s="277" t="s">
        <v>194</v>
      </c>
      <c r="AA254" s="278">
        <v>15000</v>
      </c>
      <c r="AB254" s="279" t="s">
        <v>1197</v>
      </c>
      <c r="AC254" s="280" t="s">
        <v>1191</v>
      </c>
      <c r="AD254" s="281">
        <v>15000</v>
      </c>
      <c r="AE254" s="283">
        <v>2850</v>
      </c>
      <c r="AF254" s="283">
        <v>17850</v>
      </c>
      <c r="AG254" s="284">
        <v>600000</v>
      </c>
      <c r="AH254" s="284">
        <v>714000</v>
      </c>
      <c r="AI254" s="285" t="s">
        <v>1186</v>
      </c>
      <c r="AJ254" s="286">
        <v>46174</v>
      </c>
      <c r="AK254" s="263" t="s">
        <v>2063</v>
      </c>
      <c r="AL254" s="288" t="s">
        <v>1193</v>
      </c>
      <c r="AM254" s="298" t="s">
        <v>342</v>
      </c>
      <c r="AN254" s="289">
        <v>15900</v>
      </c>
      <c r="AO254" s="290" t="s">
        <v>1190</v>
      </c>
      <c r="AP254" s="290" t="s">
        <v>1191</v>
      </c>
      <c r="AQ254" s="291">
        <v>13361.34</v>
      </c>
      <c r="AR254" s="292">
        <v>2539</v>
      </c>
      <c r="AS254" s="292">
        <v>15900</v>
      </c>
      <c r="AT254" s="293">
        <v>534454</v>
      </c>
      <c r="AU254" s="293">
        <v>636000</v>
      </c>
      <c r="AV254" s="294">
        <v>17583.330000000002</v>
      </c>
      <c r="AW254" s="294">
        <v>703333.33</v>
      </c>
      <c r="AX254" s="294">
        <v>62684.39</v>
      </c>
      <c r="AY254" s="299">
        <v>8.9099999999999999E-2</v>
      </c>
    </row>
    <row r="255" spans="1:53" ht="57.6" hidden="1">
      <c r="A255" s="257" t="s">
        <v>2044</v>
      </c>
      <c r="B255" s="258" t="s">
        <v>2045</v>
      </c>
      <c r="C255" s="258">
        <v>50202310</v>
      </c>
      <c r="D255" s="257" t="s">
        <v>326</v>
      </c>
      <c r="F255" s="258" t="s">
        <v>568</v>
      </c>
      <c r="G255" s="262">
        <v>30</v>
      </c>
      <c r="H255" s="262" t="s">
        <v>192</v>
      </c>
      <c r="I255" s="321" t="s">
        <v>1186</v>
      </c>
      <c r="J255" s="322">
        <v>46174</v>
      </c>
      <c r="K255" s="263" t="s">
        <v>2064</v>
      </c>
      <c r="L255" s="264" t="s">
        <v>1193</v>
      </c>
      <c r="M255" s="265" t="s">
        <v>328</v>
      </c>
      <c r="N255" s="266">
        <v>12000</v>
      </c>
      <c r="O255" s="267" t="s">
        <v>1190</v>
      </c>
      <c r="P255" s="268" t="s">
        <v>1191</v>
      </c>
      <c r="Q255" s="269">
        <v>10084.030000000001</v>
      </c>
      <c r="R255" s="271">
        <v>1916</v>
      </c>
      <c r="S255" s="271">
        <v>12000</v>
      </c>
      <c r="T255" s="272">
        <v>302521</v>
      </c>
      <c r="U255" s="272">
        <v>360000</v>
      </c>
      <c r="V255" s="273" t="s">
        <v>1186</v>
      </c>
      <c r="W255" s="274">
        <v>46174</v>
      </c>
      <c r="X255" s="263" t="s">
        <v>2065</v>
      </c>
      <c r="Y255" s="276" t="s">
        <v>1188</v>
      </c>
      <c r="Z255" s="277" t="s">
        <v>245</v>
      </c>
      <c r="AA255" s="278">
        <v>10000</v>
      </c>
      <c r="AB255" s="279" t="s">
        <v>1197</v>
      </c>
      <c r="AC255" s="280" t="s">
        <v>1191</v>
      </c>
      <c r="AD255" s="281">
        <v>10000</v>
      </c>
      <c r="AE255" s="283">
        <v>1900</v>
      </c>
      <c r="AF255" s="283">
        <v>11900</v>
      </c>
      <c r="AG255" s="284">
        <v>300000</v>
      </c>
      <c r="AH255" s="284">
        <v>357000</v>
      </c>
      <c r="AI255" s="285" t="s">
        <v>1186</v>
      </c>
      <c r="AJ255" s="286">
        <v>46174</v>
      </c>
      <c r="AK255" s="263" t="s">
        <v>2066</v>
      </c>
      <c r="AL255" s="288" t="s">
        <v>1193</v>
      </c>
      <c r="AM255" s="298" t="s">
        <v>329</v>
      </c>
      <c r="AN255" s="289">
        <v>13000</v>
      </c>
      <c r="AO255" s="290" t="s">
        <v>1190</v>
      </c>
      <c r="AP255" s="290" t="s">
        <v>1191</v>
      </c>
      <c r="AQ255" s="291">
        <v>10924.37</v>
      </c>
      <c r="AR255" s="292">
        <v>2076</v>
      </c>
      <c r="AS255" s="292">
        <v>13000</v>
      </c>
      <c r="AT255" s="293">
        <v>327731</v>
      </c>
      <c r="AU255" s="293">
        <v>390000</v>
      </c>
      <c r="AV255" s="294">
        <v>12300</v>
      </c>
      <c r="AW255" s="294">
        <v>369000</v>
      </c>
      <c r="AX255" s="294">
        <v>18248.29</v>
      </c>
      <c r="AY255" s="299">
        <v>4.9500000000000002E-2</v>
      </c>
    </row>
    <row r="256" spans="1:53" ht="57.6" hidden="1">
      <c r="A256" s="257" t="s">
        <v>2044</v>
      </c>
      <c r="B256" s="258" t="s">
        <v>2045</v>
      </c>
      <c r="C256" s="258">
        <v>50202310</v>
      </c>
      <c r="D256" s="257" t="s">
        <v>931</v>
      </c>
      <c r="F256" s="258" t="s">
        <v>568</v>
      </c>
      <c r="G256" s="262">
        <v>1</v>
      </c>
      <c r="H256" s="262" t="s">
        <v>192</v>
      </c>
      <c r="I256" s="321" t="s">
        <v>1186</v>
      </c>
      <c r="J256" s="322">
        <v>46174</v>
      </c>
      <c r="K256" s="263" t="s">
        <v>2067</v>
      </c>
      <c r="L256" s="264" t="s">
        <v>1193</v>
      </c>
      <c r="M256" s="265" t="s">
        <v>933</v>
      </c>
      <c r="N256" s="266">
        <v>6000</v>
      </c>
      <c r="O256" s="267" t="s">
        <v>1190</v>
      </c>
      <c r="P256" s="268" t="s">
        <v>1191</v>
      </c>
      <c r="Q256" s="269">
        <v>5042.0200000000004</v>
      </c>
      <c r="R256" s="271">
        <v>958</v>
      </c>
      <c r="S256" s="271">
        <v>6000</v>
      </c>
      <c r="T256" s="272">
        <v>5042</v>
      </c>
      <c r="U256" s="272">
        <v>6000</v>
      </c>
      <c r="V256" s="273" t="s">
        <v>1186</v>
      </c>
      <c r="W256" s="274">
        <v>46174</v>
      </c>
      <c r="X256" s="263" t="s">
        <v>2068</v>
      </c>
      <c r="Y256" s="276" t="s">
        <v>1193</v>
      </c>
      <c r="Z256" s="277" t="s">
        <v>934</v>
      </c>
      <c r="AA256" s="278">
        <v>5600</v>
      </c>
      <c r="AB256" s="279" t="s">
        <v>1190</v>
      </c>
      <c r="AC256" s="280" t="s">
        <v>1191</v>
      </c>
      <c r="AD256" s="281">
        <v>4705.88</v>
      </c>
      <c r="AE256" s="283">
        <v>894</v>
      </c>
      <c r="AF256" s="283">
        <v>5600</v>
      </c>
      <c r="AG256" s="284">
        <v>4706</v>
      </c>
      <c r="AH256" s="284">
        <v>5600</v>
      </c>
      <c r="AI256" s="285" t="s">
        <v>1186</v>
      </c>
      <c r="AJ256" s="286">
        <v>46174</v>
      </c>
      <c r="AK256" s="263" t="s">
        <v>2069</v>
      </c>
      <c r="AL256" s="288" t="s">
        <v>1193</v>
      </c>
      <c r="AM256" s="298" t="s">
        <v>935</v>
      </c>
      <c r="AN256" s="289">
        <v>4180</v>
      </c>
      <c r="AO256" s="290" t="s">
        <v>1190</v>
      </c>
      <c r="AP256" s="290" t="s">
        <v>1191</v>
      </c>
      <c r="AQ256" s="291">
        <v>3512.61</v>
      </c>
      <c r="AR256" s="292">
        <v>667</v>
      </c>
      <c r="AS256" s="292">
        <v>4180</v>
      </c>
      <c r="AT256" s="293">
        <v>3513</v>
      </c>
      <c r="AU256" s="293">
        <v>4180</v>
      </c>
      <c r="AV256" s="294">
        <v>5260</v>
      </c>
      <c r="AW256" s="294">
        <v>5260</v>
      </c>
      <c r="AX256" s="294">
        <v>956.45</v>
      </c>
      <c r="AY256" s="299">
        <v>0.18179999999999999</v>
      </c>
    </row>
    <row r="257" spans="1:51" ht="57.6" hidden="1">
      <c r="A257" s="257" t="s">
        <v>2044</v>
      </c>
      <c r="B257" s="258" t="s">
        <v>2045</v>
      </c>
      <c r="C257" s="258">
        <v>23111501</v>
      </c>
      <c r="D257" s="257" t="s">
        <v>985</v>
      </c>
      <c r="F257" s="258" t="s">
        <v>568</v>
      </c>
      <c r="G257" s="262">
        <v>1</v>
      </c>
      <c r="H257" s="262" t="s">
        <v>192</v>
      </c>
      <c r="I257" s="321" t="s">
        <v>1186</v>
      </c>
      <c r="J257" s="322">
        <v>46174</v>
      </c>
      <c r="K257" s="263" t="s">
        <v>2070</v>
      </c>
      <c r="L257" s="264" t="s">
        <v>1193</v>
      </c>
      <c r="M257" s="265" t="s">
        <v>987</v>
      </c>
      <c r="N257" s="266">
        <v>438984</v>
      </c>
      <c r="O257" s="267" t="s">
        <v>1190</v>
      </c>
      <c r="P257" s="268" t="s">
        <v>1191</v>
      </c>
      <c r="Q257" s="269">
        <v>368894.12</v>
      </c>
      <c r="R257" s="271">
        <v>70090</v>
      </c>
      <c r="S257" s="271">
        <v>438984</v>
      </c>
      <c r="T257" s="272">
        <v>368894</v>
      </c>
      <c r="U257" s="272">
        <v>438984</v>
      </c>
      <c r="V257" s="273" t="s">
        <v>1357</v>
      </c>
      <c r="W257" s="274">
        <v>46176</v>
      </c>
      <c r="X257" s="263" t="s">
        <v>2046</v>
      </c>
      <c r="Y257" s="276" t="s">
        <v>1188</v>
      </c>
      <c r="Z257" s="277" t="s">
        <v>380</v>
      </c>
      <c r="AA257" s="278">
        <v>440000</v>
      </c>
      <c r="AB257" s="279" t="s">
        <v>1197</v>
      </c>
      <c r="AC257" s="280" t="s">
        <v>1191</v>
      </c>
      <c r="AD257" s="281">
        <v>440000</v>
      </c>
      <c r="AE257" s="283">
        <v>83600</v>
      </c>
      <c r="AF257" s="283">
        <v>523600</v>
      </c>
      <c r="AG257" s="284">
        <v>440000</v>
      </c>
      <c r="AH257" s="284">
        <v>523600</v>
      </c>
      <c r="AI257" s="285" t="s">
        <v>1357</v>
      </c>
      <c r="AJ257" s="286">
        <v>46176</v>
      </c>
      <c r="AK257" s="263" t="s">
        <v>2048</v>
      </c>
      <c r="AL257" s="288" t="s">
        <v>1188</v>
      </c>
      <c r="AM257" s="298" t="s">
        <v>381</v>
      </c>
      <c r="AN257" s="289">
        <v>430000</v>
      </c>
      <c r="AO257" s="290" t="s">
        <v>1197</v>
      </c>
      <c r="AP257" s="290" t="s">
        <v>1191</v>
      </c>
      <c r="AQ257" s="291">
        <v>430000</v>
      </c>
      <c r="AR257" s="292">
        <v>81700</v>
      </c>
      <c r="AS257" s="292">
        <v>511700</v>
      </c>
      <c r="AT257" s="293">
        <v>430000</v>
      </c>
      <c r="AU257" s="293">
        <v>511700</v>
      </c>
      <c r="AV257" s="294">
        <v>491428</v>
      </c>
      <c r="AW257" s="294">
        <v>491428</v>
      </c>
      <c r="AX257" s="294">
        <v>45805.919999999998</v>
      </c>
      <c r="AY257" s="299">
        <v>9.3200000000000005E-2</v>
      </c>
    </row>
    <row r="258" spans="1:51" ht="57.6" hidden="1">
      <c r="A258" s="257" t="s">
        <v>2044</v>
      </c>
      <c r="B258" s="258" t="s">
        <v>2045</v>
      </c>
      <c r="C258" s="258">
        <v>30102400</v>
      </c>
      <c r="D258" s="257" t="s">
        <v>242</v>
      </c>
      <c r="F258" s="258" t="s">
        <v>244</v>
      </c>
      <c r="G258" s="262">
        <v>2</v>
      </c>
      <c r="H258" s="262" t="s">
        <v>192</v>
      </c>
      <c r="I258" s="321" t="s">
        <v>1357</v>
      </c>
      <c r="J258" s="322">
        <v>46169</v>
      </c>
      <c r="K258" s="263" t="s">
        <v>2071</v>
      </c>
      <c r="L258" s="264" t="s">
        <v>1188</v>
      </c>
      <c r="M258" s="265" t="s">
        <v>193</v>
      </c>
      <c r="N258" s="266">
        <v>18000</v>
      </c>
      <c r="O258" s="267" t="s">
        <v>1197</v>
      </c>
      <c r="P258" s="268" t="s">
        <v>1191</v>
      </c>
      <c r="Q258" s="269">
        <v>18000</v>
      </c>
      <c r="R258" s="271">
        <v>3420</v>
      </c>
      <c r="S258" s="271">
        <v>21420</v>
      </c>
      <c r="T258" s="272">
        <v>36000</v>
      </c>
      <c r="U258" s="272">
        <v>42840</v>
      </c>
      <c r="V258" s="273" t="s">
        <v>1357</v>
      </c>
      <c r="W258" s="274">
        <v>46169</v>
      </c>
      <c r="X258" s="263" t="s">
        <v>2072</v>
      </c>
      <c r="Y258" s="276" t="s">
        <v>1188</v>
      </c>
      <c r="Z258" s="277" t="s">
        <v>245</v>
      </c>
      <c r="AA258" s="278">
        <v>16000</v>
      </c>
      <c r="AB258" s="279" t="s">
        <v>1197</v>
      </c>
      <c r="AC258" s="280" t="s">
        <v>1191</v>
      </c>
      <c r="AD258" s="281">
        <v>16000</v>
      </c>
      <c r="AE258" s="283">
        <v>3040</v>
      </c>
      <c r="AF258" s="283">
        <v>19040</v>
      </c>
      <c r="AG258" s="284">
        <v>32000</v>
      </c>
      <c r="AH258" s="284">
        <v>38080</v>
      </c>
      <c r="AI258" s="285" t="s">
        <v>1357</v>
      </c>
      <c r="AJ258" s="286">
        <v>46169</v>
      </c>
      <c r="AK258" s="263" t="s">
        <v>2062</v>
      </c>
      <c r="AL258" s="288" t="s">
        <v>1188</v>
      </c>
      <c r="AM258" s="298" t="s">
        <v>194</v>
      </c>
      <c r="AN258" s="289">
        <v>20000</v>
      </c>
      <c r="AO258" s="290" t="s">
        <v>1197</v>
      </c>
      <c r="AP258" s="290" t="s">
        <v>1191</v>
      </c>
      <c r="AQ258" s="291">
        <v>20000</v>
      </c>
      <c r="AR258" s="292">
        <v>3800</v>
      </c>
      <c r="AS258" s="292">
        <v>23800</v>
      </c>
      <c r="AT258" s="293">
        <v>40000</v>
      </c>
      <c r="AU258" s="293">
        <v>47600</v>
      </c>
      <c r="AV258" s="294">
        <v>21420</v>
      </c>
      <c r="AW258" s="294">
        <v>42840</v>
      </c>
      <c r="AX258" s="294">
        <v>4760</v>
      </c>
      <c r="AY258" s="299">
        <v>0.1111</v>
      </c>
    </row>
    <row r="259" spans="1:51" ht="57.6" hidden="1">
      <c r="A259" s="257" t="s">
        <v>2044</v>
      </c>
      <c r="B259" s="258" t="s">
        <v>2045</v>
      </c>
      <c r="C259" s="258">
        <v>60124412</v>
      </c>
      <c r="D259" s="257" t="s">
        <v>757</v>
      </c>
      <c r="F259" s="258" t="s">
        <v>568</v>
      </c>
      <c r="G259" s="262">
        <v>1</v>
      </c>
      <c r="H259" s="262" t="s">
        <v>192</v>
      </c>
      <c r="I259" s="321" t="s">
        <v>1186</v>
      </c>
      <c r="J259" s="322">
        <v>46174</v>
      </c>
      <c r="K259" s="263" t="s">
        <v>2073</v>
      </c>
      <c r="L259" s="264" t="s">
        <v>1193</v>
      </c>
      <c r="M259" s="265" t="s">
        <v>284</v>
      </c>
      <c r="N259" s="266">
        <v>12900</v>
      </c>
      <c r="O259" s="267" t="s">
        <v>1190</v>
      </c>
      <c r="P259" s="268" t="s">
        <v>1191</v>
      </c>
      <c r="Q259" s="269">
        <v>10840.34</v>
      </c>
      <c r="R259" s="271">
        <v>2060</v>
      </c>
      <c r="S259" s="271">
        <v>12900</v>
      </c>
      <c r="T259" s="272">
        <v>10840</v>
      </c>
      <c r="U259" s="272">
        <v>12900</v>
      </c>
      <c r="V259" s="273" t="s">
        <v>1186</v>
      </c>
      <c r="W259" s="274">
        <v>46174</v>
      </c>
      <c r="X259" s="263" t="s">
        <v>2074</v>
      </c>
      <c r="Y259" s="276" t="s">
        <v>1193</v>
      </c>
      <c r="Z259" s="277" t="s">
        <v>759</v>
      </c>
      <c r="AA259" s="278">
        <v>12000</v>
      </c>
      <c r="AB259" s="279" t="s">
        <v>1190</v>
      </c>
      <c r="AC259" s="280" t="s">
        <v>1191</v>
      </c>
      <c r="AD259" s="281">
        <v>10084.030000000001</v>
      </c>
      <c r="AE259" s="283">
        <v>1916</v>
      </c>
      <c r="AF259" s="283">
        <v>12000</v>
      </c>
      <c r="AG259" s="284">
        <v>10084</v>
      </c>
      <c r="AH259" s="284">
        <v>12000</v>
      </c>
      <c r="AI259" s="285" t="s">
        <v>1186</v>
      </c>
      <c r="AJ259" s="286">
        <v>46174</v>
      </c>
      <c r="AK259" s="263" t="s">
        <v>2075</v>
      </c>
      <c r="AL259" s="288" t="s">
        <v>1193</v>
      </c>
      <c r="AM259" s="298" t="s">
        <v>224</v>
      </c>
      <c r="AN259" s="289">
        <v>11900</v>
      </c>
      <c r="AO259" s="290" t="s">
        <v>1190</v>
      </c>
      <c r="AP259" s="290" t="s">
        <v>1191</v>
      </c>
      <c r="AQ259" s="291">
        <v>10000</v>
      </c>
      <c r="AR259" s="292">
        <v>1900</v>
      </c>
      <c r="AS259" s="292">
        <v>11900</v>
      </c>
      <c r="AT259" s="293">
        <v>10000</v>
      </c>
      <c r="AU259" s="293">
        <v>11900</v>
      </c>
      <c r="AV259" s="294">
        <v>12266.67</v>
      </c>
      <c r="AW259" s="294">
        <v>12266.67</v>
      </c>
      <c r="AX259" s="294">
        <v>550.76</v>
      </c>
      <c r="AY259" s="299">
        <v>4.4900000000000002E-2</v>
      </c>
    </row>
    <row r="260" spans="1:51" ht="57.6" hidden="1">
      <c r="A260" s="257" t="s">
        <v>2044</v>
      </c>
      <c r="B260" s="258" t="s">
        <v>2045</v>
      </c>
      <c r="C260" s="258">
        <v>12191500</v>
      </c>
      <c r="D260" s="257" t="s">
        <v>344</v>
      </c>
      <c r="F260" s="258" t="s">
        <v>191</v>
      </c>
      <c r="G260" s="262">
        <v>1</v>
      </c>
      <c r="H260" s="262" t="s">
        <v>192</v>
      </c>
      <c r="I260" s="321" t="s">
        <v>1357</v>
      </c>
      <c r="J260" s="322">
        <v>46169</v>
      </c>
      <c r="K260" s="263" t="s">
        <v>2071</v>
      </c>
      <c r="L260" s="264" t="s">
        <v>1188</v>
      </c>
      <c r="M260" s="265" t="s">
        <v>193</v>
      </c>
      <c r="N260" s="266">
        <v>15000</v>
      </c>
      <c r="O260" s="267" t="s">
        <v>1197</v>
      </c>
      <c r="P260" s="268" t="s">
        <v>1191</v>
      </c>
      <c r="Q260" s="269">
        <v>15000</v>
      </c>
      <c r="R260" s="271">
        <v>2850</v>
      </c>
      <c r="S260" s="271">
        <v>17850</v>
      </c>
      <c r="T260" s="272">
        <v>15000</v>
      </c>
      <c r="U260" s="272">
        <v>17850</v>
      </c>
      <c r="V260" s="273" t="s">
        <v>1357</v>
      </c>
      <c r="W260" s="274">
        <v>46169</v>
      </c>
      <c r="X260" s="263" t="s">
        <v>2062</v>
      </c>
      <c r="Y260" s="276" t="s">
        <v>1188</v>
      </c>
      <c r="Z260" s="277" t="s">
        <v>194</v>
      </c>
      <c r="AA260" s="278">
        <v>15000</v>
      </c>
      <c r="AB260" s="279" t="s">
        <v>1197</v>
      </c>
      <c r="AC260" s="280" t="s">
        <v>1191</v>
      </c>
      <c r="AD260" s="281">
        <v>15000</v>
      </c>
      <c r="AE260" s="283">
        <v>2850</v>
      </c>
      <c r="AF260" s="283">
        <v>17850</v>
      </c>
      <c r="AG260" s="284">
        <v>15000</v>
      </c>
      <c r="AH260" s="284">
        <v>17850</v>
      </c>
      <c r="AI260" s="285" t="s">
        <v>1357</v>
      </c>
      <c r="AJ260" s="286">
        <v>46169</v>
      </c>
      <c r="AK260" s="263" t="s">
        <v>2076</v>
      </c>
      <c r="AL260" s="288" t="s">
        <v>1193</v>
      </c>
      <c r="AM260" s="298" t="s">
        <v>346</v>
      </c>
      <c r="AN260" s="289">
        <v>14153</v>
      </c>
      <c r="AO260" s="290" t="s">
        <v>1190</v>
      </c>
      <c r="AP260" s="290" t="s">
        <v>1191</v>
      </c>
      <c r="AQ260" s="291">
        <v>11893.28</v>
      </c>
      <c r="AR260" s="292">
        <v>2260</v>
      </c>
      <c r="AS260" s="292">
        <v>14153</v>
      </c>
      <c r="AT260" s="293">
        <v>11893</v>
      </c>
      <c r="AU260" s="293">
        <v>14153</v>
      </c>
      <c r="AV260" s="294">
        <v>16617.669999999998</v>
      </c>
      <c r="AW260" s="294">
        <v>16617.669999999998</v>
      </c>
      <c r="AX260" s="294">
        <v>2134.46</v>
      </c>
      <c r="AY260" s="299">
        <v>0.12839999999999999</v>
      </c>
    </row>
    <row r="261" spans="1:51" ht="57.6" hidden="1">
      <c r="A261" s="257" t="s">
        <v>2044</v>
      </c>
      <c r="B261" s="258" t="s">
        <v>2045</v>
      </c>
      <c r="C261" s="258">
        <v>12352104</v>
      </c>
      <c r="D261" s="257" t="s">
        <v>937</v>
      </c>
      <c r="F261" s="258" t="s">
        <v>568</v>
      </c>
      <c r="G261" s="262">
        <v>1</v>
      </c>
      <c r="H261" s="262" t="s">
        <v>192</v>
      </c>
      <c r="I261" s="321" t="s">
        <v>1186</v>
      </c>
      <c r="J261" s="322">
        <v>46175</v>
      </c>
      <c r="K261" s="263" t="s">
        <v>2077</v>
      </c>
      <c r="L261" s="264" t="s">
        <v>1193</v>
      </c>
      <c r="M261" s="265" t="s">
        <v>328</v>
      </c>
      <c r="N261" s="266">
        <v>15000</v>
      </c>
      <c r="O261" s="267" t="s">
        <v>1190</v>
      </c>
      <c r="P261" s="268" t="s">
        <v>1191</v>
      </c>
      <c r="Q261" s="269">
        <v>12605.04</v>
      </c>
      <c r="R261" s="271">
        <v>2395</v>
      </c>
      <c r="S261" s="271">
        <v>15000</v>
      </c>
      <c r="T261" s="272">
        <v>12605</v>
      </c>
      <c r="U261" s="272">
        <v>15000</v>
      </c>
      <c r="V261" s="273" t="s">
        <v>1186</v>
      </c>
      <c r="W261" s="274">
        <v>46175</v>
      </c>
      <c r="X261" s="263" t="s">
        <v>2078</v>
      </c>
      <c r="Y261" s="276" t="s">
        <v>1193</v>
      </c>
      <c r="Z261" s="277" t="s">
        <v>939</v>
      </c>
      <c r="AA261" s="278">
        <v>11500</v>
      </c>
      <c r="AB261" s="279" t="s">
        <v>1190</v>
      </c>
      <c r="AC261" s="280" t="s">
        <v>1191</v>
      </c>
      <c r="AD261" s="281">
        <v>9663.8700000000008</v>
      </c>
      <c r="AE261" s="283">
        <v>1836</v>
      </c>
      <c r="AF261" s="283">
        <v>11500</v>
      </c>
      <c r="AG261" s="284">
        <v>9664</v>
      </c>
      <c r="AH261" s="284">
        <v>11500</v>
      </c>
      <c r="AI261" s="285" t="s">
        <v>1186</v>
      </c>
      <c r="AJ261" s="286">
        <v>46175</v>
      </c>
      <c r="AK261" s="263" t="s">
        <v>2079</v>
      </c>
      <c r="AL261" s="288" t="s">
        <v>1193</v>
      </c>
      <c r="AM261" s="298" t="s">
        <v>940</v>
      </c>
      <c r="AN261" s="289">
        <v>10900</v>
      </c>
      <c r="AO261" s="290" t="s">
        <v>1190</v>
      </c>
      <c r="AP261" s="290" t="s">
        <v>1191</v>
      </c>
      <c r="AQ261" s="291">
        <v>9159.66</v>
      </c>
      <c r="AR261" s="292">
        <v>1740</v>
      </c>
      <c r="AS261" s="292">
        <v>10900</v>
      </c>
      <c r="AT261" s="293">
        <v>9160</v>
      </c>
      <c r="AU261" s="293">
        <v>10900</v>
      </c>
      <c r="AV261" s="294">
        <v>12466.67</v>
      </c>
      <c r="AW261" s="294">
        <v>12466.67</v>
      </c>
      <c r="AX261" s="294">
        <v>2214.35</v>
      </c>
      <c r="AY261" s="299">
        <v>0.17760000000000001</v>
      </c>
    </row>
    <row r="262" spans="1:51" ht="57.6" hidden="1">
      <c r="A262" s="257" t="s">
        <v>2044</v>
      </c>
      <c r="B262" s="258" t="s">
        <v>2045</v>
      </c>
      <c r="C262" s="258">
        <v>11181600</v>
      </c>
      <c r="D262" s="259" t="s">
        <v>397</v>
      </c>
      <c r="F262" s="258" t="s">
        <v>244</v>
      </c>
      <c r="G262" s="262">
        <v>8</v>
      </c>
      <c r="H262" s="262" t="s">
        <v>192</v>
      </c>
      <c r="I262" s="321" t="s">
        <v>1199</v>
      </c>
      <c r="J262" s="322">
        <v>46186</v>
      </c>
      <c r="K262" s="263" t="s">
        <v>2080</v>
      </c>
      <c r="L262" s="264" t="s">
        <v>1193</v>
      </c>
      <c r="M262" s="265" t="s">
        <v>399</v>
      </c>
      <c r="N262" s="266">
        <v>7600</v>
      </c>
      <c r="O262" s="267" t="s">
        <v>1190</v>
      </c>
      <c r="P262" s="268" t="s">
        <v>1191</v>
      </c>
      <c r="Q262" s="269">
        <v>6386.55</v>
      </c>
      <c r="R262" s="271">
        <v>1213</v>
      </c>
      <c r="S262" s="271">
        <v>7600</v>
      </c>
      <c r="T262" s="272">
        <v>51092</v>
      </c>
      <c r="U262" s="272">
        <v>60800</v>
      </c>
      <c r="V262" s="273" t="s">
        <v>1199</v>
      </c>
      <c r="W262" s="274">
        <v>46186</v>
      </c>
      <c r="X262" s="263" t="s">
        <v>2072</v>
      </c>
      <c r="Y262" s="276" t="s">
        <v>1193</v>
      </c>
      <c r="Z262" s="277" t="s">
        <v>245</v>
      </c>
      <c r="AA262" s="278">
        <v>8000</v>
      </c>
      <c r="AB262" s="279" t="s">
        <v>1197</v>
      </c>
      <c r="AC262" s="280" t="s">
        <v>1191</v>
      </c>
      <c r="AD262" s="281">
        <v>8000</v>
      </c>
      <c r="AE262" s="283">
        <v>1520</v>
      </c>
      <c r="AF262" s="283">
        <v>9520</v>
      </c>
      <c r="AG262" s="284">
        <v>64000</v>
      </c>
      <c r="AH262" s="284">
        <v>76160</v>
      </c>
      <c r="AI262" s="285" t="s">
        <v>1201</v>
      </c>
      <c r="AJ262" s="286">
        <v>46186</v>
      </c>
      <c r="AK262" s="263" t="s">
        <v>2081</v>
      </c>
      <c r="AL262" s="288" t="s">
        <v>1193</v>
      </c>
      <c r="AM262" s="298" t="s">
        <v>365</v>
      </c>
      <c r="AN262" s="289">
        <v>9000</v>
      </c>
      <c r="AO262" s="290" t="s">
        <v>1190</v>
      </c>
      <c r="AP262" s="290" t="s">
        <v>1191</v>
      </c>
      <c r="AQ262" s="291">
        <v>7563.03</v>
      </c>
      <c r="AR262" s="292">
        <v>1437</v>
      </c>
      <c r="AS262" s="292">
        <v>9000</v>
      </c>
      <c r="AT262" s="293">
        <v>60504</v>
      </c>
      <c r="AU262" s="293">
        <v>72000</v>
      </c>
      <c r="AV262" s="294">
        <v>8706.67</v>
      </c>
      <c r="AW262" s="294">
        <v>69653.33</v>
      </c>
      <c r="AX262" s="294">
        <v>7944.34</v>
      </c>
      <c r="AY262" s="299">
        <v>0.11409999999999999</v>
      </c>
    </row>
    <row r="263" spans="1:51" ht="57.6" hidden="1">
      <c r="A263" s="257" t="s">
        <v>2044</v>
      </c>
      <c r="B263" s="258" t="s">
        <v>2045</v>
      </c>
      <c r="C263" s="258">
        <v>11181600</v>
      </c>
      <c r="D263" s="259" t="s">
        <v>397</v>
      </c>
      <c r="F263" s="258" t="s">
        <v>244</v>
      </c>
      <c r="G263" s="262">
        <v>2</v>
      </c>
      <c r="H263" s="262" t="s">
        <v>192</v>
      </c>
      <c r="I263" s="321" t="s">
        <v>1199</v>
      </c>
      <c r="J263" s="322">
        <v>46197</v>
      </c>
      <c r="K263" s="263" t="s">
        <v>2082</v>
      </c>
      <c r="L263" s="264" t="s">
        <v>1193</v>
      </c>
      <c r="M263" s="265" t="s">
        <v>2083</v>
      </c>
      <c r="N263" s="266">
        <v>9000</v>
      </c>
      <c r="O263" s="267" t="s">
        <v>1190</v>
      </c>
      <c r="P263" s="268" t="s">
        <v>1191</v>
      </c>
      <c r="Q263" s="269">
        <v>7563.03</v>
      </c>
      <c r="R263" s="271">
        <v>1437</v>
      </c>
      <c r="S263" s="271">
        <v>9000</v>
      </c>
      <c r="T263" s="272">
        <v>15126</v>
      </c>
      <c r="U263" s="272">
        <v>18000</v>
      </c>
      <c r="V263" s="273" t="s">
        <v>1199</v>
      </c>
      <c r="W263" s="274">
        <v>46197</v>
      </c>
      <c r="X263" s="263" t="s">
        <v>2084</v>
      </c>
      <c r="Y263" s="276" t="s">
        <v>1193</v>
      </c>
      <c r="Z263" s="277" t="s">
        <v>2085</v>
      </c>
      <c r="AA263" s="278">
        <v>9500</v>
      </c>
      <c r="AB263" s="279" t="s">
        <v>1190</v>
      </c>
      <c r="AC263" s="280" t="s">
        <v>1191</v>
      </c>
      <c r="AD263" s="281">
        <v>7983.19</v>
      </c>
      <c r="AE263" s="283">
        <v>1517</v>
      </c>
      <c r="AF263" s="283">
        <v>9500</v>
      </c>
      <c r="AG263" s="284">
        <v>15966</v>
      </c>
      <c r="AH263" s="284">
        <v>19000</v>
      </c>
      <c r="AI263" s="285" t="s">
        <v>1199</v>
      </c>
      <c r="AJ263" s="286">
        <v>46197</v>
      </c>
      <c r="AK263" s="263" t="s">
        <v>2081</v>
      </c>
      <c r="AL263" s="288" t="s">
        <v>1193</v>
      </c>
      <c r="AM263" s="298" t="s">
        <v>365</v>
      </c>
      <c r="AN263" s="289">
        <v>9000</v>
      </c>
      <c r="AO263" s="290" t="s">
        <v>1190</v>
      </c>
      <c r="AP263" s="290" t="s">
        <v>1191</v>
      </c>
      <c r="AQ263" s="291">
        <v>7563.03</v>
      </c>
      <c r="AR263" s="292">
        <v>1437</v>
      </c>
      <c r="AS263" s="292">
        <v>9000</v>
      </c>
      <c r="AT263" s="293">
        <v>15126</v>
      </c>
      <c r="AU263" s="293">
        <v>18000</v>
      </c>
      <c r="AV263" s="294">
        <v>9166.67</v>
      </c>
      <c r="AW263" s="294">
        <v>18333.330000000002</v>
      </c>
      <c r="AX263" s="294">
        <v>577.35</v>
      </c>
      <c r="AY263" s="299">
        <v>3.15E-2</v>
      </c>
    </row>
    <row r="264" spans="1:51" ht="57.6" hidden="1">
      <c r="A264" s="257" t="s">
        <v>2044</v>
      </c>
      <c r="B264" s="258" t="s">
        <v>2045</v>
      </c>
      <c r="C264" s="258" t="s">
        <v>2086</v>
      </c>
      <c r="D264" s="257" t="s">
        <v>522</v>
      </c>
      <c r="F264" s="258" t="s">
        <v>191</v>
      </c>
      <c r="G264" s="262">
        <v>1</v>
      </c>
      <c r="H264" s="262" t="s">
        <v>209</v>
      </c>
      <c r="I264" s="321" t="s">
        <v>1357</v>
      </c>
      <c r="J264" s="322">
        <v>46169</v>
      </c>
      <c r="K264" s="263" t="s">
        <v>2071</v>
      </c>
      <c r="L264" s="264" t="s">
        <v>1188</v>
      </c>
      <c r="M264" s="265" t="s">
        <v>193</v>
      </c>
      <c r="N264" s="266">
        <v>1350000</v>
      </c>
      <c r="O264" s="267" t="s">
        <v>1197</v>
      </c>
      <c r="P264" s="268" t="s">
        <v>1191</v>
      </c>
      <c r="Q264" s="269">
        <v>1350000</v>
      </c>
      <c r="R264" s="271">
        <v>256500</v>
      </c>
      <c r="S264" s="271">
        <v>1606500</v>
      </c>
      <c r="T264" s="272">
        <v>1350000</v>
      </c>
      <c r="U264" s="272">
        <v>1606500</v>
      </c>
      <c r="V264" s="273" t="s">
        <v>1357</v>
      </c>
      <c r="W264" s="274">
        <v>46169</v>
      </c>
      <c r="X264" s="263" t="s">
        <v>2072</v>
      </c>
      <c r="Y264" s="276" t="s">
        <v>1188</v>
      </c>
      <c r="Z264" s="277" t="s">
        <v>245</v>
      </c>
      <c r="AA264" s="278">
        <v>1600000</v>
      </c>
      <c r="AB264" s="279" t="s">
        <v>1197</v>
      </c>
      <c r="AC264" s="280" t="s">
        <v>1191</v>
      </c>
      <c r="AD264" s="281">
        <v>1600000</v>
      </c>
      <c r="AE264" s="283">
        <v>304000</v>
      </c>
      <c r="AF264" s="283">
        <v>1904000</v>
      </c>
      <c r="AG264" s="284">
        <v>1600000</v>
      </c>
      <c r="AH264" s="284">
        <v>1904000</v>
      </c>
      <c r="AI264" s="285" t="s">
        <v>1357</v>
      </c>
      <c r="AJ264" s="286">
        <v>46169</v>
      </c>
      <c r="AK264" s="263" t="s">
        <v>2062</v>
      </c>
      <c r="AL264" s="288" t="s">
        <v>1188</v>
      </c>
      <c r="AM264" s="298" t="s">
        <v>194</v>
      </c>
      <c r="AN264" s="289">
        <v>1400000</v>
      </c>
      <c r="AO264" s="290" t="s">
        <v>1197</v>
      </c>
      <c r="AP264" s="290" t="s">
        <v>1191</v>
      </c>
      <c r="AQ264" s="291">
        <v>1400000</v>
      </c>
      <c r="AR264" s="292">
        <v>266000</v>
      </c>
      <c r="AS264" s="292">
        <v>1666000</v>
      </c>
      <c r="AT264" s="293">
        <v>1400000</v>
      </c>
      <c r="AU264" s="293">
        <v>1666000</v>
      </c>
      <c r="AV264" s="294">
        <v>1725500</v>
      </c>
      <c r="AW264" s="294">
        <v>1725500</v>
      </c>
      <c r="AX264" s="294">
        <v>157422.20000000001</v>
      </c>
      <c r="AY264" s="299">
        <v>9.1200000000000003E-2</v>
      </c>
    </row>
    <row r="265" spans="1:51" ht="57.6" hidden="1">
      <c r="A265" s="257" t="s">
        <v>2044</v>
      </c>
      <c r="B265" s="258" t="s">
        <v>2045</v>
      </c>
      <c r="C265" s="258">
        <v>72101500</v>
      </c>
      <c r="D265" s="257" t="s">
        <v>2087</v>
      </c>
      <c r="F265" s="258" t="s">
        <v>191</v>
      </c>
      <c r="G265" s="262">
        <v>1</v>
      </c>
      <c r="H265" s="262" t="s">
        <v>305</v>
      </c>
      <c r="I265" s="321" t="s">
        <v>1357</v>
      </c>
      <c r="J265" s="322">
        <v>46169</v>
      </c>
      <c r="K265" s="263" t="s">
        <v>2071</v>
      </c>
      <c r="L265" s="264" t="s">
        <v>1188</v>
      </c>
      <c r="M265" s="265" t="s">
        <v>193</v>
      </c>
      <c r="N265" s="266">
        <v>250000</v>
      </c>
      <c r="O265" s="267" t="s">
        <v>1197</v>
      </c>
      <c r="P265" s="268" t="s">
        <v>1191</v>
      </c>
      <c r="Q265" s="269">
        <v>250000</v>
      </c>
      <c r="R265" s="271">
        <v>47500</v>
      </c>
      <c r="S265" s="271">
        <v>297500</v>
      </c>
      <c r="T265" s="272">
        <v>250000</v>
      </c>
      <c r="U265" s="272">
        <v>297500</v>
      </c>
      <c r="V265" s="273" t="s">
        <v>1357</v>
      </c>
      <c r="W265" s="274">
        <v>46169</v>
      </c>
      <c r="X265" s="263" t="s">
        <v>2062</v>
      </c>
      <c r="Y265" s="276" t="s">
        <v>1188</v>
      </c>
      <c r="Z265" s="277" t="s">
        <v>194</v>
      </c>
      <c r="AA265" s="278">
        <v>250000</v>
      </c>
      <c r="AB265" s="279" t="s">
        <v>1197</v>
      </c>
      <c r="AC265" s="280" t="s">
        <v>1191</v>
      </c>
      <c r="AD265" s="281">
        <v>250000</v>
      </c>
      <c r="AE265" s="283">
        <v>47500</v>
      </c>
      <c r="AF265" s="283">
        <v>297500</v>
      </c>
      <c r="AG265" s="284">
        <v>250000</v>
      </c>
      <c r="AH265" s="284">
        <v>297500</v>
      </c>
      <c r="AI265" s="285"/>
      <c r="AJ265" s="290"/>
      <c r="AK265" s="287"/>
      <c r="AL265" s="288"/>
      <c r="AM265" s="298"/>
      <c r="AN265" s="290"/>
      <c r="AO265" s="290"/>
      <c r="AP265" s="290"/>
      <c r="AQ265" s="300" t="s">
        <v>2047</v>
      </c>
      <c r="AR265" s="300" t="s">
        <v>2047</v>
      </c>
      <c r="AS265" s="300" t="s">
        <v>2047</v>
      </c>
      <c r="AT265" s="301" t="s">
        <v>2047</v>
      </c>
      <c r="AU265" s="301" t="s">
        <v>2047</v>
      </c>
      <c r="AV265" s="294">
        <v>198333.33</v>
      </c>
      <c r="AW265" s="294">
        <v>198333.33</v>
      </c>
      <c r="AX265" s="294">
        <v>171761.71</v>
      </c>
      <c r="AY265" s="302">
        <v>0.86599999999999999</v>
      </c>
    </row>
    <row r="266" spans="1:51" ht="57.6" hidden="1">
      <c r="A266" s="257" t="s">
        <v>2044</v>
      </c>
      <c r="B266" s="258" t="s">
        <v>2045</v>
      </c>
      <c r="C266" s="258">
        <v>72101500</v>
      </c>
      <c r="D266" s="257" t="s">
        <v>2088</v>
      </c>
      <c r="F266" s="258" t="s">
        <v>191</v>
      </c>
      <c r="G266" s="262">
        <v>1</v>
      </c>
      <c r="H266" s="262" t="s">
        <v>305</v>
      </c>
      <c r="I266" s="321" t="s">
        <v>1357</v>
      </c>
      <c r="J266" s="322">
        <v>46169</v>
      </c>
      <c r="K266" s="263" t="s">
        <v>2071</v>
      </c>
      <c r="L266" s="264" t="s">
        <v>1188</v>
      </c>
      <c r="M266" s="265" t="s">
        <v>193</v>
      </c>
      <c r="N266" s="266">
        <v>190000</v>
      </c>
      <c r="O266" s="267" t="s">
        <v>1197</v>
      </c>
      <c r="P266" s="268" t="s">
        <v>1191</v>
      </c>
      <c r="Q266" s="269">
        <v>190000</v>
      </c>
      <c r="R266" s="271">
        <v>36100</v>
      </c>
      <c r="S266" s="271">
        <v>226100</v>
      </c>
      <c r="T266" s="272">
        <v>190000</v>
      </c>
      <c r="U266" s="272">
        <v>226100</v>
      </c>
      <c r="V266" s="273" t="s">
        <v>1357</v>
      </c>
      <c r="W266" s="274">
        <v>46169</v>
      </c>
      <c r="X266" s="263" t="s">
        <v>2062</v>
      </c>
      <c r="Y266" s="276" t="s">
        <v>1188</v>
      </c>
      <c r="Z266" s="277" t="s">
        <v>194</v>
      </c>
      <c r="AA266" s="278">
        <v>190000</v>
      </c>
      <c r="AB266" s="279" t="s">
        <v>1197</v>
      </c>
      <c r="AC266" s="280" t="s">
        <v>1191</v>
      </c>
      <c r="AD266" s="281">
        <v>190000</v>
      </c>
      <c r="AE266" s="283">
        <v>36100</v>
      </c>
      <c r="AF266" s="283">
        <v>226100</v>
      </c>
      <c r="AG266" s="284">
        <v>190000</v>
      </c>
      <c r="AH266" s="284">
        <v>226100</v>
      </c>
      <c r="AI266" s="285" t="s">
        <v>1199</v>
      </c>
      <c r="AJ266" s="286">
        <v>46197</v>
      </c>
      <c r="AK266" s="263" t="s">
        <v>2089</v>
      </c>
      <c r="AL266" s="288" t="s">
        <v>1193</v>
      </c>
      <c r="AM266" s="298" t="s">
        <v>2090</v>
      </c>
      <c r="AN266" s="289">
        <v>175000</v>
      </c>
      <c r="AO266" s="290" t="s">
        <v>1197</v>
      </c>
      <c r="AP266" s="290" t="s">
        <v>1191</v>
      </c>
      <c r="AQ266" s="291">
        <v>175000</v>
      </c>
      <c r="AR266" s="292">
        <v>33250</v>
      </c>
      <c r="AS266" s="292">
        <v>208250</v>
      </c>
      <c r="AT266" s="293">
        <v>175000</v>
      </c>
      <c r="AU266" s="293">
        <v>208250</v>
      </c>
      <c r="AV266" s="294">
        <v>220150</v>
      </c>
      <c r="AW266" s="294">
        <v>220150</v>
      </c>
      <c r="AX266" s="294">
        <v>10305.700000000001</v>
      </c>
      <c r="AY266" s="299">
        <v>4.6800000000000001E-2</v>
      </c>
    </row>
    <row r="267" spans="1:51" ht="57.6" hidden="1">
      <c r="A267" s="257" t="s">
        <v>2044</v>
      </c>
      <c r="B267" s="258" t="s">
        <v>2045</v>
      </c>
      <c r="C267" s="258">
        <v>31151900</v>
      </c>
      <c r="D267" s="257" t="s">
        <v>235</v>
      </c>
      <c r="F267" s="258" t="s">
        <v>191</v>
      </c>
      <c r="G267" s="262">
        <v>3</v>
      </c>
      <c r="H267" s="262" t="s">
        <v>192</v>
      </c>
      <c r="I267" s="321" t="s">
        <v>1199</v>
      </c>
      <c r="J267" s="322">
        <v>46182</v>
      </c>
      <c r="K267" s="263" t="s">
        <v>2091</v>
      </c>
      <c r="L267" s="264" t="s">
        <v>1193</v>
      </c>
      <c r="M267" s="265" t="s">
        <v>237</v>
      </c>
      <c r="N267" s="266">
        <v>7000</v>
      </c>
      <c r="O267" s="267" t="s">
        <v>1190</v>
      </c>
      <c r="P267" s="268" t="s">
        <v>1191</v>
      </c>
      <c r="Q267" s="269">
        <v>5882.35</v>
      </c>
      <c r="R267" s="271">
        <v>1118</v>
      </c>
      <c r="S267" s="271">
        <v>7000</v>
      </c>
      <c r="T267" s="272">
        <v>17647</v>
      </c>
      <c r="U267" s="272">
        <v>21000</v>
      </c>
      <c r="V267" s="273" t="s">
        <v>1199</v>
      </c>
      <c r="W267" s="274">
        <v>46182</v>
      </c>
      <c r="X267" s="263" t="s">
        <v>2092</v>
      </c>
      <c r="Y267" s="276" t="s">
        <v>1193</v>
      </c>
      <c r="Z267" s="277" t="s">
        <v>238</v>
      </c>
      <c r="AA267" s="278">
        <v>8860</v>
      </c>
      <c r="AB267" s="279" t="s">
        <v>1190</v>
      </c>
      <c r="AC267" s="280" t="s">
        <v>1191</v>
      </c>
      <c r="AD267" s="281">
        <v>7445.38</v>
      </c>
      <c r="AE267" s="283">
        <v>1415</v>
      </c>
      <c r="AF267" s="283">
        <v>8860</v>
      </c>
      <c r="AG267" s="284">
        <v>22336</v>
      </c>
      <c r="AH267" s="284">
        <v>26580</v>
      </c>
      <c r="AI267" s="285" t="s">
        <v>1201</v>
      </c>
      <c r="AJ267" s="286">
        <v>46182</v>
      </c>
      <c r="AK267" s="263" t="s">
        <v>2093</v>
      </c>
      <c r="AL267" s="288" t="s">
        <v>1193</v>
      </c>
      <c r="AM267" s="298" t="s">
        <v>239</v>
      </c>
      <c r="AN267" s="289">
        <v>10200</v>
      </c>
      <c r="AO267" s="290" t="s">
        <v>1190</v>
      </c>
      <c r="AP267" s="290" t="s">
        <v>1191</v>
      </c>
      <c r="AQ267" s="291">
        <v>8571.43</v>
      </c>
      <c r="AR267" s="292">
        <v>1629</v>
      </c>
      <c r="AS267" s="292">
        <v>10200</v>
      </c>
      <c r="AT267" s="293">
        <v>25714</v>
      </c>
      <c r="AU267" s="293">
        <v>30600</v>
      </c>
      <c r="AV267" s="294">
        <v>8686.67</v>
      </c>
      <c r="AW267" s="294">
        <v>26060</v>
      </c>
      <c r="AX267" s="294">
        <v>4821.08</v>
      </c>
      <c r="AY267" s="299">
        <v>0.185</v>
      </c>
    </row>
    <row r="268" spans="1:51" ht="57.6" hidden="1">
      <c r="A268" s="257" t="s">
        <v>2044</v>
      </c>
      <c r="B268" s="258" t="s">
        <v>2045</v>
      </c>
      <c r="C268" s="258">
        <v>30102400</v>
      </c>
      <c r="D268" s="257" t="s">
        <v>2094</v>
      </c>
      <c r="F268" s="258" t="s">
        <v>191</v>
      </c>
      <c r="G268" s="262">
        <v>150</v>
      </c>
      <c r="H268" s="262" t="s">
        <v>192</v>
      </c>
      <c r="I268" s="321" t="s">
        <v>1357</v>
      </c>
      <c r="J268" s="322">
        <v>46169</v>
      </c>
      <c r="K268" s="263" t="s">
        <v>2071</v>
      </c>
      <c r="L268" s="264" t="s">
        <v>1188</v>
      </c>
      <c r="M268" s="265" t="s">
        <v>193</v>
      </c>
      <c r="N268" s="266">
        <v>12000</v>
      </c>
      <c r="O268" s="267" t="s">
        <v>1197</v>
      </c>
      <c r="P268" s="268" t="s">
        <v>1191</v>
      </c>
      <c r="Q268" s="269">
        <v>12000</v>
      </c>
      <c r="R268" s="271">
        <v>2280</v>
      </c>
      <c r="S268" s="271">
        <v>14280</v>
      </c>
      <c r="T268" s="272">
        <v>1800000</v>
      </c>
      <c r="U268" s="272">
        <v>2142000</v>
      </c>
      <c r="V268" s="273" t="s">
        <v>1357</v>
      </c>
      <c r="W268" s="274">
        <v>46169</v>
      </c>
      <c r="X268" s="263" t="s">
        <v>2062</v>
      </c>
      <c r="Y268" s="276" t="s">
        <v>1188</v>
      </c>
      <c r="Z268" s="277" t="s">
        <v>194</v>
      </c>
      <c r="AA268" s="278">
        <v>12000</v>
      </c>
      <c r="AB268" s="279" t="s">
        <v>1197</v>
      </c>
      <c r="AC268" s="280" t="s">
        <v>1191</v>
      </c>
      <c r="AD268" s="281">
        <v>12000</v>
      </c>
      <c r="AE268" s="283">
        <v>2280</v>
      </c>
      <c r="AF268" s="283">
        <v>14280</v>
      </c>
      <c r="AG268" s="284">
        <v>1800000</v>
      </c>
      <c r="AH268" s="284">
        <v>2142000</v>
      </c>
      <c r="AI268" s="285" t="s">
        <v>1186</v>
      </c>
      <c r="AJ268" s="286">
        <v>46182</v>
      </c>
      <c r="AK268" s="263" t="s">
        <v>2095</v>
      </c>
      <c r="AL268" s="288" t="s">
        <v>1193</v>
      </c>
      <c r="AM268" s="298" t="s">
        <v>2096</v>
      </c>
      <c r="AN268" s="289">
        <v>17500</v>
      </c>
      <c r="AO268" s="290" t="s">
        <v>1190</v>
      </c>
      <c r="AP268" s="290" t="s">
        <v>1191</v>
      </c>
      <c r="AQ268" s="291">
        <v>14705.88</v>
      </c>
      <c r="AR268" s="292">
        <v>2794</v>
      </c>
      <c r="AS268" s="292">
        <v>17500</v>
      </c>
      <c r="AT268" s="293">
        <v>2205882</v>
      </c>
      <c r="AU268" s="293">
        <v>2625000</v>
      </c>
      <c r="AV268" s="294">
        <v>15353.33</v>
      </c>
      <c r="AW268" s="294">
        <v>2303000</v>
      </c>
      <c r="AX268" s="294">
        <v>278860.18</v>
      </c>
      <c r="AY268" s="299">
        <v>0.1211</v>
      </c>
    </row>
    <row r="269" spans="1:51" ht="57.6" hidden="1">
      <c r="A269" s="257" t="s">
        <v>2044</v>
      </c>
      <c r="B269" s="258" t="s">
        <v>2045</v>
      </c>
      <c r="C269" s="258">
        <v>21101803</v>
      </c>
      <c r="D269" s="257" t="s">
        <v>832</v>
      </c>
      <c r="F269" s="258" t="s">
        <v>568</v>
      </c>
      <c r="G269" s="262">
        <v>1</v>
      </c>
      <c r="H269" s="262" t="s">
        <v>192</v>
      </c>
      <c r="I269" s="321" t="s">
        <v>1186</v>
      </c>
      <c r="J269" s="322">
        <v>46175</v>
      </c>
      <c r="K269" s="263" t="s">
        <v>2097</v>
      </c>
      <c r="L269" s="264" t="s">
        <v>1193</v>
      </c>
      <c r="M269" s="265" t="s">
        <v>834</v>
      </c>
      <c r="N269" s="266">
        <v>248724</v>
      </c>
      <c r="O269" s="267" t="s">
        <v>1190</v>
      </c>
      <c r="P269" s="268" t="s">
        <v>1191</v>
      </c>
      <c r="Q269" s="269">
        <v>209011.76</v>
      </c>
      <c r="R269" s="271">
        <v>39712</v>
      </c>
      <c r="S269" s="271">
        <v>248724</v>
      </c>
      <c r="T269" s="272">
        <v>209012</v>
      </c>
      <c r="U269" s="272">
        <v>248724</v>
      </c>
      <c r="V269" s="273" t="s">
        <v>1186</v>
      </c>
      <c r="W269" s="274">
        <v>46175</v>
      </c>
      <c r="X269" s="263" t="s">
        <v>2098</v>
      </c>
      <c r="Y269" s="276" t="s">
        <v>1193</v>
      </c>
      <c r="Z269" s="277" t="s">
        <v>695</v>
      </c>
      <c r="AA269" s="278">
        <v>268900</v>
      </c>
      <c r="AB269" s="279" t="s">
        <v>1190</v>
      </c>
      <c r="AC269" s="280" t="s">
        <v>1191</v>
      </c>
      <c r="AD269" s="281">
        <v>225966.39</v>
      </c>
      <c r="AE269" s="283">
        <v>42934</v>
      </c>
      <c r="AF269" s="283">
        <v>268900</v>
      </c>
      <c r="AG269" s="284">
        <v>225966</v>
      </c>
      <c r="AH269" s="284">
        <v>268900</v>
      </c>
      <c r="AI269" s="285" t="s">
        <v>1186</v>
      </c>
      <c r="AJ269" s="286">
        <v>46175</v>
      </c>
      <c r="AK269" s="263" t="s">
        <v>2099</v>
      </c>
      <c r="AL269" s="288" t="s">
        <v>1193</v>
      </c>
      <c r="AM269" s="298" t="s">
        <v>835</v>
      </c>
      <c r="AN269" s="289">
        <v>250000</v>
      </c>
      <c r="AO269" s="290" t="s">
        <v>1190</v>
      </c>
      <c r="AP269" s="290" t="s">
        <v>1191</v>
      </c>
      <c r="AQ269" s="291">
        <v>210084.03</v>
      </c>
      <c r="AR269" s="292">
        <v>39916</v>
      </c>
      <c r="AS269" s="292">
        <v>250000</v>
      </c>
      <c r="AT269" s="293">
        <v>210084</v>
      </c>
      <c r="AU269" s="293">
        <v>250000</v>
      </c>
      <c r="AV269" s="294">
        <v>255874.67</v>
      </c>
      <c r="AW269" s="294">
        <v>255874.67</v>
      </c>
      <c r="AX269" s="294">
        <v>11298.3</v>
      </c>
      <c r="AY269" s="299">
        <v>4.4200000000000003E-2</v>
      </c>
    </row>
    <row r="270" spans="1:51" ht="57.6" hidden="1">
      <c r="A270" s="257" t="s">
        <v>2044</v>
      </c>
      <c r="B270" s="258" t="s">
        <v>2045</v>
      </c>
      <c r="C270" s="258">
        <v>21101803</v>
      </c>
      <c r="D270" s="257" t="s">
        <v>761</v>
      </c>
      <c r="F270" s="258" t="s">
        <v>568</v>
      </c>
      <c r="G270" s="262">
        <v>1</v>
      </c>
      <c r="H270" s="262" t="s">
        <v>192</v>
      </c>
      <c r="I270" s="321" t="s">
        <v>1186</v>
      </c>
      <c r="J270" s="322">
        <v>46175</v>
      </c>
      <c r="K270" s="263" t="s">
        <v>2100</v>
      </c>
      <c r="L270" s="264" t="s">
        <v>1193</v>
      </c>
      <c r="M270" s="265" t="s">
        <v>695</v>
      </c>
      <c r="N270" s="266">
        <v>147900</v>
      </c>
      <c r="O270" s="267" t="s">
        <v>1190</v>
      </c>
      <c r="P270" s="268" t="s">
        <v>1191</v>
      </c>
      <c r="Q270" s="269">
        <v>124285.71</v>
      </c>
      <c r="R270" s="271">
        <v>23614</v>
      </c>
      <c r="S270" s="271">
        <v>147900</v>
      </c>
      <c r="T270" s="272">
        <v>124286</v>
      </c>
      <c r="U270" s="272">
        <v>147900</v>
      </c>
      <c r="V270" s="273" t="s">
        <v>1186</v>
      </c>
      <c r="W270" s="274">
        <v>46175</v>
      </c>
      <c r="X270" s="263" t="s">
        <v>2101</v>
      </c>
      <c r="Y270" s="276" t="s">
        <v>1193</v>
      </c>
      <c r="Z270" s="277" t="s">
        <v>763</v>
      </c>
      <c r="AA270" s="278">
        <v>170000</v>
      </c>
      <c r="AB270" s="279" t="s">
        <v>1190</v>
      </c>
      <c r="AC270" s="280" t="s">
        <v>1191</v>
      </c>
      <c r="AD270" s="281">
        <v>142857.14000000001</v>
      </c>
      <c r="AE270" s="283">
        <v>27143</v>
      </c>
      <c r="AF270" s="283">
        <v>170000</v>
      </c>
      <c r="AG270" s="284">
        <v>142857</v>
      </c>
      <c r="AH270" s="284">
        <v>170000</v>
      </c>
      <c r="AI270" s="285" t="s">
        <v>1186</v>
      </c>
      <c r="AJ270" s="286">
        <v>46175</v>
      </c>
      <c r="AK270" s="263" t="s">
        <v>761</v>
      </c>
      <c r="AL270" s="288" t="s">
        <v>1193</v>
      </c>
      <c r="AM270" s="298" t="s">
        <v>764</v>
      </c>
      <c r="AN270" s="289">
        <v>156600</v>
      </c>
      <c r="AO270" s="290" t="s">
        <v>1190</v>
      </c>
      <c r="AP270" s="290" t="s">
        <v>1191</v>
      </c>
      <c r="AQ270" s="291">
        <v>131596.64000000001</v>
      </c>
      <c r="AR270" s="292">
        <v>25003</v>
      </c>
      <c r="AS270" s="292">
        <v>156600</v>
      </c>
      <c r="AT270" s="293">
        <v>131597</v>
      </c>
      <c r="AU270" s="293">
        <v>156600</v>
      </c>
      <c r="AV270" s="294">
        <v>158166.67000000001</v>
      </c>
      <c r="AW270" s="294">
        <v>158166.67000000001</v>
      </c>
      <c r="AX270" s="294">
        <v>11132.98</v>
      </c>
      <c r="AY270" s="299">
        <v>7.0400000000000004E-2</v>
      </c>
    </row>
    <row r="271" spans="1:51" ht="57.6" hidden="1">
      <c r="A271" s="257" t="s">
        <v>2044</v>
      </c>
      <c r="B271" s="258" t="s">
        <v>2045</v>
      </c>
      <c r="C271" s="258">
        <v>21101803</v>
      </c>
      <c r="D271" s="257" t="s">
        <v>828</v>
      </c>
      <c r="F271" s="258" t="s">
        <v>568</v>
      </c>
      <c r="G271" s="262">
        <v>1</v>
      </c>
      <c r="H271" s="262" t="s">
        <v>192</v>
      </c>
      <c r="I271" s="321" t="s">
        <v>1186</v>
      </c>
      <c r="J271" s="322">
        <v>46175</v>
      </c>
      <c r="K271" s="263" t="s">
        <v>2102</v>
      </c>
      <c r="L271" s="264" t="s">
        <v>1193</v>
      </c>
      <c r="M271" s="265" t="s">
        <v>284</v>
      </c>
      <c r="N271" s="266">
        <v>24900</v>
      </c>
      <c r="O271" s="267" t="s">
        <v>1190</v>
      </c>
      <c r="P271" s="268" t="s">
        <v>1191</v>
      </c>
      <c r="Q271" s="269">
        <v>20924.37</v>
      </c>
      <c r="R271" s="271">
        <v>3976</v>
      </c>
      <c r="S271" s="271">
        <v>24900</v>
      </c>
      <c r="T271" s="272">
        <v>20924</v>
      </c>
      <c r="U271" s="272">
        <v>24900</v>
      </c>
      <c r="V271" s="273" t="s">
        <v>1186</v>
      </c>
      <c r="W271" s="274">
        <v>46175</v>
      </c>
      <c r="X271" s="263" t="s">
        <v>2103</v>
      </c>
      <c r="Y271" s="276" t="s">
        <v>1193</v>
      </c>
      <c r="Z271" s="277" t="s">
        <v>356</v>
      </c>
      <c r="AA271" s="278">
        <v>18000</v>
      </c>
      <c r="AB271" s="279" t="s">
        <v>1190</v>
      </c>
      <c r="AC271" s="280" t="s">
        <v>1191</v>
      </c>
      <c r="AD271" s="281">
        <v>15126.05</v>
      </c>
      <c r="AE271" s="283">
        <v>2874</v>
      </c>
      <c r="AF271" s="283">
        <v>18000</v>
      </c>
      <c r="AG271" s="284">
        <v>15126</v>
      </c>
      <c r="AH271" s="284">
        <v>18000</v>
      </c>
      <c r="AI271" s="285" t="s">
        <v>1199</v>
      </c>
      <c r="AJ271" s="286">
        <v>46196</v>
      </c>
      <c r="AK271" s="263" t="s">
        <v>2104</v>
      </c>
      <c r="AL271" s="288" t="s">
        <v>1193</v>
      </c>
      <c r="AM271" s="298" t="s">
        <v>830</v>
      </c>
      <c r="AN271" s="289">
        <v>20066</v>
      </c>
      <c r="AO271" s="290" t="s">
        <v>1190</v>
      </c>
      <c r="AP271" s="290" t="s">
        <v>1191</v>
      </c>
      <c r="AQ271" s="291">
        <v>16862.18</v>
      </c>
      <c r="AR271" s="292">
        <v>3204</v>
      </c>
      <c r="AS271" s="292">
        <v>20066</v>
      </c>
      <c r="AT271" s="293">
        <v>16862</v>
      </c>
      <c r="AU271" s="293">
        <v>20066</v>
      </c>
      <c r="AV271" s="294">
        <v>20988.67</v>
      </c>
      <c r="AW271" s="294">
        <v>20988.67</v>
      </c>
      <c r="AX271" s="294">
        <v>3541.33</v>
      </c>
      <c r="AY271" s="299">
        <v>0.16869999999999999</v>
      </c>
    </row>
    <row r="272" spans="1:51" ht="57.6" hidden="1">
      <c r="A272" s="257" t="s">
        <v>2044</v>
      </c>
      <c r="B272" s="258" t="s">
        <v>2045</v>
      </c>
      <c r="C272" s="258">
        <v>21101803</v>
      </c>
      <c r="D272" s="257" t="s">
        <v>766</v>
      </c>
      <c r="F272" s="258" t="s">
        <v>568</v>
      </c>
      <c r="G272" s="262">
        <v>1</v>
      </c>
      <c r="H272" s="262" t="s">
        <v>192</v>
      </c>
      <c r="I272" s="321" t="s">
        <v>1186</v>
      </c>
      <c r="J272" s="322">
        <v>46175</v>
      </c>
      <c r="K272" s="263" t="s">
        <v>2105</v>
      </c>
      <c r="L272" s="264" t="s">
        <v>1193</v>
      </c>
      <c r="M272" s="265" t="s">
        <v>284</v>
      </c>
      <c r="N272" s="266">
        <v>64900</v>
      </c>
      <c r="O272" s="267" t="s">
        <v>1190</v>
      </c>
      <c r="P272" s="268" t="s">
        <v>1191</v>
      </c>
      <c r="Q272" s="269">
        <v>54537.82</v>
      </c>
      <c r="R272" s="271">
        <v>10362</v>
      </c>
      <c r="S272" s="271">
        <v>64900</v>
      </c>
      <c r="T272" s="272">
        <v>54538</v>
      </c>
      <c r="U272" s="272">
        <v>64900</v>
      </c>
      <c r="V272" s="273" t="s">
        <v>1186</v>
      </c>
      <c r="W272" s="274">
        <v>46175</v>
      </c>
      <c r="X272" s="263" t="s">
        <v>2106</v>
      </c>
      <c r="Y272" s="276" t="s">
        <v>1193</v>
      </c>
      <c r="Z272" s="277" t="s">
        <v>768</v>
      </c>
      <c r="AA272" s="278">
        <v>64900</v>
      </c>
      <c r="AB272" s="279" t="s">
        <v>1190</v>
      </c>
      <c r="AC272" s="280" t="s">
        <v>1191</v>
      </c>
      <c r="AD272" s="281">
        <v>54537.82</v>
      </c>
      <c r="AE272" s="283">
        <v>10362</v>
      </c>
      <c r="AF272" s="283">
        <v>64900</v>
      </c>
      <c r="AG272" s="284">
        <v>54538</v>
      </c>
      <c r="AH272" s="284">
        <v>64900</v>
      </c>
      <c r="AI272" s="285" t="s">
        <v>1186</v>
      </c>
      <c r="AJ272" s="286">
        <v>46175</v>
      </c>
      <c r="AK272" s="263" t="s">
        <v>2107</v>
      </c>
      <c r="AL272" s="288" t="s">
        <v>1193</v>
      </c>
      <c r="AM272" s="298" t="s">
        <v>769</v>
      </c>
      <c r="AN272" s="289">
        <v>62521</v>
      </c>
      <c r="AO272" s="290" t="s">
        <v>1190</v>
      </c>
      <c r="AP272" s="290" t="s">
        <v>1191</v>
      </c>
      <c r="AQ272" s="291">
        <v>52538.66</v>
      </c>
      <c r="AR272" s="292">
        <v>9982</v>
      </c>
      <c r="AS272" s="292">
        <v>62521</v>
      </c>
      <c r="AT272" s="293">
        <v>52539</v>
      </c>
      <c r="AU272" s="293">
        <v>62521</v>
      </c>
      <c r="AV272" s="294">
        <v>64107</v>
      </c>
      <c r="AW272" s="294">
        <v>64107</v>
      </c>
      <c r="AX272" s="294">
        <v>1373.52</v>
      </c>
      <c r="AY272" s="299">
        <v>2.1399999999999999E-2</v>
      </c>
    </row>
    <row r="273" spans="1:51" ht="57.6" hidden="1">
      <c r="A273" s="257" t="s">
        <v>2044</v>
      </c>
      <c r="B273" s="258" t="s">
        <v>2045</v>
      </c>
      <c r="C273" s="258">
        <v>21101501</v>
      </c>
      <c r="D273" s="257" t="s">
        <v>711</v>
      </c>
      <c r="F273" s="258" t="s">
        <v>568</v>
      </c>
      <c r="G273" s="262">
        <v>1</v>
      </c>
      <c r="H273" s="262" t="s">
        <v>192</v>
      </c>
      <c r="I273" s="321" t="s">
        <v>1357</v>
      </c>
      <c r="J273" s="322">
        <v>46176</v>
      </c>
      <c r="K273" s="263" t="s">
        <v>2046</v>
      </c>
      <c r="L273" s="264" t="s">
        <v>1188</v>
      </c>
      <c r="M273" s="265" t="s">
        <v>380</v>
      </c>
      <c r="N273" s="266">
        <v>140000</v>
      </c>
      <c r="O273" s="267" t="s">
        <v>1197</v>
      </c>
      <c r="P273" s="268" t="s">
        <v>1191</v>
      </c>
      <c r="Q273" s="269">
        <v>140000</v>
      </c>
      <c r="R273" s="271">
        <v>26600</v>
      </c>
      <c r="S273" s="271">
        <v>166600</v>
      </c>
      <c r="T273" s="272">
        <v>140000</v>
      </c>
      <c r="U273" s="272">
        <v>166600</v>
      </c>
      <c r="V273" s="273" t="s">
        <v>1357</v>
      </c>
      <c r="W273" s="274">
        <v>46176</v>
      </c>
      <c r="X273" s="263" t="s">
        <v>2108</v>
      </c>
      <c r="Y273" s="276" t="s">
        <v>1188</v>
      </c>
      <c r="Z273" s="277" t="s">
        <v>382</v>
      </c>
      <c r="AA273" s="278">
        <v>139860</v>
      </c>
      <c r="AB273" s="279" t="s">
        <v>1197</v>
      </c>
      <c r="AC273" s="280" t="s">
        <v>1191</v>
      </c>
      <c r="AD273" s="281">
        <v>139860</v>
      </c>
      <c r="AE273" s="283">
        <v>26573</v>
      </c>
      <c r="AF273" s="283">
        <v>166433</v>
      </c>
      <c r="AG273" s="284">
        <v>139860</v>
      </c>
      <c r="AH273" s="284">
        <v>166433</v>
      </c>
      <c r="AI273" s="285" t="s">
        <v>1357</v>
      </c>
      <c r="AJ273" s="286">
        <v>46176</v>
      </c>
      <c r="AK273" s="263" t="s">
        <v>2048</v>
      </c>
      <c r="AL273" s="288" t="s">
        <v>1188</v>
      </c>
      <c r="AM273" s="298" t="s">
        <v>381</v>
      </c>
      <c r="AN273" s="289">
        <v>142000</v>
      </c>
      <c r="AO273" s="290" t="s">
        <v>1197</v>
      </c>
      <c r="AP273" s="290" t="s">
        <v>1191</v>
      </c>
      <c r="AQ273" s="291">
        <v>142000</v>
      </c>
      <c r="AR273" s="292">
        <v>26980</v>
      </c>
      <c r="AS273" s="292">
        <v>168980</v>
      </c>
      <c r="AT273" s="293">
        <v>142000</v>
      </c>
      <c r="AU273" s="293">
        <v>168980</v>
      </c>
      <c r="AV273" s="294">
        <v>167337.79999999999</v>
      </c>
      <c r="AW273" s="294">
        <v>167337.79999999999</v>
      </c>
      <c r="AX273" s="294">
        <v>1424.62</v>
      </c>
      <c r="AY273" s="299">
        <v>8.5000000000000006E-3</v>
      </c>
    </row>
    <row r="274" spans="1:51" ht="57.6" hidden="1">
      <c r="A274" s="257" t="s">
        <v>2044</v>
      </c>
      <c r="B274" s="258" t="s">
        <v>2045</v>
      </c>
      <c r="C274" s="258">
        <v>21101612</v>
      </c>
      <c r="D274" s="257" t="s">
        <v>691</v>
      </c>
      <c r="F274" s="258" t="s">
        <v>568</v>
      </c>
      <c r="G274" s="262">
        <v>1</v>
      </c>
      <c r="H274" s="262" t="s">
        <v>192</v>
      </c>
      <c r="I274" s="321" t="s">
        <v>1186</v>
      </c>
      <c r="J274" s="322">
        <v>46174</v>
      </c>
      <c r="K274" s="263" t="s">
        <v>2109</v>
      </c>
      <c r="L274" s="264" t="s">
        <v>1193</v>
      </c>
      <c r="M274" s="263" t="s">
        <v>2110</v>
      </c>
      <c r="N274" s="266">
        <v>13800</v>
      </c>
      <c r="O274" s="267" t="s">
        <v>1190</v>
      </c>
      <c r="P274" s="268" t="s">
        <v>1191</v>
      </c>
      <c r="Q274" s="269">
        <v>11596.64</v>
      </c>
      <c r="R274" s="271">
        <v>2203</v>
      </c>
      <c r="S274" s="271">
        <v>13800</v>
      </c>
      <c r="T274" s="272">
        <v>11597</v>
      </c>
      <c r="U274" s="272">
        <v>13800</v>
      </c>
      <c r="V274" s="273" t="s">
        <v>1186</v>
      </c>
      <c r="W274" s="274">
        <v>46174</v>
      </c>
      <c r="X274" s="263" t="s">
        <v>2111</v>
      </c>
      <c r="Y274" s="276" t="s">
        <v>1193</v>
      </c>
      <c r="Z274" s="277" t="s">
        <v>694</v>
      </c>
      <c r="AA274" s="278">
        <v>16600</v>
      </c>
      <c r="AB274" s="279" t="s">
        <v>1190</v>
      </c>
      <c r="AC274" s="280" t="s">
        <v>1191</v>
      </c>
      <c r="AD274" s="281">
        <v>13949.58</v>
      </c>
      <c r="AE274" s="283">
        <v>2650</v>
      </c>
      <c r="AF274" s="283">
        <v>16600</v>
      </c>
      <c r="AG274" s="284">
        <v>13950</v>
      </c>
      <c r="AH274" s="284">
        <v>16600</v>
      </c>
      <c r="AI274" s="285" t="s">
        <v>1186</v>
      </c>
      <c r="AJ274" s="286">
        <v>46174</v>
      </c>
      <c r="AK274" s="263" t="s">
        <v>2112</v>
      </c>
      <c r="AL274" s="288" t="s">
        <v>1193</v>
      </c>
      <c r="AM274" s="298" t="s">
        <v>695</v>
      </c>
      <c r="AN274" s="289">
        <v>12400</v>
      </c>
      <c r="AO274" s="290" t="s">
        <v>1190</v>
      </c>
      <c r="AP274" s="290" t="s">
        <v>1191</v>
      </c>
      <c r="AQ274" s="291">
        <v>10420.17</v>
      </c>
      <c r="AR274" s="292">
        <v>1980</v>
      </c>
      <c r="AS274" s="292">
        <v>12400</v>
      </c>
      <c r="AT274" s="293">
        <v>10420</v>
      </c>
      <c r="AU274" s="293">
        <v>12400</v>
      </c>
      <c r="AV274" s="294">
        <v>14266.67</v>
      </c>
      <c r="AW274" s="294">
        <v>14266.67</v>
      </c>
      <c r="AX274" s="294">
        <v>2138.54</v>
      </c>
      <c r="AY274" s="299">
        <v>0.14990000000000001</v>
      </c>
    </row>
    <row r="275" spans="1:51" ht="57.6" hidden="1">
      <c r="A275" s="257" t="s">
        <v>2044</v>
      </c>
      <c r="B275" s="258" t="s">
        <v>2045</v>
      </c>
      <c r="C275" s="258">
        <v>21101601</v>
      </c>
      <c r="D275" s="257" t="s">
        <v>862</v>
      </c>
      <c r="F275" s="258" t="s">
        <v>568</v>
      </c>
      <c r="G275" s="262">
        <v>1</v>
      </c>
      <c r="H275" s="262" t="s">
        <v>192</v>
      </c>
      <c r="I275" s="321" t="s">
        <v>1357</v>
      </c>
      <c r="J275" s="322">
        <v>46176</v>
      </c>
      <c r="K275" s="263" t="s">
        <v>2046</v>
      </c>
      <c r="L275" s="264" t="s">
        <v>1188</v>
      </c>
      <c r="M275" s="265" t="s">
        <v>380</v>
      </c>
      <c r="N275" s="266">
        <v>60000</v>
      </c>
      <c r="O275" s="267" t="s">
        <v>1197</v>
      </c>
      <c r="P275" s="268" t="s">
        <v>1191</v>
      </c>
      <c r="Q275" s="269">
        <v>60000</v>
      </c>
      <c r="R275" s="271">
        <v>11400</v>
      </c>
      <c r="S275" s="271">
        <v>71400</v>
      </c>
      <c r="T275" s="272">
        <v>60000</v>
      </c>
      <c r="U275" s="272">
        <v>71400</v>
      </c>
      <c r="V275" s="273" t="s">
        <v>1357</v>
      </c>
      <c r="W275" s="274">
        <v>46176</v>
      </c>
      <c r="X275" s="263" t="s">
        <v>2108</v>
      </c>
      <c r="Y275" s="276" t="s">
        <v>1188</v>
      </c>
      <c r="Z275" s="277" t="s">
        <v>382</v>
      </c>
      <c r="AA275" s="278">
        <v>56000</v>
      </c>
      <c r="AB275" s="279" t="s">
        <v>1197</v>
      </c>
      <c r="AC275" s="280" t="s">
        <v>1191</v>
      </c>
      <c r="AD275" s="281">
        <v>56000</v>
      </c>
      <c r="AE275" s="283">
        <v>10640</v>
      </c>
      <c r="AF275" s="283">
        <v>66640</v>
      </c>
      <c r="AG275" s="284">
        <v>56000</v>
      </c>
      <c r="AH275" s="284">
        <v>66640</v>
      </c>
      <c r="AI275" s="285" t="s">
        <v>1357</v>
      </c>
      <c r="AJ275" s="286">
        <v>46176</v>
      </c>
      <c r="AK275" s="263" t="s">
        <v>2048</v>
      </c>
      <c r="AL275" s="288" t="s">
        <v>1188</v>
      </c>
      <c r="AM275" s="298" t="s">
        <v>381</v>
      </c>
      <c r="AN275" s="289">
        <v>58000</v>
      </c>
      <c r="AO275" s="290" t="s">
        <v>1197</v>
      </c>
      <c r="AP275" s="290" t="s">
        <v>1191</v>
      </c>
      <c r="AQ275" s="291">
        <v>58000</v>
      </c>
      <c r="AR275" s="292">
        <v>11020</v>
      </c>
      <c r="AS275" s="292">
        <v>69020</v>
      </c>
      <c r="AT275" s="293">
        <v>58000</v>
      </c>
      <c r="AU275" s="293">
        <v>69020</v>
      </c>
      <c r="AV275" s="294">
        <v>69020</v>
      </c>
      <c r="AW275" s="294">
        <v>69020</v>
      </c>
      <c r="AX275" s="294">
        <v>2380</v>
      </c>
      <c r="AY275" s="299">
        <v>3.4500000000000003E-2</v>
      </c>
    </row>
    <row r="276" spans="1:51" ht="57.6" hidden="1">
      <c r="A276" s="257" t="s">
        <v>2044</v>
      </c>
      <c r="B276" s="258" t="s">
        <v>2045</v>
      </c>
      <c r="C276" s="258">
        <v>31211506</v>
      </c>
      <c r="D276" s="257" t="s">
        <v>2113</v>
      </c>
      <c r="F276" s="258" t="s">
        <v>191</v>
      </c>
      <c r="G276" s="262">
        <v>1</v>
      </c>
      <c r="H276" s="262" t="s">
        <v>192</v>
      </c>
      <c r="I276" s="321" t="s">
        <v>1186</v>
      </c>
      <c r="J276" s="322">
        <v>46182</v>
      </c>
      <c r="K276" s="297"/>
      <c r="L276" s="264" t="s">
        <v>1193</v>
      </c>
      <c r="M276" s="265" t="s">
        <v>1452</v>
      </c>
      <c r="N276" s="266">
        <v>33900</v>
      </c>
      <c r="O276" s="267" t="s">
        <v>1190</v>
      </c>
      <c r="P276" s="268" t="s">
        <v>1191</v>
      </c>
      <c r="Q276" s="269">
        <v>28487.39</v>
      </c>
      <c r="R276" s="271">
        <v>5413</v>
      </c>
      <c r="S276" s="271">
        <v>33900</v>
      </c>
      <c r="T276" s="272">
        <v>28487</v>
      </c>
      <c r="U276" s="272">
        <v>33900</v>
      </c>
      <c r="V276" s="273" t="s">
        <v>1186</v>
      </c>
      <c r="W276" s="274">
        <v>46182</v>
      </c>
      <c r="X276" s="275"/>
      <c r="Y276" s="276" t="s">
        <v>1193</v>
      </c>
      <c r="Z276" s="277" t="s">
        <v>392</v>
      </c>
      <c r="AA276" s="278">
        <v>35900</v>
      </c>
      <c r="AB276" s="279" t="s">
        <v>1190</v>
      </c>
      <c r="AC276" s="280" t="s">
        <v>1191</v>
      </c>
      <c r="AD276" s="281">
        <v>30168.07</v>
      </c>
      <c r="AE276" s="283">
        <v>5732</v>
      </c>
      <c r="AF276" s="283">
        <v>35900</v>
      </c>
      <c r="AG276" s="284">
        <v>30168</v>
      </c>
      <c r="AH276" s="284">
        <v>35900</v>
      </c>
      <c r="AI276" s="285" t="s">
        <v>1186</v>
      </c>
      <c r="AJ276" s="286">
        <v>46182</v>
      </c>
      <c r="AK276" s="287"/>
      <c r="AL276" s="288" t="s">
        <v>1193</v>
      </c>
      <c r="AM276" s="298" t="s">
        <v>2114</v>
      </c>
      <c r="AN276" s="289">
        <v>28900.34</v>
      </c>
      <c r="AO276" s="290" t="s">
        <v>1190</v>
      </c>
      <c r="AP276" s="290" t="s">
        <v>1191</v>
      </c>
      <c r="AQ276" s="291">
        <v>24286</v>
      </c>
      <c r="AR276" s="292">
        <v>4614</v>
      </c>
      <c r="AS276" s="292">
        <v>28900</v>
      </c>
      <c r="AT276" s="293">
        <v>24286</v>
      </c>
      <c r="AU276" s="293">
        <v>28900</v>
      </c>
      <c r="AV276" s="294">
        <v>32900.11</v>
      </c>
      <c r="AW276" s="294">
        <v>32900.11</v>
      </c>
      <c r="AX276" s="294">
        <v>3605.36</v>
      </c>
      <c r="AY276" s="299">
        <v>0.1096</v>
      </c>
    </row>
    <row r="277" spans="1:51" ht="57.6" hidden="1">
      <c r="A277" s="257" t="s">
        <v>2044</v>
      </c>
      <c r="B277" s="258" t="s">
        <v>2045</v>
      </c>
      <c r="C277" s="258">
        <v>21101501</v>
      </c>
      <c r="D277" s="257" t="s">
        <v>702</v>
      </c>
      <c r="F277" s="258" t="s">
        <v>568</v>
      </c>
      <c r="G277" s="262">
        <v>1</v>
      </c>
      <c r="H277" s="262" t="s">
        <v>192</v>
      </c>
      <c r="I277" s="321" t="s">
        <v>1186</v>
      </c>
      <c r="J277" s="322">
        <v>46174</v>
      </c>
      <c r="K277" s="263" t="s">
        <v>2115</v>
      </c>
      <c r="L277" s="264" t="s">
        <v>1193</v>
      </c>
      <c r="M277" s="265" t="s">
        <v>704</v>
      </c>
      <c r="N277" s="266">
        <v>123550</v>
      </c>
      <c r="O277" s="267" t="s">
        <v>1190</v>
      </c>
      <c r="P277" s="268" t="s">
        <v>1191</v>
      </c>
      <c r="Q277" s="269">
        <v>103823.53</v>
      </c>
      <c r="R277" s="271">
        <v>19726</v>
      </c>
      <c r="S277" s="271">
        <v>123550</v>
      </c>
      <c r="T277" s="272">
        <v>103824</v>
      </c>
      <c r="U277" s="272">
        <v>123550</v>
      </c>
      <c r="V277" s="273" t="s">
        <v>1186</v>
      </c>
      <c r="W277" s="274">
        <v>46174</v>
      </c>
      <c r="X277" s="263" t="s">
        <v>2116</v>
      </c>
      <c r="Y277" s="276" t="s">
        <v>1193</v>
      </c>
      <c r="Z277" s="277" t="s">
        <v>705</v>
      </c>
      <c r="AA277" s="278">
        <v>117600</v>
      </c>
      <c r="AB277" s="279" t="s">
        <v>1190</v>
      </c>
      <c r="AC277" s="280" t="s">
        <v>1191</v>
      </c>
      <c r="AD277" s="281">
        <v>98823.53</v>
      </c>
      <c r="AE277" s="283">
        <v>18776</v>
      </c>
      <c r="AF277" s="283">
        <v>117600</v>
      </c>
      <c r="AG277" s="284">
        <v>98824</v>
      </c>
      <c r="AH277" s="284">
        <v>117600</v>
      </c>
      <c r="AI277" s="285" t="s">
        <v>1186</v>
      </c>
      <c r="AJ277" s="286">
        <v>46174</v>
      </c>
      <c r="AK277" s="263" t="s">
        <v>2117</v>
      </c>
      <c r="AL277" s="288" t="s">
        <v>1193</v>
      </c>
      <c r="AM277" s="298" t="s">
        <v>706</v>
      </c>
      <c r="AN277" s="289">
        <v>114735</v>
      </c>
      <c r="AO277" s="290" t="s">
        <v>1190</v>
      </c>
      <c r="AP277" s="290" t="s">
        <v>1191</v>
      </c>
      <c r="AQ277" s="291">
        <v>96415.97</v>
      </c>
      <c r="AR277" s="292">
        <v>18319</v>
      </c>
      <c r="AS277" s="292">
        <v>114735</v>
      </c>
      <c r="AT277" s="293">
        <v>96416</v>
      </c>
      <c r="AU277" s="293">
        <v>114735</v>
      </c>
      <c r="AV277" s="294">
        <v>118628.33</v>
      </c>
      <c r="AW277" s="294">
        <v>118628.33</v>
      </c>
      <c r="AX277" s="294">
        <v>4496.57</v>
      </c>
      <c r="AY277" s="299">
        <v>3.7900000000000003E-2</v>
      </c>
    </row>
    <row r="278" spans="1:51" ht="57.6" hidden="1">
      <c r="A278" s="257" t="s">
        <v>2044</v>
      </c>
      <c r="B278" s="258" t="s">
        <v>2045</v>
      </c>
      <c r="C278" s="258">
        <v>41111508</v>
      </c>
      <c r="D278" s="257" t="s">
        <v>920</v>
      </c>
      <c r="F278" s="258" t="s">
        <v>568</v>
      </c>
      <c r="G278" s="262">
        <v>1</v>
      </c>
      <c r="H278" s="262" t="s">
        <v>192</v>
      </c>
      <c r="I278" s="321" t="s">
        <v>1357</v>
      </c>
      <c r="J278" s="322">
        <v>46176</v>
      </c>
      <c r="K278" s="263" t="s">
        <v>2046</v>
      </c>
      <c r="L278" s="264" t="s">
        <v>1188</v>
      </c>
      <c r="M278" s="265" t="s">
        <v>380</v>
      </c>
      <c r="N278" s="266">
        <v>190000</v>
      </c>
      <c r="O278" s="267" t="s">
        <v>1197</v>
      </c>
      <c r="P278" s="268" t="s">
        <v>1191</v>
      </c>
      <c r="Q278" s="269">
        <v>190000</v>
      </c>
      <c r="R278" s="271">
        <v>36100</v>
      </c>
      <c r="S278" s="271">
        <v>226100</v>
      </c>
      <c r="T278" s="272">
        <v>190000</v>
      </c>
      <c r="U278" s="272">
        <v>226100</v>
      </c>
      <c r="V278" s="273" t="s">
        <v>1357</v>
      </c>
      <c r="W278" s="274">
        <v>46176</v>
      </c>
      <c r="X278" s="263" t="s">
        <v>2048</v>
      </c>
      <c r="Y278" s="276" t="s">
        <v>1188</v>
      </c>
      <c r="Z278" s="277" t="s">
        <v>381</v>
      </c>
      <c r="AA278" s="278">
        <v>188000</v>
      </c>
      <c r="AB278" s="279" t="s">
        <v>1197</v>
      </c>
      <c r="AC278" s="280" t="s">
        <v>1191</v>
      </c>
      <c r="AD278" s="281">
        <v>188000</v>
      </c>
      <c r="AE278" s="283">
        <v>35720</v>
      </c>
      <c r="AF278" s="283">
        <v>223720</v>
      </c>
      <c r="AG278" s="284">
        <v>188000</v>
      </c>
      <c r="AH278" s="284">
        <v>223720</v>
      </c>
      <c r="AI278" s="285" t="s">
        <v>1357</v>
      </c>
      <c r="AJ278" s="286">
        <v>46176</v>
      </c>
      <c r="AK278" s="263" t="s">
        <v>2108</v>
      </c>
      <c r="AL278" s="288" t="s">
        <v>1188</v>
      </c>
      <c r="AM278" s="298" t="s">
        <v>382</v>
      </c>
      <c r="AN278" s="289">
        <v>196000</v>
      </c>
      <c r="AO278" s="290" t="s">
        <v>1197</v>
      </c>
      <c r="AP278" s="290" t="s">
        <v>1191</v>
      </c>
      <c r="AQ278" s="291">
        <v>196000</v>
      </c>
      <c r="AR278" s="292">
        <v>37240</v>
      </c>
      <c r="AS278" s="292">
        <v>233240</v>
      </c>
      <c r="AT278" s="293">
        <v>196000</v>
      </c>
      <c r="AU278" s="293">
        <v>233240</v>
      </c>
      <c r="AV278" s="294">
        <v>227686.67</v>
      </c>
      <c r="AW278" s="294">
        <v>227686.67</v>
      </c>
      <c r="AX278" s="294">
        <v>4954.37</v>
      </c>
      <c r="AY278" s="299">
        <v>2.18E-2</v>
      </c>
    </row>
    <row r="279" spans="1:51" ht="57.6" hidden="1">
      <c r="A279" s="257" t="s">
        <v>2044</v>
      </c>
      <c r="B279" s="258" t="s">
        <v>2045</v>
      </c>
      <c r="C279" s="258">
        <v>10151507</v>
      </c>
      <c r="D279" s="257" t="s">
        <v>843</v>
      </c>
      <c r="F279" s="258" t="s">
        <v>568</v>
      </c>
      <c r="G279" s="262">
        <v>1</v>
      </c>
      <c r="H279" s="262" t="s">
        <v>192</v>
      </c>
      <c r="I279" s="321" t="s">
        <v>1357</v>
      </c>
      <c r="J279" s="322">
        <v>46176</v>
      </c>
      <c r="K279" s="263" t="s">
        <v>2046</v>
      </c>
      <c r="L279" s="264" t="s">
        <v>1188</v>
      </c>
      <c r="M279" s="265" t="s">
        <v>380</v>
      </c>
      <c r="N279" s="266">
        <v>57000</v>
      </c>
      <c r="O279" s="267" t="s">
        <v>1197</v>
      </c>
      <c r="P279" s="268" t="s">
        <v>1217</v>
      </c>
      <c r="Q279" s="269">
        <v>57000</v>
      </c>
      <c r="R279" s="270" t="s">
        <v>2047</v>
      </c>
      <c r="S279" s="271">
        <v>57000</v>
      </c>
      <c r="T279" s="272">
        <v>57000</v>
      </c>
      <c r="U279" s="272">
        <v>57000</v>
      </c>
      <c r="V279" s="273" t="s">
        <v>1357</v>
      </c>
      <c r="W279" s="274">
        <v>46176</v>
      </c>
      <c r="X279" s="263" t="s">
        <v>2048</v>
      </c>
      <c r="Y279" s="276" t="s">
        <v>1188</v>
      </c>
      <c r="Z279" s="277" t="s">
        <v>381</v>
      </c>
      <c r="AA279" s="278">
        <v>55000</v>
      </c>
      <c r="AB279" s="279" t="s">
        <v>1197</v>
      </c>
      <c r="AC279" s="280" t="s">
        <v>1217</v>
      </c>
      <c r="AD279" s="281">
        <v>55000</v>
      </c>
      <c r="AE279" s="282" t="s">
        <v>2047</v>
      </c>
      <c r="AF279" s="283">
        <v>55000</v>
      </c>
      <c r="AG279" s="284">
        <v>55000</v>
      </c>
      <c r="AH279" s="284">
        <v>55000</v>
      </c>
      <c r="AI279" s="285" t="s">
        <v>1357</v>
      </c>
      <c r="AJ279" s="286">
        <v>46176</v>
      </c>
      <c r="AK279" s="263" t="s">
        <v>2108</v>
      </c>
      <c r="AL279" s="288" t="s">
        <v>1188</v>
      </c>
      <c r="AM279" s="298" t="s">
        <v>382</v>
      </c>
      <c r="AN279" s="289">
        <v>52800</v>
      </c>
      <c r="AO279" s="290" t="s">
        <v>1197</v>
      </c>
      <c r="AP279" s="290" t="s">
        <v>1217</v>
      </c>
      <c r="AQ279" s="291">
        <v>52800</v>
      </c>
      <c r="AR279" s="300" t="s">
        <v>2047</v>
      </c>
      <c r="AS279" s="292">
        <v>52800</v>
      </c>
      <c r="AT279" s="293">
        <v>52800</v>
      </c>
      <c r="AU279" s="293">
        <v>52800</v>
      </c>
      <c r="AV279" s="294">
        <v>54933.33</v>
      </c>
      <c r="AW279" s="294">
        <v>54933.33</v>
      </c>
      <c r="AX279" s="294">
        <v>2100.79</v>
      </c>
      <c r="AY279" s="299">
        <v>3.8199999999999998E-2</v>
      </c>
    </row>
    <row r="280" spans="1:51" ht="57.6" hidden="1">
      <c r="A280" s="257" t="s">
        <v>2044</v>
      </c>
      <c r="B280" s="258" t="s">
        <v>2045</v>
      </c>
      <c r="C280" s="258">
        <v>2400503</v>
      </c>
      <c r="D280" s="257" t="s">
        <v>928</v>
      </c>
      <c r="F280" s="258" t="s">
        <v>568</v>
      </c>
      <c r="G280" s="262">
        <v>1</v>
      </c>
      <c r="H280" s="262" t="s">
        <v>192</v>
      </c>
      <c r="I280" s="321" t="s">
        <v>1357</v>
      </c>
      <c r="J280" s="322">
        <v>46176</v>
      </c>
      <c r="K280" s="263" t="s">
        <v>2046</v>
      </c>
      <c r="L280" s="264" t="s">
        <v>1188</v>
      </c>
      <c r="M280" s="265" t="s">
        <v>380</v>
      </c>
      <c r="N280" s="266">
        <v>310000</v>
      </c>
      <c r="O280" s="267" t="s">
        <v>1197</v>
      </c>
      <c r="P280" s="268" t="s">
        <v>1191</v>
      </c>
      <c r="Q280" s="269">
        <v>310000</v>
      </c>
      <c r="R280" s="271">
        <v>58900</v>
      </c>
      <c r="S280" s="271">
        <v>368900</v>
      </c>
      <c r="T280" s="272">
        <v>310000</v>
      </c>
      <c r="U280" s="272">
        <v>368900</v>
      </c>
      <c r="V280" s="273" t="s">
        <v>1357</v>
      </c>
      <c r="W280" s="274">
        <v>46176</v>
      </c>
      <c r="X280" s="263" t="s">
        <v>2048</v>
      </c>
      <c r="Y280" s="276" t="s">
        <v>1188</v>
      </c>
      <c r="Z280" s="277" t="s">
        <v>381</v>
      </c>
      <c r="AA280" s="278">
        <v>320000</v>
      </c>
      <c r="AB280" s="279" t="s">
        <v>1197</v>
      </c>
      <c r="AC280" s="280" t="s">
        <v>1191</v>
      </c>
      <c r="AD280" s="281">
        <v>320000</v>
      </c>
      <c r="AE280" s="283">
        <v>60800</v>
      </c>
      <c r="AF280" s="283">
        <v>380800</v>
      </c>
      <c r="AG280" s="284">
        <v>320000</v>
      </c>
      <c r="AH280" s="284">
        <v>380800</v>
      </c>
      <c r="AI280" s="285" t="s">
        <v>1357</v>
      </c>
      <c r="AJ280" s="286">
        <v>46176</v>
      </c>
      <c r="AK280" s="263" t="s">
        <v>2108</v>
      </c>
      <c r="AL280" s="288" t="s">
        <v>1188</v>
      </c>
      <c r="AM280" s="298" t="s">
        <v>382</v>
      </c>
      <c r="AN280" s="289">
        <v>308000</v>
      </c>
      <c r="AO280" s="290" t="s">
        <v>1197</v>
      </c>
      <c r="AP280" s="290" t="s">
        <v>1191</v>
      </c>
      <c r="AQ280" s="291">
        <v>308000</v>
      </c>
      <c r="AR280" s="292">
        <v>58520</v>
      </c>
      <c r="AS280" s="292">
        <v>366520</v>
      </c>
      <c r="AT280" s="293">
        <v>308000</v>
      </c>
      <c r="AU280" s="293">
        <v>366520</v>
      </c>
      <c r="AV280" s="294">
        <v>372073.33</v>
      </c>
      <c r="AW280" s="294">
        <v>372073.33</v>
      </c>
      <c r="AX280" s="294">
        <v>7650.63</v>
      </c>
      <c r="AY280" s="299">
        <v>2.06E-2</v>
      </c>
    </row>
    <row r="281" spans="1:51" ht="57.6" hidden="1">
      <c r="A281" s="257" t="s">
        <v>2044</v>
      </c>
      <c r="B281" s="258" t="s">
        <v>2045</v>
      </c>
      <c r="C281" s="258">
        <v>47121701</v>
      </c>
      <c r="D281" s="257" t="s">
        <v>2118</v>
      </c>
      <c r="F281" s="258" t="s">
        <v>191</v>
      </c>
      <c r="G281" s="262">
        <v>2</v>
      </c>
      <c r="H281" s="262" t="s">
        <v>192</v>
      </c>
      <c r="I281" s="321" t="s">
        <v>1357</v>
      </c>
      <c r="J281" s="322">
        <v>46169</v>
      </c>
      <c r="K281" s="263" t="s">
        <v>2071</v>
      </c>
      <c r="L281" s="264" t="s">
        <v>1188</v>
      </c>
      <c r="M281" s="265" t="s">
        <v>193</v>
      </c>
      <c r="N281" s="266">
        <v>15000</v>
      </c>
      <c r="O281" s="267" t="s">
        <v>1197</v>
      </c>
      <c r="P281" s="268" t="s">
        <v>1191</v>
      </c>
      <c r="Q281" s="269">
        <v>15000</v>
      </c>
      <c r="R281" s="271">
        <v>2850</v>
      </c>
      <c r="S281" s="271">
        <v>17850</v>
      </c>
      <c r="T281" s="272">
        <v>30000</v>
      </c>
      <c r="U281" s="272">
        <v>35700</v>
      </c>
      <c r="V281" s="273" t="s">
        <v>1357</v>
      </c>
      <c r="W281" s="274">
        <v>46169</v>
      </c>
      <c r="X281" s="263" t="s">
        <v>2062</v>
      </c>
      <c r="Y281" s="276" t="s">
        <v>1188</v>
      </c>
      <c r="Z281" s="277" t="s">
        <v>194</v>
      </c>
      <c r="AA281" s="278">
        <v>16200</v>
      </c>
      <c r="AB281" s="279" t="s">
        <v>1197</v>
      </c>
      <c r="AC281" s="280" t="s">
        <v>1191</v>
      </c>
      <c r="AD281" s="281">
        <v>16200</v>
      </c>
      <c r="AE281" s="283">
        <v>3078</v>
      </c>
      <c r="AF281" s="283">
        <v>19278</v>
      </c>
      <c r="AG281" s="284">
        <v>32400</v>
      </c>
      <c r="AH281" s="284">
        <v>38556</v>
      </c>
      <c r="AI281" s="285" t="s">
        <v>1201</v>
      </c>
      <c r="AJ281" s="286">
        <v>46182</v>
      </c>
      <c r="AK281" s="263" t="s">
        <v>2119</v>
      </c>
      <c r="AL281" s="288" t="s">
        <v>1193</v>
      </c>
      <c r="AM281" s="298" t="s">
        <v>195</v>
      </c>
      <c r="AN281" s="289">
        <v>17982</v>
      </c>
      <c r="AO281" s="290" t="s">
        <v>1190</v>
      </c>
      <c r="AP281" s="290" t="s">
        <v>1191</v>
      </c>
      <c r="AQ281" s="291">
        <v>15110.92</v>
      </c>
      <c r="AR281" s="292">
        <v>2871</v>
      </c>
      <c r="AS281" s="292">
        <v>17982</v>
      </c>
      <c r="AT281" s="293">
        <v>30222</v>
      </c>
      <c r="AU281" s="293">
        <v>35964</v>
      </c>
      <c r="AV281" s="294">
        <v>18370</v>
      </c>
      <c r="AW281" s="294">
        <v>36740</v>
      </c>
      <c r="AX281" s="294">
        <v>1578.23</v>
      </c>
      <c r="AY281" s="299">
        <v>4.2999999999999997E-2</v>
      </c>
    </row>
    <row r="282" spans="1:51" ht="57.6" hidden="1">
      <c r="A282" s="257" t="s">
        <v>2044</v>
      </c>
      <c r="B282" s="258" t="s">
        <v>2045</v>
      </c>
      <c r="C282" s="258">
        <v>47101524</v>
      </c>
      <c r="D282" s="257" t="s">
        <v>792</v>
      </c>
      <c r="F282" s="258" t="s">
        <v>568</v>
      </c>
      <c r="G282" s="262">
        <v>1</v>
      </c>
      <c r="H282" s="262" t="s">
        <v>192</v>
      </c>
      <c r="I282" s="321" t="s">
        <v>1199</v>
      </c>
      <c r="J282" s="322">
        <v>46182</v>
      </c>
      <c r="K282" s="263" t="s">
        <v>2120</v>
      </c>
      <c r="L282" s="264" t="s">
        <v>1193</v>
      </c>
      <c r="M282" s="265" t="s">
        <v>794</v>
      </c>
      <c r="N282" s="266">
        <v>5700</v>
      </c>
      <c r="O282" s="267" t="s">
        <v>1190</v>
      </c>
      <c r="P282" s="268" t="s">
        <v>1191</v>
      </c>
      <c r="Q282" s="269">
        <v>4789.92</v>
      </c>
      <c r="R282" s="271">
        <v>910</v>
      </c>
      <c r="S282" s="271">
        <v>5700</v>
      </c>
      <c r="T282" s="272">
        <v>4790</v>
      </c>
      <c r="U282" s="272">
        <v>5700</v>
      </c>
      <c r="V282" s="273" t="s">
        <v>1199</v>
      </c>
      <c r="W282" s="274">
        <v>46182</v>
      </c>
      <c r="X282" s="263" t="s">
        <v>2121</v>
      </c>
      <c r="Y282" s="276" t="s">
        <v>1193</v>
      </c>
      <c r="Z282" s="277" t="s">
        <v>795</v>
      </c>
      <c r="AA282" s="278">
        <v>4300</v>
      </c>
      <c r="AB282" s="279" t="s">
        <v>1190</v>
      </c>
      <c r="AC282" s="280" t="s">
        <v>1191</v>
      </c>
      <c r="AD282" s="281">
        <v>3613.45</v>
      </c>
      <c r="AE282" s="283">
        <v>687</v>
      </c>
      <c r="AF282" s="283">
        <v>4300</v>
      </c>
      <c r="AG282" s="284">
        <v>3613</v>
      </c>
      <c r="AH282" s="284">
        <v>4300</v>
      </c>
      <c r="AI282" s="285" t="s">
        <v>1201</v>
      </c>
      <c r="AJ282" s="286">
        <v>46182</v>
      </c>
      <c r="AK282" s="263" t="s">
        <v>2122</v>
      </c>
      <c r="AL282" s="288" t="s">
        <v>1193</v>
      </c>
      <c r="AM282" s="298" t="s">
        <v>796</v>
      </c>
      <c r="AN282" s="289">
        <v>4800</v>
      </c>
      <c r="AO282" s="290" t="s">
        <v>1190</v>
      </c>
      <c r="AP282" s="290" t="s">
        <v>1191</v>
      </c>
      <c r="AQ282" s="291">
        <v>4033.61</v>
      </c>
      <c r="AR282" s="292">
        <v>766</v>
      </c>
      <c r="AS282" s="292">
        <v>4800</v>
      </c>
      <c r="AT282" s="293">
        <v>4034</v>
      </c>
      <c r="AU282" s="293">
        <v>4800</v>
      </c>
      <c r="AV282" s="294">
        <v>4933.33</v>
      </c>
      <c r="AW282" s="294">
        <v>4933.33</v>
      </c>
      <c r="AX282" s="294">
        <v>709.46</v>
      </c>
      <c r="AY282" s="299">
        <v>0.14380000000000001</v>
      </c>
    </row>
    <row r="283" spans="1:51" ht="57.6" hidden="1">
      <c r="A283" s="257" t="s">
        <v>2044</v>
      </c>
      <c r="B283" s="258" t="s">
        <v>2045</v>
      </c>
      <c r="C283" s="258">
        <v>47121701</v>
      </c>
      <c r="D283" s="257" t="s">
        <v>189</v>
      </c>
      <c r="F283" s="258" t="s">
        <v>191</v>
      </c>
      <c r="G283" s="262">
        <v>1</v>
      </c>
      <c r="H283" s="262" t="s">
        <v>192</v>
      </c>
      <c r="I283" s="321" t="s">
        <v>1357</v>
      </c>
      <c r="J283" s="322">
        <v>46169</v>
      </c>
      <c r="K283" s="263" t="s">
        <v>2071</v>
      </c>
      <c r="L283" s="264" t="s">
        <v>1188</v>
      </c>
      <c r="M283" s="265" t="s">
        <v>193</v>
      </c>
      <c r="N283" s="266">
        <v>15000</v>
      </c>
      <c r="O283" s="267" t="s">
        <v>1197</v>
      </c>
      <c r="P283" s="268" t="s">
        <v>1191</v>
      </c>
      <c r="Q283" s="269">
        <v>15000</v>
      </c>
      <c r="R283" s="271">
        <v>2850</v>
      </c>
      <c r="S283" s="271">
        <v>17850</v>
      </c>
      <c r="T283" s="272">
        <v>15000</v>
      </c>
      <c r="U283" s="272">
        <v>17850</v>
      </c>
      <c r="V283" s="273" t="s">
        <v>1357</v>
      </c>
      <c r="W283" s="274">
        <v>46169</v>
      </c>
      <c r="X283" s="263" t="s">
        <v>2062</v>
      </c>
      <c r="Y283" s="276" t="s">
        <v>1188</v>
      </c>
      <c r="Z283" s="277" t="s">
        <v>194</v>
      </c>
      <c r="AA283" s="278">
        <v>16200</v>
      </c>
      <c r="AB283" s="279" t="s">
        <v>1197</v>
      </c>
      <c r="AC283" s="280" t="s">
        <v>1191</v>
      </c>
      <c r="AD283" s="281">
        <v>16200</v>
      </c>
      <c r="AE283" s="283">
        <v>3078</v>
      </c>
      <c r="AF283" s="283">
        <v>19278</v>
      </c>
      <c r="AG283" s="284">
        <v>16200</v>
      </c>
      <c r="AH283" s="284">
        <v>19278</v>
      </c>
      <c r="AI283" s="285" t="s">
        <v>1201</v>
      </c>
      <c r="AJ283" s="286">
        <v>46182</v>
      </c>
      <c r="AK283" s="263" t="s">
        <v>2123</v>
      </c>
      <c r="AL283" s="288" t="s">
        <v>1193</v>
      </c>
      <c r="AM283" s="298" t="s">
        <v>195</v>
      </c>
      <c r="AN283" s="289">
        <v>15850</v>
      </c>
      <c r="AO283" s="290" t="s">
        <v>1190</v>
      </c>
      <c r="AP283" s="290" t="s">
        <v>1191</v>
      </c>
      <c r="AQ283" s="291">
        <v>13319.33</v>
      </c>
      <c r="AR283" s="292">
        <v>2531</v>
      </c>
      <c r="AS283" s="292">
        <v>15850</v>
      </c>
      <c r="AT283" s="293">
        <v>13319</v>
      </c>
      <c r="AU283" s="293">
        <v>15850</v>
      </c>
      <c r="AV283" s="294">
        <v>17659.330000000002</v>
      </c>
      <c r="AW283" s="294">
        <v>17659.330000000002</v>
      </c>
      <c r="AX283" s="294">
        <v>1721.94</v>
      </c>
      <c r="AY283" s="299">
        <v>9.7500000000000003E-2</v>
      </c>
    </row>
    <row r="284" spans="1:51" ht="57.6" hidden="1">
      <c r="A284" s="257" t="s">
        <v>2044</v>
      </c>
      <c r="B284" s="258" t="s">
        <v>2045</v>
      </c>
      <c r="C284" s="258">
        <v>47121701</v>
      </c>
      <c r="D284" s="257" t="s">
        <v>2124</v>
      </c>
      <c r="F284" s="258" t="s">
        <v>191</v>
      </c>
      <c r="G284" s="262">
        <v>2</v>
      </c>
      <c r="H284" s="262" t="s">
        <v>192</v>
      </c>
      <c r="I284" s="321" t="s">
        <v>1357</v>
      </c>
      <c r="J284" s="322">
        <v>46169</v>
      </c>
      <c r="K284" s="263" t="s">
        <v>2071</v>
      </c>
      <c r="L284" s="264" t="s">
        <v>1188</v>
      </c>
      <c r="M284" s="265" t="s">
        <v>193</v>
      </c>
      <c r="N284" s="266">
        <v>15000</v>
      </c>
      <c r="O284" s="267" t="s">
        <v>1197</v>
      </c>
      <c r="P284" s="268" t="s">
        <v>1191</v>
      </c>
      <c r="Q284" s="269">
        <v>15000</v>
      </c>
      <c r="R284" s="271">
        <v>2850</v>
      </c>
      <c r="S284" s="271">
        <v>17850</v>
      </c>
      <c r="T284" s="272">
        <v>30000</v>
      </c>
      <c r="U284" s="272">
        <v>35700</v>
      </c>
      <c r="V284" s="273" t="s">
        <v>1357</v>
      </c>
      <c r="W284" s="274">
        <v>46169</v>
      </c>
      <c r="X284" s="263" t="s">
        <v>2062</v>
      </c>
      <c r="Y284" s="276" t="s">
        <v>1188</v>
      </c>
      <c r="Z284" s="277" t="s">
        <v>194</v>
      </c>
      <c r="AA284" s="278">
        <v>16200</v>
      </c>
      <c r="AB284" s="279" t="s">
        <v>1197</v>
      </c>
      <c r="AC284" s="280" t="s">
        <v>1191</v>
      </c>
      <c r="AD284" s="281">
        <v>16200</v>
      </c>
      <c r="AE284" s="283">
        <v>3078</v>
      </c>
      <c r="AF284" s="283">
        <v>19278</v>
      </c>
      <c r="AG284" s="284">
        <v>32400</v>
      </c>
      <c r="AH284" s="284">
        <v>38556</v>
      </c>
      <c r="AI284" s="285" t="s">
        <v>1201</v>
      </c>
      <c r="AJ284" s="286">
        <v>46182</v>
      </c>
      <c r="AK284" s="263" t="s">
        <v>2125</v>
      </c>
      <c r="AL284" s="288" t="s">
        <v>1193</v>
      </c>
      <c r="AM284" s="298" t="s">
        <v>195</v>
      </c>
      <c r="AN284" s="289">
        <v>17982</v>
      </c>
      <c r="AO284" s="290" t="s">
        <v>1190</v>
      </c>
      <c r="AP284" s="290" t="s">
        <v>1191</v>
      </c>
      <c r="AQ284" s="291">
        <v>15110.92</v>
      </c>
      <c r="AR284" s="292">
        <v>2871</v>
      </c>
      <c r="AS284" s="292">
        <v>17982</v>
      </c>
      <c r="AT284" s="293">
        <v>30222</v>
      </c>
      <c r="AU284" s="293">
        <v>35964</v>
      </c>
      <c r="AV284" s="294">
        <v>18370</v>
      </c>
      <c r="AW284" s="294">
        <v>36740</v>
      </c>
      <c r="AX284" s="294">
        <v>1578.23</v>
      </c>
      <c r="AY284" s="299">
        <v>4.2999999999999997E-2</v>
      </c>
    </row>
    <row r="285" spans="1:51" ht="57.6" hidden="1">
      <c r="A285" s="257" t="s">
        <v>2044</v>
      </c>
      <c r="B285" s="258" t="s">
        <v>2045</v>
      </c>
      <c r="C285" s="258">
        <v>39101600</v>
      </c>
      <c r="D285" s="257" t="s">
        <v>2126</v>
      </c>
      <c r="F285" s="258" t="s">
        <v>191</v>
      </c>
      <c r="G285" s="262">
        <v>150</v>
      </c>
      <c r="H285" s="262" t="s">
        <v>192</v>
      </c>
      <c r="I285" s="321" t="s">
        <v>1357</v>
      </c>
      <c r="J285" s="322">
        <v>46169</v>
      </c>
      <c r="K285" s="263" t="s">
        <v>2071</v>
      </c>
      <c r="L285" s="264" t="s">
        <v>1188</v>
      </c>
      <c r="M285" s="265" t="s">
        <v>193</v>
      </c>
      <c r="N285" s="266">
        <v>8500</v>
      </c>
      <c r="O285" s="267" t="s">
        <v>1197</v>
      </c>
      <c r="P285" s="268" t="s">
        <v>1191</v>
      </c>
      <c r="Q285" s="269">
        <v>8500</v>
      </c>
      <c r="R285" s="271">
        <v>1615</v>
      </c>
      <c r="S285" s="271">
        <v>10115</v>
      </c>
      <c r="T285" s="272">
        <v>1275000</v>
      </c>
      <c r="U285" s="272">
        <v>1517250</v>
      </c>
      <c r="V285" s="273" t="s">
        <v>1357</v>
      </c>
      <c r="W285" s="274">
        <v>46169</v>
      </c>
      <c r="X285" s="263" t="s">
        <v>2072</v>
      </c>
      <c r="Y285" s="276" t="s">
        <v>1188</v>
      </c>
      <c r="Z285" s="277" t="s">
        <v>245</v>
      </c>
      <c r="AA285" s="278">
        <v>9000</v>
      </c>
      <c r="AB285" s="279" t="s">
        <v>1197</v>
      </c>
      <c r="AC285" s="280" t="s">
        <v>1191</v>
      </c>
      <c r="AD285" s="281">
        <v>9000</v>
      </c>
      <c r="AE285" s="283">
        <v>1710</v>
      </c>
      <c r="AF285" s="283">
        <v>10710</v>
      </c>
      <c r="AG285" s="284">
        <v>1350000</v>
      </c>
      <c r="AH285" s="284">
        <v>1606500</v>
      </c>
      <c r="AI285" s="285" t="s">
        <v>1357</v>
      </c>
      <c r="AJ285" s="286">
        <v>46169</v>
      </c>
      <c r="AK285" s="263" t="s">
        <v>2062</v>
      </c>
      <c r="AL285" s="288" t="s">
        <v>1188</v>
      </c>
      <c r="AM285" s="298" t="s">
        <v>194</v>
      </c>
      <c r="AN285" s="289">
        <v>8500</v>
      </c>
      <c r="AO285" s="290" t="s">
        <v>1197</v>
      </c>
      <c r="AP285" s="290" t="s">
        <v>1191</v>
      </c>
      <c r="AQ285" s="291">
        <v>8500</v>
      </c>
      <c r="AR285" s="292">
        <v>1615</v>
      </c>
      <c r="AS285" s="292">
        <v>10115</v>
      </c>
      <c r="AT285" s="293">
        <v>1275000</v>
      </c>
      <c r="AU285" s="293">
        <v>1517250</v>
      </c>
      <c r="AV285" s="294">
        <v>10313.33</v>
      </c>
      <c r="AW285" s="294">
        <v>1547000</v>
      </c>
      <c r="AX285" s="294">
        <v>51528.51</v>
      </c>
      <c r="AY285" s="299">
        <v>3.3300000000000003E-2</v>
      </c>
    </row>
    <row r="286" spans="1:51" ht="57.6" hidden="1">
      <c r="A286" s="257" t="s">
        <v>2044</v>
      </c>
      <c r="B286" s="258" t="s">
        <v>2045</v>
      </c>
      <c r="C286" s="258">
        <v>53102400</v>
      </c>
      <c r="D286" s="257" t="s">
        <v>476</v>
      </c>
      <c r="F286" s="258" t="s">
        <v>478</v>
      </c>
      <c r="G286" s="262">
        <v>45</v>
      </c>
      <c r="H286" s="262" t="s">
        <v>192</v>
      </c>
      <c r="I286" s="321" t="s">
        <v>1357</v>
      </c>
      <c r="J286" s="322">
        <v>46169</v>
      </c>
      <c r="K286" s="263" t="s">
        <v>2071</v>
      </c>
      <c r="L286" s="264" t="s">
        <v>1188</v>
      </c>
      <c r="M286" s="265" t="s">
        <v>193</v>
      </c>
      <c r="N286" s="266">
        <v>70000</v>
      </c>
      <c r="O286" s="267" t="s">
        <v>1197</v>
      </c>
      <c r="P286" s="268" t="s">
        <v>1191</v>
      </c>
      <c r="Q286" s="269">
        <v>70000</v>
      </c>
      <c r="R286" s="271">
        <v>13300</v>
      </c>
      <c r="S286" s="271">
        <v>83300</v>
      </c>
      <c r="T286" s="272">
        <v>3150000</v>
      </c>
      <c r="U286" s="272">
        <v>3748500</v>
      </c>
      <c r="V286" s="273" t="s">
        <v>1357</v>
      </c>
      <c r="W286" s="274">
        <v>46169</v>
      </c>
      <c r="X286" s="263" t="s">
        <v>2062</v>
      </c>
      <c r="Y286" s="276" t="s">
        <v>1188</v>
      </c>
      <c r="Z286" s="277" t="s">
        <v>194</v>
      </c>
      <c r="AA286" s="278">
        <v>70000</v>
      </c>
      <c r="AB286" s="279" t="s">
        <v>1197</v>
      </c>
      <c r="AC286" s="280" t="s">
        <v>1191</v>
      </c>
      <c r="AD286" s="281">
        <v>70000</v>
      </c>
      <c r="AE286" s="283">
        <v>13300</v>
      </c>
      <c r="AF286" s="283">
        <v>83300</v>
      </c>
      <c r="AG286" s="284">
        <v>3150000</v>
      </c>
      <c r="AH286" s="284">
        <v>3748500</v>
      </c>
      <c r="AI286" s="285"/>
      <c r="AJ286" s="290"/>
      <c r="AK286" s="287"/>
      <c r="AL286" s="288"/>
      <c r="AM286" s="298"/>
      <c r="AN286" s="290"/>
      <c r="AO286" s="290"/>
      <c r="AP286" s="290"/>
      <c r="AQ286" s="300" t="s">
        <v>2047</v>
      </c>
      <c r="AR286" s="300" t="s">
        <v>2047</v>
      </c>
      <c r="AS286" s="300" t="s">
        <v>2047</v>
      </c>
      <c r="AT286" s="301" t="s">
        <v>2047</v>
      </c>
      <c r="AU286" s="301" t="s">
        <v>2047</v>
      </c>
      <c r="AV286" s="294">
        <v>55533.33</v>
      </c>
      <c r="AW286" s="294">
        <v>2499000</v>
      </c>
      <c r="AX286" s="294">
        <v>2164197.48</v>
      </c>
      <c r="AY286" s="302">
        <v>0.86599999999999999</v>
      </c>
    </row>
    <row r="287" spans="1:51" ht="57.6" hidden="1">
      <c r="A287" s="257" t="s">
        <v>2044</v>
      </c>
      <c r="B287" s="258" t="s">
        <v>2045</v>
      </c>
      <c r="C287" s="258">
        <v>24122000</v>
      </c>
      <c r="D287" s="257" t="s">
        <v>2127</v>
      </c>
      <c r="F287" s="258" t="s">
        <v>191</v>
      </c>
      <c r="G287" s="262">
        <v>150</v>
      </c>
      <c r="H287" s="262" t="s">
        <v>192</v>
      </c>
      <c r="I287" s="321" t="s">
        <v>1199</v>
      </c>
      <c r="J287" s="322">
        <v>46189</v>
      </c>
      <c r="K287" s="263" t="s">
        <v>2128</v>
      </c>
      <c r="L287" s="264" t="s">
        <v>1193</v>
      </c>
      <c r="M287" s="265" t="s">
        <v>350</v>
      </c>
      <c r="N287" s="266">
        <v>469</v>
      </c>
      <c r="O287" s="267" t="s">
        <v>1197</v>
      </c>
      <c r="P287" s="268" t="s">
        <v>1191</v>
      </c>
      <c r="Q287" s="269">
        <v>469</v>
      </c>
      <c r="R287" s="271">
        <v>89</v>
      </c>
      <c r="S287" s="271">
        <v>558</v>
      </c>
      <c r="T287" s="272">
        <v>70350</v>
      </c>
      <c r="U287" s="272">
        <v>83717</v>
      </c>
      <c r="V287" s="273" t="s">
        <v>2129</v>
      </c>
      <c r="W287" s="274">
        <v>46189</v>
      </c>
      <c r="X287" s="263" t="s">
        <v>2130</v>
      </c>
      <c r="Y287" s="276" t="s">
        <v>1193</v>
      </c>
      <c r="Z287" s="277" t="s">
        <v>351</v>
      </c>
      <c r="AA287" s="278">
        <v>434</v>
      </c>
      <c r="AB287" s="279" t="s">
        <v>1190</v>
      </c>
      <c r="AC287" s="280" t="s">
        <v>1191</v>
      </c>
      <c r="AD287" s="281">
        <v>364.71</v>
      </c>
      <c r="AE287" s="283">
        <v>69</v>
      </c>
      <c r="AF287" s="283">
        <v>434</v>
      </c>
      <c r="AG287" s="284">
        <v>54706</v>
      </c>
      <c r="AH287" s="284">
        <v>65100</v>
      </c>
      <c r="AI287" s="285" t="s">
        <v>1201</v>
      </c>
      <c r="AJ287" s="286">
        <v>46189</v>
      </c>
      <c r="AK287" s="263" t="s">
        <v>2131</v>
      </c>
      <c r="AL287" s="288" t="s">
        <v>1193</v>
      </c>
      <c r="AM287" s="298" t="s">
        <v>352</v>
      </c>
      <c r="AN287" s="289">
        <v>461</v>
      </c>
      <c r="AO287" s="290" t="s">
        <v>1197</v>
      </c>
      <c r="AP287" s="290" t="s">
        <v>1191</v>
      </c>
      <c r="AQ287" s="291">
        <v>461</v>
      </c>
      <c r="AR287" s="292">
        <v>88</v>
      </c>
      <c r="AS287" s="292">
        <v>549</v>
      </c>
      <c r="AT287" s="293">
        <v>69150</v>
      </c>
      <c r="AU287" s="293">
        <v>82289</v>
      </c>
      <c r="AV287" s="294">
        <v>513.57000000000005</v>
      </c>
      <c r="AW287" s="294">
        <v>77035</v>
      </c>
      <c r="AX287" s="294">
        <v>10360.64</v>
      </c>
      <c r="AY287" s="299">
        <v>0.13450000000000001</v>
      </c>
    </row>
    <row r="288" spans="1:51" ht="57.6" hidden="1">
      <c r="A288" s="257" t="s">
        <v>2044</v>
      </c>
      <c r="B288" s="258" t="s">
        <v>2045</v>
      </c>
      <c r="C288" s="258">
        <v>31211900</v>
      </c>
      <c r="D288" s="259" t="s">
        <v>282</v>
      </c>
      <c r="F288" s="258" t="s">
        <v>191</v>
      </c>
      <c r="G288" s="262">
        <v>6</v>
      </c>
      <c r="H288" s="262" t="s">
        <v>192</v>
      </c>
      <c r="I288" s="321" t="s">
        <v>1186</v>
      </c>
      <c r="J288" s="322">
        <v>46174</v>
      </c>
      <c r="K288" s="263" t="s">
        <v>2132</v>
      </c>
      <c r="L288" s="264" t="s">
        <v>1193</v>
      </c>
      <c r="M288" s="265" t="s">
        <v>284</v>
      </c>
      <c r="N288" s="266">
        <v>4900</v>
      </c>
      <c r="O288" s="267" t="s">
        <v>1190</v>
      </c>
      <c r="P288" s="268" t="s">
        <v>1191</v>
      </c>
      <c r="Q288" s="269">
        <v>4117.6499999999996</v>
      </c>
      <c r="R288" s="271">
        <v>782</v>
      </c>
      <c r="S288" s="271">
        <v>4900</v>
      </c>
      <c r="T288" s="272">
        <v>24706</v>
      </c>
      <c r="U288" s="272">
        <v>29400</v>
      </c>
      <c r="V288" s="273" t="s">
        <v>1199</v>
      </c>
      <c r="W288" s="274">
        <v>46196</v>
      </c>
      <c r="X288" s="263" t="s">
        <v>2133</v>
      </c>
      <c r="Y288" s="276" t="s">
        <v>1193</v>
      </c>
      <c r="Z288" s="277" t="s">
        <v>285</v>
      </c>
      <c r="AA288" s="278">
        <v>4900</v>
      </c>
      <c r="AB288" s="279" t="s">
        <v>1190</v>
      </c>
      <c r="AC288" s="280" t="s">
        <v>1191</v>
      </c>
      <c r="AD288" s="281">
        <v>4117.6499999999996</v>
      </c>
      <c r="AE288" s="283">
        <v>782</v>
      </c>
      <c r="AF288" s="283">
        <v>4900</v>
      </c>
      <c r="AG288" s="284">
        <v>24706</v>
      </c>
      <c r="AH288" s="284">
        <v>29400</v>
      </c>
      <c r="AI288" s="285" t="s">
        <v>1186</v>
      </c>
      <c r="AJ288" s="286">
        <v>46174</v>
      </c>
      <c r="AK288" s="263" t="s">
        <v>2134</v>
      </c>
      <c r="AL288" s="288" t="s">
        <v>1193</v>
      </c>
      <c r="AM288" s="298" t="s">
        <v>286</v>
      </c>
      <c r="AN288" s="289">
        <v>4165</v>
      </c>
      <c r="AO288" s="290" t="s">
        <v>1190</v>
      </c>
      <c r="AP288" s="290" t="s">
        <v>1191</v>
      </c>
      <c r="AQ288" s="291">
        <v>3500</v>
      </c>
      <c r="AR288" s="292">
        <v>665</v>
      </c>
      <c r="AS288" s="292">
        <v>4165</v>
      </c>
      <c r="AT288" s="293">
        <v>21000</v>
      </c>
      <c r="AU288" s="293">
        <v>24990</v>
      </c>
      <c r="AV288" s="294">
        <v>4655</v>
      </c>
      <c r="AW288" s="294">
        <v>27930</v>
      </c>
      <c r="AX288" s="294">
        <v>2546.11</v>
      </c>
      <c r="AY288" s="299">
        <v>9.1200000000000003E-2</v>
      </c>
    </row>
    <row r="289" spans="1:51" ht="57.6" hidden="1">
      <c r="A289" s="257" t="s">
        <v>2044</v>
      </c>
      <c r="B289" s="258" t="s">
        <v>2045</v>
      </c>
      <c r="C289" s="258">
        <v>31211900</v>
      </c>
      <c r="D289" s="259" t="s">
        <v>282</v>
      </c>
      <c r="F289" s="258" t="s">
        <v>191</v>
      </c>
      <c r="G289" s="262">
        <v>4</v>
      </c>
      <c r="H289" s="262" t="s">
        <v>192</v>
      </c>
      <c r="I289" s="321" t="s">
        <v>1199</v>
      </c>
      <c r="J289" s="322">
        <v>46189</v>
      </c>
      <c r="K289" s="263" t="s">
        <v>2135</v>
      </c>
      <c r="L289" s="264" t="s">
        <v>1193</v>
      </c>
      <c r="M289" s="265" t="s">
        <v>285</v>
      </c>
      <c r="N289" s="266">
        <v>11552</v>
      </c>
      <c r="O289" s="267" t="s">
        <v>1190</v>
      </c>
      <c r="P289" s="268" t="s">
        <v>1191</v>
      </c>
      <c r="Q289" s="269">
        <v>9707.56</v>
      </c>
      <c r="R289" s="271">
        <v>1844</v>
      </c>
      <c r="S289" s="271">
        <v>11552</v>
      </c>
      <c r="T289" s="272">
        <v>38830</v>
      </c>
      <c r="U289" s="272">
        <v>46208</v>
      </c>
      <c r="V289" s="273" t="s">
        <v>1199</v>
      </c>
      <c r="W289" s="274">
        <v>46189</v>
      </c>
      <c r="X289" s="263" t="s">
        <v>2136</v>
      </c>
      <c r="Y289" s="276" t="s">
        <v>1193</v>
      </c>
      <c r="Z289" s="277" t="s">
        <v>239</v>
      </c>
      <c r="AA289" s="278">
        <v>12700</v>
      </c>
      <c r="AB289" s="279" t="s">
        <v>1190</v>
      </c>
      <c r="AC289" s="280" t="s">
        <v>1191</v>
      </c>
      <c r="AD289" s="281">
        <v>10672.27</v>
      </c>
      <c r="AE289" s="283">
        <v>2028</v>
      </c>
      <c r="AF289" s="283">
        <v>12700</v>
      </c>
      <c r="AG289" s="284">
        <v>42689</v>
      </c>
      <c r="AH289" s="284">
        <v>50800</v>
      </c>
      <c r="AI289" s="285" t="s">
        <v>1201</v>
      </c>
      <c r="AJ289" s="286">
        <v>46189</v>
      </c>
      <c r="AK289" s="263" t="s">
        <v>2137</v>
      </c>
      <c r="AL289" s="288" t="s">
        <v>1193</v>
      </c>
      <c r="AM289" s="298" t="s">
        <v>289</v>
      </c>
      <c r="AN289" s="289">
        <v>12699</v>
      </c>
      <c r="AO289" s="290" t="s">
        <v>1190</v>
      </c>
      <c r="AP289" s="290" t="s">
        <v>1191</v>
      </c>
      <c r="AQ289" s="291">
        <v>10671.43</v>
      </c>
      <c r="AR289" s="292">
        <v>2028</v>
      </c>
      <c r="AS289" s="292">
        <v>12699</v>
      </c>
      <c r="AT289" s="293">
        <v>42686</v>
      </c>
      <c r="AU289" s="293">
        <v>50796</v>
      </c>
      <c r="AV289" s="294">
        <v>12317</v>
      </c>
      <c r="AW289" s="294">
        <v>49268</v>
      </c>
      <c r="AX289" s="294">
        <v>2650.04</v>
      </c>
      <c r="AY289" s="299">
        <v>5.3800000000000001E-2</v>
      </c>
    </row>
    <row r="290" spans="1:51" ht="57.6" hidden="1">
      <c r="A290" s="257" t="s">
        <v>2044</v>
      </c>
      <c r="B290" s="258" t="s">
        <v>2045</v>
      </c>
      <c r="C290" s="258">
        <v>21101806</v>
      </c>
      <c r="D290" s="257" t="s">
        <v>801</v>
      </c>
      <c r="F290" s="258" t="s">
        <v>568</v>
      </c>
      <c r="G290" s="262">
        <v>1</v>
      </c>
      <c r="H290" s="262" t="s">
        <v>192</v>
      </c>
      <c r="I290" s="321" t="s">
        <v>1357</v>
      </c>
      <c r="J290" s="322">
        <v>46176</v>
      </c>
      <c r="K290" s="263" t="s">
        <v>2046</v>
      </c>
      <c r="L290" s="264" t="s">
        <v>1188</v>
      </c>
      <c r="M290" s="265" t="s">
        <v>380</v>
      </c>
      <c r="N290" s="266">
        <v>42000</v>
      </c>
      <c r="O290" s="267" t="s">
        <v>1197</v>
      </c>
      <c r="P290" s="268" t="s">
        <v>1217</v>
      </c>
      <c r="Q290" s="269">
        <v>42000</v>
      </c>
      <c r="R290" s="270" t="s">
        <v>2047</v>
      </c>
      <c r="S290" s="271">
        <v>42000</v>
      </c>
      <c r="T290" s="272">
        <v>42000</v>
      </c>
      <c r="U290" s="272">
        <v>42000</v>
      </c>
      <c r="V290" s="273" t="s">
        <v>1357</v>
      </c>
      <c r="W290" s="274">
        <v>46176</v>
      </c>
      <c r="X290" s="263" t="s">
        <v>2108</v>
      </c>
      <c r="Y290" s="276" t="s">
        <v>1188</v>
      </c>
      <c r="Z290" s="277" t="s">
        <v>382</v>
      </c>
      <c r="AA290" s="278">
        <v>30000</v>
      </c>
      <c r="AB290" s="279" t="s">
        <v>1197</v>
      </c>
      <c r="AC290" s="280" t="s">
        <v>1217</v>
      </c>
      <c r="AD290" s="281">
        <v>30000</v>
      </c>
      <c r="AE290" s="282" t="s">
        <v>2047</v>
      </c>
      <c r="AF290" s="283">
        <v>30000</v>
      </c>
      <c r="AG290" s="284">
        <v>30000</v>
      </c>
      <c r="AH290" s="284">
        <v>30000</v>
      </c>
      <c r="AI290" s="285" t="s">
        <v>1357</v>
      </c>
      <c r="AJ290" s="286">
        <v>46176</v>
      </c>
      <c r="AK290" s="263" t="s">
        <v>2048</v>
      </c>
      <c r="AL290" s="288" t="s">
        <v>1188</v>
      </c>
      <c r="AM290" s="298" t="s">
        <v>381</v>
      </c>
      <c r="AN290" s="289">
        <v>40000</v>
      </c>
      <c r="AO290" s="290" t="s">
        <v>1197</v>
      </c>
      <c r="AP290" s="290" t="s">
        <v>1217</v>
      </c>
      <c r="AQ290" s="291">
        <v>40000</v>
      </c>
      <c r="AR290" s="300" t="s">
        <v>2047</v>
      </c>
      <c r="AS290" s="292">
        <v>40000</v>
      </c>
      <c r="AT290" s="293">
        <v>40000</v>
      </c>
      <c r="AU290" s="293">
        <v>40000</v>
      </c>
      <c r="AV290" s="294">
        <v>37333.33</v>
      </c>
      <c r="AW290" s="294">
        <v>37333.33</v>
      </c>
      <c r="AX290" s="294">
        <v>6429.1</v>
      </c>
      <c r="AY290" s="299">
        <v>0.17219999999999999</v>
      </c>
    </row>
    <row r="291" spans="1:51" ht="57.6" hidden="1">
      <c r="A291" s="257" t="s">
        <v>2044</v>
      </c>
      <c r="B291" s="258" t="s">
        <v>2045</v>
      </c>
      <c r="C291" s="258">
        <v>21101806</v>
      </c>
      <c r="D291" s="257" t="s">
        <v>804</v>
      </c>
      <c r="F291" s="258" t="s">
        <v>568</v>
      </c>
      <c r="G291" s="262">
        <v>1</v>
      </c>
      <c r="H291" s="262" t="s">
        <v>192</v>
      </c>
      <c r="I291" s="321" t="s">
        <v>1357</v>
      </c>
      <c r="J291" s="322">
        <v>46176</v>
      </c>
      <c r="K291" s="263" t="s">
        <v>2046</v>
      </c>
      <c r="L291" s="264" t="s">
        <v>1188</v>
      </c>
      <c r="M291" s="265" t="s">
        <v>380</v>
      </c>
      <c r="N291" s="266">
        <v>43000</v>
      </c>
      <c r="O291" s="267" t="s">
        <v>1197</v>
      </c>
      <c r="P291" s="268" t="s">
        <v>1217</v>
      </c>
      <c r="Q291" s="269">
        <v>43000</v>
      </c>
      <c r="R291" s="270" t="s">
        <v>2047</v>
      </c>
      <c r="S291" s="271">
        <v>43000</v>
      </c>
      <c r="T291" s="272">
        <v>43000</v>
      </c>
      <c r="U291" s="272">
        <v>43000</v>
      </c>
      <c r="V291" s="273" t="s">
        <v>1357</v>
      </c>
      <c r="W291" s="274">
        <v>46176</v>
      </c>
      <c r="X291" s="263" t="s">
        <v>2048</v>
      </c>
      <c r="Y291" s="276" t="s">
        <v>1188</v>
      </c>
      <c r="Z291" s="277" t="s">
        <v>381</v>
      </c>
      <c r="AA291" s="278">
        <v>42000</v>
      </c>
      <c r="AB291" s="279" t="s">
        <v>1197</v>
      </c>
      <c r="AC291" s="280" t="s">
        <v>1217</v>
      </c>
      <c r="AD291" s="281">
        <v>42000</v>
      </c>
      <c r="AE291" s="282" t="s">
        <v>2047</v>
      </c>
      <c r="AF291" s="283">
        <v>42000</v>
      </c>
      <c r="AG291" s="284">
        <v>42000</v>
      </c>
      <c r="AH291" s="284">
        <v>42000</v>
      </c>
      <c r="AI291" s="285" t="s">
        <v>1357</v>
      </c>
      <c r="AJ291" s="286">
        <v>46176</v>
      </c>
      <c r="AK291" s="263" t="s">
        <v>2108</v>
      </c>
      <c r="AL291" s="288" t="s">
        <v>1188</v>
      </c>
      <c r="AM291" s="298" t="s">
        <v>382</v>
      </c>
      <c r="AN291" s="289">
        <v>40000</v>
      </c>
      <c r="AO291" s="290" t="s">
        <v>1197</v>
      </c>
      <c r="AP291" s="290" t="s">
        <v>1217</v>
      </c>
      <c r="AQ291" s="291">
        <v>40000</v>
      </c>
      <c r="AR291" s="300" t="s">
        <v>2047</v>
      </c>
      <c r="AS291" s="292">
        <v>40000</v>
      </c>
      <c r="AT291" s="293">
        <v>40000</v>
      </c>
      <c r="AU291" s="293">
        <v>40000</v>
      </c>
      <c r="AV291" s="294">
        <v>41666.67</v>
      </c>
      <c r="AW291" s="294">
        <v>41666.67</v>
      </c>
      <c r="AX291" s="294">
        <v>1527.53</v>
      </c>
      <c r="AY291" s="299">
        <v>3.6700000000000003E-2</v>
      </c>
    </row>
    <row r="292" spans="1:51" ht="57.6" hidden="1">
      <c r="A292" s="257" t="s">
        <v>2044</v>
      </c>
      <c r="B292" s="258" t="s">
        <v>2045</v>
      </c>
      <c r="C292" s="258">
        <v>21101806</v>
      </c>
      <c r="D292" s="257" t="s">
        <v>685</v>
      </c>
      <c r="F292" s="258" t="s">
        <v>568</v>
      </c>
      <c r="G292" s="262">
        <v>1</v>
      </c>
      <c r="H292" s="262" t="s">
        <v>192</v>
      </c>
      <c r="I292" s="321" t="s">
        <v>1357</v>
      </c>
      <c r="J292" s="322">
        <v>46176</v>
      </c>
      <c r="K292" s="263" t="s">
        <v>2046</v>
      </c>
      <c r="L292" s="264" t="s">
        <v>1188</v>
      </c>
      <c r="M292" s="265" t="s">
        <v>380</v>
      </c>
      <c r="N292" s="266">
        <v>20000</v>
      </c>
      <c r="O292" s="267" t="s">
        <v>1197</v>
      </c>
      <c r="P292" s="268" t="s">
        <v>1217</v>
      </c>
      <c r="Q292" s="269">
        <v>20000</v>
      </c>
      <c r="R292" s="270" t="s">
        <v>2047</v>
      </c>
      <c r="S292" s="271">
        <v>20000</v>
      </c>
      <c r="T292" s="272">
        <v>20000</v>
      </c>
      <c r="U292" s="272">
        <v>20000</v>
      </c>
      <c r="V292" s="273" t="s">
        <v>1357</v>
      </c>
      <c r="W292" s="274">
        <v>46176</v>
      </c>
      <c r="X292" s="263" t="s">
        <v>2048</v>
      </c>
      <c r="Y292" s="276" t="s">
        <v>1188</v>
      </c>
      <c r="Z292" s="277" t="s">
        <v>381</v>
      </c>
      <c r="AA292" s="278">
        <v>18000</v>
      </c>
      <c r="AB292" s="279" t="s">
        <v>1197</v>
      </c>
      <c r="AC292" s="280" t="s">
        <v>1217</v>
      </c>
      <c r="AD292" s="281">
        <v>18000</v>
      </c>
      <c r="AE292" s="282" t="s">
        <v>2047</v>
      </c>
      <c r="AF292" s="283">
        <v>18000</v>
      </c>
      <c r="AG292" s="284">
        <v>18000</v>
      </c>
      <c r="AH292" s="284">
        <v>18000</v>
      </c>
      <c r="AI292" s="285" t="s">
        <v>1357</v>
      </c>
      <c r="AJ292" s="286">
        <v>46176</v>
      </c>
      <c r="AK292" s="263" t="s">
        <v>2108</v>
      </c>
      <c r="AL292" s="288" t="s">
        <v>1188</v>
      </c>
      <c r="AM292" s="298" t="s">
        <v>382</v>
      </c>
      <c r="AN292" s="289">
        <v>14000</v>
      </c>
      <c r="AO292" s="290" t="s">
        <v>1197</v>
      </c>
      <c r="AP292" s="290" t="s">
        <v>1217</v>
      </c>
      <c r="AQ292" s="291">
        <v>14000</v>
      </c>
      <c r="AR292" s="300" t="s">
        <v>2047</v>
      </c>
      <c r="AS292" s="292">
        <v>14000</v>
      </c>
      <c r="AT292" s="293">
        <v>14000</v>
      </c>
      <c r="AU292" s="293">
        <v>14000</v>
      </c>
      <c r="AV292" s="294">
        <v>17333.330000000002</v>
      </c>
      <c r="AW292" s="294">
        <v>17333.330000000002</v>
      </c>
      <c r="AX292" s="294">
        <v>3055.05</v>
      </c>
      <c r="AY292" s="299">
        <v>0.17630000000000001</v>
      </c>
    </row>
    <row r="293" spans="1:51" ht="57.6" hidden="1">
      <c r="A293" s="257" t="s">
        <v>2044</v>
      </c>
      <c r="B293" s="258" t="s">
        <v>2045</v>
      </c>
      <c r="C293" s="258">
        <v>26121600</v>
      </c>
      <c r="D293" s="257" t="s">
        <v>2138</v>
      </c>
      <c r="F293" s="258" t="s">
        <v>191</v>
      </c>
      <c r="G293" s="262">
        <v>150</v>
      </c>
      <c r="H293" s="262" t="s">
        <v>192</v>
      </c>
      <c r="I293" s="321" t="s">
        <v>1199</v>
      </c>
      <c r="J293" s="322">
        <v>46182</v>
      </c>
      <c r="K293" s="263" t="s">
        <v>2139</v>
      </c>
      <c r="L293" s="264" t="s">
        <v>1193</v>
      </c>
      <c r="M293" s="265" t="s">
        <v>2140</v>
      </c>
      <c r="N293" s="266">
        <v>187000</v>
      </c>
      <c r="O293" s="267" t="s">
        <v>1190</v>
      </c>
      <c r="P293" s="268" t="s">
        <v>1191</v>
      </c>
      <c r="Q293" s="269">
        <v>157142.85999999999</v>
      </c>
      <c r="R293" s="271">
        <v>29857</v>
      </c>
      <c r="S293" s="271">
        <v>187000</v>
      </c>
      <c r="T293" s="272">
        <v>23571429</v>
      </c>
      <c r="U293" s="272">
        <v>28050000</v>
      </c>
      <c r="V293" s="273" t="s">
        <v>1199</v>
      </c>
      <c r="W293" s="274">
        <v>46182</v>
      </c>
      <c r="X293" s="263" t="s">
        <v>2141</v>
      </c>
      <c r="Y293" s="276" t="s">
        <v>1193</v>
      </c>
      <c r="Z293" s="277" t="s">
        <v>1452</v>
      </c>
      <c r="AA293" s="278">
        <v>178500</v>
      </c>
      <c r="AB293" s="279" t="s">
        <v>1190</v>
      </c>
      <c r="AC293" s="280" t="s">
        <v>1191</v>
      </c>
      <c r="AD293" s="281">
        <v>150000</v>
      </c>
      <c r="AE293" s="283">
        <v>28500</v>
      </c>
      <c r="AF293" s="283">
        <v>178500</v>
      </c>
      <c r="AG293" s="284">
        <v>22500000</v>
      </c>
      <c r="AH293" s="284">
        <v>26775000</v>
      </c>
      <c r="AI293" s="285" t="s">
        <v>1201</v>
      </c>
      <c r="AJ293" s="286">
        <v>46182</v>
      </c>
      <c r="AK293" s="263" t="s">
        <v>2142</v>
      </c>
      <c r="AL293" s="288" t="s">
        <v>1193</v>
      </c>
      <c r="AM293" s="298" t="s">
        <v>1123</v>
      </c>
      <c r="AN293" s="289">
        <v>178500</v>
      </c>
      <c r="AO293" s="290" t="s">
        <v>1190</v>
      </c>
      <c r="AP293" s="290" t="s">
        <v>1191</v>
      </c>
      <c r="AQ293" s="291">
        <v>150000</v>
      </c>
      <c r="AR293" s="292">
        <v>28500</v>
      </c>
      <c r="AS293" s="292">
        <v>178500</v>
      </c>
      <c r="AT293" s="293">
        <v>22500000</v>
      </c>
      <c r="AU293" s="293">
        <v>26775000</v>
      </c>
      <c r="AV293" s="294">
        <v>181333.33</v>
      </c>
      <c r="AW293" s="294">
        <v>27200000</v>
      </c>
      <c r="AX293" s="294">
        <v>736121.59</v>
      </c>
      <c r="AY293" s="299">
        <v>2.7099999999999999E-2</v>
      </c>
    </row>
    <row r="294" spans="1:51" ht="57.6" hidden="1">
      <c r="A294" s="257" t="s">
        <v>2044</v>
      </c>
      <c r="B294" s="258" t="s">
        <v>2045</v>
      </c>
      <c r="C294" s="258">
        <v>60121408</v>
      </c>
      <c r="D294" s="257" t="s">
        <v>2143</v>
      </c>
      <c r="F294" s="258" t="s">
        <v>568</v>
      </c>
      <c r="G294" s="262">
        <v>1</v>
      </c>
      <c r="H294" s="262" t="s">
        <v>192</v>
      </c>
      <c r="I294" s="321" t="s">
        <v>1357</v>
      </c>
      <c r="J294" s="322">
        <v>46176</v>
      </c>
      <c r="K294" s="263" t="s">
        <v>2108</v>
      </c>
      <c r="L294" s="264" t="s">
        <v>1188</v>
      </c>
      <c r="M294" s="265" t="s">
        <v>382</v>
      </c>
      <c r="N294" s="266">
        <v>7140</v>
      </c>
      <c r="O294" s="267" t="s">
        <v>1197</v>
      </c>
      <c r="P294" s="268" t="s">
        <v>1191</v>
      </c>
      <c r="Q294" s="269">
        <v>7140</v>
      </c>
      <c r="R294" s="271">
        <v>1357</v>
      </c>
      <c r="S294" s="271">
        <v>8497</v>
      </c>
      <c r="T294" s="272">
        <v>7140</v>
      </c>
      <c r="U294" s="272">
        <v>8497</v>
      </c>
      <c r="V294" s="273" t="s">
        <v>1357</v>
      </c>
      <c r="W294" s="274">
        <v>46176</v>
      </c>
      <c r="X294" s="263" t="s">
        <v>2048</v>
      </c>
      <c r="Y294" s="276" t="s">
        <v>1188</v>
      </c>
      <c r="Z294" s="277" t="s">
        <v>381</v>
      </c>
      <c r="AA294" s="278">
        <v>8500</v>
      </c>
      <c r="AB294" s="279" t="s">
        <v>1197</v>
      </c>
      <c r="AC294" s="280" t="s">
        <v>1191</v>
      </c>
      <c r="AD294" s="281">
        <v>8500</v>
      </c>
      <c r="AE294" s="283">
        <v>1615</v>
      </c>
      <c r="AF294" s="283">
        <v>10115</v>
      </c>
      <c r="AG294" s="284">
        <v>8500</v>
      </c>
      <c r="AH294" s="284">
        <v>10115</v>
      </c>
      <c r="AI294" s="285" t="s">
        <v>1357</v>
      </c>
      <c r="AJ294" s="286">
        <v>46176</v>
      </c>
      <c r="AK294" s="263" t="s">
        <v>2046</v>
      </c>
      <c r="AL294" s="288" t="s">
        <v>1188</v>
      </c>
      <c r="AM294" s="298" t="s">
        <v>380</v>
      </c>
      <c r="AN294" s="289">
        <v>8300</v>
      </c>
      <c r="AO294" s="290" t="s">
        <v>1197</v>
      </c>
      <c r="AP294" s="290" t="s">
        <v>1191</v>
      </c>
      <c r="AQ294" s="291">
        <v>8300</v>
      </c>
      <c r="AR294" s="292">
        <v>1577</v>
      </c>
      <c r="AS294" s="292">
        <v>9877</v>
      </c>
      <c r="AT294" s="293">
        <v>8300</v>
      </c>
      <c r="AU294" s="293">
        <v>9877</v>
      </c>
      <c r="AV294" s="294">
        <v>9496.2000000000007</v>
      </c>
      <c r="AW294" s="294">
        <v>9496.2000000000007</v>
      </c>
      <c r="AX294" s="294">
        <v>873.82</v>
      </c>
      <c r="AY294" s="299">
        <v>9.1999999999999998E-2</v>
      </c>
    </row>
    <row r="295" spans="1:51" ht="57.6" hidden="1">
      <c r="A295" s="257" t="s">
        <v>2044</v>
      </c>
      <c r="B295" s="258" t="s">
        <v>2045</v>
      </c>
      <c r="C295" s="258">
        <v>24112500</v>
      </c>
      <c r="D295" s="257" t="s">
        <v>442</v>
      </c>
      <c r="F295" s="258" t="s">
        <v>191</v>
      </c>
      <c r="G295" s="262">
        <v>150</v>
      </c>
      <c r="H295" s="262" t="s">
        <v>192</v>
      </c>
      <c r="I295" s="321" t="s">
        <v>1186</v>
      </c>
      <c r="J295" s="322">
        <v>46198</v>
      </c>
      <c r="K295" s="263" t="s">
        <v>2144</v>
      </c>
      <c r="L295" s="264" t="s">
        <v>1193</v>
      </c>
      <c r="M295" s="265" t="s">
        <v>444</v>
      </c>
      <c r="N295" s="266">
        <v>18700</v>
      </c>
      <c r="O295" s="267" t="s">
        <v>1190</v>
      </c>
      <c r="P295" s="268" t="s">
        <v>1191</v>
      </c>
      <c r="Q295" s="269">
        <v>15714.29</v>
      </c>
      <c r="R295" s="271">
        <v>2986</v>
      </c>
      <c r="S295" s="271">
        <v>18700</v>
      </c>
      <c r="T295" s="272">
        <v>2357143</v>
      </c>
      <c r="U295" s="272">
        <v>2805000</v>
      </c>
      <c r="V295" s="273" t="s">
        <v>1186</v>
      </c>
      <c r="W295" s="274">
        <v>46198</v>
      </c>
      <c r="X295" s="263" t="s">
        <v>2062</v>
      </c>
      <c r="Y295" s="276" t="s">
        <v>1188</v>
      </c>
      <c r="Z295" s="277" t="s">
        <v>194</v>
      </c>
      <c r="AA295" s="278">
        <v>22000</v>
      </c>
      <c r="AB295" s="279" t="s">
        <v>1197</v>
      </c>
      <c r="AC295" s="280" t="s">
        <v>1191</v>
      </c>
      <c r="AD295" s="281">
        <v>22000</v>
      </c>
      <c r="AE295" s="283">
        <v>4180</v>
      </c>
      <c r="AF295" s="283">
        <v>26180</v>
      </c>
      <c r="AG295" s="284">
        <v>3300000</v>
      </c>
      <c r="AH295" s="284">
        <v>3927000</v>
      </c>
      <c r="AI295" s="285" t="s">
        <v>1201</v>
      </c>
      <c r="AJ295" s="286">
        <v>46198</v>
      </c>
      <c r="AK295" s="263" t="s">
        <v>2145</v>
      </c>
      <c r="AL295" s="288" t="s">
        <v>1193</v>
      </c>
      <c r="AM295" s="298" t="s">
        <v>445</v>
      </c>
      <c r="AN295" s="289">
        <v>18990</v>
      </c>
      <c r="AO295" s="290" t="s">
        <v>1190</v>
      </c>
      <c r="AP295" s="290" t="s">
        <v>1191</v>
      </c>
      <c r="AQ295" s="291">
        <v>15957.98</v>
      </c>
      <c r="AR295" s="292">
        <v>3032</v>
      </c>
      <c r="AS295" s="292">
        <v>18990</v>
      </c>
      <c r="AT295" s="293">
        <v>2393697</v>
      </c>
      <c r="AU295" s="293">
        <v>2848500</v>
      </c>
      <c r="AV295" s="294">
        <v>21290</v>
      </c>
      <c r="AW295" s="294">
        <v>3193500</v>
      </c>
      <c r="AX295" s="294">
        <v>635601.88</v>
      </c>
      <c r="AY295" s="299">
        <v>0.19900000000000001</v>
      </c>
    </row>
    <row r="296" spans="1:51" ht="57.6" hidden="1">
      <c r="A296" s="257" t="s">
        <v>2044</v>
      </c>
      <c r="B296" s="258" t="s">
        <v>2045</v>
      </c>
      <c r="C296" s="258">
        <v>30111607</v>
      </c>
      <c r="D296" s="257" t="s">
        <v>682</v>
      </c>
      <c r="F296" s="258" t="s">
        <v>568</v>
      </c>
      <c r="G296" s="262">
        <v>1</v>
      </c>
      <c r="H296" s="262" t="s">
        <v>192</v>
      </c>
      <c r="I296" s="321" t="s">
        <v>1357</v>
      </c>
      <c r="J296" s="322">
        <v>46176</v>
      </c>
      <c r="K296" s="263" t="s">
        <v>2046</v>
      </c>
      <c r="L296" s="264" t="s">
        <v>1188</v>
      </c>
      <c r="M296" s="265" t="s">
        <v>380</v>
      </c>
      <c r="N296" s="266">
        <v>26000</v>
      </c>
      <c r="O296" s="267" t="s">
        <v>1197</v>
      </c>
      <c r="P296" s="268" t="s">
        <v>1217</v>
      </c>
      <c r="Q296" s="269">
        <v>26000</v>
      </c>
      <c r="R296" s="270" t="s">
        <v>2047</v>
      </c>
      <c r="S296" s="271">
        <v>26000</v>
      </c>
      <c r="T296" s="272">
        <v>26000</v>
      </c>
      <c r="U296" s="272">
        <v>26000</v>
      </c>
      <c r="V296" s="273" t="s">
        <v>1357</v>
      </c>
      <c r="W296" s="274">
        <v>46176</v>
      </c>
      <c r="X296" s="263" t="s">
        <v>2048</v>
      </c>
      <c r="Y296" s="276" t="s">
        <v>1188</v>
      </c>
      <c r="Z296" s="277" t="s">
        <v>381</v>
      </c>
      <c r="AA296" s="278">
        <v>25000</v>
      </c>
      <c r="AB296" s="279" t="s">
        <v>1197</v>
      </c>
      <c r="AC296" s="280" t="s">
        <v>1217</v>
      </c>
      <c r="AD296" s="281">
        <v>25000</v>
      </c>
      <c r="AE296" s="282" t="s">
        <v>2047</v>
      </c>
      <c r="AF296" s="283">
        <v>25000</v>
      </c>
      <c r="AG296" s="284">
        <v>25000</v>
      </c>
      <c r="AH296" s="284">
        <v>25000</v>
      </c>
      <c r="AI296" s="285" t="s">
        <v>1357</v>
      </c>
      <c r="AJ296" s="286">
        <v>46176</v>
      </c>
      <c r="AK296" s="263" t="s">
        <v>2108</v>
      </c>
      <c r="AL296" s="288" t="s">
        <v>1188</v>
      </c>
      <c r="AM296" s="298" t="s">
        <v>382</v>
      </c>
      <c r="AN296" s="289">
        <v>22400</v>
      </c>
      <c r="AO296" s="290" t="s">
        <v>1197</v>
      </c>
      <c r="AP296" s="290" t="s">
        <v>1217</v>
      </c>
      <c r="AQ296" s="291">
        <v>22400</v>
      </c>
      <c r="AR296" s="300" t="s">
        <v>2047</v>
      </c>
      <c r="AS296" s="292">
        <v>22400</v>
      </c>
      <c r="AT296" s="293">
        <v>22400</v>
      </c>
      <c r="AU296" s="293">
        <v>22400</v>
      </c>
      <c r="AV296" s="294">
        <v>24466.67</v>
      </c>
      <c r="AW296" s="294">
        <v>24466.67</v>
      </c>
      <c r="AX296" s="294">
        <v>1858.31</v>
      </c>
      <c r="AY296" s="299">
        <v>7.5999999999999998E-2</v>
      </c>
    </row>
    <row r="297" spans="1:51" ht="57.6" hidden="1">
      <c r="A297" s="257" t="s">
        <v>2044</v>
      </c>
      <c r="B297" s="258" t="s">
        <v>2045</v>
      </c>
      <c r="C297" s="258">
        <v>24112006</v>
      </c>
      <c r="D297" s="257" t="s">
        <v>781</v>
      </c>
      <c r="F297" s="258" t="s">
        <v>568</v>
      </c>
      <c r="G297" s="262">
        <v>1</v>
      </c>
      <c r="H297" s="262" t="s">
        <v>192</v>
      </c>
      <c r="I297" s="321" t="s">
        <v>1357</v>
      </c>
      <c r="J297" s="322">
        <v>46176</v>
      </c>
      <c r="K297" s="263" t="s">
        <v>2046</v>
      </c>
      <c r="L297" s="264" t="s">
        <v>1188</v>
      </c>
      <c r="M297" s="265" t="s">
        <v>380</v>
      </c>
      <c r="N297" s="266">
        <v>39000</v>
      </c>
      <c r="O297" s="267" t="s">
        <v>1197</v>
      </c>
      <c r="P297" s="268" t="s">
        <v>1191</v>
      </c>
      <c r="Q297" s="269">
        <v>39000</v>
      </c>
      <c r="R297" s="271">
        <v>7410</v>
      </c>
      <c r="S297" s="271">
        <v>46410</v>
      </c>
      <c r="T297" s="272">
        <v>39000</v>
      </c>
      <c r="U297" s="272">
        <v>46410</v>
      </c>
      <c r="V297" s="273" t="s">
        <v>1357</v>
      </c>
      <c r="W297" s="274">
        <v>46176</v>
      </c>
      <c r="X297" s="263" t="s">
        <v>2048</v>
      </c>
      <c r="Y297" s="276" t="s">
        <v>1188</v>
      </c>
      <c r="Z297" s="277" t="s">
        <v>381</v>
      </c>
      <c r="AA297" s="278">
        <v>38000</v>
      </c>
      <c r="AB297" s="279" t="s">
        <v>1197</v>
      </c>
      <c r="AC297" s="280" t="s">
        <v>1191</v>
      </c>
      <c r="AD297" s="281">
        <v>38000</v>
      </c>
      <c r="AE297" s="283">
        <v>7220</v>
      </c>
      <c r="AF297" s="283">
        <v>45220</v>
      </c>
      <c r="AG297" s="284">
        <v>38000</v>
      </c>
      <c r="AH297" s="284">
        <v>45220</v>
      </c>
      <c r="AI297" s="285" t="s">
        <v>1357</v>
      </c>
      <c r="AJ297" s="286">
        <v>46176</v>
      </c>
      <c r="AK297" s="263" t="s">
        <v>2108</v>
      </c>
      <c r="AL297" s="288" t="s">
        <v>1188</v>
      </c>
      <c r="AM297" s="298" t="s">
        <v>382</v>
      </c>
      <c r="AN297" s="289">
        <v>35000</v>
      </c>
      <c r="AO297" s="290" t="s">
        <v>1197</v>
      </c>
      <c r="AP297" s="290" t="s">
        <v>1191</v>
      </c>
      <c r="AQ297" s="291">
        <v>35000</v>
      </c>
      <c r="AR297" s="292">
        <v>6650</v>
      </c>
      <c r="AS297" s="292">
        <v>41650</v>
      </c>
      <c r="AT297" s="293">
        <v>35000</v>
      </c>
      <c r="AU297" s="293">
        <v>41650</v>
      </c>
      <c r="AV297" s="294">
        <v>44426.67</v>
      </c>
      <c r="AW297" s="294">
        <v>44426.67</v>
      </c>
      <c r="AX297" s="294">
        <v>2477.1799999999998</v>
      </c>
      <c r="AY297" s="299">
        <v>5.5800000000000002E-2</v>
      </c>
    </row>
    <row r="298" spans="1:51" ht="57.6" hidden="1">
      <c r="A298" s="257" t="s">
        <v>2044</v>
      </c>
      <c r="B298" s="258" t="s">
        <v>2045</v>
      </c>
      <c r="C298" s="258">
        <v>24112006</v>
      </c>
      <c r="D298" s="257" t="s">
        <v>784</v>
      </c>
      <c r="F298" s="258" t="s">
        <v>568</v>
      </c>
      <c r="G298" s="262">
        <v>1</v>
      </c>
      <c r="H298" s="262" t="s">
        <v>192</v>
      </c>
      <c r="I298" s="321" t="s">
        <v>1357</v>
      </c>
      <c r="J298" s="322">
        <v>46176</v>
      </c>
      <c r="K298" s="263" t="s">
        <v>2046</v>
      </c>
      <c r="L298" s="264" t="s">
        <v>1188</v>
      </c>
      <c r="M298" s="265" t="s">
        <v>380</v>
      </c>
      <c r="N298" s="266">
        <v>46000</v>
      </c>
      <c r="O298" s="267" t="s">
        <v>1197</v>
      </c>
      <c r="P298" s="268" t="s">
        <v>1191</v>
      </c>
      <c r="Q298" s="269">
        <v>46000</v>
      </c>
      <c r="R298" s="271">
        <v>8740</v>
      </c>
      <c r="S298" s="271">
        <v>54740</v>
      </c>
      <c r="T298" s="272">
        <v>46000</v>
      </c>
      <c r="U298" s="272">
        <v>54740</v>
      </c>
      <c r="V298" s="273" t="s">
        <v>1357</v>
      </c>
      <c r="W298" s="274">
        <v>46176</v>
      </c>
      <c r="X298" s="263" t="s">
        <v>2048</v>
      </c>
      <c r="Y298" s="276" t="s">
        <v>1188</v>
      </c>
      <c r="Z298" s="277" t="s">
        <v>381</v>
      </c>
      <c r="AA298" s="278">
        <v>45000</v>
      </c>
      <c r="AB298" s="279" t="s">
        <v>1197</v>
      </c>
      <c r="AC298" s="280" t="s">
        <v>1191</v>
      </c>
      <c r="AD298" s="281">
        <v>45000</v>
      </c>
      <c r="AE298" s="283">
        <v>8550</v>
      </c>
      <c r="AF298" s="283">
        <v>53550</v>
      </c>
      <c r="AG298" s="284">
        <v>45000</v>
      </c>
      <c r="AH298" s="284">
        <v>53550</v>
      </c>
      <c r="AI298" s="285" t="s">
        <v>1357</v>
      </c>
      <c r="AJ298" s="286">
        <v>46176</v>
      </c>
      <c r="AK298" s="263" t="s">
        <v>2108</v>
      </c>
      <c r="AL298" s="288" t="s">
        <v>1188</v>
      </c>
      <c r="AM298" s="298" t="s">
        <v>382</v>
      </c>
      <c r="AN298" s="289">
        <v>43400</v>
      </c>
      <c r="AO298" s="290" t="s">
        <v>1197</v>
      </c>
      <c r="AP298" s="290" t="s">
        <v>1191</v>
      </c>
      <c r="AQ298" s="291">
        <v>43400</v>
      </c>
      <c r="AR298" s="292">
        <v>8246</v>
      </c>
      <c r="AS298" s="292">
        <v>51646</v>
      </c>
      <c r="AT298" s="293">
        <v>43400</v>
      </c>
      <c r="AU298" s="293">
        <v>51646</v>
      </c>
      <c r="AV298" s="294">
        <v>53312</v>
      </c>
      <c r="AW298" s="294">
        <v>53312</v>
      </c>
      <c r="AX298" s="294">
        <v>1560.67</v>
      </c>
      <c r="AY298" s="299">
        <v>2.93E-2</v>
      </c>
    </row>
    <row r="299" spans="1:51" ht="57.6" hidden="1">
      <c r="A299" s="257" t="s">
        <v>2044</v>
      </c>
      <c r="B299" s="258" t="s">
        <v>2045</v>
      </c>
      <c r="C299" s="258">
        <v>24112006</v>
      </c>
      <c r="D299" s="257" t="s">
        <v>787</v>
      </c>
      <c r="F299" s="258" t="s">
        <v>568</v>
      </c>
      <c r="G299" s="262">
        <v>1</v>
      </c>
      <c r="H299" s="262" t="s">
        <v>192</v>
      </c>
      <c r="I299" s="321" t="s">
        <v>1357</v>
      </c>
      <c r="J299" s="322">
        <v>46176</v>
      </c>
      <c r="K299" s="263" t="s">
        <v>2046</v>
      </c>
      <c r="L299" s="264" t="s">
        <v>1188</v>
      </c>
      <c r="M299" s="265" t="s">
        <v>380</v>
      </c>
      <c r="N299" s="266">
        <v>148000</v>
      </c>
      <c r="O299" s="267" t="s">
        <v>1197</v>
      </c>
      <c r="P299" s="268" t="s">
        <v>1191</v>
      </c>
      <c r="Q299" s="269">
        <v>148000</v>
      </c>
      <c r="R299" s="271">
        <v>28120</v>
      </c>
      <c r="S299" s="271">
        <v>176120</v>
      </c>
      <c r="T299" s="272">
        <v>148000</v>
      </c>
      <c r="U299" s="272">
        <v>176120</v>
      </c>
      <c r="V299" s="273" t="s">
        <v>1357</v>
      </c>
      <c r="W299" s="274">
        <v>46176</v>
      </c>
      <c r="X299" s="263" t="s">
        <v>2048</v>
      </c>
      <c r="Y299" s="276" t="s">
        <v>1188</v>
      </c>
      <c r="Z299" s="277" t="s">
        <v>381</v>
      </c>
      <c r="AA299" s="278">
        <v>150000</v>
      </c>
      <c r="AB299" s="279" t="s">
        <v>1197</v>
      </c>
      <c r="AC299" s="280" t="s">
        <v>1191</v>
      </c>
      <c r="AD299" s="281">
        <v>150000</v>
      </c>
      <c r="AE299" s="283">
        <v>28500</v>
      </c>
      <c r="AF299" s="283">
        <v>178500</v>
      </c>
      <c r="AG299" s="284">
        <v>150000</v>
      </c>
      <c r="AH299" s="284">
        <v>178500</v>
      </c>
      <c r="AI299" s="285" t="s">
        <v>1357</v>
      </c>
      <c r="AJ299" s="286">
        <v>46176</v>
      </c>
      <c r="AK299" s="263" t="s">
        <v>2108</v>
      </c>
      <c r="AL299" s="288" t="s">
        <v>1188</v>
      </c>
      <c r="AM299" s="298" t="s">
        <v>382</v>
      </c>
      <c r="AN299" s="289">
        <v>138600</v>
      </c>
      <c r="AO299" s="290" t="s">
        <v>1197</v>
      </c>
      <c r="AP299" s="290" t="s">
        <v>1191</v>
      </c>
      <c r="AQ299" s="291">
        <v>138600</v>
      </c>
      <c r="AR299" s="292">
        <v>26334</v>
      </c>
      <c r="AS299" s="292">
        <v>164934</v>
      </c>
      <c r="AT299" s="293">
        <v>138600</v>
      </c>
      <c r="AU299" s="293">
        <v>164934</v>
      </c>
      <c r="AV299" s="294">
        <v>173184.67</v>
      </c>
      <c r="AW299" s="294">
        <v>173184.67</v>
      </c>
      <c r="AX299" s="294">
        <v>7243.7</v>
      </c>
      <c r="AY299" s="299">
        <v>4.1799999999999997E-2</v>
      </c>
    </row>
    <row r="300" spans="1:51" ht="57.6" hidden="1">
      <c r="A300" s="257" t="s">
        <v>2044</v>
      </c>
      <c r="B300" s="258" t="s">
        <v>2045</v>
      </c>
      <c r="C300" s="258">
        <v>11101522</v>
      </c>
      <c r="D300" s="257" t="s">
        <v>869</v>
      </c>
      <c r="F300" s="258" t="s">
        <v>568</v>
      </c>
      <c r="G300" s="262">
        <v>1</v>
      </c>
      <c r="H300" s="262" t="s">
        <v>192</v>
      </c>
      <c r="I300" s="321" t="s">
        <v>1357</v>
      </c>
      <c r="J300" s="322">
        <v>46176</v>
      </c>
      <c r="K300" s="263" t="s">
        <v>2046</v>
      </c>
      <c r="L300" s="264" t="s">
        <v>1188</v>
      </c>
      <c r="M300" s="265" t="s">
        <v>380</v>
      </c>
      <c r="N300" s="266">
        <v>34000</v>
      </c>
      <c r="O300" s="267" t="s">
        <v>1197</v>
      </c>
      <c r="P300" s="268" t="s">
        <v>1217</v>
      </c>
      <c r="Q300" s="269">
        <v>34000</v>
      </c>
      <c r="R300" s="270" t="s">
        <v>2047</v>
      </c>
      <c r="S300" s="271">
        <v>34000</v>
      </c>
      <c r="T300" s="272">
        <v>34000</v>
      </c>
      <c r="U300" s="272">
        <v>34000</v>
      </c>
      <c r="V300" s="273" t="s">
        <v>1357</v>
      </c>
      <c r="W300" s="274">
        <v>46176</v>
      </c>
      <c r="X300" s="263" t="s">
        <v>2048</v>
      </c>
      <c r="Y300" s="276" t="s">
        <v>1188</v>
      </c>
      <c r="Z300" s="277" t="s">
        <v>381</v>
      </c>
      <c r="AA300" s="278">
        <v>32000</v>
      </c>
      <c r="AB300" s="279" t="s">
        <v>1197</v>
      </c>
      <c r="AC300" s="280" t="s">
        <v>1217</v>
      </c>
      <c r="AD300" s="281">
        <v>32000</v>
      </c>
      <c r="AE300" s="282" t="s">
        <v>2047</v>
      </c>
      <c r="AF300" s="283">
        <v>32000</v>
      </c>
      <c r="AG300" s="284">
        <v>32000</v>
      </c>
      <c r="AH300" s="284">
        <v>32000</v>
      </c>
      <c r="AI300" s="285" t="s">
        <v>1357</v>
      </c>
      <c r="AJ300" s="286">
        <v>46176</v>
      </c>
      <c r="AK300" s="263" t="s">
        <v>2108</v>
      </c>
      <c r="AL300" s="288" t="s">
        <v>1188</v>
      </c>
      <c r="AM300" s="298" t="s">
        <v>382</v>
      </c>
      <c r="AN300" s="289">
        <v>30800</v>
      </c>
      <c r="AO300" s="290" t="s">
        <v>1197</v>
      </c>
      <c r="AP300" s="290" t="s">
        <v>1217</v>
      </c>
      <c r="AQ300" s="291">
        <v>30800</v>
      </c>
      <c r="AR300" s="300" t="s">
        <v>2047</v>
      </c>
      <c r="AS300" s="292">
        <v>30800</v>
      </c>
      <c r="AT300" s="293">
        <v>30800</v>
      </c>
      <c r="AU300" s="293">
        <v>30800</v>
      </c>
      <c r="AV300" s="294">
        <v>32266.67</v>
      </c>
      <c r="AW300" s="294">
        <v>32266.67</v>
      </c>
      <c r="AX300" s="294">
        <v>1616.58</v>
      </c>
      <c r="AY300" s="299">
        <v>5.0099999999999999E-2</v>
      </c>
    </row>
    <row r="301" spans="1:51" ht="57.6" hidden="1">
      <c r="A301" s="257" t="s">
        <v>2044</v>
      </c>
      <c r="B301" s="258" t="s">
        <v>2045</v>
      </c>
      <c r="C301" s="258">
        <v>60141204</v>
      </c>
      <c r="D301" s="257" t="s">
        <v>825</v>
      </c>
      <c r="F301" s="258" t="s">
        <v>568</v>
      </c>
      <c r="G301" s="262">
        <v>1</v>
      </c>
      <c r="H301" s="262" t="s">
        <v>192</v>
      </c>
      <c r="I301" s="321" t="s">
        <v>1357</v>
      </c>
      <c r="J301" s="322">
        <v>46176</v>
      </c>
      <c r="K301" s="263" t="s">
        <v>2046</v>
      </c>
      <c r="L301" s="264" t="s">
        <v>1188</v>
      </c>
      <c r="M301" s="265" t="s">
        <v>380</v>
      </c>
      <c r="N301" s="266">
        <v>320000</v>
      </c>
      <c r="O301" s="267" t="s">
        <v>1197</v>
      </c>
      <c r="P301" s="268" t="s">
        <v>1191</v>
      </c>
      <c r="Q301" s="269">
        <v>320000</v>
      </c>
      <c r="R301" s="271">
        <v>60800</v>
      </c>
      <c r="S301" s="271">
        <v>380800</v>
      </c>
      <c r="T301" s="272">
        <v>320000</v>
      </c>
      <c r="U301" s="272">
        <v>380800</v>
      </c>
      <c r="V301" s="273" t="s">
        <v>1357</v>
      </c>
      <c r="W301" s="274">
        <v>46176</v>
      </c>
      <c r="X301" s="263" t="s">
        <v>2048</v>
      </c>
      <c r="Y301" s="276" t="s">
        <v>1188</v>
      </c>
      <c r="Z301" s="277" t="s">
        <v>381</v>
      </c>
      <c r="AA301" s="278">
        <v>300000</v>
      </c>
      <c r="AB301" s="279" t="s">
        <v>1197</v>
      </c>
      <c r="AC301" s="280" t="s">
        <v>1191</v>
      </c>
      <c r="AD301" s="281">
        <v>300000</v>
      </c>
      <c r="AE301" s="283">
        <v>57000</v>
      </c>
      <c r="AF301" s="283">
        <v>357000</v>
      </c>
      <c r="AG301" s="284">
        <v>300000</v>
      </c>
      <c r="AH301" s="284">
        <v>357000</v>
      </c>
      <c r="AI301" s="285" t="s">
        <v>1357</v>
      </c>
      <c r="AJ301" s="286">
        <v>46176</v>
      </c>
      <c r="AK301" s="263" t="s">
        <v>2108</v>
      </c>
      <c r="AL301" s="288" t="s">
        <v>1188</v>
      </c>
      <c r="AM301" s="298" t="s">
        <v>382</v>
      </c>
      <c r="AN301" s="289">
        <v>354200</v>
      </c>
      <c r="AO301" s="290" t="s">
        <v>1197</v>
      </c>
      <c r="AP301" s="290" t="s">
        <v>1191</v>
      </c>
      <c r="AQ301" s="291">
        <v>354200</v>
      </c>
      <c r="AR301" s="292">
        <v>67298</v>
      </c>
      <c r="AS301" s="292">
        <v>421498</v>
      </c>
      <c r="AT301" s="293">
        <v>354200</v>
      </c>
      <c r="AU301" s="293">
        <v>421498</v>
      </c>
      <c r="AV301" s="294">
        <v>386432.67</v>
      </c>
      <c r="AW301" s="294">
        <v>386432.67</v>
      </c>
      <c r="AX301" s="294">
        <v>32615.84</v>
      </c>
      <c r="AY301" s="299">
        <v>8.4400000000000003E-2</v>
      </c>
    </row>
    <row r="302" spans="1:51" ht="57.6" hidden="1">
      <c r="A302" s="257" t="s">
        <v>2044</v>
      </c>
      <c r="B302" s="258" t="s">
        <v>2045</v>
      </c>
      <c r="C302" s="258">
        <v>60141204</v>
      </c>
      <c r="D302" s="257" t="s">
        <v>754</v>
      </c>
      <c r="F302" s="258" t="s">
        <v>568</v>
      </c>
      <c r="G302" s="262">
        <v>1</v>
      </c>
      <c r="H302" s="262" t="s">
        <v>192</v>
      </c>
      <c r="I302" s="321" t="s">
        <v>1357</v>
      </c>
      <c r="J302" s="322">
        <v>46176</v>
      </c>
      <c r="K302" s="263" t="s">
        <v>2046</v>
      </c>
      <c r="L302" s="264" t="s">
        <v>1188</v>
      </c>
      <c r="M302" s="265" t="s">
        <v>380</v>
      </c>
      <c r="N302" s="266">
        <v>162000</v>
      </c>
      <c r="O302" s="267" t="s">
        <v>1197</v>
      </c>
      <c r="P302" s="268" t="s">
        <v>1191</v>
      </c>
      <c r="Q302" s="269">
        <v>162000</v>
      </c>
      <c r="R302" s="271">
        <v>30780</v>
      </c>
      <c r="S302" s="271">
        <v>192780</v>
      </c>
      <c r="T302" s="272">
        <v>162000</v>
      </c>
      <c r="U302" s="272">
        <v>192780</v>
      </c>
      <c r="V302" s="273" t="s">
        <v>1357</v>
      </c>
      <c r="W302" s="274">
        <v>46176</v>
      </c>
      <c r="X302" s="263" t="s">
        <v>2048</v>
      </c>
      <c r="Y302" s="276" t="s">
        <v>1188</v>
      </c>
      <c r="Z302" s="277" t="s">
        <v>381</v>
      </c>
      <c r="AA302" s="278">
        <v>160000</v>
      </c>
      <c r="AB302" s="279" t="s">
        <v>1197</v>
      </c>
      <c r="AC302" s="280" t="s">
        <v>1191</v>
      </c>
      <c r="AD302" s="281">
        <v>160000</v>
      </c>
      <c r="AE302" s="283">
        <v>30400</v>
      </c>
      <c r="AF302" s="283">
        <v>190400</v>
      </c>
      <c r="AG302" s="284">
        <v>160000</v>
      </c>
      <c r="AH302" s="284">
        <v>190400</v>
      </c>
      <c r="AI302" s="285" t="s">
        <v>1357</v>
      </c>
      <c r="AJ302" s="286">
        <v>46176</v>
      </c>
      <c r="AK302" s="263" t="s">
        <v>2108</v>
      </c>
      <c r="AL302" s="288" t="s">
        <v>1188</v>
      </c>
      <c r="AM302" s="298" t="s">
        <v>382</v>
      </c>
      <c r="AN302" s="289">
        <v>154000</v>
      </c>
      <c r="AO302" s="290" t="s">
        <v>1197</v>
      </c>
      <c r="AP302" s="290" t="s">
        <v>1191</v>
      </c>
      <c r="AQ302" s="291">
        <v>154000</v>
      </c>
      <c r="AR302" s="292">
        <v>29260</v>
      </c>
      <c r="AS302" s="292">
        <v>183260</v>
      </c>
      <c r="AT302" s="293">
        <v>154000</v>
      </c>
      <c r="AU302" s="293">
        <v>183260</v>
      </c>
      <c r="AV302" s="294">
        <v>188813.33</v>
      </c>
      <c r="AW302" s="294">
        <v>188813.33</v>
      </c>
      <c r="AX302" s="294">
        <v>4954.37</v>
      </c>
      <c r="AY302" s="299">
        <v>2.6200000000000001E-2</v>
      </c>
    </row>
    <row r="303" spans="1:51" ht="57.6" hidden="1">
      <c r="A303" s="257" t="s">
        <v>2044</v>
      </c>
      <c r="B303" s="258" t="s">
        <v>2045</v>
      </c>
      <c r="C303" s="258">
        <v>21102004</v>
      </c>
      <c r="D303" s="257" t="s">
        <v>733</v>
      </c>
      <c r="F303" s="258" t="s">
        <v>568</v>
      </c>
      <c r="G303" s="262">
        <v>1</v>
      </c>
      <c r="H303" s="262" t="s">
        <v>192</v>
      </c>
      <c r="I303" s="321" t="s">
        <v>1357</v>
      </c>
      <c r="J303" s="322">
        <v>46176</v>
      </c>
      <c r="K303" s="263" t="s">
        <v>2046</v>
      </c>
      <c r="L303" s="264" t="s">
        <v>1188</v>
      </c>
      <c r="M303" s="265" t="s">
        <v>380</v>
      </c>
      <c r="N303" s="266">
        <v>22000</v>
      </c>
      <c r="O303" s="267" t="s">
        <v>1197</v>
      </c>
      <c r="P303" s="268" t="s">
        <v>1217</v>
      </c>
      <c r="Q303" s="269">
        <v>22000</v>
      </c>
      <c r="R303" s="270" t="s">
        <v>2047</v>
      </c>
      <c r="S303" s="271">
        <v>22000</v>
      </c>
      <c r="T303" s="272">
        <v>22000</v>
      </c>
      <c r="U303" s="272">
        <v>22000</v>
      </c>
      <c r="V303" s="273" t="s">
        <v>1357</v>
      </c>
      <c r="W303" s="274">
        <v>46176</v>
      </c>
      <c r="X303" s="263" t="s">
        <v>2048</v>
      </c>
      <c r="Y303" s="276" t="s">
        <v>1188</v>
      </c>
      <c r="Z303" s="277" t="s">
        <v>381</v>
      </c>
      <c r="AA303" s="278">
        <v>24000</v>
      </c>
      <c r="AB303" s="279" t="s">
        <v>1197</v>
      </c>
      <c r="AC303" s="280" t="s">
        <v>1217</v>
      </c>
      <c r="AD303" s="281">
        <v>24000</v>
      </c>
      <c r="AE303" s="282" t="s">
        <v>2047</v>
      </c>
      <c r="AF303" s="283">
        <v>24000</v>
      </c>
      <c r="AG303" s="284">
        <v>24000</v>
      </c>
      <c r="AH303" s="284">
        <v>24000</v>
      </c>
      <c r="AI303" s="285" t="s">
        <v>1357</v>
      </c>
      <c r="AJ303" s="286">
        <v>46176</v>
      </c>
      <c r="AK303" s="263" t="s">
        <v>2108</v>
      </c>
      <c r="AL303" s="288" t="s">
        <v>1188</v>
      </c>
      <c r="AM303" s="298" t="s">
        <v>382</v>
      </c>
      <c r="AN303" s="289">
        <v>20000</v>
      </c>
      <c r="AO303" s="290" t="s">
        <v>1197</v>
      </c>
      <c r="AP303" s="290" t="s">
        <v>1217</v>
      </c>
      <c r="AQ303" s="291">
        <v>20000</v>
      </c>
      <c r="AR303" s="300" t="s">
        <v>2047</v>
      </c>
      <c r="AS303" s="292">
        <v>20000</v>
      </c>
      <c r="AT303" s="293">
        <v>20000</v>
      </c>
      <c r="AU303" s="293">
        <v>20000</v>
      </c>
      <c r="AV303" s="294">
        <v>22000</v>
      </c>
      <c r="AW303" s="294">
        <v>22000</v>
      </c>
      <c r="AX303" s="294">
        <v>2000</v>
      </c>
      <c r="AY303" s="299">
        <v>9.0899999999999995E-2</v>
      </c>
    </row>
    <row r="304" spans="1:51" ht="57.6" hidden="1">
      <c r="A304" s="257" t="s">
        <v>2044</v>
      </c>
      <c r="B304" s="258" t="s">
        <v>2045</v>
      </c>
      <c r="C304" s="258">
        <v>21102004</v>
      </c>
      <c r="D304" s="257" t="s">
        <v>819</v>
      </c>
      <c r="F304" s="258" t="s">
        <v>568</v>
      </c>
      <c r="G304" s="262">
        <v>1</v>
      </c>
      <c r="H304" s="262" t="s">
        <v>192</v>
      </c>
      <c r="I304" s="321" t="s">
        <v>1357</v>
      </c>
      <c r="J304" s="322">
        <v>46176</v>
      </c>
      <c r="K304" s="263" t="s">
        <v>2048</v>
      </c>
      <c r="L304" s="264" t="s">
        <v>1188</v>
      </c>
      <c r="M304" s="265" t="s">
        <v>381</v>
      </c>
      <c r="N304" s="266">
        <v>20000</v>
      </c>
      <c r="O304" s="267" t="s">
        <v>1197</v>
      </c>
      <c r="P304" s="268" t="s">
        <v>1217</v>
      </c>
      <c r="Q304" s="269">
        <v>20000</v>
      </c>
      <c r="R304" s="270" t="s">
        <v>2047</v>
      </c>
      <c r="S304" s="271">
        <v>20000</v>
      </c>
      <c r="T304" s="272">
        <v>20000</v>
      </c>
      <c r="U304" s="272">
        <v>20000</v>
      </c>
      <c r="V304" s="273" t="s">
        <v>1357</v>
      </c>
      <c r="W304" s="274">
        <v>46176</v>
      </c>
      <c r="X304" s="263" t="s">
        <v>2108</v>
      </c>
      <c r="Y304" s="276" t="s">
        <v>1188</v>
      </c>
      <c r="Z304" s="277" t="s">
        <v>382</v>
      </c>
      <c r="AA304" s="278">
        <v>20000</v>
      </c>
      <c r="AB304" s="279" t="s">
        <v>1197</v>
      </c>
      <c r="AC304" s="280" t="s">
        <v>1217</v>
      </c>
      <c r="AD304" s="281">
        <v>20000</v>
      </c>
      <c r="AE304" s="282" t="s">
        <v>2047</v>
      </c>
      <c r="AF304" s="283">
        <v>20000</v>
      </c>
      <c r="AG304" s="284">
        <v>20000</v>
      </c>
      <c r="AH304" s="284">
        <v>20000</v>
      </c>
      <c r="AI304" s="285" t="s">
        <v>1357</v>
      </c>
      <c r="AJ304" s="286">
        <v>46176</v>
      </c>
      <c r="AK304" s="263" t="s">
        <v>2046</v>
      </c>
      <c r="AL304" s="288" t="s">
        <v>1188</v>
      </c>
      <c r="AM304" s="298" t="s">
        <v>380</v>
      </c>
      <c r="AN304" s="289">
        <v>22000</v>
      </c>
      <c r="AO304" s="290" t="s">
        <v>1197</v>
      </c>
      <c r="AP304" s="290" t="s">
        <v>1217</v>
      </c>
      <c r="AQ304" s="291">
        <v>22000</v>
      </c>
      <c r="AR304" s="300" t="s">
        <v>2047</v>
      </c>
      <c r="AS304" s="292">
        <v>22000</v>
      </c>
      <c r="AT304" s="293">
        <v>22000</v>
      </c>
      <c r="AU304" s="293">
        <v>22000</v>
      </c>
      <c r="AV304" s="294">
        <v>20666.669999999998</v>
      </c>
      <c r="AW304" s="294">
        <v>20666.669999999998</v>
      </c>
      <c r="AX304" s="294">
        <v>1154.7</v>
      </c>
      <c r="AY304" s="299">
        <v>5.5899999999999998E-2</v>
      </c>
    </row>
    <row r="305" spans="1:51" ht="57.6" hidden="1">
      <c r="A305" s="257" t="s">
        <v>2044</v>
      </c>
      <c r="B305" s="258" t="s">
        <v>2045</v>
      </c>
      <c r="C305" s="258">
        <v>30111600</v>
      </c>
      <c r="D305" s="257" t="s">
        <v>394</v>
      </c>
      <c r="F305" s="258" t="s">
        <v>191</v>
      </c>
      <c r="G305" s="262">
        <v>8</v>
      </c>
      <c r="H305" s="262" t="s">
        <v>192</v>
      </c>
      <c r="I305" s="321" t="s">
        <v>1357</v>
      </c>
      <c r="J305" s="322">
        <v>46169</v>
      </c>
      <c r="K305" s="263" t="s">
        <v>2071</v>
      </c>
      <c r="L305" s="264" t="s">
        <v>1188</v>
      </c>
      <c r="M305" s="265" t="s">
        <v>193</v>
      </c>
      <c r="N305" s="266">
        <v>35000</v>
      </c>
      <c r="O305" s="267" t="s">
        <v>1197</v>
      </c>
      <c r="P305" s="268" t="s">
        <v>1191</v>
      </c>
      <c r="Q305" s="269">
        <v>35000</v>
      </c>
      <c r="R305" s="271">
        <v>6650</v>
      </c>
      <c r="S305" s="271">
        <v>41650</v>
      </c>
      <c r="T305" s="272">
        <v>280000</v>
      </c>
      <c r="U305" s="272">
        <v>333200</v>
      </c>
      <c r="V305" s="273" t="s">
        <v>1357</v>
      </c>
      <c r="W305" s="274">
        <v>46169</v>
      </c>
      <c r="X305" s="263" t="s">
        <v>2062</v>
      </c>
      <c r="Y305" s="276" t="s">
        <v>1188</v>
      </c>
      <c r="Z305" s="277" t="s">
        <v>194</v>
      </c>
      <c r="AA305" s="278">
        <v>35000</v>
      </c>
      <c r="AB305" s="279" t="s">
        <v>1197</v>
      </c>
      <c r="AC305" s="280" t="s">
        <v>1191</v>
      </c>
      <c r="AD305" s="281">
        <v>35000</v>
      </c>
      <c r="AE305" s="283">
        <v>6650</v>
      </c>
      <c r="AF305" s="283">
        <v>41650</v>
      </c>
      <c r="AG305" s="284">
        <v>280000</v>
      </c>
      <c r="AH305" s="284">
        <v>333200</v>
      </c>
      <c r="AI305" s="285" t="s">
        <v>1357</v>
      </c>
      <c r="AJ305" s="286">
        <v>46177</v>
      </c>
      <c r="AK305" s="263" t="s">
        <v>2146</v>
      </c>
      <c r="AL305" s="288" t="s">
        <v>1188</v>
      </c>
      <c r="AM305" s="298" t="s">
        <v>230</v>
      </c>
      <c r="AN305" s="289">
        <v>32900</v>
      </c>
      <c r="AO305" s="290" t="s">
        <v>1197</v>
      </c>
      <c r="AP305" s="290" t="s">
        <v>1191</v>
      </c>
      <c r="AQ305" s="291">
        <v>32900</v>
      </c>
      <c r="AR305" s="292">
        <v>6251</v>
      </c>
      <c r="AS305" s="292">
        <v>39151</v>
      </c>
      <c r="AT305" s="293">
        <v>263200</v>
      </c>
      <c r="AU305" s="293">
        <v>313208</v>
      </c>
      <c r="AV305" s="294">
        <v>40817</v>
      </c>
      <c r="AW305" s="294">
        <v>326536</v>
      </c>
      <c r="AX305" s="294">
        <v>11542.39</v>
      </c>
      <c r="AY305" s="299">
        <v>3.5299999999999998E-2</v>
      </c>
    </row>
    <row r="306" spans="1:51" ht="57.6" hidden="1">
      <c r="A306" s="257" t="s">
        <v>2044</v>
      </c>
      <c r="B306" s="258" t="s">
        <v>2045</v>
      </c>
      <c r="C306" s="258">
        <v>21101710</v>
      </c>
      <c r="D306" s="257" t="s">
        <v>976</v>
      </c>
      <c r="F306" s="258" t="s">
        <v>568</v>
      </c>
      <c r="G306" s="262">
        <v>1</v>
      </c>
      <c r="H306" s="262" t="s">
        <v>192</v>
      </c>
      <c r="I306" s="321" t="s">
        <v>1357</v>
      </c>
      <c r="J306" s="322">
        <v>46176</v>
      </c>
      <c r="K306" s="263" t="s">
        <v>2046</v>
      </c>
      <c r="L306" s="264" t="s">
        <v>1188</v>
      </c>
      <c r="M306" s="265" t="s">
        <v>380</v>
      </c>
      <c r="N306" s="266">
        <v>140000</v>
      </c>
      <c r="O306" s="267" t="s">
        <v>1197</v>
      </c>
      <c r="P306" s="268" t="s">
        <v>1191</v>
      </c>
      <c r="Q306" s="269">
        <v>140000</v>
      </c>
      <c r="R306" s="271">
        <v>26600</v>
      </c>
      <c r="S306" s="271">
        <v>166600</v>
      </c>
      <c r="T306" s="272">
        <v>140000</v>
      </c>
      <c r="U306" s="272">
        <v>166600</v>
      </c>
      <c r="V306" s="273" t="s">
        <v>1357</v>
      </c>
      <c r="W306" s="274">
        <v>46176</v>
      </c>
      <c r="X306" s="263" t="s">
        <v>2048</v>
      </c>
      <c r="Y306" s="276" t="s">
        <v>1188</v>
      </c>
      <c r="Z306" s="277" t="s">
        <v>381</v>
      </c>
      <c r="AA306" s="278">
        <v>130000</v>
      </c>
      <c r="AB306" s="279" t="s">
        <v>1197</v>
      </c>
      <c r="AC306" s="280" t="s">
        <v>1191</v>
      </c>
      <c r="AD306" s="281">
        <v>130000</v>
      </c>
      <c r="AE306" s="283">
        <v>24700</v>
      </c>
      <c r="AF306" s="283">
        <v>154700</v>
      </c>
      <c r="AG306" s="284">
        <v>130000</v>
      </c>
      <c r="AH306" s="284">
        <v>154700</v>
      </c>
      <c r="AI306" s="285" t="s">
        <v>1357</v>
      </c>
      <c r="AJ306" s="286">
        <v>46176</v>
      </c>
      <c r="AK306" s="263" t="s">
        <v>2108</v>
      </c>
      <c r="AL306" s="288" t="s">
        <v>1188</v>
      </c>
      <c r="AM306" s="298" t="s">
        <v>382</v>
      </c>
      <c r="AN306" s="289">
        <v>120400</v>
      </c>
      <c r="AO306" s="290" t="s">
        <v>1197</v>
      </c>
      <c r="AP306" s="290" t="s">
        <v>1191</v>
      </c>
      <c r="AQ306" s="291">
        <v>120400</v>
      </c>
      <c r="AR306" s="292">
        <v>22876</v>
      </c>
      <c r="AS306" s="292">
        <v>143276</v>
      </c>
      <c r="AT306" s="293">
        <v>120400</v>
      </c>
      <c r="AU306" s="293">
        <v>143276</v>
      </c>
      <c r="AV306" s="294">
        <v>154858.67000000001</v>
      </c>
      <c r="AW306" s="294">
        <v>154858.67000000001</v>
      </c>
      <c r="AX306" s="294">
        <v>11662.81</v>
      </c>
      <c r="AY306" s="299">
        <v>7.5300000000000006E-2</v>
      </c>
    </row>
    <row r="307" spans="1:51" ht="57.6" hidden="1">
      <c r="A307" s="257" t="s">
        <v>2044</v>
      </c>
      <c r="B307" s="258" t="s">
        <v>2045</v>
      </c>
      <c r="C307" s="258">
        <v>15121500</v>
      </c>
      <c r="D307" s="257" t="s">
        <v>439</v>
      </c>
      <c r="F307" s="258" t="s">
        <v>191</v>
      </c>
      <c r="G307" s="262">
        <v>1</v>
      </c>
      <c r="H307" s="262" t="s">
        <v>192</v>
      </c>
      <c r="I307" s="321" t="s">
        <v>1357</v>
      </c>
      <c r="J307" s="322">
        <v>46169</v>
      </c>
      <c r="K307" s="263" t="s">
        <v>2071</v>
      </c>
      <c r="L307" s="264" t="s">
        <v>1188</v>
      </c>
      <c r="M307" s="265" t="s">
        <v>193</v>
      </c>
      <c r="N307" s="266">
        <v>12000</v>
      </c>
      <c r="O307" s="267" t="s">
        <v>1197</v>
      </c>
      <c r="P307" s="268" t="s">
        <v>1191</v>
      </c>
      <c r="Q307" s="269">
        <v>12000</v>
      </c>
      <c r="R307" s="271">
        <v>2280</v>
      </c>
      <c r="S307" s="271">
        <v>14280</v>
      </c>
      <c r="T307" s="272">
        <v>12000</v>
      </c>
      <c r="U307" s="272">
        <v>14280</v>
      </c>
      <c r="V307" s="273" t="s">
        <v>1357</v>
      </c>
      <c r="W307" s="274">
        <v>46169</v>
      </c>
      <c r="X307" s="263" t="s">
        <v>2062</v>
      </c>
      <c r="Y307" s="276" t="s">
        <v>1188</v>
      </c>
      <c r="Z307" s="277" t="s">
        <v>194</v>
      </c>
      <c r="AA307" s="278">
        <v>12000</v>
      </c>
      <c r="AB307" s="279" t="s">
        <v>1197</v>
      </c>
      <c r="AC307" s="280" t="s">
        <v>1191</v>
      </c>
      <c r="AD307" s="281">
        <v>12000</v>
      </c>
      <c r="AE307" s="283">
        <v>2280</v>
      </c>
      <c r="AF307" s="283">
        <v>14280</v>
      </c>
      <c r="AG307" s="284">
        <v>12000</v>
      </c>
      <c r="AH307" s="284">
        <v>14280</v>
      </c>
      <c r="AI307" s="285" t="s">
        <v>1186</v>
      </c>
      <c r="AJ307" s="286">
        <v>46196</v>
      </c>
      <c r="AK307" s="263" t="s">
        <v>2147</v>
      </c>
      <c r="AL307" s="288" t="s">
        <v>1193</v>
      </c>
      <c r="AM307" s="290" t="s">
        <v>313</v>
      </c>
      <c r="AN307" s="289">
        <v>19800</v>
      </c>
      <c r="AO307" s="290" t="s">
        <v>1190</v>
      </c>
      <c r="AP307" s="290" t="s">
        <v>1191</v>
      </c>
      <c r="AQ307" s="291">
        <v>16638.66</v>
      </c>
      <c r="AR307" s="292">
        <v>3161</v>
      </c>
      <c r="AS307" s="292">
        <v>19800</v>
      </c>
      <c r="AT307" s="293">
        <v>16639</v>
      </c>
      <c r="AU307" s="293">
        <v>19800</v>
      </c>
      <c r="AV307" s="294">
        <v>16120</v>
      </c>
      <c r="AW307" s="294">
        <v>16120</v>
      </c>
      <c r="AX307" s="294">
        <v>3186.97</v>
      </c>
      <c r="AY307" s="299">
        <v>0.19769999999999999</v>
      </c>
    </row>
    <row r="308" spans="1:51" ht="57.6" hidden="1">
      <c r="A308" s="257" t="s">
        <v>2044</v>
      </c>
      <c r="B308" s="258" t="s">
        <v>2045</v>
      </c>
      <c r="C308" s="258">
        <v>40142300</v>
      </c>
      <c r="D308" s="257" t="s">
        <v>216</v>
      </c>
      <c r="F308" s="258" t="s">
        <v>191</v>
      </c>
      <c r="G308" s="262">
        <v>24</v>
      </c>
      <c r="H308" s="262" t="s">
        <v>192</v>
      </c>
      <c r="I308" s="321" t="s">
        <v>1357</v>
      </c>
      <c r="J308" s="322">
        <v>46169</v>
      </c>
      <c r="K308" s="263" t="s">
        <v>2071</v>
      </c>
      <c r="L308" s="264" t="s">
        <v>1188</v>
      </c>
      <c r="M308" s="265" t="s">
        <v>193</v>
      </c>
      <c r="N308" s="266">
        <v>5500</v>
      </c>
      <c r="O308" s="267" t="s">
        <v>1197</v>
      </c>
      <c r="P308" s="268" t="s">
        <v>1191</v>
      </c>
      <c r="Q308" s="269">
        <v>5500</v>
      </c>
      <c r="R308" s="271">
        <v>1045</v>
      </c>
      <c r="S308" s="271">
        <v>6545</v>
      </c>
      <c r="T308" s="272">
        <v>132000</v>
      </c>
      <c r="U308" s="272">
        <v>157080</v>
      </c>
      <c r="V308" s="273" t="s">
        <v>1199</v>
      </c>
      <c r="W308" s="274">
        <v>46196</v>
      </c>
      <c r="X308" s="263" t="s">
        <v>2148</v>
      </c>
      <c r="Y308" s="276" t="s">
        <v>1193</v>
      </c>
      <c r="Z308" s="277" t="s">
        <v>218</v>
      </c>
      <c r="AA308" s="278">
        <v>5011</v>
      </c>
      <c r="AB308" s="279" t="s">
        <v>1190</v>
      </c>
      <c r="AC308" s="280" t="s">
        <v>1191</v>
      </c>
      <c r="AD308" s="281">
        <v>4210.92</v>
      </c>
      <c r="AE308" s="283">
        <v>800</v>
      </c>
      <c r="AF308" s="283">
        <v>5011</v>
      </c>
      <c r="AG308" s="284">
        <v>101062</v>
      </c>
      <c r="AH308" s="284">
        <v>120264</v>
      </c>
      <c r="AI308" s="285" t="s">
        <v>1186</v>
      </c>
      <c r="AJ308" s="286">
        <v>46177</v>
      </c>
      <c r="AK308" s="263" t="s">
        <v>2149</v>
      </c>
      <c r="AL308" s="288" t="s">
        <v>1188</v>
      </c>
      <c r="AM308" s="298" t="s">
        <v>2150</v>
      </c>
      <c r="AN308" s="289">
        <v>5968</v>
      </c>
      <c r="AO308" s="290" t="s">
        <v>1190</v>
      </c>
      <c r="AP308" s="290" t="s">
        <v>1191</v>
      </c>
      <c r="AQ308" s="291">
        <v>5015.13</v>
      </c>
      <c r="AR308" s="292">
        <v>953</v>
      </c>
      <c r="AS308" s="292">
        <v>5968</v>
      </c>
      <c r="AT308" s="293">
        <v>120363</v>
      </c>
      <c r="AU308" s="293">
        <v>143232</v>
      </c>
      <c r="AV308" s="294">
        <v>5841.33</v>
      </c>
      <c r="AW308" s="294">
        <v>140192</v>
      </c>
      <c r="AX308" s="294">
        <v>18595.310000000001</v>
      </c>
      <c r="AY308" s="299">
        <v>0.1326</v>
      </c>
    </row>
    <row r="309" spans="1:51" ht="57.6" hidden="1">
      <c r="A309" s="257" t="s">
        <v>2044</v>
      </c>
      <c r="B309" s="258" t="s">
        <v>2045</v>
      </c>
      <c r="C309" s="258">
        <v>40142505</v>
      </c>
      <c r="D309" s="257" t="s">
        <v>989</v>
      </c>
      <c r="F309" s="258" t="s">
        <v>568</v>
      </c>
      <c r="G309" s="262">
        <v>1</v>
      </c>
      <c r="H309" s="262" t="s">
        <v>192</v>
      </c>
      <c r="I309" s="321" t="s">
        <v>1357</v>
      </c>
      <c r="J309" s="322">
        <v>46176</v>
      </c>
      <c r="K309" s="263" t="s">
        <v>2046</v>
      </c>
      <c r="L309" s="264" t="s">
        <v>1188</v>
      </c>
      <c r="M309" s="265" t="s">
        <v>380</v>
      </c>
      <c r="N309" s="266">
        <v>45000</v>
      </c>
      <c r="O309" s="267" t="s">
        <v>1197</v>
      </c>
      <c r="P309" s="268" t="s">
        <v>1191</v>
      </c>
      <c r="Q309" s="269">
        <v>45000</v>
      </c>
      <c r="R309" s="271">
        <v>8550</v>
      </c>
      <c r="S309" s="271">
        <v>53550</v>
      </c>
      <c r="T309" s="272">
        <v>45000</v>
      </c>
      <c r="U309" s="272">
        <v>53550</v>
      </c>
      <c r="V309" s="273" t="s">
        <v>1357</v>
      </c>
      <c r="W309" s="274">
        <v>46176</v>
      </c>
      <c r="X309" s="263" t="s">
        <v>2048</v>
      </c>
      <c r="Y309" s="276" t="s">
        <v>1188</v>
      </c>
      <c r="Z309" s="277" t="s">
        <v>381</v>
      </c>
      <c r="AA309" s="278">
        <v>44000</v>
      </c>
      <c r="AB309" s="279" t="s">
        <v>1197</v>
      </c>
      <c r="AC309" s="280" t="s">
        <v>1191</v>
      </c>
      <c r="AD309" s="281">
        <v>44000</v>
      </c>
      <c r="AE309" s="283">
        <v>8360</v>
      </c>
      <c r="AF309" s="283">
        <v>52360</v>
      </c>
      <c r="AG309" s="284">
        <v>44000</v>
      </c>
      <c r="AH309" s="284">
        <v>52360</v>
      </c>
      <c r="AI309" s="285" t="s">
        <v>1357</v>
      </c>
      <c r="AJ309" s="286">
        <v>46176</v>
      </c>
      <c r="AK309" s="263" t="s">
        <v>2108</v>
      </c>
      <c r="AL309" s="288" t="s">
        <v>1188</v>
      </c>
      <c r="AM309" s="298" t="s">
        <v>382</v>
      </c>
      <c r="AN309" s="289">
        <v>42000</v>
      </c>
      <c r="AO309" s="290" t="s">
        <v>1197</v>
      </c>
      <c r="AP309" s="290" t="s">
        <v>1191</v>
      </c>
      <c r="AQ309" s="291">
        <v>42000</v>
      </c>
      <c r="AR309" s="292">
        <v>7980</v>
      </c>
      <c r="AS309" s="292">
        <v>49980</v>
      </c>
      <c r="AT309" s="293">
        <v>42000</v>
      </c>
      <c r="AU309" s="293">
        <v>49980</v>
      </c>
      <c r="AV309" s="294">
        <v>51963.33</v>
      </c>
      <c r="AW309" s="294">
        <v>51963.33</v>
      </c>
      <c r="AX309" s="294">
        <v>1817.76</v>
      </c>
      <c r="AY309" s="299">
        <v>3.5000000000000003E-2</v>
      </c>
    </row>
    <row r="310" spans="1:51" ht="57.6" hidden="1">
      <c r="A310" s="257" t="s">
        <v>2044</v>
      </c>
      <c r="B310" s="258" t="s">
        <v>2045</v>
      </c>
      <c r="C310" s="258">
        <v>12171500</v>
      </c>
      <c r="D310" s="257" t="s">
        <v>321</v>
      </c>
      <c r="F310" s="258" t="s">
        <v>191</v>
      </c>
      <c r="G310" s="262">
        <v>7</v>
      </c>
      <c r="H310" s="262" t="s">
        <v>192</v>
      </c>
      <c r="I310" s="321" t="s">
        <v>1199</v>
      </c>
      <c r="J310" s="322">
        <v>46197</v>
      </c>
      <c r="K310" s="263" t="s">
        <v>2151</v>
      </c>
      <c r="L310" s="264" t="s">
        <v>1193</v>
      </c>
      <c r="M310" s="265" t="s">
        <v>323</v>
      </c>
      <c r="N310" s="266">
        <v>20000</v>
      </c>
      <c r="O310" s="267" t="s">
        <v>1190</v>
      </c>
      <c r="P310" s="268" t="s">
        <v>1191</v>
      </c>
      <c r="Q310" s="269">
        <v>16806.72</v>
      </c>
      <c r="R310" s="271">
        <v>3193</v>
      </c>
      <c r="S310" s="271">
        <v>20000</v>
      </c>
      <c r="T310" s="272">
        <v>117647</v>
      </c>
      <c r="U310" s="272">
        <v>140000</v>
      </c>
      <c r="V310" s="273" t="s">
        <v>1199</v>
      </c>
      <c r="W310" s="274">
        <v>46197</v>
      </c>
      <c r="X310" s="263" t="s">
        <v>2152</v>
      </c>
      <c r="Y310" s="276" t="s">
        <v>1193</v>
      </c>
      <c r="Z310" s="277" t="s">
        <v>324</v>
      </c>
      <c r="AA310" s="278">
        <v>21000</v>
      </c>
      <c r="AB310" s="279" t="s">
        <v>1190</v>
      </c>
      <c r="AC310" s="280" t="s">
        <v>1191</v>
      </c>
      <c r="AD310" s="281">
        <v>17647.060000000001</v>
      </c>
      <c r="AE310" s="283">
        <v>3353</v>
      </c>
      <c r="AF310" s="283">
        <v>21000</v>
      </c>
      <c r="AG310" s="284">
        <v>123529</v>
      </c>
      <c r="AH310" s="284">
        <v>147000</v>
      </c>
      <c r="AI310" s="285" t="s">
        <v>1199</v>
      </c>
      <c r="AJ310" s="286">
        <v>46197</v>
      </c>
      <c r="AK310" s="263" t="s">
        <v>2153</v>
      </c>
      <c r="AL310" s="288" t="s">
        <v>1193</v>
      </c>
      <c r="AM310" s="298" t="s">
        <v>317</v>
      </c>
      <c r="AN310" s="289">
        <v>21000</v>
      </c>
      <c r="AO310" s="290" t="s">
        <v>1190</v>
      </c>
      <c r="AP310" s="290" t="s">
        <v>1191</v>
      </c>
      <c r="AQ310" s="291">
        <v>17647.060000000001</v>
      </c>
      <c r="AR310" s="292">
        <v>3353</v>
      </c>
      <c r="AS310" s="292">
        <v>21000</v>
      </c>
      <c r="AT310" s="293">
        <v>123529</v>
      </c>
      <c r="AU310" s="293">
        <v>147000</v>
      </c>
      <c r="AV310" s="294">
        <v>20666.669999999998</v>
      </c>
      <c r="AW310" s="294">
        <v>144666.67000000001</v>
      </c>
      <c r="AX310" s="294">
        <v>4041.45</v>
      </c>
      <c r="AY310" s="299">
        <v>2.7900000000000001E-2</v>
      </c>
    </row>
    <row r="311" spans="1:51" ht="57.6" hidden="1">
      <c r="A311" s="257" t="s">
        <v>2044</v>
      </c>
      <c r="B311" s="258" t="s">
        <v>2045</v>
      </c>
      <c r="C311" s="258">
        <v>47101524</v>
      </c>
      <c r="D311" s="257" t="s">
        <v>798</v>
      </c>
      <c r="F311" s="258" t="s">
        <v>568</v>
      </c>
      <c r="G311" s="262">
        <v>1</v>
      </c>
      <c r="H311" s="262" t="s">
        <v>192</v>
      </c>
      <c r="I311" s="321" t="s">
        <v>1357</v>
      </c>
      <c r="J311" s="322">
        <v>46176</v>
      </c>
      <c r="K311" s="263" t="s">
        <v>2046</v>
      </c>
      <c r="L311" s="264" t="s">
        <v>1188</v>
      </c>
      <c r="M311" s="265" t="s">
        <v>380</v>
      </c>
      <c r="N311" s="266">
        <v>138000</v>
      </c>
      <c r="O311" s="267" t="s">
        <v>1197</v>
      </c>
      <c r="P311" s="268" t="s">
        <v>1191</v>
      </c>
      <c r="Q311" s="269">
        <v>138000</v>
      </c>
      <c r="R311" s="271">
        <v>26220</v>
      </c>
      <c r="S311" s="271">
        <v>164220</v>
      </c>
      <c r="T311" s="272">
        <v>138000</v>
      </c>
      <c r="U311" s="272">
        <v>164220</v>
      </c>
      <c r="V311" s="273" t="s">
        <v>1357</v>
      </c>
      <c r="W311" s="274">
        <v>46176</v>
      </c>
      <c r="X311" s="263" t="s">
        <v>2048</v>
      </c>
      <c r="Y311" s="276" t="s">
        <v>1188</v>
      </c>
      <c r="Z311" s="277" t="s">
        <v>381</v>
      </c>
      <c r="AA311" s="278">
        <v>136000</v>
      </c>
      <c r="AB311" s="279" t="s">
        <v>1197</v>
      </c>
      <c r="AC311" s="280" t="s">
        <v>1191</v>
      </c>
      <c r="AD311" s="281">
        <v>136000</v>
      </c>
      <c r="AE311" s="283">
        <v>25840</v>
      </c>
      <c r="AF311" s="283">
        <v>161840</v>
      </c>
      <c r="AG311" s="284">
        <v>136000</v>
      </c>
      <c r="AH311" s="284">
        <v>161840</v>
      </c>
      <c r="AI311" s="285" t="s">
        <v>1357</v>
      </c>
      <c r="AJ311" s="286">
        <v>46176</v>
      </c>
      <c r="AK311" s="263" t="s">
        <v>2108</v>
      </c>
      <c r="AL311" s="288" t="s">
        <v>1188</v>
      </c>
      <c r="AM311" s="298" t="s">
        <v>382</v>
      </c>
      <c r="AN311" s="289">
        <v>117600</v>
      </c>
      <c r="AO311" s="290" t="s">
        <v>1197</v>
      </c>
      <c r="AP311" s="290" t="s">
        <v>1191</v>
      </c>
      <c r="AQ311" s="291">
        <v>117600</v>
      </c>
      <c r="AR311" s="292">
        <v>22344</v>
      </c>
      <c r="AS311" s="292">
        <v>139944</v>
      </c>
      <c r="AT311" s="293">
        <v>117600</v>
      </c>
      <c r="AU311" s="293">
        <v>139944</v>
      </c>
      <c r="AV311" s="294">
        <v>155334.67000000001</v>
      </c>
      <c r="AW311" s="294">
        <v>155334.67000000001</v>
      </c>
      <c r="AX311" s="294">
        <v>13381.73</v>
      </c>
      <c r="AY311" s="299">
        <v>8.6099999999999996E-2</v>
      </c>
    </row>
    <row r="312" spans="1:51" ht="57.6" hidden="1">
      <c r="A312" s="257" t="s">
        <v>2044</v>
      </c>
      <c r="B312" s="258" t="s">
        <v>2045</v>
      </c>
      <c r="C312" s="258">
        <v>53131600</v>
      </c>
      <c r="D312" s="257" t="s">
        <v>459</v>
      </c>
      <c r="F312" s="258" t="s">
        <v>191</v>
      </c>
      <c r="G312" s="262">
        <v>150</v>
      </c>
      <c r="H312" s="262" t="s">
        <v>192</v>
      </c>
      <c r="I312" s="321" t="s">
        <v>1357</v>
      </c>
      <c r="J312" s="322">
        <v>46169</v>
      </c>
      <c r="K312" s="263" t="s">
        <v>2071</v>
      </c>
      <c r="L312" s="264" t="s">
        <v>1188</v>
      </c>
      <c r="M312" s="265" t="s">
        <v>193</v>
      </c>
      <c r="N312" s="266">
        <v>2500</v>
      </c>
      <c r="O312" s="267" t="s">
        <v>1197</v>
      </c>
      <c r="P312" s="268" t="s">
        <v>1191</v>
      </c>
      <c r="Q312" s="269">
        <v>2500</v>
      </c>
      <c r="R312" s="271">
        <v>475</v>
      </c>
      <c r="S312" s="271">
        <v>2975</v>
      </c>
      <c r="T312" s="272">
        <v>375000</v>
      </c>
      <c r="U312" s="272">
        <v>446250</v>
      </c>
      <c r="V312" s="273" t="s">
        <v>1357</v>
      </c>
      <c r="W312" s="274">
        <v>46169</v>
      </c>
      <c r="X312" s="263" t="s">
        <v>2062</v>
      </c>
      <c r="Y312" s="276" t="s">
        <v>1188</v>
      </c>
      <c r="Z312" s="277" t="s">
        <v>194</v>
      </c>
      <c r="AA312" s="278">
        <v>2500</v>
      </c>
      <c r="AB312" s="279" t="s">
        <v>1197</v>
      </c>
      <c r="AC312" s="280" t="s">
        <v>1191</v>
      </c>
      <c r="AD312" s="281">
        <v>2500</v>
      </c>
      <c r="AE312" s="283">
        <v>475</v>
      </c>
      <c r="AF312" s="283">
        <v>2975</v>
      </c>
      <c r="AG312" s="284">
        <v>375000</v>
      </c>
      <c r="AH312" s="284">
        <v>446250</v>
      </c>
      <c r="AI312" s="285" t="s">
        <v>1186</v>
      </c>
      <c r="AJ312" s="286">
        <v>46198</v>
      </c>
      <c r="AK312" s="263" t="s">
        <v>2154</v>
      </c>
      <c r="AL312" s="288" t="s">
        <v>1193</v>
      </c>
      <c r="AM312" s="298" t="s">
        <v>461</v>
      </c>
      <c r="AN312" s="289">
        <v>2500</v>
      </c>
      <c r="AO312" s="290" t="s">
        <v>1190</v>
      </c>
      <c r="AP312" s="290" t="s">
        <v>1191</v>
      </c>
      <c r="AQ312" s="291">
        <v>2100.84</v>
      </c>
      <c r="AR312" s="292">
        <v>399</v>
      </c>
      <c r="AS312" s="292">
        <v>2500</v>
      </c>
      <c r="AT312" s="293">
        <v>315126</v>
      </c>
      <c r="AU312" s="293">
        <v>375000</v>
      </c>
      <c r="AV312" s="294">
        <v>2816.67</v>
      </c>
      <c r="AW312" s="294">
        <v>422500</v>
      </c>
      <c r="AX312" s="294">
        <v>41136.21</v>
      </c>
      <c r="AY312" s="299">
        <v>9.74E-2</v>
      </c>
    </row>
    <row r="313" spans="1:51" ht="57.6" hidden="1">
      <c r="A313" s="257" t="s">
        <v>2044</v>
      </c>
      <c r="B313" s="258" t="s">
        <v>2045</v>
      </c>
      <c r="C313" s="258">
        <v>15121500</v>
      </c>
      <c r="D313" s="257" t="s">
        <v>315</v>
      </c>
      <c r="F313" s="258" t="s">
        <v>2155</v>
      </c>
      <c r="G313" s="262">
        <v>150</v>
      </c>
      <c r="H313" s="262" t="s">
        <v>192</v>
      </c>
      <c r="I313" s="321" t="s">
        <v>1199</v>
      </c>
      <c r="J313" s="322">
        <v>46197</v>
      </c>
      <c r="K313" s="263" t="s">
        <v>2156</v>
      </c>
      <c r="L313" s="264" t="s">
        <v>1193</v>
      </c>
      <c r="M313" s="265" t="s">
        <v>317</v>
      </c>
      <c r="N313" s="266">
        <v>23400</v>
      </c>
      <c r="O313" s="267" t="s">
        <v>1190</v>
      </c>
      <c r="P313" s="268" t="s">
        <v>1191</v>
      </c>
      <c r="Q313" s="269">
        <v>19663.87</v>
      </c>
      <c r="R313" s="271">
        <v>3736</v>
      </c>
      <c r="S313" s="271">
        <v>23400</v>
      </c>
      <c r="T313" s="272">
        <v>2949580</v>
      </c>
      <c r="U313" s="272">
        <v>3510000</v>
      </c>
      <c r="V313" s="273" t="s">
        <v>1199</v>
      </c>
      <c r="W313" s="274">
        <v>46197</v>
      </c>
      <c r="X313" s="263" t="s">
        <v>2157</v>
      </c>
      <c r="Y313" s="276" t="s">
        <v>1193</v>
      </c>
      <c r="Z313" s="277" t="s">
        <v>318</v>
      </c>
      <c r="AA313" s="278">
        <v>24463</v>
      </c>
      <c r="AB313" s="279" t="s">
        <v>1190</v>
      </c>
      <c r="AC313" s="280" t="s">
        <v>1191</v>
      </c>
      <c r="AD313" s="281">
        <v>20557.14</v>
      </c>
      <c r="AE313" s="283">
        <v>3906</v>
      </c>
      <c r="AF313" s="283">
        <v>24463</v>
      </c>
      <c r="AG313" s="284">
        <v>3083571</v>
      </c>
      <c r="AH313" s="284">
        <v>3669450</v>
      </c>
      <c r="AI313" s="285" t="s">
        <v>1199</v>
      </c>
      <c r="AJ313" s="286">
        <v>46197</v>
      </c>
      <c r="AK313" s="263" t="s">
        <v>2158</v>
      </c>
      <c r="AL313" s="288" t="s">
        <v>1193</v>
      </c>
      <c r="AM313" s="298" t="s">
        <v>319</v>
      </c>
      <c r="AN313" s="289">
        <v>22000</v>
      </c>
      <c r="AO313" s="290" t="s">
        <v>1190</v>
      </c>
      <c r="AP313" s="290" t="s">
        <v>1191</v>
      </c>
      <c r="AQ313" s="291">
        <v>18487.39</v>
      </c>
      <c r="AR313" s="292">
        <v>3513</v>
      </c>
      <c r="AS313" s="292">
        <v>22000</v>
      </c>
      <c r="AT313" s="293">
        <v>2773109</v>
      </c>
      <c r="AU313" s="293">
        <v>3300000</v>
      </c>
      <c r="AV313" s="294">
        <v>23287.67</v>
      </c>
      <c r="AW313" s="294">
        <v>3493150</v>
      </c>
      <c r="AX313" s="294">
        <v>185300.48000000001</v>
      </c>
      <c r="AY313" s="299">
        <v>5.2999999999999999E-2</v>
      </c>
    </row>
    <row r="314" spans="1:51" ht="57.6" hidden="1">
      <c r="A314" s="257" t="s">
        <v>2044</v>
      </c>
      <c r="B314" s="258" t="s">
        <v>2045</v>
      </c>
      <c r="C314" s="258">
        <v>39121400</v>
      </c>
      <c r="D314" s="257" t="s">
        <v>2159</v>
      </c>
      <c r="F314" s="258" t="s">
        <v>191</v>
      </c>
      <c r="G314" s="262">
        <v>150</v>
      </c>
      <c r="H314" s="262" t="s">
        <v>192</v>
      </c>
      <c r="I314" s="321" t="s">
        <v>1357</v>
      </c>
      <c r="J314" s="322">
        <v>46169</v>
      </c>
      <c r="K314" s="263" t="s">
        <v>2071</v>
      </c>
      <c r="L314" s="264" t="s">
        <v>1188</v>
      </c>
      <c r="M314" s="265" t="s">
        <v>193</v>
      </c>
      <c r="N314" s="266">
        <v>3500</v>
      </c>
      <c r="O314" s="267" t="s">
        <v>1197</v>
      </c>
      <c r="P314" s="268" t="s">
        <v>1191</v>
      </c>
      <c r="Q314" s="269">
        <v>3500</v>
      </c>
      <c r="R314" s="271">
        <v>665</v>
      </c>
      <c r="S314" s="271">
        <v>4165</v>
      </c>
      <c r="T314" s="272">
        <v>525000</v>
      </c>
      <c r="U314" s="272">
        <v>624750</v>
      </c>
      <c r="V314" s="273" t="s">
        <v>1357</v>
      </c>
      <c r="W314" s="274">
        <v>46177</v>
      </c>
      <c r="X314" s="263" t="s">
        <v>2160</v>
      </c>
      <c r="Y314" s="276" t="s">
        <v>1193</v>
      </c>
      <c r="Z314" s="277" t="s">
        <v>768</v>
      </c>
      <c r="AA314" s="278">
        <v>3800</v>
      </c>
      <c r="AB314" s="279" t="s">
        <v>1190</v>
      </c>
      <c r="AC314" s="280" t="s">
        <v>1191</v>
      </c>
      <c r="AD314" s="281">
        <v>3193.28</v>
      </c>
      <c r="AE314" s="283">
        <v>607</v>
      </c>
      <c r="AF314" s="283">
        <v>3800</v>
      </c>
      <c r="AG314" s="284">
        <v>478992</v>
      </c>
      <c r="AH314" s="284">
        <v>570000</v>
      </c>
      <c r="AI314" s="285" t="s">
        <v>1357</v>
      </c>
      <c r="AJ314" s="286">
        <v>46177</v>
      </c>
      <c r="AK314" s="263" t="s">
        <v>2161</v>
      </c>
      <c r="AL314" s="288" t="s">
        <v>1193</v>
      </c>
      <c r="AM314" s="298" t="s">
        <v>2162</v>
      </c>
      <c r="AN314" s="289">
        <v>3800</v>
      </c>
      <c r="AO314" s="290" t="s">
        <v>1190</v>
      </c>
      <c r="AP314" s="290" t="s">
        <v>1191</v>
      </c>
      <c r="AQ314" s="291">
        <v>3193.28</v>
      </c>
      <c r="AR314" s="292">
        <v>607</v>
      </c>
      <c r="AS314" s="292">
        <v>3800</v>
      </c>
      <c r="AT314" s="293">
        <v>478992</v>
      </c>
      <c r="AU314" s="293">
        <v>570000</v>
      </c>
      <c r="AV314" s="294">
        <v>3921.67</v>
      </c>
      <c r="AW314" s="294">
        <v>588250</v>
      </c>
      <c r="AX314" s="294">
        <v>31609.93</v>
      </c>
      <c r="AY314" s="299">
        <v>5.3699999999999998E-2</v>
      </c>
    </row>
    <row r="315" spans="1:51" ht="57.6" hidden="1">
      <c r="A315" s="257" t="s">
        <v>2044</v>
      </c>
      <c r="B315" s="258" t="s">
        <v>2045</v>
      </c>
      <c r="C315" s="258">
        <v>31201600</v>
      </c>
      <c r="D315" s="257" t="s">
        <v>2163</v>
      </c>
      <c r="F315" s="258" t="s">
        <v>191</v>
      </c>
      <c r="G315" s="262">
        <v>4</v>
      </c>
      <c r="H315" s="262" t="s">
        <v>192</v>
      </c>
      <c r="I315" s="321" t="s">
        <v>1357</v>
      </c>
      <c r="J315" s="322">
        <v>46169</v>
      </c>
      <c r="K315" s="263" t="s">
        <v>2071</v>
      </c>
      <c r="L315" s="264" t="s">
        <v>1188</v>
      </c>
      <c r="M315" s="265" t="s">
        <v>193</v>
      </c>
      <c r="N315" s="266">
        <v>17500</v>
      </c>
      <c r="O315" s="267" t="s">
        <v>1197</v>
      </c>
      <c r="P315" s="268" t="s">
        <v>1191</v>
      </c>
      <c r="Q315" s="269">
        <v>17500</v>
      </c>
      <c r="R315" s="271">
        <v>3325</v>
      </c>
      <c r="S315" s="271">
        <v>20825</v>
      </c>
      <c r="T315" s="272">
        <v>70000</v>
      </c>
      <c r="U315" s="272">
        <v>83300</v>
      </c>
      <c r="V315" s="273" t="s">
        <v>1357</v>
      </c>
      <c r="W315" s="274">
        <v>46169</v>
      </c>
      <c r="X315" s="263" t="s">
        <v>2062</v>
      </c>
      <c r="Y315" s="276" t="s">
        <v>1188</v>
      </c>
      <c r="Z315" s="277" t="s">
        <v>194</v>
      </c>
      <c r="AA315" s="278">
        <v>17500</v>
      </c>
      <c r="AB315" s="279" t="s">
        <v>1197</v>
      </c>
      <c r="AC315" s="280" t="s">
        <v>1191</v>
      </c>
      <c r="AD315" s="281">
        <v>17500</v>
      </c>
      <c r="AE315" s="283">
        <v>3325</v>
      </c>
      <c r="AF315" s="283">
        <v>20825</v>
      </c>
      <c r="AG315" s="284">
        <v>70000</v>
      </c>
      <c r="AH315" s="284">
        <v>83300</v>
      </c>
      <c r="AI315" s="285" t="s">
        <v>1199</v>
      </c>
      <c r="AJ315" s="286">
        <v>46197</v>
      </c>
      <c r="AK315" s="263" t="s">
        <v>2164</v>
      </c>
      <c r="AL315" s="288" t="s">
        <v>1193</v>
      </c>
      <c r="AM315" s="298" t="s">
        <v>2165</v>
      </c>
      <c r="AN315" s="289">
        <v>15000</v>
      </c>
      <c r="AO315" s="290" t="s">
        <v>1190</v>
      </c>
      <c r="AP315" s="290" t="s">
        <v>1191</v>
      </c>
      <c r="AQ315" s="291">
        <v>12605.04</v>
      </c>
      <c r="AR315" s="292">
        <v>2395</v>
      </c>
      <c r="AS315" s="292">
        <v>15000</v>
      </c>
      <c r="AT315" s="293">
        <v>50420</v>
      </c>
      <c r="AU315" s="293">
        <v>60000</v>
      </c>
      <c r="AV315" s="294">
        <v>18883.330000000002</v>
      </c>
      <c r="AW315" s="294">
        <v>75533.33</v>
      </c>
      <c r="AX315" s="294">
        <v>13452.26</v>
      </c>
      <c r="AY315" s="299">
        <v>0.17810000000000001</v>
      </c>
    </row>
    <row r="316" spans="1:51" ht="57.6" hidden="1">
      <c r="A316" s="257" t="s">
        <v>2044</v>
      </c>
      <c r="B316" s="258" t="s">
        <v>2045</v>
      </c>
      <c r="C316" s="258">
        <v>11162100</v>
      </c>
      <c r="D316" s="257" t="s">
        <v>455</v>
      </c>
      <c r="F316" s="258" t="s">
        <v>191</v>
      </c>
      <c r="G316" s="262">
        <v>22</v>
      </c>
      <c r="H316" s="262" t="s">
        <v>192</v>
      </c>
      <c r="I316" s="321" t="s">
        <v>1357</v>
      </c>
      <c r="J316" s="322">
        <v>46169</v>
      </c>
      <c r="K316" s="263" t="s">
        <v>2071</v>
      </c>
      <c r="L316" s="264" t="s">
        <v>1188</v>
      </c>
      <c r="M316" s="265" t="s">
        <v>193</v>
      </c>
      <c r="N316" s="266">
        <v>22000</v>
      </c>
      <c r="O316" s="267" t="s">
        <v>1197</v>
      </c>
      <c r="P316" s="268" t="s">
        <v>1191</v>
      </c>
      <c r="Q316" s="269">
        <v>22000</v>
      </c>
      <c r="R316" s="271">
        <v>4180</v>
      </c>
      <c r="S316" s="271">
        <v>26180</v>
      </c>
      <c r="T316" s="272">
        <v>484000</v>
      </c>
      <c r="U316" s="272">
        <v>575960</v>
      </c>
      <c r="V316" s="273" t="s">
        <v>1357</v>
      </c>
      <c r="W316" s="274">
        <v>46169</v>
      </c>
      <c r="X316" s="263" t="s">
        <v>2062</v>
      </c>
      <c r="Y316" s="276" t="s">
        <v>1188</v>
      </c>
      <c r="Z316" s="277" t="s">
        <v>194</v>
      </c>
      <c r="AA316" s="278">
        <v>22000</v>
      </c>
      <c r="AB316" s="279" t="s">
        <v>1197</v>
      </c>
      <c r="AC316" s="280" t="s">
        <v>1191</v>
      </c>
      <c r="AD316" s="281">
        <v>22000</v>
      </c>
      <c r="AE316" s="283">
        <v>4180</v>
      </c>
      <c r="AF316" s="283">
        <v>26180</v>
      </c>
      <c r="AG316" s="284">
        <v>484000</v>
      </c>
      <c r="AH316" s="284">
        <v>575960</v>
      </c>
      <c r="AI316" s="285" t="s">
        <v>1199</v>
      </c>
      <c r="AJ316" s="286">
        <v>46196</v>
      </c>
      <c r="AK316" s="263" t="s">
        <v>2166</v>
      </c>
      <c r="AL316" s="288" t="s">
        <v>1193</v>
      </c>
      <c r="AM316" s="298" t="s">
        <v>457</v>
      </c>
      <c r="AN316" s="289">
        <v>22000</v>
      </c>
      <c r="AO316" s="290" t="s">
        <v>1190</v>
      </c>
      <c r="AP316" s="290" t="s">
        <v>1191</v>
      </c>
      <c r="AQ316" s="291">
        <v>18487.39</v>
      </c>
      <c r="AR316" s="292">
        <v>3513</v>
      </c>
      <c r="AS316" s="292">
        <v>22000</v>
      </c>
      <c r="AT316" s="293">
        <v>406723</v>
      </c>
      <c r="AU316" s="293">
        <v>484000</v>
      </c>
      <c r="AV316" s="294">
        <v>24786.67</v>
      </c>
      <c r="AW316" s="294">
        <v>545306.67000000004</v>
      </c>
      <c r="AX316" s="294">
        <v>53093.13</v>
      </c>
      <c r="AY316" s="299">
        <v>9.74E-2</v>
      </c>
    </row>
    <row r="317" spans="1:51" ht="57.6" hidden="1">
      <c r="A317" s="257" t="s">
        <v>2044</v>
      </c>
      <c r="B317" s="258" t="s">
        <v>2045</v>
      </c>
      <c r="C317" s="258">
        <v>24102010</v>
      </c>
      <c r="D317" s="257" t="s">
        <v>914</v>
      </c>
      <c r="F317" s="258" t="s">
        <v>568</v>
      </c>
      <c r="G317" s="262">
        <v>1</v>
      </c>
      <c r="H317" s="262" t="s">
        <v>192</v>
      </c>
      <c r="I317" s="321" t="s">
        <v>1357</v>
      </c>
      <c r="J317" s="322">
        <v>46176</v>
      </c>
      <c r="K317" s="263" t="s">
        <v>2046</v>
      </c>
      <c r="L317" s="264" t="s">
        <v>1188</v>
      </c>
      <c r="M317" s="265" t="s">
        <v>380</v>
      </c>
      <c r="N317" s="266">
        <v>4000</v>
      </c>
      <c r="O317" s="267" t="s">
        <v>1197</v>
      </c>
      <c r="P317" s="268" t="s">
        <v>1191</v>
      </c>
      <c r="Q317" s="269">
        <v>4000</v>
      </c>
      <c r="R317" s="271">
        <v>760</v>
      </c>
      <c r="S317" s="271">
        <v>4760</v>
      </c>
      <c r="T317" s="272">
        <v>4000</v>
      </c>
      <c r="U317" s="272">
        <v>4760</v>
      </c>
      <c r="V317" s="273" t="s">
        <v>1357</v>
      </c>
      <c r="W317" s="274">
        <v>46176</v>
      </c>
      <c r="X317" s="263" t="s">
        <v>2048</v>
      </c>
      <c r="Y317" s="276" t="s">
        <v>1188</v>
      </c>
      <c r="Z317" s="277" t="s">
        <v>381</v>
      </c>
      <c r="AA317" s="278">
        <v>3400</v>
      </c>
      <c r="AB317" s="279" t="s">
        <v>1197</v>
      </c>
      <c r="AC317" s="280" t="s">
        <v>1191</v>
      </c>
      <c r="AD317" s="281">
        <v>3400</v>
      </c>
      <c r="AE317" s="283">
        <v>646</v>
      </c>
      <c r="AF317" s="283">
        <v>4046</v>
      </c>
      <c r="AG317" s="284">
        <v>3400</v>
      </c>
      <c r="AH317" s="284">
        <v>4046</v>
      </c>
      <c r="AI317" s="285" t="s">
        <v>1357</v>
      </c>
      <c r="AJ317" s="286">
        <v>46176</v>
      </c>
      <c r="AK317" s="263" t="s">
        <v>2108</v>
      </c>
      <c r="AL317" s="288" t="s">
        <v>1188</v>
      </c>
      <c r="AM317" s="298" t="s">
        <v>382</v>
      </c>
      <c r="AN317" s="289">
        <v>3080</v>
      </c>
      <c r="AO317" s="290" t="s">
        <v>1197</v>
      </c>
      <c r="AP317" s="290" t="s">
        <v>1191</v>
      </c>
      <c r="AQ317" s="291">
        <v>3080</v>
      </c>
      <c r="AR317" s="292">
        <v>585</v>
      </c>
      <c r="AS317" s="292">
        <v>3665</v>
      </c>
      <c r="AT317" s="293">
        <v>3080</v>
      </c>
      <c r="AU317" s="293">
        <v>3665</v>
      </c>
      <c r="AV317" s="294">
        <v>4157.07</v>
      </c>
      <c r="AW317" s="294">
        <v>4157.07</v>
      </c>
      <c r="AX317" s="294">
        <v>555.79</v>
      </c>
      <c r="AY317" s="299">
        <v>0.13370000000000001</v>
      </c>
    </row>
    <row r="318" spans="1:51" ht="57.6" hidden="1">
      <c r="A318" s="257" t="s">
        <v>2044</v>
      </c>
      <c r="B318" s="258" t="s">
        <v>2045</v>
      </c>
      <c r="C318" s="258">
        <v>24102010</v>
      </c>
      <c r="D318" s="257" t="s">
        <v>899</v>
      </c>
      <c r="F318" s="258" t="s">
        <v>568</v>
      </c>
      <c r="G318" s="262">
        <v>1</v>
      </c>
      <c r="H318" s="262" t="s">
        <v>192</v>
      </c>
      <c r="I318" s="321" t="s">
        <v>1357</v>
      </c>
      <c r="J318" s="322">
        <v>46176</v>
      </c>
      <c r="K318" s="263" t="s">
        <v>2046</v>
      </c>
      <c r="L318" s="264" t="s">
        <v>1188</v>
      </c>
      <c r="M318" s="265" t="s">
        <v>380</v>
      </c>
      <c r="N318" s="266">
        <v>4200</v>
      </c>
      <c r="O318" s="267" t="s">
        <v>1197</v>
      </c>
      <c r="P318" s="268" t="s">
        <v>1191</v>
      </c>
      <c r="Q318" s="269">
        <v>4200</v>
      </c>
      <c r="R318" s="271">
        <v>798</v>
      </c>
      <c r="S318" s="271">
        <v>4998</v>
      </c>
      <c r="T318" s="272">
        <v>4200</v>
      </c>
      <c r="U318" s="272">
        <v>4998</v>
      </c>
      <c r="V318" s="273" t="s">
        <v>1357</v>
      </c>
      <c r="W318" s="274">
        <v>46176</v>
      </c>
      <c r="X318" s="263" t="s">
        <v>2048</v>
      </c>
      <c r="Y318" s="276" t="s">
        <v>1188</v>
      </c>
      <c r="Z318" s="277" t="s">
        <v>381</v>
      </c>
      <c r="AA318" s="278">
        <v>4000</v>
      </c>
      <c r="AB318" s="279" t="s">
        <v>1197</v>
      </c>
      <c r="AC318" s="280" t="s">
        <v>1191</v>
      </c>
      <c r="AD318" s="281">
        <v>4000</v>
      </c>
      <c r="AE318" s="283">
        <v>760</v>
      </c>
      <c r="AF318" s="283">
        <v>4760</v>
      </c>
      <c r="AG318" s="284">
        <v>4000</v>
      </c>
      <c r="AH318" s="284">
        <v>4760</v>
      </c>
      <c r="AI318" s="285" t="s">
        <v>1357</v>
      </c>
      <c r="AJ318" s="286">
        <v>46176</v>
      </c>
      <c r="AK318" s="263" t="s">
        <v>2108</v>
      </c>
      <c r="AL318" s="288" t="s">
        <v>1188</v>
      </c>
      <c r="AM318" s="298" t="s">
        <v>382</v>
      </c>
      <c r="AN318" s="289">
        <v>4900</v>
      </c>
      <c r="AO318" s="290" t="s">
        <v>1197</v>
      </c>
      <c r="AP318" s="290" t="s">
        <v>1191</v>
      </c>
      <c r="AQ318" s="291">
        <v>4900</v>
      </c>
      <c r="AR318" s="292">
        <v>931</v>
      </c>
      <c r="AS318" s="292">
        <v>5831</v>
      </c>
      <c r="AT318" s="293">
        <v>4900</v>
      </c>
      <c r="AU318" s="293">
        <v>5831</v>
      </c>
      <c r="AV318" s="294">
        <v>5196.33</v>
      </c>
      <c r="AW318" s="294">
        <v>5196.33</v>
      </c>
      <c r="AX318" s="294">
        <v>562.37</v>
      </c>
      <c r="AY318" s="299">
        <v>0.1082</v>
      </c>
    </row>
    <row r="319" spans="1:51" ht="57.6" hidden="1">
      <c r="A319" s="257" t="s">
        <v>2044</v>
      </c>
      <c r="B319" s="258" t="s">
        <v>2045</v>
      </c>
      <c r="C319" s="258">
        <v>24102010</v>
      </c>
      <c r="D319" s="257" t="s">
        <v>902</v>
      </c>
      <c r="F319" s="258" t="s">
        <v>568</v>
      </c>
      <c r="G319" s="262">
        <v>1</v>
      </c>
      <c r="H319" s="262" t="s">
        <v>192</v>
      </c>
      <c r="I319" s="321" t="s">
        <v>1357</v>
      </c>
      <c r="J319" s="322">
        <v>46176</v>
      </c>
      <c r="K319" s="263" t="s">
        <v>2046</v>
      </c>
      <c r="L319" s="264" t="s">
        <v>1188</v>
      </c>
      <c r="M319" s="265" t="s">
        <v>380</v>
      </c>
      <c r="N319" s="266">
        <v>6000</v>
      </c>
      <c r="O319" s="267" t="s">
        <v>1197</v>
      </c>
      <c r="P319" s="268" t="s">
        <v>1191</v>
      </c>
      <c r="Q319" s="269">
        <v>6000</v>
      </c>
      <c r="R319" s="271">
        <v>1140</v>
      </c>
      <c r="S319" s="271">
        <v>7140</v>
      </c>
      <c r="T319" s="272">
        <v>6000</v>
      </c>
      <c r="U319" s="272">
        <v>7140</v>
      </c>
      <c r="V319" s="273" t="s">
        <v>1357</v>
      </c>
      <c r="W319" s="274">
        <v>46176</v>
      </c>
      <c r="X319" s="263" t="s">
        <v>2048</v>
      </c>
      <c r="Y319" s="276" t="s">
        <v>1188</v>
      </c>
      <c r="Z319" s="277" t="s">
        <v>381</v>
      </c>
      <c r="AA319" s="278">
        <v>5500</v>
      </c>
      <c r="AB319" s="279" t="s">
        <v>1197</v>
      </c>
      <c r="AC319" s="280" t="s">
        <v>1191</v>
      </c>
      <c r="AD319" s="281">
        <v>5500</v>
      </c>
      <c r="AE319" s="283">
        <v>1045</v>
      </c>
      <c r="AF319" s="283">
        <v>6545</v>
      </c>
      <c r="AG319" s="284">
        <v>5500</v>
      </c>
      <c r="AH319" s="284">
        <v>6545</v>
      </c>
      <c r="AI319" s="285" t="s">
        <v>1357</v>
      </c>
      <c r="AJ319" s="286">
        <v>46176</v>
      </c>
      <c r="AK319" s="263" t="s">
        <v>2108</v>
      </c>
      <c r="AL319" s="288" t="s">
        <v>1188</v>
      </c>
      <c r="AM319" s="298" t="s">
        <v>382</v>
      </c>
      <c r="AN319" s="289">
        <v>5600</v>
      </c>
      <c r="AO319" s="290" t="s">
        <v>1197</v>
      </c>
      <c r="AP319" s="290" t="s">
        <v>1191</v>
      </c>
      <c r="AQ319" s="291">
        <v>5600</v>
      </c>
      <c r="AR319" s="292">
        <v>1064</v>
      </c>
      <c r="AS319" s="292">
        <v>6664</v>
      </c>
      <c r="AT319" s="293">
        <v>5600</v>
      </c>
      <c r="AU319" s="293">
        <v>6664</v>
      </c>
      <c r="AV319" s="294">
        <v>6783</v>
      </c>
      <c r="AW319" s="294">
        <v>6783</v>
      </c>
      <c r="AX319" s="294">
        <v>314.83999999999997</v>
      </c>
      <c r="AY319" s="299">
        <v>4.6399999999999997E-2</v>
      </c>
    </row>
    <row r="320" spans="1:51" ht="57.6" hidden="1">
      <c r="A320" s="257" t="s">
        <v>2044</v>
      </c>
      <c r="B320" s="258" t="s">
        <v>2045</v>
      </c>
      <c r="C320" s="258">
        <v>24102010</v>
      </c>
      <c r="D320" s="257" t="s">
        <v>905</v>
      </c>
      <c r="F320" s="258" t="s">
        <v>568</v>
      </c>
      <c r="G320" s="262">
        <v>1</v>
      </c>
      <c r="H320" s="262" t="s">
        <v>192</v>
      </c>
      <c r="I320" s="321" t="s">
        <v>1357</v>
      </c>
      <c r="J320" s="322">
        <v>46176</v>
      </c>
      <c r="K320" s="263" t="s">
        <v>2046</v>
      </c>
      <c r="L320" s="264" t="s">
        <v>1188</v>
      </c>
      <c r="M320" s="265" t="s">
        <v>380</v>
      </c>
      <c r="N320" s="266">
        <v>8000</v>
      </c>
      <c r="O320" s="267" t="s">
        <v>1197</v>
      </c>
      <c r="P320" s="268" t="s">
        <v>1191</v>
      </c>
      <c r="Q320" s="269">
        <v>8000</v>
      </c>
      <c r="R320" s="271">
        <v>1520</v>
      </c>
      <c r="S320" s="271">
        <v>9520</v>
      </c>
      <c r="T320" s="272">
        <v>8000</v>
      </c>
      <c r="U320" s="272">
        <v>9520</v>
      </c>
      <c r="V320" s="273" t="s">
        <v>1357</v>
      </c>
      <c r="W320" s="274">
        <v>46176</v>
      </c>
      <c r="X320" s="263" t="s">
        <v>2048</v>
      </c>
      <c r="Y320" s="276" t="s">
        <v>1188</v>
      </c>
      <c r="Z320" s="277" t="s">
        <v>381</v>
      </c>
      <c r="AA320" s="278">
        <v>7500</v>
      </c>
      <c r="AB320" s="279" t="s">
        <v>1197</v>
      </c>
      <c r="AC320" s="280" t="s">
        <v>1191</v>
      </c>
      <c r="AD320" s="281">
        <v>7500</v>
      </c>
      <c r="AE320" s="283">
        <v>1425</v>
      </c>
      <c r="AF320" s="283">
        <v>8925</v>
      </c>
      <c r="AG320" s="284">
        <v>7500</v>
      </c>
      <c r="AH320" s="284">
        <v>8925</v>
      </c>
      <c r="AI320" s="285" t="s">
        <v>1357</v>
      </c>
      <c r="AJ320" s="286">
        <v>46176</v>
      </c>
      <c r="AK320" s="263" t="s">
        <v>2108</v>
      </c>
      <c r="AL320" s="288" t="s">
        <v>1188</v>
      </c>
      <c r="AM320" s="298" t="s">
        <v>382</v>
      </c>
      <c r="AN320" s="289">
        <v>6720</v>
      </c>
      <c r="AO320" s="290" t="s">
        <v>1197</v>
      </c>
      <c r="AP320" s="290" t="s">
        <v>1191</v>
      </c>
      <c r="AQ320" s="291">
        <v>6720</v>
      </c>
      <c r="AR320" s="292">
        <v>1277</v>
      </c>
      <c r="AS320" s="292">
        <v>7997</v>
      </c>
      <c r="AT320" s="293">
        <v>6720</v>
      </c>
      <c r="AU320" s="293">
        <v>7997</v>
      </c>
      <c r="AV320" s="294">
        <v>8813.93</v>
      </c>
      <c r="AW320" s="294">
        <v>8813.93</v>
      </c>
      <c r="AX320" s="294">
        <v>767.65</v>
      </c>
      <c r="AY320" s="299">
        <v>8.7099999999999997E-2</v>
      </c>
    </row>
    <row r="321" spans="1:51" ht="57.6" hidden="1">
      <c r="A321" s="257" t="s">
        <v>2044</v>
      </c>
      <c r="B321" s="258" t="s">
        <v>2045</v>
      </c>
      <c r="C321" s="258">
        <v>24102010</v>
      </c>
      <c r="D321" s="257" t="s">
        <v>892</v>
      </c>
      <c r="F321" s="258" t="s">
        <v>568</v>
      </c>
      <c r="G321" s="262">
        <v>1</v>
      </c>
      <c r="H321" s="262" t="s">
        <v>192</v>
      </c>
      <c r="I321" s="321" t="s">
        <v>1199</v>
      </c>
      <c r="J321" s="322">
        <v>46195</v>
      </c>
      <c r="K321" s="263" t="s">
        <v>2167</v>
      </c>
      <c r="L321" s="264" t="s">
        <v>1193</v>
      </c>
      <c r="M321" s="265" t="s">
        <v>351</v>
      </c>
      <c r="N321" s="266">
        <v>1545</v>
      </c>
      <c r="O321" s="267" t="s">
        <v>1190</v>
      </c>
      <c r="P321" s="268" t="s">
        <v>1191</v>
      </c>
      <c r="Q321" s="269">
        <v>1298.32</v>
      </c>
      <c r="R321" s="271">
        <v>247</v>
      </c>
      <c r="S321" s="271">
        <v>1545</v>
      </c>
      <c r="T321" s="272">
        <v>1298</v>
      </c>
      <c r="U321" s="272">
        <v>1545</v>
      </c>
      <c r="V321" s="273" t="s">
        <v>1199</v>
      </c>
      <c r="W321" s="274">
        <v>46195</v>
      </c>
      <c r="X321" s="263" t="s">
        <v>2168</v>
      </c>
      <c r="Y321" s="276" t="s">
        <v>1193</v>
      </c>
      <c r="Z321" s="277" t="s">
        <v>313</v>
      </c>
      <c r="AA321" s="278">
        <v>2000</v>
      </c>
      <c r="AB321" s="279" t="s">
        <v>1190</v>
      </c>
      <c r="AC321" s="280" t="s">
        <v>1191</v>
      </c>
      <c r="AD321" s="281">
        <v>1680.67</v>
      </c>
      <c r="AE321" s="283">
        <v>319</v>
      </c>
      <c r="AF321" s="283">
        <v>2000</v>
      </c>
      <c r="AG321" s="284">
        <v>1681</v>
      </c>
      <c r="AH321" s="284">
        <v>2000</v>
      </c>
      <c r="AI321" s="285" t="s">
        <v>1199</v>
      </c>
      <c r="AJ321" s="286">
        <v>46195</v>
      </c>
      <c r="AK321" s="263" t="s">
        <v>2169</v>
      </c>
      <c r="AL321" s="288" t="s">
        <v>1193</v>
      </c>
      <c r="AM321" s="298" t="s">
        <v>894</v>
      </c>
      <c r="AN321" s="289">
        <v>1850</v>
      </c>
      <c r="AO321" s="290" t="s">
        <v>1190</v>
      </c>
      <c r="AP321" s="290" t="s">
        <v>1191</v>
      </c>
      <c r="AQ321" s="291">
        <v>1554.62</v>
      </c>
      <c r="AR321" s="292">
        <v>295</v>
      </c>
      <c r="AS321" s="292">
        <v>1850</v>
      </c>
      <c r="AT321" s="293">
        <v>1555</v>
      </c>
      <c r="AU321" s="293">
        <v>1850</v>
      </c>
      <c r="AV321" s="294">
        <v>1798.33</v>
      </c>
      <c r="AW321" s="294">
        <v>1798.33</v>
      </c>
      <c r="AX321" s="294">
        <v>231.86</v>
      </c>
      <c r="AY321" s="299">
        <v>0.12889999999999999</v>
      </c>
    </row>
    <row r="322" spans="1:51" ht="57.6" hidden="1">
      <c r="A322" s="257" t="s">
        <v>2044</v>
      </c>
      <c r="B322" s="258" t="s">
        <v>2045</v>
      </c>
      <c r="C322" s="258">
        <v>24102010</v>
      </c>
      <c r="D322" s="257" t="s">
        <v>908</v>
      </c>
      <c r="F322" s="258" t="s">
        <v>568</v>
      </c>
      <c r="G322" s="262">
        <v>1</v>
      </c>
      <c r="H322" s="262" t="s">
        <v>192</v>
      </c>
      <c r="I322" s="321" t="s">
        <v>1357</v>
      </c>
      <c r="J322" s="322">
        <v>46176</v>
      </c>
      <c r="K322" s="263" t="s">
        <v>2046</v>
      </c>
      <c r="L322" s="264" t="s">
        <v>1188</v>
      </c>
      <c r="M322" s="265" t="s">
        <v>380</v>
      </c>
      <c r="N322" s="266">
        <v>8000</v>
      </c>
      <c r="O322" s="267" t="s">
        <v>1197</v>
      </c>
      <c r="P322" s="268" t="s">
        <v>1191</v>
      </c>
      <c r="Q322" s="269">
        <v>8000</v>
      </c>
      <c r="R322" s="271">
        <v>1520</v>
      </c>
      <c r="S322" s="271">
        <v>9520</v>
      </c>
      <c r="T322" s="272">
        <v>8000</v>
      </c>
      <c r="U322" s="272">
        <v>9520</v>
      </c>
      <c r="V322" s="273" t="s">
        <v>1357</v>
      </c>
      <c r="W322" s="274">
        <v>46176</v>
      </c>
      <c r="X322" s="263" t="s">
        <v>2048</v>
      </c>
      <c r="Y322" s="276" t="s">
        <v>1188</v>
      </c>
      <c r="Z322" s="277" t="s">
        <v>381</v>
      </c>
      <c r="AA322" s="278">
        <v>7500</v>
      </c>
      <c r="AB322" s="279" t="s">
        <v>1197</v>
      </c>
      <c r="AC322" s="280" t="s">
        <v>1191</v>
      </c>
      <c r="AD322" s="281">
        <v>7500</v>
      </c>
      <c r="AE322" s="283">
        <v>1425</v>
      </c>
      <c r="AF322" s="283">
        <v>8925</v>
      </c>
      <c r="AG322" s="284">
        <v>7500</v>
      </c>
      <c r="AH322" s="284">
        <v>8925</v>
      </c>
      <c r="AI322" s="285" t="s">
        <v>1357</v>
      </c>
      <c r="AJ322" s="286">
        <v>46176</v>
      </c>
      <c r="AK322" s="263" t="s">
        <v>2108</v>
      </c>
      <c r="AL322" s="288" t="s">
        <v>1188</v>
      </c>
      <c r="AM322" s="298" t="s">
        <v>382</v>
      </c>
      <c r="AN322" s="289">
        <v>7700</v>
      </c>
      <c r="AO322" s="290" t="s">
        <v>1197</v>
      </c>
      <c r="AP322" s="290" t="s">
        <v>1191</v>
      </c>
      <c r="AQ322" s="291">
        <v>7700</v>
      </c>
      <c r="AR322" s="292">
        <v>1463</v>
      </c>
      <c r="AS322" s="292">
        <v>9163</v>
      </c>
      <c r="AT322" s="293">
        <v>7700</v>
      </c>
      <c r="AU322" s="293">
        <v>9163</v>
      </c>
      <c r="AV322" s="294">
        <v>9202.67</v>
      </c>
      <c r="AW322" s="294">
        <v>9202.67</v>
      </c>
      <c r="AX322" s="294">
        <v>299.48</v>
      </c>
      <c r="AY322" s="299">
        <v>3.2500000000000001E-2</v>
      </c>
    </row>
    <row r="323" spans="1:51" ht="57.6" hidden="1">
      <c r="A323" s="257" t="s">
        <v>2044</v>
      </c>
      <c r="B323" s="258" t="s">
        <v>2045</v>
      </c>
      <c r="C323" s="258">
        <v>24102010</v>
      </c>
      <c r="D323" s="257" t="s">
        <v>911</v>
      </c>
      <c r="F323" s="258" t="s">
        <v>568</v>
      </c>
      <c r="G323" s="262">
        <v>1</v>
      </c>
      <c r="H323" s="262" t="s">
        <v>192</v>
      </c>
      <c r="I323" s="321" t="s">
        <v>1357</v>
      </c>
      <c r="J323" s="322">
        <v>46176</v>
      </c>
      <c r="K323" s="263" t="s">
        <v>2046</v>
      </c>
      <c r="L323" s="264" t="s">
        <v>1188</v>
      </c>
      <c r="M323" s="265" t="s">
        <v>380</v>
      </c>
      <c r="N323" s="266">
        <v>8000</v>
      </c>
      <c r="O323" s="267" t="s">
        <v>1197</v>
      </c>
      <c r="P323" s="268" t="s">
        <v>1191</v>
      </c>
      <c r="Q323" s="269">
        <v>8000</v>
      </c>
      <c r="R323" s="271">
        <v>1520</v>
      </c>
      <c r="S323" s="271">
        <v>9520</v>
      </c>
      <c r="T323" s="272">
        <v>8000</v>
      </c>
      <c r="U323" s="272">
        <v>9520</v>
      </c>
      <c r="V323" s="273" t="s">
        <v>1357</v>
      </c>
      <c r="W323" s="274">
        <v>46176</v>
      </c>
      <c r="X323" s="263" t="s">
        <v>2048</v>
      </c>
      <c r="Y323" s="276" t="s">
        <v>1188</v>
      </c>
      <c r="Z323" s="277" t="s">
        <v>381</v>
      </c>
      <c r="AA323" s="278">
        <v>7400</v>
      </c>
      <c r="AB323" s="279" t="s">
        <v>1197</v>
      </c>
      <c r="AC323" s="280" t="s">
        <v>1191</v>
      </c>
      <c r="AD323" s="281">
        <v>7400</v>
      </c>
      <c r="AE323" s="283">
        <v>1406</v>
      </c>
      <c r="AF323" s="283">
        <v>8806</v>
      </c>
      <c r="AG323" s="284">
        <v>7400</v>
      </c>
      <c r="AH323" s="284">
        <v>8806</v>
      </c>
      <c r="AI323" s="285" t="s">
        <v>1357</v>
      </c>
      <c r="AJ323" s="286">
        <v>46176</v>
      </c>
      <c r="AK323" s="263" t="s">
        <v>2108</v>
      </c>
      <c r="AL323" s="288" t="s">
        <v>1188</v>
      </c>
      <c r="AM323" s="298" t="s">
        <v>382</v>
      </c>
      <c r="AN323" s="289">
        <v>7700</v>
      </c>
      <c r="AO323" s="290" t="s">
        <v>1197</v>
      </c>
      <c r="AP323" s="290" t="s">
        <v>1191</v>
      </c>
      <c r="AQ323" s="291">
        <v>7700</v>
      </c>
      <c r="AR323" s="292">
        <v>1463</v>
      </c>
      <c r="AS323" s="292">
        <v>9163</v>
      </c>
      <c r="AT323" s="293">
        <v>7700</v>
      </c>
      <c r="AU323" s="293">
        <v>9163</v>
      </c>
      <c r="AV323" s="294">
        <v>9163</v>
      </c>
      <c r="AW323" s="294">
        <v>9163</v>
      </c>
      <c r="AX323" s="294">
        <v>357</v>
      </c>
      <c r="AY323" s="299">
        <v>3.9E-2</v>
      </c>
    </row>
    <row r="324" spans="1:51" ht="57.6" hidden="1">
      <c r="A324" s="257" t="s">
        <v>2044</v>
      </c>
      <c r="B324" s="258" t="s">
        <v>2045</v>
      </c>
      <c r="C324" s="258">
        <v>24102010</v>
      </c>
      <c r="D324" s="257" t="s">
        <v>896</v>
      </c>
      <c r="F324" s="258" t="s">
        <v>568</v>
      </c>
      <c r="G324" s="262">
        <v>1</v>
      </c>
      <c r="H324" s="262" t="s">
        <v>192</v>
      </c>
      <c r="I324" s="321" t="s">
        <v>1357</v>
      </c>
      <c r="J324" s="322">
        <v>46176</v>
      </c>
      <c r="K324" s="263" t="s">
        <v>2046</v>
      </c>
      <c r="L324" s="264" t="s">
        <v>1188</v>
      </c>
      <c r="M324" s="265" t="s">
        <v>380</v>
      </c>
      <c r="N324" s="266">
        <v>3550</v>
      </c>
      <c r="O324" s="267" t="s">
        <v>1197</v>
      </c>
      <c r="P324" s="268" t="s">
        <v>1191</v>
      </c>
      <c r="Q324" s="269">
        <v>3550</v>
      </c>
      <c r="R324" s="271">
        <v>675</v>
      </c>
      <c r="S324" s="271">
        <v>4225</v>
      </c>
      <c r="T324" s="272">
        <v>3550</v>
      </c>
      <c r="U324" s="272">
        <v>4225</v>
      </c>
      <c r="V324" s="273" t="s">
        <v>1357</v>
      </c>
      <c r="W324" s="274">
        <v>46176</v>
      </c>
      <c r="X324" s="263" t="s">
        <v>2048</v>
      </c>
      <c r="Y324" s="276" t="s">
        <v>1188</v>
      </c>
      <c r="Z324" s="277" t="s">
        <v>381</v>
      </c>
      <c r="AA324" s="278">
        <v>3400</v>
      </c>
      <c r="AB324" s="279" t="s">
        <v>1197</v>
      </c>
      <c r="AC324" s="280" t="s">
        <v>1191</v>
      </c>
      <c r="AD324" s="281">
        <v>3400</v>
      </c>
      <c r="AE324" s="283">
        <v>646</v>
      </c>
      <c r="AF324" s="283">
        <v>4046</v>
      </c>
      <c r="AG324" s="284">
        <v>3400</v>
      </c>
      <c r="AH324" s="284">
        <v>4046</v>
      </c>
      <c r="AI324" s="285" t="s">
        <v>1357</v>
      </c>
      <c r="AJ324" s="286">
        <v>46176</v>
      </c>
      <c r="AK324" s="263" t="s">
        <v>2108</v>
      </c>
      <c r="AL324" s="288" t="s">
        <v>1188</v>
      </c>
      <c r="AM324" s="298" t="s">
        <v>382</v>
      </c>
      <c r="AN324" s="289">
        <v>3360</v>
      </c>
      <c r="AO324" s="290" t="s">
        <v>1197</v>
      </c>
      <c r="AP324" s="290" t="s">
        <v>1191</v>
      </c>
      <c r="AQ324" s="291">
        <v>3360</v>
      </c>
      <c r="AR324" s="292">
        <v>638</v>
      </c>
      <c r="AS324" s="292">
        <v>3998</v>
      </c>
      <c r="AT324" s="293">
        <v>3360</v>
      </c>
      <c r="AU324" s="293">
        <v>3998</v>
      </c>
      <c r="AV324" s="294">
        <v>4089.63</v>
      </c>
      <c r="AW324" s="294">
        <v>4089.63</v>
      </c>
      <c r="AX324" s="294">
        <v>119.2</v>
      </c>
      <c r="AY324" s="299">
        <v>2.9100000000000001E-2</v>
      </c>
    </row>
    <row r="325" spans="1:51" ht="57.6" hidden="1">
      <c r="A325" s="257" t="s">
        <v>2044</v>
      </c>
      <c r="B325" s="258" t="s">
        <v>2045</v>
      </c>
      <c r="C325" s="258">
        <v>41104208</v>
      </c>
      <c r="D325" s="257" t="s">
        <v>2170</v>
      </c>
      <c r="F325" s="258" t="s">
        <v>568</v>
      </c>
      <c r="G325" s="262">
        <v>1</v>
      </c>
      <c r="H325" s="262" t="s">
        <v>192</v>
      </c>
      <c r="I325" s="321" t="s">
        <v>1357</v>
      </c>
      <c r="J325" s="322">
        <v>46176</v>
      </c>
      <c r="K325" s="263" t="s">
        <v>2046</v>
      </c>
      <c r="L325" s="264" t="s">
        <v>1188</v>
      </c>
      <c r="M325" s="265" t="s">
        <v>380</v>
      </c>
      <c r="N325" s="266">
        <v>440000</v>
      </c>
      <c r="O325" s="267" t="s">
        <v>1197</v>
      </c>
      <c r="P325" s="268" t="s">
        <v>1191</v>
      </c>
      <c r="Q325" s="269">
        <v>440000</v>
      </c>
      <c r="R325" s="271">
        <v>83600</v>
      </c>
      <c r="S325" s="271">
        <v>523600</v>
      </c>
      <c r="T325" s="272">
        <v>440000</v>
      </c>
      <c r="U325" s="272">
        <v>523600</v>
      </c>
      <c r="V325" s="273" t="s">
        <v>1357</v>
      </c>
      <c r="W325" s="274">
        <v>46176</v>
      </c>
      <c r="X325" s="263" t="s">
        <v>2048</v>
      </c>
      <c r="Y325" s="276" t="s">
        <v>1188</v>
      </c>
      <c r="Z325" s="277" t="s">
        <v>381</v>
      </c>
      <c r="AA325" s="278">
        <v>420000</v>
      </c>
      <c r="AB325" s="279" t="s">
        <v>1197</v>
      </c>
      <c r="AC325" s="280" t="s">
        <v>1191</v>
      </c>
      <c r="AD325" s="281">
        <v>420000</v>
      </c>
      <c r="AE325" s="283">
        <v>79800</v>
      </c>
      <c r="AF325" s="283">
        <v>499800</v>
      </c>
      <c r="AG325" s="284">
        <v>420000</v>
      </c>
      <c r="AH325" s="284">
        <v>499800</v>
      </c>
      <c r="AI325" s="285" t="s">
        <v>1357</v>
      </c>
      <c r="AJ325" s="286">
        <v>46176</v>
      </c>
      <c r="AK325" s="263" t="s">
        <v>2108</v>
      </c>
      <c r="AL325" s="288" t="s">
        <v>1188</v>
      </c>
      <c r="AM325" s="298" t="s">
        <v>382</v>
      </c>
      <c r="AN325" s="289">
        <v>397600</v>
      </c>
      <c r="AO325" s="290" t="s">
        <v>1197</v>
      </c>
      <c r="AP325" s="290" t="s">
        <v>1191</v>
      </c>
      <c r="AQ325" s="291">
        <v>397600</v>
      </c>
      <c r="AR325" s="292">
        <v>75544</v>
      </c>
      <c r="AS325" s="292">
        <v>473144</v>
      </c>
      <c r="AT325" s="293">
        <v>397600</v>
      </c>
      <c r="AU325" s="293">
        <v>473144</v>
      </c>
      <c r="AV325" s="294">
        <v>498848</v>
      </c>
      <c r="AW325" s="294">
        <v>498848</v>
      </c>
      <c r="AX325" s="294">
        <v>25241.47</v>
      </c>
      <c r="AY325" s="299">
        <v>5.0599999999999999E-2</v>
      </c>
    </row>
    <row r="326" spans="1:51" ht="57.6" hidden="1">
      <c r="A326" s="257" t="s">
        <v>2044</v>
      </c>
      <c r="B326" s="258" t="s">
        <v>2045</v>
      </c>
      <c r="C326" s="258">
        <v>78141801</v>
      </c>
      <c r="D326" s="257" t="s">
        <v>790</v>
      </c>
      <c r="F326" s="258" t="s">
        <v>568</v>
      </c>
      <c r="G326" s="262">
        <v>1</v>
      </c>
      <c r="H326" s="262" t="s">
        <v>192</v>
      </c>
      <c r="I326" s="321" t="s">
        <v>1357</v>
      </c>
      <c r="J326" s="322">
        <v>46176</v>
      </c>
      <c r="K326" s="263" t="s">
        <v>2046</v>
      </c>
      <c r="L326" s="264" t="s">
        <v>1188</v>
      </c>
      <c r="M326" s="265" t="s">
        <v>380</v>
      </c>
      <c r="N326" s="266">
        <v>37000</v>
      </c>
      <c r="O326" s="267" t="s">
        <v>1197</v>
      </c>
      <c r="P326" s="268" t="s">
        <v>1191</v>
      </c>
      <c r="Q326" s="269">
        <v>37000</v>
      </c>
      <c r="R326" s="271">
        <v>7030</v>
      </c>
      <c r="S326" s="271">
        <v>44030</v>
      </c>
      <c r="T326" s="272">
        <v>37000</v>
      </c>
      <c r="U326" s="272">
        <v>44030</v>
      </c>
      <c r="V326" s="273" t="s">
        <v>1357</v>
      </c>
      <c r="W326" s="274">
        <v>46176</v>
      </c>
      <c r="X326" s="263" t="s">
        <v>2048</v>
      </c>
      <c r="Y326" s="276" t="s">
        <v>1188</v>
      </c>
      <c r="Z326" s="277" t="s">
        <v>381</v>
      </c>
      <c r="AA326" s="278">
        <v>35000</v>
      </c>
      <c r="AB326" s="279" t="s">
        <v>1197</v>
      </c>
      <c r="AC326" s="280" t="s">
        <v>1191</v>
      </c>
      <c r="AD326" s="281">
        <v>35000</v>
      </c>
      <c r="AE326" s="283">
        <v>6650</v>
      </c>
      <c r="AF326" s="283">
        <v>41650</v>
      </c>
      <c r="AG326" s="284">
        <v>35000</v>
      </c>
      <c r="AH326" s="284">
        <v>41650</v>
      </c>
      <c r="AI326" s="285" t="s">
        <v>1357</v>
      </c>
      <c r="AJ326" s="286">
        <v>46176</v>
      </c>
      <c r="AK326" s="263" t="s">
        <v>2108</v>
      </c>
      <c r="AL326" s="288" t="s">
        <v>1188</v>
      </c>
      <c r="AM326" s="298" t="s">
        <v>382</v>
      </c>
      <c r="AN326" s="289">
        <v>33600</v>
      </c>
      <c r="AO326" s="290" t="s">
        <v>1197</v>
      </c>
      <c r="AP326" s="290" t="s">
        <v>1191</v>
      </c>
      <c r="AQ326" s="291">
        <v>33600</v>
      </c>
      <c r="AR326" s="292">
        <v>6384</v>
      </c>
      <c r="AS326" s="292">
        <v>39984</v>
      </c>
      <c r="AT326" s="293">
        <v>33600</v>
      </c>
      <c r="AU326" s="293">
        <v>39984</v>
      </c>
      <c r="AV326" s="294">
        <v>41888</v>
      </c>
      <c r="AW326" s="294">
        <v>41888</v>
      </c>
      <c r="AX326" s="294">
        <v>2033.47</v>
      </c>
      <c r="AY326" s="299">
        <v>4.8500000000000001E-2</v>
      </c>
    </row>
    <row r="327" spans="1:51" ht="57.6" hidden="1">
      <c r="A327" s="257" t="s">
        <v>2044</v>
      </c>
      <c r="B327" s="258" t="s">
        <v>2045</v>
      </c>
      <c r="C327" s="258">
        <v>14111537</v>
      </c>
      <c r="D327" s="257" t="s">
        <v>926</v>
      </c>
      <c r="F327" s="258" t="s">
        <v>568</v>
      </c>
      <c r="G327" s="262">
        <v>1</v>
      </c>
      <c r="H327" s="262" t="s">
        <v>192</v>
      </c>
      <c r="I327" s="321" t="s">
        <v>1357</v>
      </c>
      <c r="J327" s="322">
        <v>46176</v>
      </c>
      <c r="K327" s="263" t="s">
        <v>2046</v>
      </c>
      <c r="L327" s="264" t="s">
        <v>1188</v>
      </c>
      <c r="M327" s="265" t="s">
        <v>380</v>
      </c>
      <c r="N327" s="266">
        <v>30000</v>
      </c>
      <c r="O327" s="267" t="s">
        <v>1197</v>
      </c>
      <c r="P327" s="268" t="s">
        <v>1191</v>
      </c>
      <c r="Q327" s="269">
        <v>30000</v>
      </c>
      <c r="R327" s="271">
        <v>5700</v>
      </c>
      <c r="S327" s="271">
        <v>35700</v>
      </c>
      <c r="T327" s="272">
        <v>30000</v>
      </c>
      <c r="U327" s="272">
        <v>35700</v>
      </c>
      <c r="V327" s="273" t="s">
        <v>1357</v>
      </c>
      <c r="W327" s="274">
        <v>46176</v>
      </c>
      <c r="X327" s="263" t="s">
        <v>2048</v>
      </c>
      <c r="Y327" s="276" t="s">
        <v>1188</v>
      </c>
      <c r="Z327" s="277" t="s">
        <v>381</v>
      </c>
      <c r="AA327" s="278">
        <v>28000</v>
      </c>
      <c r="AB327" s="279" t="s">
        <v>1197</v>
      </c>
      <c r="AC327" s="280" t="s">
        <v>1191</v>
      </c>
      <c r="AD327" s="281">
        <v>28000</v>
      </c>
      <c r="AE327" s="283">
        <v>5320</v>
      </c>
      <c r="AF327" s="283">
        <v>33320</v>
      </c>
      <c r="AG327" s="284">
        <v>28000</v>
      </c>
      <c r="AH327" s="284">
        <v>33320</v>
      </c>
      <c r="AI327" s="285" t="s">
        <v>1357</v>
      </c>
      <c r="AJ327" s="286">
        <v>46176</v>
      </c>
      <c r="AK327" s="263" t="s">
        <v>2108</v>
      </c>
      <c r="AL327" s="288" t="s">
        <v>1188</v>
      </c>
      <c r="AM327" s="298" t="s">
        <v>382</v>
      </c>
      <c r="AN327" s="289">
        <v>35000</v>
      </c>
      <c r="AO327" s="290" t="s">
        <v>1197</v>
      </c>
      <c r="AP327" s="290" t="s">
        <v>1191</v>
      </c>
      <c r="AQ327" s="291">
        <v>35000</v>
      </c>
      <c r="AR327" s="292">
        <v>6650</v>
      </c>
      <c r="AS327" s="292">
        <v>41650</v>
      </c>
      <c r="AT327" s="293">
        <v>35000</v>
      </c>
      <c r="AU327" s="293">
        <v>41650</v>
      </c>
      <c r="AV327" s="294">
        <v>36890</v>
      </c>
      <c r="AW327" s="294">
        <v>36890</v>
      </c>
      <c r="AX327" s="294">
        <v>4290.6099999999997</v>
      </c>
      <c r="AY327" s="299">
        <v>0.1163</v>
      </c>
    </row>
    <row r="328" spans="1:51" ht="57.6" hidden="1">
      <c r="A328" s="257" t="s">
        <v>2044</v>
      </c>
      <c r="B328" s="258" t="s">
        <v>2045</v>
      </c>
      <c r="C328" s="258">
        <v>14111537</v>
      </c>
      <c r="D328" s="257" t="s">
        <v>923</v>
      </c>
      <c r="F328" s="258" t="s">
        <v>568</v>
      </c>
      <c r="G328" s="262">
        <v>1</v>
      </c>
      <c r="H328" s="262" t="s">
        <v>192</v>
      </c>
      <c r="I328" s="321" t="s">
        <v>1357</v>
      </c>
      <c r="J328" s="322">
        <v>46176</v>
      </c>
      <c r="K328" s="263" t="s">
        <v>2046</v>
      </c>
      <c r="L328" s="264" t="s">
        <v>1188</v>
      </c>
      <c r="M328" s="265" t="s">
        <v>380</v>
      </c>
      <c r="N328" s="266">
        <v>12000</v>
      </c>
      <c r="O328" s="267" t="s">
        <v>1197</v>
      </c>
      <c r="P328" s="268" t="s">
        <v>1191</v>
      </c>
      <c r="Q328" s="269">
        <v>12000</v>
      </c>
      <c r="R328" s="271">
        <v>2280</v>
      </c>
      <c r="S328" s="271">
        <v>14280</v>
      </c>
      <c r="T328" s="272">
        <v>12000</v>
      </c>
      <c r="U328" s="272">
        <v>14280</v>
      </c>
      <c r="V328" s="273" t="s">
        <v>1357</v>
      </c>
      <c r="W328" s="274">
        <v>46176</v>
      </c>
      <c r="X328" s="263" t="s">
        <v>2048</v>
      </c>
      <c r="Y328" s="276" t="s">
        <v>1188</v>
      </c>
      <c r="Z328" s="277" t="s">
        <v>381</v>
      </c>
      <c r="AA328" s="278">
        <v>10000</v>
      </c>
      <c r="AB328" s="279" t="s">
        <v>1197</v>
      </c>
      <c r="AC328" s="280" t="s">
        <v>1191</v>
      </c>
      <c r="AD328" s="281">
        <v>10000</v>
      </c>
      <c r="AE328" s="283">
        <v>1900</v>
      </c>
      <c r="AF328" s="283">
        <v>11900</v>
      </c>
      <c r="AG328" s="284">
        <v>10000</v>
      </c>
      <c r="AH328" s="284">
        <v>11900</v>
      </c>
      <c r="AI328" s="285" t="s">
        <v>1357</v>
      </c>
      <c r="AJ328" s="286">
        <v>46176</v>
      </c>
      <c r="AK328" s="263" t="s">
        <v>2108</v>
      </c>
      <c r="AL328" s="288" t="s">
        <v>1188</v>
      </c>
      <c r="AM328" s="298" t="s">
        <v>382</v>
      </c>
      <c r="AN328" s="289">
        <v>9800</v>
      </c>
      <c r="AO328" s="290" t="s">
        <v>1197</v>
      </c>
      <c r="AP328" s="290" t="s">
        <v>1191</v>
      </c>
      <c r="AQ328" s="291">
        <v>9800</v>
      </c>
      <c r="AR328" s="292">
        <v>1862</v>
      </c>
      <c r="AS328" s="292">
        <v>11662</v>
      </c>
      <c r="AT328" s="293">
        <v>9800</v>
      </c>
      <c r="AU328" s="293">
        <v>11662</v>
      </c>
      <c r="AV328" s="294">
        <v>12614</v>
      </c>
      <c r="AW328" s="294">
        <v>12614</v>
      </c>
      <c r="AX328" s="294">
        <v>1447.7</v>
      </c>
      <c r="AY328" s="299">
        <v>0.1148</v>
      </c>
    </row>
    <row r="329" spans="1:51" ht="57.6" hidden="1">
      <c r="A329" s="257" t="s">
        <v>2044</v>
      </c>
      <c r="B329" s="258" t="s">
        <v>2045</v>
      </c>
      <c r="C329" s="258">
        <v>10151501</v>
      </c>
      <c r="D329" s="257" t="s">
        <v>775</v>
      </c>
      <c r="F329" s="258" t="s">
        <v>568</v>
      </c>
      <c r="G329" s="262">
        <v>1</v>
      </c>
      <c r="H329" s="262" t="s">
        <v>192</v>
      </c>
      <c r="I329" s="321" t="s">
        <v>1357</v>
      </c>
      <c r="J329" s="322">
        <v>46176</v>
      </c>
      <c r="K329" s="263" t="s">
        <v>2046</v>
      </c>
      <c r="L329" s="264" t="s">
        <v>1188</v>
      </c>
      <c r="M329" s="265" t="s">
        <v>380</v>
      </c>
      <c r="N329" s="266">
        <v>60000</v>
      </c>
      <c r="O329" s="267" t="s">
        <v>1197</v>
      </c>
      <c r="P329" s="268" t="s">
        <v>1217</v>
      </c>
      <c r="Q329" s="269">
        <v>60000</v>
      </c>
      <c r="R329" s="270" t="s">
        <v>2047</v>
      </c>
      <c r="S329" s="271">
        <v>60000</v>
      </c>
      <c r="T329" s="272">
        <v>60000</v>
      </c>
      <c r="U329" s="272">
        <v>60000</v>
      </c>
      <c r="V329" s="273" t="s">
        <v>1357</v>
      </c>
      <c r="W329" s="274">
        <v>46176</v>
      </c>
      <c r="X329" s="263" t="s">
        <v>2048</v>
      </c>
      <c r="Y329" s="276" t="s">
        <v>1188</v>
      </c>
      <c r="Z329" s="277" t="s">
        <v>381</v>
      </c>
      <c r="AA329" s="278">
        <v>58300</v>
      </c>
      <c r="AB329" s="279" t="s">
        <v>1197</v>
      </c>
      <c r="AC329" s="280" t="s">
        <v>1217</v>
      </c>
      <c r="AD329" s="281">
        <v>58300</v>
      </c>
      <c r="AE329" s="282" t="s">
        <v>2047</v>
      </c>
      <c r="AF329" s="283">
        <v>58300</v>
      </c>
      <c r="AG329" s="284">
        <v>58300</v>
      </c>
      <c r="AH329" s="284">
        <v>58300</v>
      </c>
      <c r="AI329" s="285" t="s">
        <v>1357</v>
      </c>
      <c r="AJ329" s="286">
        <v>46176</v>
      </c>
      <c r="AK329" s="263" t="s">
        <v>2108</v>
      </c>
      <c r="AL329" s="288" t="s">
        <v>1188</v>
      </c>
      <c r="AM329" s="298" t="s">
        <v>382</v>
      </c>
      <c r="AN329" s="289">
        <v>60000</v>
      </c>
      <c r="AO329" s="290" t="s">
        <v>1197</v>
      </c>
      <c r="AP329" s="290" t="s">
        <v>1217</v>
      </c>
      <c r="AQ329" s="291">
        <v>60000</v>
      </c>
      <c r="AR329" s="300" t="s">
        <v>2047</v>
      </c>
      <c r="AS329" s="292">
        <v>60000</v>
      </c>
      <c r="AT329" s="293">
        <v>60000</v>
      </c>
      <c r="AU329" s="293">
        <v>60000</v>
      </c>
      <c r="AV329" s="294">
        <v>59433.33</v>
      </c>
      <c r="AW329" s="294">
        <v>59433.33</v>
      </c>
      <c r="AX329" s="294">
        <v>981.5</v>
      </c>
      <c r="AY329" s="299">
        <v>1.6500000000000001E-2</v>
      </c>
    </row>
    <row r="330" spans="1:51" ht="57.6" hidden="1">
      <c r="A330" s="257" t="s">
        <v>2044</v>
      </c>
      <c r="B330" s="258" t="s">
        <v>2045</v>
      </c>
      <c r="C330" s="258">
        <v>11121806</v>
      </c>
      <c r="D330" s="257" t="s">
        <v>739</v>
      </c>
      <c r="F330" s="258" t="s">
        <v>568</v>
      </c>
      <c r="G330" s="262">
        <v>1</v>
      </c>
      <c r="H330" s="262" t="s">
        <v>192</v>
      </c>
      <c r="I330" s="321" t="s">
        <v>1357</v>
      </c>
      <c r="J330" s="322">
        <v>46176</v>
      </c>
      <c r="K330" s="263" t="s">
        <v>2046</v>
      </c>
      <c r="L330" s="264" t="s">
        <v>1188</v>
      </c>
      <c r="M330" s="265" t="s">
        <v>380</v>
      </c>
      <c r="N330" s="266">
        <v>12000</v>
      </c>
      <c r="O330" s="267" t="s">
        <v>1197</v>
      </c>
      <c r="P330" s="268" t="s">
        <v>1217</v>
      </c>
      <c r="Q330" s="269">
        <v>12000</v>
      </c>
      <c r="R330" s="270" t="s">
        <v>2047</v>
      </c>
      <c r="S330" s="271">
        <v>12000</v>
      </c>
      <c r="T330" s="272">
        <v>12000</v>
      </c>
      <c r="U330" s="272">
        <v>12000</v>
      </c>
      <c r="V330" s="273" t="s">
        <v>1357</v>
      </c>
      <c r="W330" s="274">
        <v>46176</v>
      </c>
      <c r="X330" s="263" t="s">
        <v>2048</v>
      </c>
      <c r="Y330" s="276" t="s">
        <v>1188</v>
      </c>
      <c r="Z330" s="277" t="s">
        <v>381</v>
      </c>
      <c r="AA330" s="278">
        <v>10000</v>
      </c>
      <c r="AB330" s="279" t="s">
        <v>1197</v>
      </c>
      <c r="AC330" s="280" t="s">
        <v>1217</v>
      </c>
      <c r="AD330" s="281">
        <v>10000</v>
      </c>
      <c r="AE330" s="282" t="s">
        <v>2047</v>
      </c>
      <c r="AF330" s="283">
        <v>10000</v>
      </c>
      <c r="AG330" s="284">
        <v>10000</v>
      </c>
      <c r="AH330" s="284">
        <v>10000</v>
      </c>
      <c r="AI330" s="285" t="s">
        <v>1357</v>
      </c>
      <c r="AJ330" s="286">
        <v>46176</v>
      </c>
      <c r="AK330" s="263" t="s">
        <v>2108</v>
      </c>
      <c r="AL330" s="288" t="s">
        <v>1188</v>
      </c>
      <c r="AM330" s="298" t="s">
        <v>382</v>
      </c>
      <c r="AN330" s="289">
        <v>8000</v>
      </c>
      <c r="AO330" s="290" t="s">
        <v>1197</v>
      </c>
      <c r="AP330" s="290" t="s">
        <v>1217</v>
      </c>
      <c r="AQ330" s="291">
        <v>8000</v>
      </c>
      <c r="AR330" s="300" t="s">
        <v>2047</v>
      </c>
      <c r="AS330" s="292">
        <v>8000</v>
      </c>
      <c r="AT330" s="293">
        <v>8000</v>
      </c>
      <c r="AU330" s="293">
        <v>8000</v>
      </c>
      <c r="AV330" s="294">
        <v>10000</v>
      </c>
      <c r="AW330" s="294">
        <v>10000</v>
      </c>
      <c r="AX330" s="294">
        <v>2000</v>
      </c>
      <c r="AY330" s="299">
        <v>0.2</v>
      </c>
    </row>
    <row r="331" spans="1:51" ht="57.6" hidden="1">
      <c r="A331" s="257" t="s">
        <v>2044</v>
      </c>
      <c r="B331" s="258" t="s">
        <v>2045</v>
      </c>
      <c r="C331" s="258">
        <v>11151500</v>
      </c>
      <c r="D331" s="259" t="s">
        <v>401</v>
      </c>
      <c r="F331" s="258" t="s">
        <v>244</v>
      </c>
      <c r="G331" s="262">
        <v>4</v>
      </c>
      <c r="H331" s="262" t="s">
        <v>192</v>
      </c>
      <c r="I331" s="321" t="s">
        <v>1357</v>
      </c>
      <c r="J331" s="322">
        <v>46169</v>
      </c>
      <c r="K331" s="263" t="s">
        <v>2071</v>
      </c>
      <c r="L331" s="264" t="s">
        <v>1188</v>
      </c>
      <c r="M331" s="265" t="s">
        <v>193</v>
      </c>
      <c r="N331" s="266">
        <v>8300</v>
      </c>
      <c r="O331" s="267" t="s">
        <v>1197</v>
      </c>
      <c r="P331" s="268" t="s">
        <v>1191</v>
      </c>
      <c r="Q331" s="269">
        <v>8300</v>
      </c>
      <c r="R331" s="271">
        <v>1577</v>
      </c>
      <c r="S331" s="271">
        <v>9877</v>
      </c>
      <c r="T331" s="272">
        <v>33200</v>
      </c>
      <c r="U331" s="272">
        <v>39508</v>
      </c>
      <c r="V331" s="273" t="s">
        <v>1357</v>
      </c>
      <c r="W331" s="274">
        <v>46169</v>
      </c>
      <c r="X331" s="263" t="s">
        <v>2072</v>
      </c>
      <c r="Y331" s="276" t="s">
        <v>1188</v>
      </c>
      <c r="Z331" s="277" t="s">
        <v>245</v>
      </c>
      <c r="AA331" s="278">
        <v>8000</v>
      </c>
      <c r="AB331" s="279" t="s">
        <v>1197</v>
      </c>
      <c r="AC331" s="280" t="s">
        <v>1191</v>
      </c>
      <c r="AD331" s="281">
        <v>8000</v>
      </c>
      <c r="AE331" s="283">
        <v>1520</v>
      </c>
      <c r="AF331" s="283">
        <v>9520</v>
      </c>
      <c r="AG331" s="284">
        <v>32000</v>
      </c>
      <c r="AH331" s="284">
        <v>38080</v>
      </c>
      <c r="AI331" s="285" t="s">
        <v>1357</v>
      </c>
      <c r="AJ331" s="286">
        <v>46169</v>
      </c>
      <c r="AK331" s="263" t="s">
        <v>2062</v>
      </c>
      <c r="AL331" s="288" t="s">
        <v>1188</v>
      </c>
      <c r="AM331" s="298" t="s">
        <v>194</v>
      </c>
      <c r="AN331" s="289">
        <v>9800</v>
      </c>
      <c r="AO331" s="290" t="s">
        <v>1197</v>
      </c>
      <c r="AP331" s="290" t="s">
        <v>1191</v>
      </c>
      <c r="AQ331" s="291">
        <v>9800</v>
      </c>
      <c r="AR331" s="292">
        <v>1862</v>
      </c>
      <c r="AS331" s="292">
        <v>11662</v>
      </c>
      <c r="AT331" s="293">
        <v>39200</v>
      </c>
      <c r="AU331" s="293">
        <v>46648</v>
      </c>
      <c r="AV331" s="294">
        <v>10353</v>
      </c>
      <c r="AW331" s="294">
        <v>41412</v>
      </c>
      <c r="AX331" s="294">
        <v>4590.38</v>
      </c>
      <c r="AY331" s="299">
        <v>0.1108</v>
      </c>
    </row>
    <row r="332" spans="1:51" ht="57.6" hidden="1">
      <c r="A332" s="257" t="s">
        <v>2044</v>
      </c>
      <c r="B332" s="258" t="s">
        <v>2045</v>
      </c>
      <c r="C332" s="258">
        <v>11151500</v>
      </c>
      <c r="D332" s="259" t="s">
        <v>401</v>
      </c>
      <c r="F332" s="258" t="s">
        <v>244</v>
      </c>
      <c r="G332" s="262">
        <v>3</v>
      </c>
      <c r="H332" s="262" t="s">
        <v>192</v>
      </c>
      <c r="I332" s="321" t="s">
        <v>1357</v>
      </c>
      <c r="J332" s="322">
        <v>46169</v>
      </c>
      <c r="K332" s="263" t="s">
        <v>2071</v>
      </c>
      <c r="L332" s="264" t="s">
        <v>1188</v>
      </c>
      <c r="M332" s="265" t="s">
        <v>193</v>
      </c>
      <c r="N332" s="266">
        <v>8300</v>
      </c>
      <c r="O332" s="267" t="s">
        <v>1197</v>
      </c>
      <c r="P332" s="268" t="s">
        <v>1191</v>
      </c>
      <c r="Q332" s="269">
        <v>8300</v>
      </c>
      <c r="R332" s="271">
        <v>1577</v>
      </c>
      <c r="S332" s="271">
        <v>9877</v>
      </c>
      <c r="T332" s="272">
        <v>24900</v>
      </c>
      <c r="U332" s="272">
        <v>29631</v>
      </c>
      <c r="V332" s="273" t="s">
        <v>1199</v>
      </c>
      <c r="W332" s="274">
        <v>46196</v>
      </c>
      <c r="X332" s="263" t="s">
        <v>2171</v>
      </c>
      <c r="Y332" s="276" t="s">
        <v>1193</v>
      </c>
      <c r="Z332" s="277" t="s">
        <v>2172</v>
      </c>
      <c r="AA332" s="278">
        <v>7000</v>
      </c>
      <c r="AB332" s="279" t="s">
        <v>1190</v>
      </c>
      <c r="AC332" s="280" t="s">
        <v>1191</v>
      </c>
      <c r="AD332" s="281">
        <v>5882.35</v>
      </c>
      <c r="AE332" s="283">
        <v>1118</v>
      </c>
      <c r="AF332" s="283">
        <v>7000</v>
      </c>
      <c r="AG332" s="284">
        <v>17647</v>
      </c>
      <c r="AH332" s="284">
        <v>21000</v>
      </c>
      <c r="AI332" s="285" t="s">
        <v>1186</v>
      </c>
      <c r="AJ332" s="286">
        <v>46195</v>
      </c>
      <c r="AK332" s="263" t="s">
        <v>2173</v>
      </c>
      <c r="AL332" s="288" t="s">
        <v>1193</v>
      </c>
      <c r="AM332" s="298" t="s">
        <v>2174</v>
      </c>
      <c r="AN332" s="289">
        <v>8400</v>
      </c>
      <c r="AO332" s="290" t="s">
        <v>1190</v>
      </c>
      <c r="AP332" s="290" t="s">
        <v>1191</v>
      </c>
      <c r="AQ332" s="291">
        <v>7058.82</v>
      </c>
      <c r="AR332" s="292">
        <v>1341</v>
      </c>
      <c r="AS332" s="292">
        <v>8400</v>
      </c>
      <c r="AT332" s="293">
        <v>21176</v>
      </c>
      <c r="AU332" s="293">
        <v>25200</v>
      </c>
      <c r="AV332" s="294">
        <v>8425.67</v>
      </c>
      <c r="AW332" s="294">
        <v>25277</v>
      </c>
      <c r="AX332" s="294">
        <v>4316.0200000000004</v>
      </c>
      <c r="AY332" s="299">
        <v>0.17069999999999999</v>
      </c>
    </row>
    <row r="333" spans="1:51" ht="57.6" hidden="1">
      <c r="A333" s="257" t="s">
        <v>2044</v>
      </c>
      <c r="B333" s="258" t="s">
        <v>2045</v>
      </c>
      <c r="C333" s="258">
        <v>11151500</v>
      </c>
      <c r="D333" s="259" t="s">
        <v>401</v>
      </c>
      <c r="F333" s="258" t="s">
        <v>403</v>
      </c>
      <c r="G333" s="262">
        <v>200</v>
      </c>
      <c r="H333" s="262" t="s">
        <v>192</v>
      </c>
      <c r="I333" s="321" t="s">
        <v>1357</v>
      </c>
      <c r="J333" s="322">
        <v>46169</v>
      </c>
      <c r="K333" s="263" t="s">
        <v>2071</v>
      </c>
      <c r="L333" s="264" t="s">
        <v>1188</v>
      </c>
      <c r="M333" s="265" t="s">
        <v>193</v>
      </c>
      <c r="N333" s="266">
        <v>8300</v>
      </c>
      <c r="O333" s="267" t="s">
        <v>1197</v>
      </c>
      <c r="P333" s="268" t="s">
        <v>1191</v>
      </c>
      <c r="Q333" s="269">
        <v>8300</v>
      </c>
      <c r="R333" s="271">
        <v>1577</v>
      </c>
      <c r="S333" s="271">
        <v>9877</v>
      </c>
      <c r="T333" s="272">
        <v>1660000</v>
      </c>
      <c r="U333" s="272">
        <v>1975400</v>
      </c>
      <c r="V333" s="273" t="s">
        <v>1357</v>
      </c>
      <c r="W333" s="274">
        <v>46169</v>
      </c>
      <c r="X333" s="263" t="s">
        <v>2062</v>
      </c>
      <c r="Y333" s="276" t="s">
        <v>1188</v>
      </c>
      <c r="Z333" s="277" t="s">
        <v>194</v>
      </c>
      <c r="AA333" s="278">
        <v>8300</v>
      </c>
      <c r="AB333" s="279" t="s">
        <v>1197</v>
      </c>
      <c r="AC333" s="280" t="s">
        <v>1191</v>
      </c>
      <c r="AD333" s="281">
        <v>8300</v>
      </c>
      <c r="AE333" s="283">
        <v>1577</v>
      </c>
      <c r="AF333" s="283">
        <v>9877</v>
      </c>
      <c r="AG333" s="284">
        <v>1660000</v>
      </c>
      <c r="AH333" s="284">
        <v>1975400</v>
      </c>
      <c r="AI333" s="285" t="s">
        <v>1199</v>
      </c>
      <c r="AJ333" s="286">
        <v>46197</v>
      </c>
      <c r="AK333" s="263" t="s">
        <v>2175</v>
      </c>
      <c r="AL333" s="288" t="s">
        <v>1193</v>
      </c>
      <c r="AM333" s="298" t="s">
        <v>404</v>
      </c>
      <c r="AN333" s="289">
        <v>10800</v>
      </c>
      <c r="AO333" s="290" t="s">
        <v>1190</v>
      </c>
      <c r="AP333" s="290" t="s">
        <v>1191</v>
      </c>
      <c r="AQ333" s="291">
        <v>9075.6299999999992</v>
      </c>
      <c r="AR333" s="292">
        <v>1724</v>
      </c>
      <c r="AS333" s="292">
        <v>10800</v>
      </c>
      <c r="AT333" s="293">
        <v>1815126</v>
      </c>
      <c r="AU333" s="293">
        <v>2160000</v>
      </c>
      <c r="AV333" s="294">
        <v>10184.67</v>
      </c>
      <c r="AW333" s="294">
        <v>2036933.33</v>
      </c>
      <c r="AX333" s="294">
        <v>106578.86</v>
      </c>
      <c r="AY333" s="299">
        <v>5.2299999999999999E-2</v>
      </c>
    </row>
    <row r="334" spans="1:51" ht="57.6" hidden="1">
      <c r="A334" s="257" t="s">
        <v>2044</v>
      </c>
      <c r="B334" s="258" t="s">
        <v>2045</v>
      </c>
      <c r="C334" s="258">
        <v>11151500</v>
      </c>
      <c r="D334" s="259" t="s">
        <v>401</v>
      </c>
      <c r="F334" s="258" t="s">
        <v>191</v>
      </c>
      <c r="G334" s="262">
        <v>1</v>
      </c>
      <c r="H334" s="262" t="s">
        <v>192</v>
      </c>
      <c r="I334" s="321" t="s">
        <v>1357</v>
      </c>
      <c r="J334" s="322">
        <v>46169</v>
      </c>
      <c r="K334" s="263" t="s">
        <v>2071</v>
      </c>
      <c r="L334" s="264" t="s">
        <v>1188</v>
      </c>
      <c r="M334" s="265" t="s">
        <v>193</v>
      </c>
      <c r="N334" s="266">
        <v>8300</v>
      </c>
      <c r="O334" s="267" t="s">
        <v>1197</v>
      </c>
      <c r="P334" s="268" t="s">
        <v>1191</v>
      </c>
      <c r="Q334" s="269">
        <v>8300</v>
      </c>
      <c r="R334" s="271">
        <v>1577</v>
      </c>
      <c r="S334" s="271">
        <v>9877</v>
      </c>
      <c r="T334" s="272">
        <v>8300</v>
      </c>
      <c r="U334" s="272">
        <v>9877</v>
      </c>
      <c r="V334" s="273" t="s">
        <v>1357</v>
      </c>
      <c r="W334" s="274">
        <v>46169</v>
      </c>
      <c r="X334" s="263" t="s">
        <v>2062</v>
      </c>
      <c r="Y334" s="276" t="s">
        <v>1188</v>
      </c>
      <c r="Z334" s="277" t="s">
        <v>194</v>
      </c>
      <c r="AA334" s="278">
        <v>8300</v>
      </c>
      <c r="AB334" s="279" t="s">
        <v>1197</v>
      </c>
      <c r="AC334" s="280" t="s">
        <v>1191</v>
      </c>
      <c r="AD334" s="281">
        <v>8300</v>
      </c>
      <c r="AE334" s="283">
        <v>1577</v>
      </c>
      <c r="AF334" s="283">
        <v>9877</v>
      </c>
      <c r="AG334" s="284">
        <v>8300</v>
      </c>
      <c r="AH334" s="284">
        <v>9877</v>
      </c>
      <c r="AI334" s="285"/>
      <c r="AJ334" s="290"/>
      <c r="AK334" s="287"/>
      <c r="AL334" s="288"/>
      <c r="AM334" s="298"/>
      <c r="AN334" s="290"/>
      <c r="AO334" s="290"/>
      <c r="AP334" s="290"/>
      <c r="AQ334" s="300" t="s">
        <v>2047</v>
      </c>
      <c r="AR334" s="300" t="s">
        <v>2047</v>
      </c>
      <c r="AS334" s="300" t="s">
        <v>2047</v>
      </c>
      <c r="AT334" s="301" t="s">
        <v>2047</v>
      </c>
      <c r="AU334" s="301" t="s">
        <v>2047</v>
      </c>
      <c r="AV334" s="294">
        <v>6584.67</v>
      </c>
      <c r="AW334" s="294">
        <v>6584.67</v>
      </c>
      <c r="AX334" s="294">
        <v>5702.49</v>
      </c>
      <c r="AY334" s="302">
        <v>0.86599999999999999</v>
      </c>
    </row>
    <row r="335" spans="1:51" ht="57.6" hidden="1">
      <c r="A335" s="257" t="s">
        <v>2044</v>
      </c>
      <c r="B335" s="258" t="s">
        <v>2045</v>
      </c>
      <c r="C335" s="258">
        <v>11151500</v>
      </c>
      <c r="D335" s="259" t="s">
        <v>401</v>
      </c>
      <c r="F335" s="258" t="s">
        <v>191</v>
      </c>
      <c r="G335" s="262">
        <v>150</v>
      </c>
      <c r="H335" s="262" t="s">
        <v>192</v>
      </c>
      <c r="I335" s="321" t="s">
        <v>1357</v>
      </c>
      <c r="J335" s="322">
        <v>46169</v>
      </c>
      <c r="K335" s="263" t="s">
        <v>2071</v>
      </c>
      <c r="L335" s="264" t="s">
        <v>1188</v>
      </c>
      <c r="M335" s="265" t="s">
        <v>193</v>
      </c>
      <c r="N335" s="266">
        <v>8300</v>
      </c>
      <c r="O335" s="267" t="s">
        <v>1197</v>
      </c>
      <c r="P335" s="268" t="s">
        <v>1191</v>
      </c>
      <c r="Q335" s="269">
        <v>8300</v>
      </c>
      <c r="R335" s="271">
        <v>1577</v>
      </c>
      <c r="S335" s="271">
        <v>9877</v>
      </c>
      <c r="T335" s="272">
        <v>1245000</v>
      </c>
      <c r="U335" s="272">
        <v>1481550</v>
      </c>
      <c r="V335" s="273" t="s">
        <v>1357</v>
      </c>
      <c r="W335" s="274">
        <v>46169</v>
      </c>
      <c r="X335" s="263" t="s">
        <v>2062</v>
      </c>
      <c r="Y335" s="276" t="s">
        <v>1188</v>
      </c>
      <c r="Z335" s="277" t="s">
        <v>194</v>
      </c>
      <c r="AA335" s="278">
        <v>8300</v>
      </c>
      <c r="AB335" s="279" t="s">
        <v>1197</v>
      </c>
      <c r="AC335" s="280" t="s">
        <v>1191</v>
      </c>
      <c r="AD335" s="281">
        <v>8300</v>
      </c>
      <c r="AE335" s="283">
        <v>1577</v>
      </c>
      <c r="AF335" s="283">
        <v>9877</v>
      </c>
      <c r="AG335" s="284">
        <v>1245000</v>
      </c>
      <c r="AH335" s="284">
        <v>1481550</v>
      </c>
      <c r="AI335" s="285" t="s">
        <v>1199</v>
      </c>
      <c r="AJ335" s="286">
        <v>46196</v>
      </c>
      <c r="AK335" s="263" t="s">
        <v>2176</v>
      </c>
      <c r="AL335" s="288" t="s">
        <v>1193</v>
      </c>
      <c r="AM335" s="298" t="s">
        <v>427</v>
      </c>
      <c r="AN335" s="289">
        <v>9990</v>
      </c>
      <c r="AO335" s="290" t="s">
        <v>1190</v>
      </c>
      <c r="AP335" s="290" t="s">
        <v>1191</v>
      </c>
      <c r="AQ335" s="291">
        <v>8394.9599999999991</v>
      </c>
      <c r="AR335" s="292">
        <v>1595</v>
      </c>
      <c r="AS335" s="292">
        <v>9990</v>
      </c>
      <c r="AT335" s="293">
        <v>1259244</v>
      </c>
      <c r="AU335" s="293">
        <v>1498500</v>
      </c>
      <c r="AV335" s="294">
        <v>9914.67</v>
      </c>
      <c r="AW335" s="294">
        <v>1487200</v>
      </c>
      <c r="AX335" s="294">
        <v>9786.09</v>
      </c>
      <c r="AY335" s="299">
        <v>6.6E-3</v>
      </c>
    </row>
    <row r="336" spans="1:51" ht="57.6" hidden="1">
      <c r="A336" s="257" t="s">
        <v>2044</v>
      </c>
      <c r="B336" s="258" t="s">
        <v>2045</v>
      </c>
      <c r="C336" s="258">
        <v>41121800</v>
      </c>
      <c r="D336" s="257" t="s">
        <v>992</v>
      </c>
      <c r="F336" s="258" t="s">
        <v>568</v>
      </c>
      <c r="G336" s="262">
        <v>1</v>
      </c>
      <c r="H336" s="262" t="s">
        <v>192</v>
      </c>
      <c r="I336" s="321" t="s">
        <v>1357</v>
      </c>
      <c r="J336" s="322">
        <v>46176</v>
      </c>
      <c r="K336" s="263" t="s">
        <v>2046</v>
      </c>
      <c r="L336" s="264" t="s">
        <v>1188</v>
      </c>
      <c r="M336" s="265" t="s">
        <v>380</v>
      </c>
      <c r="N336" s="266">
        <v>86000</v>
      </c>
      <c r="O336" s="267" t="s">
        <v>1197</v>
      </c>
      <c r="P336" s="268" t="s">
        <v>1191</v>
      </c>
      <c r="Q336" s="269">
        <v>86000</v>
      </c>
      <c r="R336" s="271">
        <v>16340</v>
      </c>
      <c r="S336" s="271">
        <v>102340</v>
      </c>
      <c r="T336" s="272">
        <v>86000</v>
      </c>
      <c r="U336" s="272">
        <v>102340</v>
      </c>
      <c r="V336" s="273" t="s">
        <v>1357</v>
      </c>
      <c r="W336" s="274">
        <v>46176</v>
      </c>
      <c r="X336" s="263" t="s">
        <v>2048</v>
      </c>
      <c r="Y336" s="276" t="s">
        <v>1188</v>
      </c>
      <c r="Z336" s="277" t="s">
        <v>381</v>
      </c>
      <c r="AA336" s="278">
        <v>85000</v>
      </c>
      <c r="AB336" s="279" t="s">
        <v>1197</v>
      </c>
      <c r="AC336" s="280" t="s">
        <v>1191</v>
      </c>
      <c r="AD336" s="281">
        <v>85000</v>
      </c>
      <c r="AE336" s="283">
        <v>16150</v>
      </c>
      <c r="AF336" s="283">
        <v>101150</v>
      </c>
      <c r="AG336" s="284">
        <v>85000</v>
      </c>
      <c r="AH336" s="284">
        <v>101150</v>
      </c>
      <c r="AI336" s="285" t="s">
        <v>1357</v>
      </c>
      <c r="AJ336" s="286">
        <v>46176</v>
      </c>
      <c r="AK336" s="263" t="s">
        <v>2108</v>
      </c>
      <c r="AL336" s="288" t="s">
        <v>1188</v>
      </c>
      <c r="AM336" s="298" t="s">
        <v>382</v>
      </c>
      <c r="AN336" s="289">
        <v>84000</v>
      </c>
      <c r="AO336" s="290" t="s">
        <v>1197</v>
      </c>
      <c r="AP336" s="290" t="s">
        <v>1191</v>
      </c>
      <c r="AQ336" s="291">
        <v>84000</v>
      </c>
      <c r="AR336" s="292">
        <v>15960</v>
      </c>
      <c r="AS336" s="292">
        <v>99960</v>
      </c>
      <c r="AT336" s="293">
        <v>84000</v>
      </c>
      <c r="AU336" s="293">
        <v>99960</v>
      </c>
      <c r="AV336" s="294">
        <v>101150</v>
      </c>
      <c r="AW336" s="294">
        <v>101150</v>
      </c>
      <c r="AX336" s="294">
        <v>1190</v>
      </c>
      <c r="AY336" s="299">
        <v>1.18E-2</v>
      </c>
    </row>
    <row r="337" spans="1:51" ht="57.6" hidden="1">
      <c r="A337" s="257" t="s">
        <v>2044</v>
      </c>
      <c r="B337" s="258" t="s">
        <v>2045</v>
      </c>
      <c r="C337" s="258">
        <v>24102010</v>
      </c>
      <c r="D337" s="257" t="s">
        <v>995</v>
      </c>
      <c r="F337" s="258" t="s">
        <v>568</v>
      </c>
      <c r="G337" s="262">
        <v>1</v>
      </c>
      <c r="H337" s="262" t="s">
        <v>192</v>
      </c>
      <c r="I337" s="321" t="s">
        <v>1357</v>
      </c>
      <c r="J337" s="322">
        <v>46176</v>
      </c>
      <c r="K337" s="263" t="s">
        <v>2046</v>
      </c>
      <c r="L337" s="264" t="s">
        <v>1188</v>
      </c>
      <c r="M337" s="265" t="s">
        <v>380</v>
      </c>
      <c r="N337" s="266">
        <v>4000</v>
      </c>
      <c r="O337" s="267" t="s">
        <v>1197</v>
      </c>
      <c r="P337" s="268" t="s">
        <v>1191</v>
      </c>
      <c r="Q337" s="269">
        <v>4000</v>
      </c>
      <c r="R337" s="271">
        <v>760</v>
      </c>
      <c r="S337" s="271">
        <v>4760</v>
      </c>
      <c r="T337" s="272">
        <v>4000</v>
      </c>
      <c r="U337" s="272">
        <v>4760</v>
      </c>
      <c r="V337" s="273" t="s">
        <v>1357</v>
      </c>
      <c r="W337" s="274">
        <v>46176</v>
      </c>
      <c r="X337" s="263" t="s">
        <v>2048</v>
      </c>
      <c r="Y337" s="276" t="s">
        <v>1188</v>
      </c>
      <c r="Z337" s="277" t="s">
        <v>381</v>
      </c>
      <c r="AA337" s="278">
        <v>3000</v>
      </c>
      <c r="AB337" s="279" t="s">
        <v>1197</v>
      </c>
      <c r="AC337" s="280" t="s">
        <v>1191</v>
      </c>
      <c r="AD337" s="281">
        <v>3000</v>
      </c>
      <c r="AE337" s="283">
        <v>570</v>
      </c>
      <c r="AF337" s="283">
        <v>3570</v>
      </c>
      <c r="AG337" s="284">
        <v>3000</v>
      </c>
      <c r="AH337" s="284">
        <v>3570</v>
      </c>
      <c r="AI337" s="285" t="s">
        <v>1357</v>
      </c>
      <c r="AJ337" s="286">
        <v>46176</v>
      </c>
      <c r="AK337" s="263" t="s">
        <v>2108</v>
      </c>
      <c r="AL337" s="288" t="s">
        <v>1188</v>
      </c>
      <c r="AM337" s="298" t="s">
        <v>382</v>
      </c>
      <c r="AN337" s="289">
        <v>2800</v>
      </c>
      <c r="AO337" s="290" t="s">
        <v>1197</v>
      </c>
      <c r="AP337" s="290" t="s">
        <v>1191</v>
      </c>
      <c r="AQ337" s="291">
        <v>2800</v>
      </c>
      <c r="AR337" s="292">
        <v>532</v>
      </c>
      <c r="AS337" s="292">
        <v>3332</v>
      </c>
      <c r="AT337" s="293">
        <v>2800</v>
      </c>
      <c r="AU337" s="293">
        <v>3332</v>
      </c>
      <c r="AV337" s="294">
        <v>3887.33</v>
      </c>
      <c r="AW337" s="294">
        <v>3887.33</v>
      </c>
      <c r="AX337" s="294">
        <v>765.06</v>
      </c>
      <c r="AY337" s="299">
        <v>0.1968</v>
      </c>
    </row>
    <row r="338" spans="1:51" ht="57.6" hidden="1">
      <c r="A338" s="257" t="s">
        <v>2044</v>
      </c>
      <c r="B338" s="258" t="s">
        <v>2045</v>
      </c>
      <c r="C338" s="258">
        <v>24102010</v>
      </c>
      <c r="D338" s="257" t="s">
        <v>998</v>
      </c>
      <c r="F338" s="258" t="s">
        <v>568</v>
      </c>
      <c r="G338" s="262">
        <v>1</v>
      </c>
      <c r="H338" s="262" t="s">
        <v>192</v>
      </c>
      <c r="I338" s="321" t="s">
        <v>1357</v>
      </c>
      <c r="J338" s="322">
        <v>46176</v>
      </c>
      <c r="K338" s="263" t="s">
        <v>2046</v>
      </c>
      <c r="L338" s="264" t="s">
        <v>1188</v>
      </c>
      <c r="M338" s="265" t="s">
        <v>380</v>
      </c>
      <c r="N338" s="266">
        <v>4500</v>
      </c>
      <c r="O338" s="267" t="s">
        <v>1197</v>
      </c>
      <c r="P338" s="268" t="s">
        <v>1191</v>
      </c>
      <c r="Q338" s="269">
        <v>4500</v>
      </c>
      <c r="R338" s="271">
        <v>855</v>
      </c>
      <c r="S338" s="271">
        <v>5355</v>
      </c>
      <c r="T338" s="272">
        <v>4500</v>
      </c>
      <c r="U338" s="272">
        <v>5355</v>
      </c>
      <c r="V338" s="273" t="s">
        <v>1357</v>
      </c>
      <c r="W338" s="274">
        <v>46176</v>
      </c>
      <c r="X338" s="263" t="s">
        <v>2048</v>
      </c>
      <c r="Y338" s="276" t="s">
        <v>1188</v>
      </c>
      <c r="Z338" s="277" t="s">
        <v>381</v>
      </c>
      <c r="AA338" s="278">
        <v>4300</v>
      </c>
      <c r="AB338" s="279" t="s">
        <v>1197</v>
      </c>
      <c r="AC338" s="280" t="s">
        <v>1191</v>
      </c>
      <c r="AD338" s="281">
        <v>4300</v>
      </c>
      <c r="AE338" s="283">
        <v>817</v>
      </c>
      <c r="AF338" s="283">
        <v>5117</v>
      </c>
      <c r="AG338" s="284">
        <v>4300</v>
      </c>
      <c r="AH338" s="284">
        <v>5117</v>
      </c>
      <c r="AI338" s="285" t="s">
        <v>1357</v>
      </c>
      <c r="AJ338" s="286">
        <v>46176</v>
      </c>
      <c r="AK338" s="263" t="s">
        <v>2108</v>
      </c>
      <c r="AL338" s="288" t="s">
        <v>1188</v>
      </c>
      <c r="AM338" s="298" t="s">
        <v>382</v>
      </c>
      <c r="AN338" s="289">
        <v>4200</v>
      </c>
      <c r="AO338" s="290" t="s">
        <v>1197</v>
      </c>
      <c r="AP338" s="290" t="s">
        <v>1191</v>
      </c>
      <c r="AQ338" s="291">
        <v>4200</v>
      </c>
      <c r="AR338" s="292">
        <v>798</v>
      </c>
      <c r="AS338" s="292">
        <v>4998</v>
      </c>
      <c r="AT338" s="293">
        <v>4200</v>
      </c>
      <c r="AU338" s="293">
        <v>4998</v>
      </c>
      <c r="AV338" s="294">
        <v>5156.67</v>
      </c>
      <c r="AW338" s="294">
        <v>5156.67</v>
      </c>
      <c r="AX338" s="294">
        <v>181.78</v>
      </c>
      <c r="AY338" s="299">
        <v>3.5299999999999998E-2</v>
      </c>
    </row>
    <row r="339" spans="1:51" ht="57.6" hidden="1">
      <c r="A339" s="257" t="s">
        <v>2044</v>
      </c>
      <c r="B339" s="258" t="s">
        <v>2045</v>
      </c>
      <c r="C339" s="258">
        <v>24102010</v>
      </c>
      <c r="D339" s="257" t="s">
        <v>1000</v>
      </c>
      <c r="F339" s="258" t="s">
        <v>568</v>
      </c>
      <c r="G339" s="262">
        <v>1</v>
      </c>
      <c r="H339" s="262" t="s">
        <v>192</v>
      </c>
      <c r="I339" s="321" t="s">
        <v>1357</v>
      </c>
      <c r="J339" s="322">
        <v>46176</v>
      </c>
      <c r="K339" s="263" t="s">
        <v>2046</v>
      </c>
      <c r="L339" s="264" t="s">
        <v>1188</v>
      </c>
      <c r="M339" s="265" t="s">
        <v>380</v>
      </c>
      <c r="N339" s="266">
        <v>6200</v>
      </c>
      <c r="O339" s="267" t="s">
        <v>1197</v>
      </c>
      <c r="P339" s="268" t="s">
        <v>1191</v>
      </c>
      <c r="Q339" s="269">
        <v>6200</v>
      </c>
      <c r="R339" s="271">
        <v>1178</v>
      </c>
      <c r="S339" s="271">
        <v>7378</v>
      </c>
      <c r="T339" s="272">
        <v>6200</v>
      </c>
      <c r="U339" s="272">
        <v>7378</v>
      </c>
      <c r="V339" s="273" t="s">
        <v>1357</v>
      </c>
      <c r="W339" s="274">
        <v>46176</v>
      </c>
      <c r="X339" s="263" t="s">
        <v>2108</v>
      </c>
      <c r="Y339" s="276" t="s">
        <v>1188</v>
      </c>
      <c r="Z339" s="277" t="s">
        <v>382</v>
      </c>
      <c r="AA339" s="278">
        <v>5600</v>
      </c>
      <c r="AB339" s="279" t="s">
        <v>1197</v>
      </c>
      <c r="AC339" s="280" t="s">
        <v>1191</v>
      </c>
      <c r="AD339" s="281">
        <v>5600</v>
      </c>
      <c r="AE339" s="283">
        <v>1064</v>
      </c>
      <c r="AF339" s="283">
        <v>6664</v>
      </c>
      <c r="AG339" s="284">
        <v>5600</v>
      </c>
      <c r="AH339" s="284">
        <v>6664</v>
      </c>
      <c r="AI339" s="285" t="s">
        <v>1357</v>
      </c>
      <c r="AJ339" s="286">
        <v>46176</v>
      </c>
      <c r="AK339" s="263" t="s">
        <v>2048</v>
      </c>
      <c r="AL339" s="288" t="s">
        <v>1188</v>
      </c>
      <c r="AM339" s="298" t="s">
        <v>381</v>
      </c>
      <c r="AN339" s="289">
        <v>5500</v>
      </c>
      <c r="AO339" s="290" t="s">
        <v>1197</v>
      </c>
      <c r="AP339" s="290" t="s">
        <v>1191</v>
      </c>
      <c r="AQ339" s="291">
        <v>5500</v>
      </c>
      <c r="AR339" s="292">
        <v>1045</v>
      </c>
      <c r="AS339" s="292">
        <v>6545</v>
      </c>
      <c r="AT339" s="293">
        <v>5500</v>
      </c>
      <c r="AU339" s="293">
        <v>6545</v>
      </c>
      <c r="AV339" s="294">
        <v>6862.33</v>
      </c>
      <c r="AW339" s="294">
        <v>6862.33</v>
      </c>
      <c r="AX339" s="294">
        <v>450.53</v>
      </c>
      <c r="AY339" s="299">
        <v>6.5699999999999995E-2</v>
      </c>
    </row>
    <row r="340" spans="1:51" ht="57.6" hidden="1">
      <c r="A340" s="257" t="s">
        <v>2044</v>
      </c>
      <c r="B340" s="258" t="s">
        <v>2045</v>
      </c>
      <c r="C340" s="258">
        <v>24102010</v>
      </c>
      <c r="D340" s="257" t="s">
        <v>1002</v>
      </c>
      <c r="F340" s="258" t="s">
        <v>568</v>
      </c>
      <c r="G340" s="262">
        <v>1</v>
      </c>
      <c r="H340" s="262" t="s">
        <v>192</v>
      </c>
      <c r="I340" s="321" t="s">
        <v>1357</v>
      </c>
      <c r="J340" s="322">
        <v>46176</v>
      </c>
      <c r="K340" s="263" t="s">
        <v>2046</v>
      </c>
      <c r="L340" s="264" t="s">
        <v>1188</v>
      </c>
      <c r="M340" s="265" t="s">
        <v>380</v>
      </c>
      <c r="N340" s="266">
        <v>10000</v>
      </c>
      <c r="O340" s="267" t="s">
        <v>1197</v>
      </c>
      <c r="P340" s="268" t="s">
        <v>1191</v>
      </c>
      <c r="Q340" s="269">
        <v>10000</v>
      </c>
      <c r="R340" s="271">
        <v>1900</v>
      </c>
      <c r="S340" s="271">
        <v>11900</v>
      </c>
      <c r="T340" s="272">
        <v>10000</v>
      </c>
      <c r="U340" s="272">
        <v>11900</v>
      </c>
      <c r="V340" s="273" t="s">
        <v>1357</v>
      </c>
      <c r="W340" s="274">
        <v>46176</v>
      </c>
      <c r="X340" s="263" t="s">
        <v>2048</v>
      </c>
      <c r="Y340" s="276" t="s">
        <v>1188</v>
      </c>
      <c r="Z340" s="277" t="s">
        <v>381</v>
      </c>
      <c r="AA340" s="278">
        <v>9200</v>
      </c>
      <c r="AB340" s="279" t="s">
        <v>1197</v>
      </c>
      <c r="AC340" s="280" t="s">
        <v>1191</v>
      </c>
      <c r="AD340" s="281">
        <v>9200</v>
      </c>
      <c r="AE340" s="283">
        <v>1748</v>
      </c>
      <c r="AF340" s="283">
        <v>10948</v>
      </c>
      <c r="AG340" s="284">
        <v>9200</v>
      </c>
      <c r="AH340" s="284">
        <v>10948</v>
      </c>
      <c r="AI340" s="285" t="s">
        <v>1357</v>
      </c>
      <c r="AJ340" s="286">
        <v>46176</v>
      </c>
      <c r="AK340" s="263" t="s">
        <v>2108</v>
      </c>
      <c r="AL340" s="288" t="s">
        <v>1188</v>
      </c>
      <c r="AM340" s="298" t="s">
        <v>382</v>
      </c>
      <c r="AN340" s="289">
        <v>8400</v>
      </c>
      <c r="AO340" s="290" t="s">
        <v>1197</v>
      </c>
      <c r="AP340" s="290" t="s">
        <v>1191</v>
      </c>
      <c r="AQ340" s="291">
        <v>8400</v>
      </c>
      <c r="AR340" s="292">
        <v>1596</v>
      </c>
      <c r="AS340" s="292">
        <v>9996</v>
      </c>
      <c r="AT340" s="293">
        <v>8400</v>
      </c>
      <c r="AU340" s="293">
        <v>9996</v>
      </c>
      <c r="AV340" s="294">
        <v>10948</v>
      </c>
      <c r="AW340" s="294">
        <v>10948</v>
      </c>
      <c r="AX340" s="294">
        <v>952</v>
      </c>
      <c r="AY340" s="299">
        <v>8.6999999999999994E-2</v>
      </c>
    </row>
    <row r="341" spans="1:51" ht="57.6" hidden="1">
      <c r="A341" s="257" t="s">
        <v>2044</v>
      </c>
      <c r="B341" s="258" t="s">
        <v>2045</v>
      </c>
      <c r="C341" s="258">
        <v>46181800</v>
      </c>
      <c r="D341" s="257" t="s">
        <v>390</v>
      </c>
      <c r="F341" s="258" t="s">
        <v>191</v>
      </c>
      <c r="G341" s="262">
        <v>150</v>
      </c>
      <c r="H341" s="262" t="s">
        <v>192</v>
      </c>
      <c r="I341" s="321" t="s">
        <v>1357</v>
      </c>
      <c r="J341" s="322">
        <v>46169</v>
      </c>
      <c r="K341" s="263" t="s">
        <v>2071</v>
      </c>
      <c r="L341" s="264" t="s">
        <v>1188</v>
      </c>
      <c r="M341" s="265" t="s">
        <v>193</v>
      </c>
      <c r="N341" s="266">
        <v>38000</v>
      </c>
      <c r="O341" s="267" t="s">
        <v>1197</v>
      </c>
      <c r="P341" s="268" t="s">
        <v>1191</v>
      </c>
      <c r="Q341" s="269">
        <v>38000</v>
      </c>
      <c r="R341" s="271">
        <v>7220</v>
      </c>
      <c r="S341" s="271">
        <v>45220</v>
      </c>
      <c r="T341" s="272">
        <v>5700000</v>
      </c>
      <c r="U341" s="272">
        <v>6783000</v>
      </c>
      <c r="V341" s="273" t="s">
        <v>1357</v>
      </c>
      <c r="W341" s="274">
        <v>46169</v>
      </c>
      <c r="X341" s="263" t="s">
        <v>2062</v>
      </c>
      <c r="Y341" s="276" t="s">
        <v>1188</v>
      </c>
      <c r="Z341" s="277" t="s">
        <v>194</v>
      </c>
      <c r="AA341" s="278">
        <v>38000</v>
      </c>
      <c r="AB341" s="279" t="s">
        <v>1197</v>
      </c>
      <c r="AC341" s="280" t="s">
        <v>1191</v>
      </c>
      <c r="AD341" s="281">
        <v>38000</v>
      </c>
      <c r="AE341" s="283">
        <v>7220</v>
      </c>
      <c r="AF341" s="283">
        <v>45220</v>
      </c>
      <c r="AG341" s="284">
        <v>5700000</v>
      </c>
      <c r="AH341" s="284">
        <v>6783000</v>
      </c>
      <c r="AI341" s="285" t="s">
        <v>1186</v>
      </c>
      <c r="AJ341" s="286">
        <v>46195</v>
      </c>
      <c r="AK341" s="263" t="s">
        <v>2177</v>
      </c>
      <c r="AL341" s="288" t="s">
        <v>1193</v>
      </c>
      <c r="AM341" s="298" t="s">
        <v>392</v>
      </c>
      <c r="AN341" s="289">
        <v>31900</v>
      </c>
      <c r="AO341" s="290" t="s">
        <v>1190</v>
      </c>
      <c r="AP341" s="290" t="s">
        <v>1191</v>
      </c>
      <c r="AQ341" s="291">
        <v>26806.720000000001</v>
      </c>
      <c r="AR341" s="292">
        <v>5093</v>
      </c>
      <c r="AS341" s="292">
        <v>31900</v>
      </c>
      <c r="AT341" s="293">
        <v>4021008</v>
      </c>
      <c r="AU341" s="293">
        <v>4785000</v>
      </c>
      <c r="AV341" s="294">
        <v>40780</v>
      </c>
      <c r="AW341" s="294">
        <v>6117000</v>
      </c>
      <c r="AX341" s="294">
        <v>1153545.8400000001</v>
      </c>
      <c r="AY341" s="299">
        <v>0.18859999999999999</v>
      </c>
    </row>
    <row r="342" spans="1:51" ht="57.6" hidden="1">
      <c r="A342" s="257" t="s">
        <v>2044</v>
      </c>
      <c r="B342" s="258" t="s">
        <v>2045</v>
      </c>
      <c r="C342" s="258">
        <v>12162000</v>
      </c>
      <c r="D342" s="257" t="s">
        <v>361</v>
      </c>
      <c r="F342" s="258" t="s">
        <v>191</v>
      </c>
      <c r="G342" s="262">
        <v>3</v>
      </c>
      <c r="H342" s="262" t="s">
        <v>192</v>
      </c>
      <c r="I342" s="321" t="s">
        <v>1199</v>
      </c>
      <c r="J342" s="322">
        <v>46196</v>
      </c>
      <c r="K342" s="263" t="s">
        <v>2178</v>
      </c>
      <c r="L342" s="264" t="s">
        <v>1193</v>
      </c>
      <c r="M342" s="265" t="s">
        <v>363</v>
      </c>
      <c r="N342" s="266">
        <v>4700</v>
      </c>
      <c r="O342" s="267" t="s">
        <v>1190</v>
      </c>
      <c r="P342" s="268" t="s">
        <v>1191</v>
      </c>
      <c r="Q342" s="269">
        <v>3949.58</v>
      </c>
      <c r="R342" s="271">
        <v>750</v>
      </c>
      <c r="S342" s="271">
        <v>4700</v>
      </c>
      <c r="T342" s="272">
        <v>11849</v>
      </c>
      <c r="U342" s="272">
        <v>14100</v>
      </c>
      <c r="V342" s="273" t="s">
        <v>1199</v>
      </c>
      <c r="W342" s="274">
        <v>46196</v>
      </c>
      <c r="X342" s="263" t="s">
        <v>2179</v>
      </c>
      <c r="Y342" s="276" t="s">
        <v>1193</v>
      </c>
      <c r="Z342" s="277" t="s">
        <v>364</v>
      </c>
      <c r="AA342" s="278">
        <v>4200</v>
      </c>
      <c r="AB342" s="279" t="s">
        <v>1190</v>
      </c>
      <c r="AC342" s="280" t="s">
        <v>1191</v>
      </c>
      <c r="AD342" s="281">
        <v>3529.41</v>
      </c>
      <c r="AE342" s="283">
        <v>671</v>
      </c>
      <c r="AF342" s="283">
        <v>4200</v>
      </c>
      <c r="AG342" s="284">
        <v>10588</v>
      </c>
      <c r="AH342" s="284">
        <v>12600</v>
      </c>
      <c r="AI342" s="285" t="s">
        <v>1199</v>
      </c>
      <c r="AJ342" s="286">
        <v>46196</v>
      </c>
      <c r="AK342" s="263" t="s">
        <v>2180</v>
      </c>
      <c r="AL342" s="288" t="s">
        <v>1193</v>
      </c>
      <c r="AM342" s="298" t="s">
        <v>365</v>
      </c>
      <c r="AN342" s="289">
        <v>5500</v>
      </c>
      <c r="AO342" s="290" t="s">
        <v>1190</v>
      </c>
      <c r="AP342" s="290" t="s">
        <v>1191</v>
      </c>
      <c r="AQ342" s="291">
        <v>4621.8500000000004</v>
      </c>
      <c r="AR342" s="292">
        <v>878</v>
      </c>
      <c r="AS342" s="292">
        <v>5500</v>
      </c>
      <c r="AT342" s="293">
        <v>13866</v>
      </c>
      <c r="AU342" s="293">
        <v>16500</v>
      </c>
      <c r="AV342" s="294">
        <v>4800</v>
      </c>
      <c r="AW342" s="294">
        <v>14400</v>
      </c>
      <c r="AX342" s="294">
        <v>1967.23</v>
      </c>
      <c r="AY342" s="299">
        <v>0.1366</v>
      </c>
    </row>
    <row r="343" spans="1:51" ht="57.6" hidden="1">
      <c r="A343" s="257" t="s">
        <v>2044</v>
      </c>
      <c r="B343" s="258" t="s">
        <v>2045</v>
      </c>
      <c r="C343" s="258">
        <v>12181602</v>
      </c>
      <c r="D343" s="257" t="s">
        <v>952</v>
      </c>
      <c r="F343" s="258" t="s">
        <v>568</v>
      </c>
      <c r="G343" s="262">
        <v>1</v>
      </c>
      <c r="H343" s="262" t="s">
        <v>192</v>
      </c>
      <c r="I343" s="321" t="s">
        <v>1357</v>
      </c>
      <c r="J343" s="322">
        <v>46176</v>
      </c>
      <c r="K343" s="263" t="s">
        <v>2046</v>
      </c>
      <c r="L343" s="264" t="s">
        <v>1188</v>
      </c>
      <c r="M343" s="265" t="s">
        <v>380</v>
      </c>
      <c r="N343" s="266">
        <v>42000</v>
      </c>
      <c r="O343" s="267" t="s">
        <v>1197</v>
      </c>
      <c r="P343" s="268" t="s">
        <v>1191</v>
      </c>
      <c r="Q343" s="269">
        <v>42000</v>
      </c>
      <c r="R343" s="271">
        <v>7980</v>
      </c>
      <c r="S343" s="271">
        <v>49980</v>
      </c>
      <c r="T343" s="272">
        <v>42000</v>
      </c>
      <c r="U343" s="272">
        <v>49980</v>
      </c>
      <c r="V343" s="273" t="s">
        <v>1357</v>
      </c>
      <c r="W343" s="274">
        <v>46176</v>
      </c>
      <c r="X343" s="263" t="s">
        <v>2048</v>
      </c>
      <c r="Y343" s="276" t="s">
        <v>1188</v>
      </c>
      <c r="Z343" s="277" t="s">
        <v>381</v>
      </c>
      <c r="AA343" s="278">
        <v>40000</v>
      </c>
      <c r="AB343" s="279" t="s">
        <v>1197</v>
      </c>
      <c r="AC343" s="280" t="s">
        <v>1191</v>
      </c>
      <c r="AD343" s="281">
        <v>40000</v>
      </c>
      <c r="AE343" s="283">
        <v>7600</v>
      </c>
      <c r="AF343" s="283">
        <v>47600</v>
      </c>
      <c r="AG343" s="284">
        <v>40000</v>
      </c>
      <c r="AH343" s="284">
        <v>47600</v>
      </c>
      <c r="AI343" s="285" t="s">
        <v>1357</v>
      </c>
      <c r="AJ343" s="286">
        <v>46176</v>
      </c>
      <c r="AK343" s="263" t="s">
        <v>2108</v>
      </c>
      <c r="AL343" s="288" t="s">
        <v>1188</v>
      </c>
      <c r="AM343" s="298" t="s">
        <v>382</v>
      </c>
      <c r="AN343" s="289">
        <v>39200</v>
      </c>
      <c r="AO343" s="290" t="s">
        <v>1197</v>
      </c>
      <c r="AP343" s="290" t="s">
        <v>1191</v>
      </c>
      <c r="AQ343" s="291">
        <v>39200</v>
      </c>
      <c r="AR343" s="292">
        <v>7448</v>
      </c>
      <c r="AS343" s="292">
        <v>46648</v>
      </c>
      <c r="AT343" s="293">
        <v>39200</v>
      </c>
      <c r="AU343" s="293">
        <v>46648</v>
      </c>
      <c r="AV343" s="294">
        <v>48076</v>
      </c>
      <c r="AW343" s="294">
        <v>48076</v>
      </c>
      <c r="AX343" s="294">
        <v>1716.24</v>
      </c>
      <c r="AY343" s="299">
        <v>3.5700000000000003E-2</v>
      </c>
    </row>
    <row r="344" spans="1:51" ht="57.6" hidden="1">
      <c r="A344" s="257" t="s">
        <v>2044</v>
      </c>
      <c r="B344" s="258" t="s">
        <v>2045</v>
      </c>
      <c r="C344" s="258">
        <v>44122100</v>
      </c>
      <c r="D344" s="257" t="s">
        <v>254</v>
      </c>
      <c r="F344" s="258" t="s">
        <v>191</v>
      </c>
      <c r="G344" s="262">
        <v>10</v>
      </c>
      <c r="H344" s="262" t="s">
        <v>192</v>
      </c>
      <c r="I344" s="321" t="s">
        <v>1199</v>
      </c>
      <c r="J344" s="322">
        <v>46196</v>
      </c>
      <c r="K344" s="263" t="s">
        <v>2181</v>
      </c>
      <c r="L344" s="264" t="s">
        <v>1193</v>
      </c>
      <c r="M344" s="265" t="s">
        <v>256</v>
      </c>
      <c r="N344" s="266">
        <v>179</v>
      </c>
      <c r="O344" s="267" t="s">
        <v>1190</v>
      </c>
      <c r="P344" s="268" t="s">
        <v>1191</v>
      </c>
      <c r="Q344" s="269">
        <v>150.41999999999999</v>
      </c>
      <c r="R344" s="271">
        <v>29</v>
      </c>
      <c r="S344" s="271">
        <v>179</v>
      </c>
      <c r="T344" s="272">
        <v>1504</v>
      </c>
      <c r="U344" s="272">
        <v>1790</v>
      </c>
      <c r="V344" s="273" t="s">
        <v>1199</v>
      </c>
      <c r="W344" s="274">
        <v>46196</v>
      </c>
      <c r="X344" s="263" t="s">
        <v>2182</v>
      </c>
      <c r="Y344" s="276" t="s">
        <v>1193</v>
      </c>
      <c r="Z344" s="277" t="s">
        <v>257</v>
      </c>
      <c r="AA344" s="278">
        <v>140</v>
      </c>
      <c r="AB344" s="279" t="s">
        <v>1190</v>
      </c>
      <c r="AC344" s="280" t="s">
        <v>1191</v>
      </c>
      <c r="AD344" s="281">
        <v>117.65</v>
      </c>
      <c r="AE344" s="283">
        <v>22</v>
      </c>
      <c r="AF344" s="283">
        <v>140</v>
      </c>
      <c r="AG344" s="284">
        <v>1176</v>
      </c>
      <c r="AH344" s="284">
        <v>1400</v>
      </c>
      <c r="AI344" s="285" t="s">
        <v>1199</v>
      </c>
      <c r="AJ344" s="286">
        <v>46196</v>
      </c>
      <c r="AK344" s="263" t="s">
        <v>2183</v>
      </c>
      <c r="AL344" s="288" t="s">
        <v>1193</v>
      </c>
      <c r="AM344" s="298" t="s">
        <v>258</v>
      </c>
      <c r="AN344" s="289">
        <v>200</v>
      </c>
      <c r="AO344" s="290" t="s">
        <v>1190</v>
      </c>
      <c r="AP344" s="290" t="s">
        <v>1191</v>
      </c>
      <c r="AQ344" s="291">
        <v>168.07</v>
      </c>
      <c r="AR344" s="292">
        <v>32</v>
      </c>
      <c r="AS344" s="292">
        <v>200</v>
      </c>
      <c r="AT344" s="293">
        <v>1681</v>
      </c>
      <c r="AU344" s="293">
        <v>2000</v>
      </c>
      <c r="AV344" s="294">
        <v>173</v>
      </c>
      <c r="AW344" s="294">
        <v>1730</v>
      </c>
      <c r="AX344" s="294">
        <v>304.47000000000003</v>
      </c>
      <c r="AY344" s="299">
        <v>0.17599999999999999</v>
      </c>
    </row>
    <row r="345" spans="1:51" ht="57.6" hidden="1">
      <c r="A345" s="257" t="s">
        <v>2044</v>
      </c>
      <c r="B345" s="258" t="s">
        <v>2045</v>
      </c>
      <c r="C345" s="258">
        <v>46181500</v>
      </c>
      <c r="D345" s="257" t="s">
        <v>2184</v>
      </c>
      <c r="F345" s="258" t="s">
        <v>191</v>
      </c>
      <c r="G345" s="262">
        <v>150</v>
      </c>
      <c r="H345" s="262" t="s">
        <v>192</v>
      </c>
      <c r="I345" s="321" t="s">
        <v>1357</v>
      </c>
      <c r="J345" s="322">
        <v>46169</v>
      </c>
      <c r="K345" s="263" t="s">
        <v>2071</v>
      </c>
      <c r="L345" s="264" t="s">
        <v>1188</v>
      </c>
      <c r="M345" s="265" t="s">
        <v>193</v>
      </c>
      <c r="N345" s="266">
        <v>14800</v>
      </c>
      <c r="O345" s="267" t="s">
        <v>1197</v>
      </c>
      <c r="P345" s="268" t="s">
        <v>1191</v>
      </c>
      <c r="Q345" s="269">
        <v>14800</v>
      </c>
      <c r="R345" s="271">
        <v>2812</v>
      </c>
      <c r="S345" s="271">
        <v>17612</v>
      </c>
      <c r="T345" s="272">
        <v>2220000</v>
      </c>
      <c r="U345" s="272">
        <v>2641800</v>
      </c>
      <c r="V345" s="273" t="s">
        <v>1357</v>
      </c>
      <c r="W345" s="274">
        <v>46169</v>
      </c>
      <c r="X345" s="263" t="s">
        <v>2072</v>
      </c>
      <c r="Y345" s="276" t="s">
        <v>1188</v>
      </c>
      <c r="Z345" s="277" t="s">
        <v>245</v>
      </c>
      <c r="AA345" s="278">
        <v>18000</v>
      </c>
      <c r="AB345" s="279" t="s">
        <v>1197</v>
      </c>
      <c r="AC345" s="280" t="s">
        <v>1191</v>
      </c>
      <c r="AD345" s="281">
        <v>18000</v>
      </c>
      <c r="AE345" s="283">
        <v>3420</v>
      </c>
      <c r="AF345" s="283">
        <v>21420</v>
      </c>
      <c r="AG345" s="284">
        <v>2700000</v>
      </c>
      <c r="AH345" s="284">
        <v>3213000</v>
      </c>
      <c r="AI345" s="285" t="s">
        <v>1357</v>
      </c>
      <c r="AJ345" s="286">
        <v>46169</v>
      </c>
      <c r="AK345" s="263" t="s">
        <v>2062</v>
      </c>
      <c r="AL345" s="288" t="s">
        <v>1188</v>
      </c>
      <c r="AM345" s="298" t="s">
        <v>194</v>
      </c>
      <c r="AN345" s="289">
        <v>14800</v>
      </c>
      <c r="AO345" s="290" t="s">
        <v>1197</v>
      </c>
      <c r="AP345" s="290" t="s">
        <v>1191</v>
      </c>
      <c r="AQ345" s="291">
        <v>14800</v>
      </c>
      <c r="AR345" s="292">
        <v>2812</v>
      </c>
      <c r="AS345" s="292">
        <v>17612</v>
      </c>
      <c r="AT345" s="293">
        <v>2220000</v>
      </c>
      <c r="AU345" s="293">
        <v>2641800</v>
      </c>
      <c r="AV345" s="294">
        <v>18881.330000000002</v>
      </c>
      <c r="AW345" s="294">
        <v>2832200</v>
      </c>
      <c r="AX345" s="294">
        <v>329782.46999999997</v>
      </c>
      <c r="AY345" s="299">
        <v>0.1164</v>
      </c>
    </row>
    <row r="346" spans="1:51" ht="57.6" hidden="1">
      <c r="A346" s="257" t="s">
        <v>2044</v>
      </c>
      <c r="B346" s="258" t="s">
        <v>2045</v>
      </c>
      <c r="C346" s="258">
        <v>46181504</v>
      </c>
      <c r="D346" s="257" t="s">
        <v>2185</v>
      </c>
      <c r="F346" s="258" t="s">
        <v>568</v>
      </c>
      <c r="G346" s="262">
        <v>1</v>
      </c>
      <c r="H346" s="262" t="s">
        <v>192</v>
      </c>
      <c r="I346" s="321" t="s">
        <v>1357</v>
      </c>
      <c r="J346" s="322">
        <v>46176</v>
      </c>
      <c r="K346" s="263" t="s">
        <v>2046</v>
      </c>
      <c r="L346" s="264" t="s">
        <v>1188</v>
      </c>
      <c r="M346" s="265" t="s">
        <v>380</v>
      </c>
      <c r="N346" s="266">
        <v>18000</v>
      </c>
      <c r="O346" s="267" t="s">
        <v>1197</v>
      </c>
      <c r="P346" s="268" t="s">
        <v>1191</v>
      </c>
      <c r="Q346" s="269">
        <v>18000</v>
      </c>
      <c r="R346" s="271">
        <v>3420</v>
      </c>
      <c r="S346" s="271">
        <v>21420</v>
      </c>
      <c r="T346" s="272">
        <v>18000</v>
      </c>
      <c r="U346" s="272">
        <v>21420</v>
      </c>
      <c r="V346" s="273" t="s">
        <v>1357</v>
      </c>
      <c r="W346" s="274">
        <v>46176</v>
      </c>
      <c r="X346" s="263" t="s">
        <v>2048</v>
      </c>
      <c r="Y346" s="276" t="s">
        <v>1188</v>
      </c>
      <c r="Z346" s="277" t="s">
        <v>381</v>
      </c>
      <c r="AA346" s="278">
        <v>17000</v>
      </c>
      <c r="AB346" s="279" t="s">
        <v>1197</v>
      </c>
      <c r="AC346" s="280" t="s">
        <v>1191</v>
      </c>
      <c r="AD346" s="281">
        <v>17000</v>
      </c>
      <c r="AE346" s="283">
        <v>3230</v>
      </c>
      <c r="AF346" s="283">
        <v>20230</v>
      </c>
      <c r="AG346" s="284">
        <v>17000</v>
      </c>
      <c r="AH346" s="284">
        <v>20230</v>
      </c>
      <c r="AI346" s="285" t="s">
        <v>1357</v>
      </c>
      <c r="AJ346" s="286">
        <v>46176</v>
      </c>
      <c r="AK346" s="263" t="s">
        <v>2108</v>
      </c>
      <c r="AL346" s="288" t="s">
        <v>1188</v>
      </c>
      <c r="AM346" s="298" t="s">
        <v>382</v>
      </c>
      <c r="AN346" s="289">
        <v>15260</v>
      </c>
      <c r="AO346" s="290" t="s">
        <v>1197</v>
      </c>
      <c r="AP346" s="290" t="s">
        <v>1191</v>
      </c>
      <c r="AQ346" s="291">
        <v>15260</v>
      </c>
      <c r="AR346" s="292">
        <v>2899</v>
      </c>
      <c r="AS346" s="292">
        <v>18159</v>
      </c>
      <c r="AT346" s="293">
        <v>15260</v>
      </c>
      <c r="AU346" s="293">
        <v>18159</v>
      </c>
      <c r="AV346" s="294">
        <v>19936.47</v>
      </c>
      <c r="AW346" s="294">
        <v>19936.47</v>
      </c>
      <c r="AX346" s="294">
        <v>1650</v>
      </c>
      <c r="AY346" s="299">
        <v>8.2799999999999999E-2</v>
      </c>
    </row>
    <row r="347" spans="1:51" ht="57.6" hidden="1">
      <c r="A347" s="257" t="s">
        <v>2044</v>
      </c>
      <c r="B347" s="258" t="s">
        <v>2045</v>
      </c>
      <c r="C347" s="258">
        <v>82101500</v>
      </c>
      <c r="D347" s="257" t="s">
        <v>496</v>
      </c>
      <c r="F347" s="258" t="s">
        <v>191</v>
      </c>
      <c r="G347" s="262">
        <v>30</v>
      </c>
      <c r="H347" s="262" t="s">
        <v>192</v>
      </c>
      <c r="I347" s="321" t="s">
        <v>1199</v>
      </c>
      <c r="J347" s="322">
        <v>46196</v>
      </c>
      <c r="K347" s="263" t="s">
        <v>2186</v>
      </c>
      <c r="L347" s="264" t="s">
        <v>1193</v>
      </c>
      <c r="M347" s="265" t="s">
        <v>498</v>
      </c>
      <c r="N347" s="266">
        <v>24200</v>
      </c>
      <c r="O347" s="267" t="s">
        <v>1197</v>
      </c>
      <c r="P347" s="268" t="s">
        <v>1191</v>
      </c>
      <c r="Q347" s="269">
        <v>24200</v>
      </c>
      <c r="R347" s="271">
        <v>4598</v>
      </c>
      <c r="S347" s="271">
        <v>28798</v>
      </c>
      <c r="T347" s="272">
        <v>726000</v>
      </c>
      <c r="U347" s="272">
        <v>863940</v>
      </c>
      <c r="V347" s="273" t="s">
        <v>1199</v>
      </c>
      <c r="W347" s="274">
        <v>46196</v>
      </c>
      <c r="X347" s="263" t="s">
        <v>2187</v>
      </c>
      <c r="Y347" s="276" t="s">
        <v>1193</v>
      </c>
      <c r="Z347" s="277" t="s">
        <v>499</v>
      </c>
      <c r="AA347" s="278">
        <v>28000</v>
      </c>
      <c r="AB347" s="279" t="s">
        <v>1190</v>
      </c>
      <c r="AC347" s="280" t="s">
        <v>1191</v>
      </c>
      <c r="AD347" s="281">
        <v>23529.41</v>
      </c>
      <c r="AE347" s="283">
        <v>4471</v>
      </c>
      <c r="AF347" s="283">
        <v>28000</v>
      </c>
      <c r="AG347" s="284">
        <v>705882</v>
      </c>
      <c r="AH347" s="284">
        <v>840000</v>
      </c>
      <c r="AI347" s="285" t="s">
        <v>1199</v>
      </c>
      <c r="AJ347" s="286">
        <v>46196</v>
      </c>
      <c r="AK347" s="263" t="s">
        <v>2188</v>
      </c>
      <c r="AL347" s="288" t="s">
        <v>1193</v>
      </c>
      <c r="AM347" s="298" t="s">
        <v>500</v>
      </c>
      <c r="AN347" s="289">
        <v>23500</v>
      </c>
      <c r="AO347" s="290" t="s">
        <v>1190</v>
      </c>
      <c r="AP347" s="290" t="s">
        <v>1191</v>
      </c>
      <c r="AQ347" s="291">
        <v>19747.900000000001</v>
      </c>
      <c r="AR347" s="292">
        <v>3752</v>
      </c>
      <c r="AS347" s="292">
        <v>23500</v>
      </c>
      <c r="AT347" s="293">
        <v>592437</v>
      </c>
      <c r="AU347" s="293">
        <v>705000</v>
      </c>
      <c r="AV347" s="294">
        <v>26766</v>
      </c>
      <c r="AW347" s="294">
        <v>802980</v>
      </c>
      <c r="AX347" s="294">
        <v>85693.3</v>
      </c>
      <c r="AY347" s="299">
        <v>0.1067</v>
      </c>
    </row>
    <row r="348" spans="1:51" ht="57.6" hidden="1">
      <c r="A348" s="257" t="s">
        <v>2044</v>
      </c>
      <c r="B348" s="258" t="s">
        <v>2045</v>
      </c>
      <c r="C348" s="258">
        <v>10171702</v>
      </c>
      <c r="D348" s="257" t="s">
        <v>840</v>
      </c>
      <c r="F348" s="258" t="s">
        <v>568</v>
      </c>
      <c r="G348" s="262">
        <v>1</v>
      </c>
      <c r="H348" s="262" t="s">
        <v>192</v>
      </c>
      <c r="I348" s="321" t="s">
        <v>1357</v>
      </c>
      <c r="J348" s="322">
        <v>46176</v>
      </c>
      <c r="K348" s="263" t="s">
        <v>2046</v>
      </c>
      <c r="L348" s="264" t="s">
        <v>1188</v>
      </c>
      <c r="M348" s="265" t="s">
        <v>380</v>
      </c>
      <c r="N348" s="266">
        <v>39000</v>
      </c>
      <c r="O348" s="267" t="s">
        <v>1197</v>
      </c>
      <c r="P348" s="268" t="s">
        <v>1217</v>
      </c>
      <c r="Q348" s="269">
        <v>39000</v>
      </c>
      <c r="R348" s="270" t="s">
        <v>2047</v>
      </c>
      <c r="S348" s="271">
        <v>39000</v>
      </c>
      <c r="T348" s="272">
        <v>39000</v>
      </c>
      <c r="U348" s="272">
        <v>39000</v>
      </c>
      <c r="V348" s="273" t="s">
        <v>1357</v>
      </c>
      <c r="W348" s="274">
        <v>46176</v>
      </c>
      <c r="X348" s="263" t="s">
        <v>2048</v>
      </c>
      <c r="Y348" s="276" t="s">
        <v>1188</v>
      </c>
      <c r="Z348" s="277" t="s">
        <v>381</v>
      </c>
      <c r="AA348" s="278">
        <v>38000</v>
      </c>
      <c r="AB348" s="279" t="s">
        <v>1197</v>
      </c>
      <c r="AC348" s="280" t="s">
        <v>1217</v>
      </c>
      <c r="AD348" s="281">
        <v>38000</v>
      </c>
      <c r="AE348" s="282" t="s">
        <v>2047</v>
      </c>
      <c r="AF348" s="283">
        <v>38000</v>
      </c>
      <c r="AG348" s="284">
        <v>38000</v>
      </c>
      <c r="AH348" s="284">
        <v>38000</v>
      </c>
      <c r="AI348" s="285" t="s">
        <v>1357</v>
      </c>
      <c r="AJ348" s="286">
        <v>46176</v>
      </c>
      <c r="AK348" s="263" t="s">
        <v>2108</v>
      </c>
      <c r="AL348" s="288" t="s">
        <v>1188</v>
      </c>
      <c r="AM348" s="298" t="s">
        <v>382</v>
      </c>
      <c r="AN348" s="289">
        <v>35000</v>
      </c>
      <c r="AO348" s="290" t="s">
        <v>1197</v>
      </c>
      <c r="AP348" s="290" t="s">
        <v>1217</v>
      </c>
      <c r="AQ348" s="291">
        <v>35000</v>
      </c>
      <c r="AR348" s="300" t="s">
        <v>2047</v>
      </c>
      <c r="AS348" s="292">
        <v>35000</v>
      </c>
      <c r="AT348" s="293">
        <v>35000</v>
      </c>
      <c r="AU348" s="293">
        <v>35000</v>
      </c>
      <c r="AV348" s="294">
        <v>37333.33</v>
      </c>
      <c r="AW348" s="294">
        <v>37333.33</v>
      </c>
      <c r="AX348" s="294">
        <v>2081.67</v>
      </c>
      <c r="AY348" s="299">
        <v>5.5800000000000002E-2</v>
      </c>
    </row>
    <row r="349" spans="1:51" ht="57.6" hidden="1">
      <c r="A349" s="260" t="s">
        <v>2044</v>
      </c>
      <c r="B349" s="258" t="s">
        <v>2045</v>
      </c>
      <c r="C349" s="258">
        <v>11151600</v>
      </c>
      <c r="D349" s="260" t="s">
        <v>463</v>
      </c>
      <c r="F349" s="258" t="s">
        <v>191</v>
      </c>
      <c r="G349" s="303">
        <v>18</v>
      </c>
      <c r="H349" s="303" t="s">
        <v>192</v>
      </c>
      <c r="I349" s="321" t="s">
        <v>1186</v>
      </c>
      <c r="J349" s="322">
        <v>46197</v>
      </c>
      <c r="K349" s="263" t="s">
        <v>2189</v>
      </c>
      <c r="L349" s="264" t="s">
        <v>1193</v>
      </c>
      <c r="M349" s="265" t="s">
        <v>2190</v>
      </c>
      <c r="N349" s="266">
        <v>11000</v>
      </c>
      <c r="O349" s="267" t="s">
        <v>1190</v>
      </c>
      <c r="P349" s="268" t="s">
        <v>1191</v>
      </c>
      <c r="Q349" s="304">
        <v>9243.7000000000007</v>
      </c>
      <c r="R349" s="305">
        <v>1756</v>
      </c>
      <c r="S349" s="305">
        <v>11000</v>
      </c>
      <c r="T349" s="306">
        <v>166387</v>
      </c>
      <c r="U349" s="306">
        <v>198000</v>
      </c>
      <c r="V349" s="273" t="s">
        <v>1186</v>
      </c>
      <c r="W349" s="274">
        <v>46197</v>
      </c>
      <c r="X349" s="263" t="s">
        <v>2191</v>
      </c>
      <c r="Y349" s="276" t="s">
        <v>1193</v>
      </c>
      <c r="Z349" s="277" t="s">
        <v>466</v>
      </c>
      <c r="AA349" s="278">
        <v>12000</v>
      </c>
      <c r="AB349" s="279" t="s">
        <v>1190</v>
      </c>
      <c r="AC349" s="280" t="s">
        <v>1191</v>
      </c>
      <c r="AD349" s="307">
        <v>10084.030000000001</v>
      </c>
      <c r="AE349" s="308">
        <v>1916</v>
      </c>
      <c r="AF349" s="308">
        <v>12000</v>
      </c>
      <c r="AG349" s="309">
        <v>181513</v>
      </c>
      <c r="AH349" s="309">
        <v>216000</v>
      </c>
      <c r="AI349" s="285" t="s">
        <v>1186</v>
      </c>
      <c r="AJ349" s="286">
        <v>46197</v>
      </c>
      <c r="AK349" s="263" t="s">
        <v>2192</v>
      </c>
      <c r="AL349" s="288" t="s">
        <v>1193</v>
      </c>
      <c r="AM349" s="298" t="s">
        <v>467</v>
      </c>
      <c r="AN349" s="289">
        <v>11200</v>
      </c>
      <c r="AO349" s="290" t="s">
        <v>1190</v>
      </c>
      <c r="AP349" s="290" t="s">
        <v>1191</v>
      </c>
      <c r="AQ349" s="291">
        <v>9411.76</v>
      </c>
      <c r="AR349" s="292">
        <v>1788</v>
      </c>
      <c r="AS349" s="292">
        <v>11200</v>
      </c>
      <c r="AT349" s="293">
        <v>169412</v>
      </c>
      <c r="AU349" s="293">
        <v>201600</v>
      </c>
      <c r="AV349" s="294">
        <v>11400</v>
      </c>
      <c r="AW349" s="294">
        <v>205200</v>
      </c>
      <c r="AX349" s="294">
        <v>9524.7000000000007</v>
      </c>
      <c r="AY349" s="299">
        <v>4.6399999999999997E-2</v>
      </c>
    </row>
    <row r="350" spans="1:51" ht="57.6" hidden="1">
      <c r="A350" s="257" t="s">
        <v>2044</v>
      </c>
      <c r="B350" s="258" t="s">
        <v>2045</v>
      </c>
      <c r="C350" s="258">
        <v>10171506</v>
      </c>
      <c r="D350" s="257" t="s">
        <v>736</v>
      </c>
      <c r="F350" s="258" t="s">
        <v>568</v>
      </c>
      <c r="G350" s="262">
        <v>1</v>
      </c>
      <c r="H350" s="262" t="s">
        <v>192</v>
      </c>
      <c r="I350" s="321" t="s">
        <v>1357</v>
      </c>
      <c r="J350" s="322">
        <v>46176</v>
      </c>
      <c r="K350" s="263" t="s">
        <v>2046</v>
      </c>
      <c r="L350" s="264" t="s">
        <v>1188</v>
      </c>
      <c r="M350" s="265" t="s">
        <v>380</v>
      </c>
      <c r="N350" s="266">
        <v>17500</v>
      </c>
      <c r="O350" s="267" t="s">
        <v>1197</v>
      </c>
      <c r="P350" s="268" t="s">
        <v>1217</v>
      </c>
      <c r="Q350" s="269">
        <v>17500</v>
      </c>
      <c r="R350" s="270" t="s">
        <v>2047</v>
      </c>
      <c r="S350" s="271">
        <v>17500</v>
      </c>
      <c r="T350" s="272">
        <v>17500</v>
      </c>
      <c r="U350" s="272">
        <v>17500</v>
      </c>
      <c r="V350" s="273" t="s">
        <v>1357</v>
      </c>
      <c r="W350" s="274">
        <v>46176</v>
      </c>
      <c r="X350" s="263" t="s">
        <v>2048</v>
      </c>
      <c r="Y350" s="276" t="s">
        <v>1188</v>
      </c>
      <c r="Z350" s="277" t="s">
        <v>381</v>
      </c>
      <c r="AA350" s="278">
        <v>18000</v>
      </c>
      <c r="AB350" s="279" t="s">
        <v>1197</v>
      </c>
      <c r="AC350" s="280" t="s">
        <v>1217</v>
      </c>
      <c r="AD350" s="281">
        <v>18000</v>
      </c>
      <c r="AE350" s="282" t="s">
        <v>2047</v>
      </c>
      <c r="AF350" s="283">
        <v>18000</v>
      </c>
      <c r="AG350" s="284">
        <v>18000</v>
      </c>
      <c r="AH350" s="284">
        <v>18000</v>
      </c>
      <c r="AI350" s="285" t="s">
        <v>1357</v>
      </c>
      <c r="AJ350" s="286">
        <v>46176</v>
      </c>
      <c r="AK350" s="263" t="s">
        <v>2108</v>
      </c>
      <c r="AL350" s="288" t="s">
        <v>1188</v>
      </c>
      <c r="AM350" s="298" t="s">
        <v>382</v>
      </c>
      <c r="AN350" s="289">
        <v>15000</v>
      </c>
      <c r="AO350" s="290" t="s">
        <v>1197</v>
      </c>
      <c r="AP350" s="290" t="s">
        <v>1217</v>
      </c>
      <c r="AQ350" s="291">
        <v>15000</v>
      </c>
      <c r="AR350" s="300" t="s">
        <v>2047</v>
      </c>
      <c r="AS350" s="292">
        <v>15000</v>
      </c>
      <c r="AT350" s="293">
        <v>15000</v>
      </c>
      <c r="AU350" s="293">
        <v>15000</v>
      </c>
      <c r="AV350" s="294">
        <v>16833.330000000002</v>
      </c>
      <c r="AW350" s="294">
        <v>16833.330000000002</v>
      </c>
      <c r="AX350" s="294">
        <v>1607.28</v>
      </c>
      <c r="AY350" s="299">
        <v>9.5500000000000002E-2</v>
      </c>
    </row>
    <row r="351" spans="1:51" ht="57.6" hidden="1">
      <c r="A351" s="257" t="s">
        <v>2044</v>
      </c>
      <c r="B351" s="258" t="s">
        <v>2045</v>
      </c>
      <c r="C351" s="258">
        <v>10171506</v>
      </c>
      <c r="D351" s="257" t="s">
        <v>837</v>
      </c>
      <c r="F351" s="258" t="s">
        <v>568</v>
      </c>
      <c r="G351" s="262">
        <v>1</v>
      </c>
      <c r="H351" s="262" t="s">
        <v>192</v>
      </c>
      <c r="I351" s="321" t="s">
        <v>1357</v>
      </c>
      <c r="J351" s="322">
        <v>46176</v>
      </c>
      <c r="K351" s="263" t="s">
        <v>2046</v>
      </c>
      <c r="L351" s="264" t="s">
        <v>1188</v>
      </c>
      <c r="M351" s="265" t="s">
        <v>380</v>
      </c>
      <c r="N351" s="266">
        <v>39000</v>
      </c>
      <c r="O351" s="267" t="s">
        <v>1197</v>
      </c>
      <c r="P351" s="268" t="s">
        <v>1217</v>
      </c>
      <c r="Q351" s="269">
        <v>39000</v>
      </c>
      <c r="R351" s="270" t="s">
        <v>2047</v>
      </c>
      <c r="S351" s="271">
        <v>39000</v>
      </c>
      <c r="T351" s="272">
        <v>39000</v>
      </c>
      <c r="U351" s="272">
        <v>39000</v>
      </c>
      <c r="V351" s="273" t="s">
        <v>1357</v>
      </c>
      <c r="W351" s="274">
        <v>46176</v>
      </c>
      <c r="X351" s="263" t="s">
        <v>2048</v>
      </c>
      <c r="Y351" s="276" t="s">
        <v>1188</v>
      </c>
      <c r="Z351" s="277" t="s">
        <v>381</v>
      </c>
      <c r="AA351" s="278">
        <v>38000</v>
      </c>
      <c r="AB351" s="279" t="s">
        <v>1197</v>
      </c>
      <c r="AC351" s="280" t="s">
        <v>1217</v>
      </c>
      <c r="AD351" s="281">
        <v>38000</v>
      </c>
      <c r="AE351" s="282" t="s">
        <v>2047</v>
      </c>
      <c r="AF351" s="283">
        <v>38000</v>
      </c>
      <c r="AG351" s="284">
        <v>38000</v>
      </c>
      <c r="AH351" s="284">
        <v>38000</v>
      </c>
      <c r="AI351" s="285" t="s">
        <v>1357</v>
      </c>
      <c r="AJ351" s="286">
        <v>46176</v>
      </c>
      <c r="AK351" s="263" t="s">
        <v>2108</v>
      </c>
      <c r="AL351" s="288" t="s">
        <v>1188</v>
      </c>
      <c r="AM351" s="298" t="s">
        <v>382</v>
      </c>
      <c r="AN351" s="289">
        <v>41000</v>
      </c>
      <c r="AO351" s="290" t="s">
        <v>1197</v>
      </c>
      <c r="AP351" s="290" t="s">
        <v>1217</v>
      </c>
      <c r="AQ351" s="291">
        <v>41000</v>
      </c>
      <c r="AR351" s="300" t="s">
        <v>2047</v>
      </c>
      <c r="AS351" s="292">
        <v>41000</v>
      </c>
      <c r="AT351" s="293">
        <v>41000</v>
      </c>
      <c r="AU351" s="293">
        <v>41000</v>
      </c>
      <c r="AV351" s="294">
        <v>39333.33</v>
      </c>
      <c r="AW351" s="294">
        <v>39333.33</v>
      </c>
      <c r="AX351" s="294">
        <v>1527.53</v>
      </c>
      <c r="AY351" s="299">
        <v>3.8800000000000001E-2</v>
      </c>
    </row>
    <row r="352" spans="1:51" ht="57.6" hidden="1">
      <c r="A352" s="257" t="s">
        <v>2044</v>
      </c>
      <c r="B352" s="258" t="s">
        <v>2045</v>
      </c>
      <c r="C352" s="258" t="s">
        <v>2086</v>
      </c>
      <c r="D352" s="257" t="s">
        <v>525</v>
      </c>
      <c r="F352" s="258" t="s">
        <v>191</v>
      </c>
      <c r="G352" s="262">
        <v>3</v>
      </c>
      <c r="H352" s="262" t="s">
        <v>305</v>
      </c>
      <c r="I352" s="321" t="s">
        <v>1357</v>
      </c>
      <c r="J352" s="322">
        <v>46169</v>
      </c>
      <c r="K352" s="263" t="s">
        <v>2071</v>
      </c>
      <c r="L352" s="264" t="s">
        <v>1188</v>
      </c>
      <c r="M352" s="265" t="s">
        <v>193</v>
      </c>
      <c r="N352" s="266">
        <v>1250000</v>
      </c>
      <c r="O352" s="267" t="s">
        <v>1197</v>
      </c>
      <c r="P352" s="268" t="s">
        <v>1191</v>
      </c>
      <c r="Q352" s="269">
        <v>1250000</v>
      </c>
      <c r="R352" s="271">
        <v>237500</v>
      </c>
      <c r="S352" s="271">
        <v>1487500</v>
      </c>
      <c r="T352" s="272">
        <v>3750000</v>
      </c>
      <c r="U352" s="272">
        <v>4462500</v>
      </c>
      <c r="V352" s="273" t="s">
        <v>1357</v>
      </c>
      <c r="W352" s="274">
        <v>46169</v>
      </c>
      <c r="X352" s="263" t="s">
        <v>2072</v>
      </c>
      <c r="Y352" s="276" t="s">
        <v>1188</v>
      </c>
      <c r="Z352" s="277" t="s">
        <v>245</v>
      </c>
      <c r="AA352" s="278">
        <v>1000000</v>
      </c>
      <c r="AB352" s="279" t="s">
        <v>1197</v>
      </c>
      <c r="AC352" s="280" t="s">
        <v>1191</v>
      </c>
      <c r="AD352" s="281">
        <v>1000000</v>
      </c>
      <c r="AE352" s="283">
        <v>190000</v>
      </c>
      <c r="AF352" s="283">
        <v>1190000</v>
      </c>
      <c r="AG352" s="284">
        <v>3000000</v>
      </c>
      <c r="AH352" s="284">
        <v>3570000</v>
      </c>
      <c r="AI352" s="285" t="s">
        <v>1199</v>
      </c>
      <c r="AJ352" s="286">
        <v>46196</v>
      </c>
      <c r="AK352" s="263" t="s">
        <v>2193</v>
      </c>
      <c r="AL352" s="288" t="s">
        <v>1193</v>
      </c>
      <c r="AM352" s="298" t="s">
        <v>527</v>
      </c>
      <c r="AN352" s="289">
        <v>1530000</v>
      </c>
      <c r="AO352" s="290" t="s">
        <v>1190</v>
      </c>
      <c r="AP352" s="290" t="s">
        <v>1191</v>
      </c>
      <c r="AQ352" s="291">
        <v>1285714.29</v>
      </c>
      <c r="AR352" s="292">
        <v>244286</v>
      </c>
      <c r="AS352" s="292">
        <v>1530000</v>
      </c>
      <c r="AT352" s="293">
        <v>3857143</v>
      </c>
      <c r="AU352" s="293">
        <v>4590000</v>
      </c>
      <c r="AV352" s="294">
        <v>1402500</v>
      </c>
      <c r="AW352" s="294">
        <v>4207500</v>
      </c>
      <c r="AX352" s="294">
        <v>555759.62</v>
      </c>
      <c r="AY352" s="299">
        <v>0.1321</v>
      </c>
    </row>
    <row r="353" spans="1:51" ht="57.6" hidden="1">
      <c r="A353" s="257" t="s">
        <v>2044</v>
      </c>
      <c r="B353" s="258" t="s">
        <v>2045</v>
      </c>
      <c r="C353" s="258">
        <v>39122200</v>
      </c>
      <c r="D353" s="257" t="s">
        <v>2194</v>
      </c>
      <c r="F353" s="258" t="s">
        <v>191</v>
      </c>
      <c r="G353" s="262">
        <v>150</v>
      </c>
      <c r="H353" s="262" t="s">
        <v>192</v>
      </c>
      <c r="I353" s="321" t="s">
        <v>1357</v>
      </c>
      <c r="J353" s="322">
        <v>46169</v>
      </c>
      <c r="K353" s="263" t="s">
        <v>2072</v>
      </c>
      <c r="L353" s="264" t="s">
        <v>1188</v>
      </c>
      <c r="M353" s="265" t="s">
        <v>245</v>
      </c>
      <c r="N353" s="266">
        <v>8000</v>
      </c>
      <c r="O353" s="267" t="s">
        <v>1197</v>
      </c>
      <c r="P353" s="268" t="s">
        <v>1191</v>
      </c>
      <c r="Q353" s="269">
        <v>8000</v>
      </c>
      <c r="R353" s="271">
        <v>1520</v>
      </c>
      <c r="S353" s="271">
        <v>9520</v>
      </c>
      <c r="T353" s="272">
        <v>1200000</v>
      </c>
      <c r="U353" s="272">
        <v>1428000</v>
      </c>
      <c r="V353" s="273" t="s">
        <v>1357</v>
      </c>
      <c r="W353" s="274">
        <v>46169</v>
      </c>
      <c r="X353" s="263" t="s">
        <v>2062</v>
      </c>
      <c r="Y353" s="276" t="s">
        <v>1188</v>
      </c>
      <c r="Z353" s="277" t="s">
        <v>194</v>
      </c>
      <c r="AA353" s="278">
        <v>9000</v>
      </c>
      <c r="AB353" s="279" t="s">
        <v>1197</v>
      </c>
      <c r="AC353" s="280" t="s">
        <v>1191</v>
      </c>
      <c r="AD353" s="281">
        <v>9000</v>
      </c>
      <c r="AE353" s="283">
        <v>1710</v>
      </c>
      <c r="AF353" s="283">
        <v>10710</v>
      </c>
      <c r="AG353" s="284">
        <v>1350000</v>
      </c>
      <c r="AH353" s="284">
        <v>1606500</v>
      </c>
      <c r="AI353" s="285" t="s">
        <v>1357</v>
      </c>
      <c r="AJ353" s="286">
        <v>46183</v>
      </c>
      <c r="AK353" s="263" t="s">
        <v>2195</v>
      </c>
      <c r="AL353" s="311" t="s">
        <v>1193</v>
      </c>
      <c r="AM353" s="311" t="s">
        <v>230</v>
      </c>
      <c r="AN353" s="312">
        <v>12900</v>
      </c>
      <c r="AO353" s="311" t="s">
        <v>1190</v>
      </c>
      <c r="AP353" s="311" t="s">
        <v>1191</v>
      </c>
      <c r="AQ353" s="291">
        <v>10840.34</v>
      </c>
      <c r="AR353" s="292">
        <v>2060</v>
      </c>
      <c r="AS353" s="292">
        <v>12900</v>
      </c>
      <c r="AT353" s="293">
        <v>1626050</v>
      </c>
      <c r="AU353" s="293">
        <v>1935000</v>
      </c>
      <c r="AV353" s="294">
        <v>11043.33</v>
      </c>
      <c r="AW353" s="294">
        <v>1656500</v>
      </c>
      <c r="AX353" s="294">
        <v>257171.64</v>
      </c>
      <c r="AY353" s="299">
        <v>0.15529999999999999</v>
      </c>
    </row>
    <row r="354" spans="1:51" ht="57.6" hidden="1">
      <c r="A354" s="257" t="s">
        <v>2044</v>
      </c>
      <c r="B354" s="258" t="s">
        <v>2045</v>
      </c>
      <c r="C354" s="258">
        <v>47131800</v>
      </c>
      <c r="D354" s="257" t="s">
        <v>331</v>
      </c>
      <c r="F354" s="258" t="s">
        <v>191</v>
      </c>
      <c r="G354" s="262">
        <v>2</v>
      </c>
      <c r="H354" s="262" t="s">
        <v>192</v>
      </c>
      <c r="I354" s="321" t="s">
        <v>1357</v>
      </c>
      <c r="J354" s="322">
        <v>46169</v>
      </c>
      <c r="K354" s="263" t="s">
        <v>2071</v>
      </c>
      <c r="L354" s="264" t="s">
        <v>1188</v>
      </c>
      <c r="M354" s="265" t="s">
        <v>193</v>
      </c>
      <c r="N354" s="266">
        <v>82000</v>
      </c>
      <c r="O354" s="267" t="s">
        <v>1197</v>
      </c>
      <c r="P354" s="268" t="s">
        <v>1191</v>
      </c>
      <c r="Q354" s="269">
        <v>82000</v>
      </c>
      <c r="R354" s="271">
        <v>15580</v>
      </c>
      <c r="S354" s="271">
        <v>97580</v>
      </c>
      <c r="T354" s="272">
        <v>164000</v>
      </c>
      <c r="U354" s="272">
        <v>195160</v>
      </c>
      <c r="V354" s="273" t="s">
        <v>1357</v>
      </c>
      <c r="W354" s="274">
        <v>46169</v>
      </c>
      <c r="X354" s="263" t="s">
        <v>2062</v>
      </c>
      <c r="Y354" s="276" t="s">
        <v>1188</v>
      </c>
      <c r="Z354" s="277" t="s">
        <v>194</v>
      </c>
      <c r="AA354" s="278">
        <v>82000</v>
      </c>
      <c r="AB354" s="279" t="s">
        <v>1197</v>
      </c>
      <c r="AC354" s="280" t="s">
        <v>1191</v>
      </c>
      <c r="AD354" s="281">
        <v>82000</v>
      </c>
      <c r="AE354" s="283">
        <v>15580</v>
      </c>
      <c r="AF354" s="283">
        <v>97580</v>
      </c>
      <c r="AG354" s="284">
        <v>164000</v>
      </c>
      <c r="AH354" s="284">
        <v>195160</v>
      </c>
      <c r="AI354" s="285" t="s">
        <v>1357</v>
      </c>
      <c r="AJ354" s="286">
        <v>46183</v>
      </c>
      <c r="AK354" s="263" t="s">
        <v>2196</v>
      </c>
      <c r="AL354" s="311" t="s">
        <v>1193</v>
      </c>
      <c r="AM354" s="311" t="s">
        <v>230</v>
      </c>
      <c r="AN354" s="312">
        <v>99900</v>
      </c>
      <c r="AO354" s="311" t="s">
        <v>1190</v>
      </c>
      <c r="AP354" s="311" t="s">
        <v>1191</v>
      </c>
      <c r="AQ354" s="291">
        <v>83949.58</v>
      </c>
      <c r="AR354" s="292">
        <v>15950</v>
      </c>
      <c r="AS354" s="292">
        <v>99900</v>
      </c>
      <c r="AT354" s="293">
        <v>167899</v>
      </c>
      <c r="AU354" s="293">
        <v>199800</v>
      </c>
      <c r="AV354" s="294">
        <v>98353.33</v>
      </c>
      <c r="AW354" s="294">
        <v>196706.67</v>
      </c>
      <c r="AX354" s="294">
        <v>2678.91</v>
      </c>
      <c r="AY354" s="299">
        <v>1.3599999999999999E-2</v>
      </c>
    </row>
    <row r="355" spans="1:51" ht="57.6" hidden="1">
      <c r="A355" s="257" t="s">
        <v>2044</v>
      </c>
      <c r="B355" s="258" t="s">
        <v>2045</v>
      </c>
      <c r="C355" s="258">
        <v>53131608</v>
      </c>
      <c r="D355" s="257" t="s">
        <v>859</v>
      </c>
      <c r="F355" s="258" t="s">
        <v>568</v>
      </c>
      <c r="G355" s="262">
        <v>1</v>
      </c>
      <c r="H355" s="262" t="s">
        <v>192</v>
      </c>
      <c r="I355" s="321" t="s">
        <v>1357</v>
      </c>
      <c r="J355" s="322">
        <v>46176</v>
      </c>
      <c r="K355" s="263" t="s">
        <v>2046</v>
      </c>
      <c r="L355" s="264" t="s">
        <v>1188</v>
      </c>
      <c r="M355" s="265" t="s">
        <v>380</v>
      </c>
      <c r="N355" s="266">
        <v>42000</v>
      </c>
      <c r="O355" s="267" t="s">
        <v>1197</v>
      </c>
      <c r="P355" s="268" t="s">
        <v>1217</v>
      </c>
      <c r="Q355" s="269">
        <v>42000</v>
      </c>
      <c r="R355" s="270" t="s">
        <v>2047</v>
      </c>
      <c r="S355" s="271">
        <v>42000</v>
      </c>
      <c r="T355" s="272">
        <v>42000</v>
      </c>
      <c r="U355" s="272">
        <v>42000</v>
      </c>
      <c r="V355" s="273" t="s">
        <v>1357</v>
      </c>
      <c r="W355" s="274">
        <v>46176</v>
      </c>
      <c r="X355" s="263" t="s">
        <v>2048</v>
      </c>
      <c r="Y355" s="276" t="s">
        <v>1188</v>
      </c>
      <c r="Z355" s="277" t="s">
        <v>381</v>
      </c>
      <c r="AA355" s="278">
        <v>40000</v>
      </c>
      <c r="AB355" s="279" t="s">
        <v>1197</v>
      </c>
      <c r="AC355" s="280" t="s">
        <v>1217</v>
      </c>
      <c r="AD355" s="281">
        <v>40000</v>
      </c>
      <c r="AE355" s="282" t="s">
        <v>2047</v>
      </c>
      <c r="AF355" s="283">
        <v>40000</v>
      </c>
      <c r="AG355" s="284">
        <v>40000</v>
      </c>
      <c r="AH355" s="284">
        <v>40000</v>
      </c>
      <c r="AI355" s="285" t="s">
        <v>1357</v>
      </c>
      <c r="AJ355" s="286">
        <v>46176</v>
      </c>
      <c r="AK355" s="263" t="s">
        <v>2108</v>
      </c>
      <c r="AL355" s="288" t="s">
        <v>1188</v>
      </c>
      <c r="AM355" s="298" t="s">
        <v>382</v>
      </c>
      <c r="AN355" s="289">
        <v>38000</v>
      </c>
      <c r="AO355" s="290" t="s">
        <v>1197</v>
      </c>
      <c r="AP355" s="290" t="s">
        <v>1217</v>
      </c>
      <c r="AQ355" s="291">
        <v>38000</v>
      </c>
      <c r="AR355" s="300" t="s">
        <v>2047</v>
      </c>
      <c r="AS355" s="292">
        <v>38000</v>
      </c>
      <c r="AT355" s="293">
        <v>38000</v>
      </c>
      <c r="AU355" s="293">
        <v>38000</v>
      </c>
      <c r="AV355" s="294">
        <v>40000</v>
      </c>
      <c r="AW355" s="294">
        <v>40000</v>
      </c>
      <c r="AX355" s="294">
        <v>2000</v>
      </c>
      <c r="AY355" s="299">
        <v>0.05</v>
      </c>
    </row>
    <row r="356" spans="1:51" ht="57.6" hidden="1">
      <c r="A356" s="257" t="s">
        <v>2044</v>
      </c>
      <c r="B356" s="258" t="s">
        <v>2045</v>
      </c>
      <c r="C356" s="258">
        <v>42212108</v>
      </c>
      <c r="D356" s="257" t="s">
        <v>748</v>
      </c>
      <c r="F356" s="258" t="s">
        <v>568</v>
      </c>
      <c r="G356" s="262">
        <v>1</v>
      </c>
      <c r="H356" s="262" t="s">
        <v>192</v>
      </c>
      <c r="I356" s="321" t="s">
        <v>1357</v>
      </c>
      <c r="J356" s="322">
        <v>46176</v>
      </c>
      <c r="K356" s="263" t="s">
        <v>2046</v>
      </c>
      <c r="L356" s="264" t="s">
        <v>1188</v>
      </c>
      <c r="M356" s="265" t="s">
        <v>380</v>
      </c>
      <c r="N356" s="266">
        <v>137000</v>
      </c>
      <c r="O356" s="267" t="s">
        <v>1197</v>
      </c>
      <c r="P356" s="268" t="s">
        <v>1191</v>
      </c>
      <c r="Q356" s="269">
        <v>137000</v>
      </c>
      <c r="R356" s="271">
        <v>26030</v>
      </c>
      <c r="S356" s="271">
        <v>163030</v>
      </c>
      <c r="T356" s="272">
        <v>137000</v>
      </c>
      <c r="U356" s="272">
        <v>163030</v>
      </c>
      <c r="V356" s="273" t="s">
        <v>1357</v>
      </c>
      <c r="W356" s="274">
        <v>46176</v>
      </c>
      <c r="X356" s="263" t="s">
        <v>2048</v>
      </c>
      <c r="Y356" s="276" t="s">
        <v>1188</v>
      </c>
      <c r="Z356" s="277" t="s">
        <v>381</v>
      </c>
      <c r="AA356" s="278">
        <v>140000</v>
      </c>
      <c r="AB356" s="279" t="s">
        <v>1197</v>
      </c>
      <c r="AC356" s="280" t="s">
        <v>1191</v>
      </c>
      <c r="AD356" s="281">
        <v>140000</v>
      </c>
      <c r="AE356" s="283">
        <v>26600</v>
      </c>
      <c r="AF356" s="283">
        <v>166600</v>
      </c>
      <c r="AG356" s="284">
        <v>140000</v>
      </c>
      <c r="AH356" s="284">
        <v>166600</v>
      </c>
      <c r="AI356" s="285" t="s">
        <v>1357</v>
      </c>
      <c r="AJ356" s="286">
        <v>46176</v>
      </c>
      <c r="AK356" s="263" t="s">
        <v>2108</v>
      </c>
      <c r="AL356" s="288" t="s">
        <v>1188</v>
      </c>
      <c r="AM356" s="298" t="s">
        <v>382</v>
      </c>
      <c r="AN356" s="289">
        <v>138600</v>
      </c>
      <c r="AO356" s="290" t="s">
        <v>1197</v>
      </c>
      <c r="AP356" s="290" t="s">
        <v>1191</v>
      </c>
      <c r="AQ356" s="291">
        <v>138600</v>
      </c>
      <c r="AR356" s="292">
        <v>26334</v>
      </c>
      <c r="AS356" s="292">
        <v>164934</v>
      </c>
      <c r="AT356" s="293">
        <v>138600</v>
      </c>
      <c r="AU356" s="293">
        <v>164934</v>
      </c>
      <c r="AV356" s="294">
        <v>164854.67000000001</v>
      </c>
      <c r="AW356" s="294">
        <v>164854.67000000001</v>
      </c>
      <c r="AX356" s="294">
        <v>1786.32</v>
      </c>
      <c r="AY356" s="299">
        <v>1.0800000000000001E-2</v>
      </c>
    </row>
    <row r="357" spans="1:51" ht="57.6" hidden="1">
      <c r="A357" s="257" t="s">
        <v>2044</v>
      </c>
      <c r="B357" s="258" t="s">
        <v>2045</v>
      </c>
      <c r="C357" s="258">
        <v>30103600</v>
      </c>
      <c r="D357" s="257" t="s">
        <v>406</v>
      </c>
      <c r="F357" s="258" t="s">
        <v>191</v>
      </c>
      <c r="G357" s="262">
        <v>10</v>
      </c>
      <c r="H357" s="262" t="s">
        <v>192</v>
      </c>
      <c r="I357" s="321" t="s">
        <v>1357</v>
      </c>
      <c r="J357" s="322">
        <v>46169</v>
      </c>
      <c r="K357" s="263" t="s">
        <v>2072</v>
      </c>
      <c r="L357" s="264" t="s">
        <v>1188</v>
      </c>
      <c r="M357" s="265" t="s">
        <v>245</v>
      </c>
      <c r="N357" s="266">
        <v>25000</v>
      </c>
      <c r="O357" s="267" t="s">
        <v>1197</v>
      </c>
      <c r="P357" s="268" t="s">
        <v>1191</v>
      </c>
      <c r="Q357" s="269">
        <v>25000</v>
      </c>
      <c r="R357" s="271">
        <v>4750</v>
      </c>
      <c r="S357" s="271">
        <v>29750</v>
      </c>
      <c r="T357" s="272">
        <v>250000</v>
      </c>
      <c r="U357" s="272">
        <v>297500</v>
      </c>
      <c r="V357" s="273" t="s">
        <v>1357</v>
      </c>
      <c r="W357" s="274">
        <v>46169</v>
      </c>
      <c r="X357" s="263" t="s">
        <v>2062</v>
      </c>
      <c r="Y357" s="276" t="s">
        <v>1188</v>
      </c>
      <c r="Z357" s="277" t="s">
        <v>194</v>
      </c>
      <c r="AA357" s="278">
        <v>23000</v>
      </c>
      <c r="AB357" s="279" t="s">
        <v>1197</v>
      </c>
      <c r="AC357" s="280" t="s">
        <v>1191</v>
      </c>
      <c r="AD357" s="281">
        <v>23000</v>
      </c>
      <c r="AE357" s="283">
        <v>4370</v>
      </c>
      <c r="AF357" s="283">
        <v>27370</v>
      </c>
      <c r="AG357" s="284">
        <v>230000</v>
      </c>
      <c r="AH357" s="284">
        <v>273700</v>
      </c>
      <c r="AI357" s="285" t="s">
        <v>1186</v>
      </c>
      <c r="AJ357" s="286">
        <v>46195</v>
      </c>
      <c r="AK357" s="263" t="s">
        <v>2197</v>
      </c>
      <c r="AL357" s="288" t="s">
        <v>1193</v>
      </c>
      <c r="AM357" s="298" t="s">
        <v>408</v>
      </c>
      <c r="AN357" s="289">
        <v>29950</v>
      </c>
      <c r="AO357" s="290" t="s">
        <v>1190</v>
      </c>
      <c r="AP357" s="290" t="s">
        <v>1191</v>
      </c>
      <c r="AQ357" s="291">
        <v>25168.07</v>
      </c>
      <c r="AR357" s="292">
        <v>4782</v>
      </c>
      <c r="AS357" s="292">
        <v>29950</v>
      </c>
      <c r="AT357" s="293">
        <v>251681</v>
      </c>
      <c r="AU357" s="293">
        <v>299500</v>
      </c>
      <c r="AV357" s="294">
        <v>29023.33</v>
      </c>
      <c r="AW357" s="294">
        <v>290233.33</v>
      </c>
      <c r="AX357" s="294">
        <v>14353.16</v>
      </c>
      <c r="AY357" s="299">
        <v>4.9500000000000002E-2</v>
      </c>
    </row>
    <row r="358" spans="1:51" ht="57.6" hidden="1">
      <c r="A358" s="257" t="s">
        <v>2044</v>
      </c>
      <c r="B358" s="258" t="s">
        <v>2045</v>
      </c>
      <c r="C358" s="258">
        <v>31191500</v>
      </c>
      <c r="D358" s="257" t="s">
        <v>435</v>
      </c>
      <c r="F358" s="258" t="s">
        <v>191</v>
      </c>
      <c r="G358" s="262">
        <v>150</v>
      </c>
      <c r="H358" s="262" t="s">
        <v>192</v>
      </c>
      <c r="I358" s="321" t="s">
        <v>1357</v>
      </c>
      <c r="J358" s="322">
        <v>46169</v>
      </c>
      <c r="K358" s="263" t="s">
        <v>2071</v>
      </c>
      <c r="L358" s="264" t="s">
        <v>1188</v>
      </c>
      <c r="M358" s="265" t="s">
        <v>193</v>
      </c>
      <c r="N358" s="266">
        <v>3800</v>
      </c>
      <c r="O358" s="267" t="s">
        <v>1197</v>
      </c>
      <c r="P358" s="268" t="s">
        <v>1191</v>
      </c>
      <c r="Q358" s="269">
        <v>3800</v>
      </c>
      <c r="R358" s="271">
        <v>722</v>
      </c>
      <c r="S358" s="271">
        <v>4522</v>
      </c>
      <c r="T358" s="272">
        <v>570000</v>
      </c>
      <c r="U358" s="272">
        <v>678300</v>
      </c>
      <c r="V358" s="273" t="s">
        <v>1357</v>
      </c>
      <c r="W358" s="274">
        <v>46169</v>
      </c>
      <c r="X358" s="263" t="s">
        <v>2065</v>
      </c>
      <c r="Y358" s="276" t="s">
        <v>1188</v>
      </c>
      <c r="Z358" s="277" t="s">
        <v>245</v>
      </c>
      <c r="AA358" s="278">
        <v>6000</v>
      </c>
      <c r="AB358" s="279" t="s">
        <v>1197</v>
      </c>
      <c r="AC358" s="280" t="s">
        <v>1191</v>
      </c>
      <c r="AD358" s="281">
        <v>6000</v>
      </c>
      <c r="AE358" s="283">
        <v>1140</v>
      </c>
      <c r="AF358" s="283">
        <v>7140</v>
      </c>
      <c r="AG358" s="284">
        <v>900000</v>
      </c>
      <c r="AH358" s="284">
        <v>1071000</v>
      </c>
      <c r="AI358" s="285" t="s">
        <v>1186</v>
      </c>
      <c r="AJ358" s="286">
        <v>46195</v>
      </c>
      <c r="AK358" s="263" t="s">
        <v>2198</v>
      </c>
      <c r="AL358" s="288" t="s">
        <v>1193</v>
      </c>
      <c r="AM358" s="298" t="s">
        <v>437</v>
      </c>
      <c r="AN358" s="289">
        <v>8000</v>
      </c>
      <c r="AO358" s="290" t="s">
        <v>1190</v>
      </c>
      <c r="AP358" s="290" t="s">
        <v>1191</v>
      </c>
      <c r="AQ358" s="291">
        <v>6722.69</v>
      </c>
      <c r="AR358" s="292">
        <v>1277</v>
      </c>
      <c r="AS358" s="292">
        <v>8000</v>
      </c>
      <c r="AT358" s="293">
        <v>1008403</v>
      </c>
      <c r="AU358" s="293">
        <v>1200000</v>
      </c>
      <c r="AV358" s="294">
        <v>6554</v>
      </c>
      <c r="AW358" s="294">
        <v>983100</v>
      </c>
      <c r="AX358" s="294">
        <v>271730.62</v>
      </c>
      <c r="AY358" s="302">
        <v>0.27639999999999998</v>
      </c>
    </row>
    <row r="359" spans="1:51" ht="57.6" hidden="1">
      <c r="A359" s="257" t="s">
        <v>2044</v>
      </c>
      <c r="B359" s="258" t="s">
        <v>2045</v>
      </c>
      <c r="C359" s="258">
        <v>11121604</v>
      </c>
      <c r="D359" s="257" t="s">
        <v>822</v>
      </c>
      <c r="F359" s="258" t="s">
        <v>568</v>
      </c>
      <c r="G359" s="262">
        <v>1</v>
      </c>
      <c r="H359" s="262" t="s">
        <v>192</v>
      </c>
      <c r="I359" s="321" t="s">
        <v>1357</v>
      </c>
      <c r="J359" s="322">
        <v>46176</v>
      </c>
      <c r="K359" s="263" t="s">
        <v>2046</v>
      </c>
      <c r="L359" s="264" t="s">
        <v>1188</v>
      </c>
      <c r="M359" s="265" t="s">
        <v>380</v>
      </c>
      <c r="N359" s="266">
        <v>59000</v>
      </c>
      <c r="O359" s="267" t="s">
        <v>1197</v>
      </c>
      <c r="P359" s="268" t="s">
        <v>1191</v>
      </c>
      <c r="Q359" s="269">
        <v>59000</v>
      </c>
      <c r="R359" s="271">
        <v>11210</v>
      </c>
      <c r="S359" s="271">
        <v>70210</v>
      </c>
      <c r="T359" s="272">
        <v>59000</v>
      </c>
      <c r="U359" s="272">
        <v>70210</v>
      </c>
      <c r="V359" s="273" t="s">
        <v>1357</v>
      </c>
      <c r="W359" s="274">
        <v>46176</v>
      </c>
      <c r="X359" s="263" t="s">
        <v>2048</v>
      </c>
      <c r="Y359" s="276" t="s">
        <v>1188</v>
      </c>
      <c r="Z359" s="277" t="s">
        <v>381</v>
      </c>
      <c r="AA359" s="278">
        <v>58000</v>
      </c>
      <c r="AB359" s="279" t="s">
        <v>1197</v>
      </c>
      <c r="AC359" s="280" t="s">
        <v>1191</v>
      </c>
      <c r="AD359" s="281">
        <v>58000</v>
      </c>
      <c r="AE359" s="283">
        <v>11020</v>
      </c>
      <c r="AF359" s="283">
        <v>69020</v>
      </c>
      <c r="AG359" s="284">
        <v>58000</v>
      </c>
      <c r="AH359" s="284">
        <v>69020</v>
      </c>
      <c r="AI359" s="285" t="s">
        <v>1357</v>
      </c>
      <c r="AJ359" s="286">
        <v>46176</v>
      </c>
      <c r="AK359" s="263" t="s">
        <v>2108</v>
      </c>
      <c r="AL359" s="288" t="s">
        <v>1188</v>
      </c>
      <c r="AM359" s="298" t="s">
        <v>382</v>
      </c>
      <c r="AN359" s="289">
        <v>56000</v>
      </c>
      <c r="AO359" s="290" t="s">
        <v>1197</v>
      </c>
      <c r="AP359" s="290" t="s">
        <v>1191</v>
      </c>
      <c r="AQ359" s="291">
        <v>56000</v>
      </c>
      <c r="AR359" s="292">
        <v>10640</v>
      </c>
      <c r="AS359" s="292">
        <v>66640</v>
      </c>
      <c r="AT359" s="293">
        <v>56000</v>
      </c>
      <c r="AU359" s="293">
        <v>66640</v>
      </c>
      <c r="AV359" s="294">
        <v>68623.33</v>
      </c>
      <c r="AW359" s="294">
        <v>68623.33</v>
      </c>
      <c r="AX359" s="294">
        <v>1817.76</v>
      </c>
      <c r="AY359" s="299">
        <v>2.6499999999999999E-2</v>
      </c>
    </row>
    <row r="360" spans="1:51" ht="57.6" hidden="1">
      <c r="A360" s="257" t="s">
        <v>2044</v>
      </c>
      <c r="B360" s="258" t="s">
        <v>2045</v>
      </c>
      <c r="C360" s="258">
        <v>11121604</v>
      </c>
      <c r="D360" s="257" t="s">
        <v>742</v>
      </c>
      <c r="F360" s="258" t="s">
        <v>568</v>
      </c>
      <c r="G360" s="262">
        <v>1</v>
      </c>
      <c r="H360" s="262" t="s">
        <v>192</v>
      </c>
      <c r="I360" s="321" t="s">
        <v>1357</v>
      </c>
      <c r="J360" s="322">
        <v>46176</v>
      </c>
      <c r="K360" s="263" t="s">
        <v>2046</v>
      </c>
      <c r="L360" s="264" t="s">
        <v>1188</v>
      </c>
      <c r="M360" s="265" t="s">
        <v>380</v>
      </c>
      <c r="N360" s="266">
        <v>54000</v>
      </c>
      <c r="O360" s="267" t="s">
        <v>1197</v>
      </c>
      <c r="P360" s="268" t="s">
        <v>1191</v>
      </c>
      <c r="Q360" s="269">
        <v>54000</v>
      </c>
      <c r="R360" s="271">
        <v>10260</v>
      </c>
      <c r="S360" s="271">
        <v>64260</v>
      </c>
      <c r="T360" s="272">
        <v>54000</v>
      </c>
      <c r="U360" s="272">
        <v>64260</v>
      </c>
      <c r="V360" s="273" t="s">
        <v>1357</v>
      </c>
      <c r="W360" s="274">
        <v>46176</v>
      </c>
      <c r="X360" s="263" t="s">
        <v>2048</v>
      </c>
      <c r="Y360" s="276" t="s">
        <v>1188</v>
      </c>
      <c r="Z360" s="277" t="s">
        <v>381</v>
      </c>
      <c r="AA360" s="278">
        <v>58000</v>
      </c>
      <c r="AB360" s="279" t="s">
        <v>1197</v>
      </c>
      <c r="AC360" s="280" t="s">
        <v>1191</v>
      </c>
      <c r="AD360" s="281">
        <v>58000</v>
      </c>
      <c r="AE360" s="283">
        <v>11020</v>
      </c>
      <c r="AF360" s="283">
        <v>69020</v>
      </c>
      <c r="AG360" s="284">
        <v>58000</v>
      </c>
      <c r="AH360" s="284">
        <v>69020</v>
      </c>
      <c r="AI360" s="285" t="s">
        <v>1357</v>
      </c>
      <c r="AJ360" s="286">
        <v>46176</v>
      </c>
      <c r="AK360" s="263" t="s">
        <v>2108</v>
      </c>
      <c r="AL360" s="288" t="s">
        <v>1188</v>
      </c>
      <c r="AM360" s="298" t="s">
        <v>382</v>
      </c>
      <c r="AN360" s="289">
        <v>56000</v>
      </c>
      <c r="AO360" s="290" t="s">
        <v>1197</v>
      </c>
      <c r="AP360" s="290" t="s">
        <v>1191</v>
      </c>
      <c r="AQ360" s="291">
        <v>56000</v>
      </c>
      <c r="AR360" s="292">
        <v>10640</v>
      </c>
      <c r="AS360" s="292">
        <v>66640</v>
      </c>
      <c r="AT360" s="293">
        <v>56000</v>
      </c>
      <c r="AU360" s="293">
        <v>66640</v>
      </c>
      <c r="AV360" s="294">
        <v>66640</v>
      </c>
      <c r="AW360" s="294">
        <v>66640</v>
      </c>
      <c r="AX360" s="294">
        <v>2380</v>
      </c>
      <c r="AY360" s="299">
        <v>3.5700000000000003E-2</v>
      </c>
    </row>
    <row r="361" spans="1:51" ht="57.6" hidden="1">
      <c r="A361" s="257" t="s">
        <v>2044</v>
      </c>
      <c r="B361" s="258" t="s">
        <v>2045</v>
      </c>
      <c r="C361" s="258">
        <v>11162111</v>
      </c>
      <c r="D361" s="257" t="s">
        <v>688</v>
      </c>
      <c r="F361" s="258" t="s">
        <v>568</v>
      </c>
      <c r="G361" s="262">
        <v>1</v>
      </c>
      <c r="H361" s="262" t="s">
        <v>192</v>
      </c>
      <c r="I361" s="321" t="s">
        <v>1357</v>
      </c>
      <c r="J361" s="322">
        <v>46176</v>
      </c>
      <c r="K361" s="263" t="s">
        <v>2046</v>
      </c>
      <c r="L361" s="264" t="s">
        <v>1188</v>
      </c>
      <c r="M361" s="265" t="s">
        <v>380</v>
      </c>
      <c r="N361" s="266">
        <v>250000</v>
      </c>
      <c r="O361" s="267" t="s">
        <v>1197</v>
      </c>
      <c r="P361" s="268" t="s">
        <v>1191</v>
      </c>
      <c r="Q361" s="269">
        <v>250000</v>
      </c>
      <c r="R361" s="271">
        <v>47500</v>
      </c>
      <c r="S361" s="271">
        <v>297500</v>
      </c>
      <c r="T361" s="272">
        <v>250000</v>
      </c>
      <c r="U361" s="272">
        <v>297500</v>
      </c>
      <c r="V361" s="273" t="s">
        <v>1357</v>
      </c>
      <c r="W361" s="274">
        <v>46176</v>
      </c>
      <c r="X361" s="263" t="s">
        <v>2048</v>
      </c>
      <c r="Y361" s="276" t="s">
        <v>1188</v>
      </c>
      <c r="Z361" s="277" t="s">
        <v>381</v>
      </c>
      <c r="AA361" s="278">
        <v>240000</v>
      </c>
      <c r="AB361" s="279" t="s">
        <v>1197</v>
      </c>
      <c r="AC361" s="280" t="s">
        <v>1191</v>
      </c>
      <c r="AD361" s="281">
        <v>240000</v>
      </c>
      <c r="AE361" s="283">
        <v>45600</v>
      </c>
      <c r="AF361" s="283">
        <v>285600</v>
      </c>
      <c r="AG361" s="284">
        <v>240000</v>
      </c>
      <c r="AH361" s="284">
        <v>285600</v>
      </c>
      <c r="AI361" s="285" t="s">
        <v>1357</v>
      </c>
      <c r="AJ361" s="286">
        <v>46176</v>
      </c>
      <c r="AK361" s="263" t="s">
        <v>2108</v>
      </c>
      <c r="AL361" s="288" t="s">
        <v>1188</v>
      </c>
      <c r="AM361" s="298" t="s">
        <v>382</v>
      </c>
      <c r="AN361" s="289">
        <v>224000</v>
      </c>
      <c r="AO361" s="290" t="s">
        <v>1197</v>
      </c>
      <c r="AP361" s="290" t="s">
        <v>1191</v>
      </c>
      <c r="AQ361" s="291">
        <v>224000</v>
      </c>
      <c r="AR361" s="292">
        <v>42560</v>
      </c>
      <c r="AS361" s="292">
        <v>266560</v>
      </c>
      <c r="AT361" s="293">
        <v>224000</v>
      </c>
      <c r="AU361" s="293">
        <v>266560</v>
      </c>
      <c r="AV361" s="294">
        <v>283220</v>
      </c>
      <c r="AW361" s="294">
        <v>283220</v>
      </c>
      <c r="AX361" s="294">
        <v>15606.7</v>
      </c>
      <c r="AY361" s="299">
        <v>5.5100000000000003E-2</v>
      </c>
    </row>
    <row r="362" spans="1:51" ht="57.6" hidden="1">
      <c r="A362" s="257" t="s">
        <v>2044</v>
      </c>
      <c r="B362" s="258" t="s">
        <v>2045</v>
      </c>
      <c r="C362" s="258">
        <v>40161532</v>
      </c>
      <c r="D362" s="257" t="s">
        <v>970</v>
      </c>
      <c r="F362" s="258" t="s">
        <v>568</v>
      </c>
      <c r="G362" s="262">
        <v>1</v>
      </c>
      <c r="H362" s="262" t="s">
        <v>192</v>
      </c>
      <c r="I362" s="321" t="s">
        <v>1357</v>
      </c>
      <c r="J362" s="322">
        <v>46176</v>
      </c>
      <c r="K362" s="263" t="s">
        <v>2046</v>
      </c>
      <c r="L362" s="264" t="s">
        <v>1188</v>
      </c>
      <c r="M362" s="265" t="s">
        <v>380</v>
      </c>
      <c r="N362" s="266">
        <v>58000</v>
      </c>
      <c r="O362" s="267" t="s">
        <v>1197</v>
      </c>
      <c r="P362" s="268" t="s">
        <v>1217</v>
      </c>
      <c r="Q362" s="269">
        <v>58000</v>
      </c>
      <c r="R362" s="270" t="s">
        <v>2047</v>
      </c>
      <c r="S362" s="271">
        <v>58000</v>
      </c>
      <c r="T362" s="272">
        <v>58000</v>
      </c>
      <c r="U362" s="272">
        <v>58000</v>
      </c>
      <c r="V362" s="273" t="s">
        <v>1357</v>
      </c>
      <c r="W362" s="274">
        <v>46176</v>
      </c>
      <c r="X362" s="263" t="s">
        <v>2048</v>
      </c>
      <c r="Y362" s="276" t="s">
        <v>1188</v>
      </c>
      <c r="Z362" s="277" t="s">
        <v>381</v>
      </c>
      <c r="AA362" s="278">
        <v>56000</v>
      </c>
      <c r="AB362" s="279" t="s">
        <v>1197</v>
      </c>
      <c r="AC362" s="280" t="s">
        <v>1217</v>
      </c>
      <c r="AD362" s="281">
        <v>56000</v>
      </c>
      <c r="AE362" s="282" t="s">
        <v>2047</v>
      </c>
      <c r="AF362" s="283">
        <v>56000</v>
      </c>
      <c r="AG362" s="284">
        <v>56000</v>
      </c>
      <c r="AH362" s="284">
        <v>56000</v>
      </c>
      <c r="AI362" s="285" t="s">
        <v>1186</v>
      </c>
      <c r="AJ362" s="286">
        <v>46195</v>
      </c>
      <c r="AK362" s="263" t="s">
        <v>2199</v>
      </c>
      <c r="AL362" s="288" t="s">
        <v>1193</v>
      </c>
      <c r="AM362" s="298" t="s">
        <v>239</v>
      </c>
      <c r="AN362" s="289">
        <v>85000</v>
      </c>
      <c r="AO362" s="290" t="s">
        <v>1190</v>
      </c>
      <c r="AP362" s="290" t="s">
        <v>1191</v>
      </c>
      <c r="AQ362" s="291">
        <v>71428.570000000007</v>
      </c>
      <c r="AR362" s="292">
        <v>13571</v>
      </c>
      <c r="AS362" s="292">
        <v>85000</v>
      </c>
      <c r="AT362" s="293">
        <v>71429</v>
      </c>
      <c r="AU362" s="293">
        <v>85000</v>
      </c>
      <c r="AV362" s="294">
        <v>66333.33</v>
      </c>
      <c r="AW362" s="294">
        <v>66333.33</v>
      </c>
      <c r="AX362" s="294">
        <v>16196.71</v>
      </c>
      <c r="AY362" s="302">
        <v>0.2442</v>
      </c>
    </row>
    <row r="363" spans="1:51" ht="57.6" hidden="1">
      <c r="A363" s="257" t="s">
        <v>2044</v>
      </c>
      <c r="B363" s="258" t="s">
        <v>2045</v>
      </c>
      <c r="C363" s="258">
        <v>21101710</v>
      </c>
      <c r="D363" s="257" t="s">
        <v>973</v>
      </c>
      <c r="F363" s="258" t="s">
        <v>568</v>
      </c>
      <c r="G363" s="262">
        <v>1</v>
      </c>
      <c r="H363" s="262" t="s">
        <v>192</v>
      </c>
      <c r="I363" s="321" t="s">
        <v>1357</v>
      </c>
      <c r="J363" s="322">
        <v>46176</v>
      </c>
      <c r="K363" s="263" t="s">
        <v>2046</v>
      </c>
      <c r="L363" s="264" t="s">
        <v>1188</v>
      </c>
      <c r="M363" s="265" t="s">
        <v>380</v>
      </c>
      <c r="N363" s="266">
        <v>630000</v>
      </c>
      <c r="O363" s="267" t="s">
        <v>1197</v>
      </c>
      <c r="P363" s="268" t="s">
        <v>1191</v>
      </c>
      <c r="Q363" s="269">
        <v>630000</v>
      </c>
      <c r="R363" s="271">
        <v>119700</v>
      </c>
      <c r="S363" s="271">
        <v>749700</v>
      </c>
      <c r="T363" s="272">
        <v>630000</v>
      </c>
      <c r="U363" s="272">
        <v>749700</v>
      </c>
      <c r="V363" s="273" t="s">
        <v>1357</v>
      </c>
      <c r="W363" s="274">
        <v>46176</v>
      </c>
      <c r="X363" s="263" t="s">
        <v>2048</v>
      </c>
      <c r="Y363" s="276" t="s">
        <v>1188</v>
      </c>
      <c r="Z363" s="277" t="s">
        <v>381</v>
      </c>
      <c r="AA363" s="278">
        <v>620000</v>
      </c>
      <c r="AB363" s="279" t="s">
        <v>1197</v>
      </c>
      <c r="AC363" s="280" t="s">
        <v>1191</v>
      </c>
      <c r="AD363" s="281">
        <v>620000</v>
      </c>
      <c r="AE363" s="283">
        <v>117800</v>
      </c>
      <c r="AF363" s="283">
        <v>737800</v>
      </c>
      <c r="AG363" s="284">
        <v>620000</v>
      </c>
      <c r="AH363" s="284">
        <v>737800</v>
      </c>
      <c r="AI363" s="285" t="s">
        <v>1357</v>
      </c>
      <c r="AJ363" s="286">
        <v>46176</v>
      </c>
      <c r="AK363" s="263" t="s">
        <v>2108</v>
      </c>
      <c r="AL363" s="288" t="s">
        <v>1188</v>
      </c>
      <c r="AM363" s="298" t="s">
        <v>382</v>
      </c>
      <c r="AN363" s="289">
        <v>595000</v>
      </c>
      <c r="AO363" s="290" t="s">
        <v>1197</v>
      </c>
      <c r="AP363" s="290" t="s">
        <v>1191</v>
      </c>
      <c r="AQ363" s="291">
        <v>595000</v>
      </c>
      <c r="AR363" s="292">
        <v>113050</v>
      </c>
      <c r="AS363" s="292">
        <v>708050</v>
      </c>
      <c r="AT363" s="293">
        <v>595000</v>
      </c>
      <c r="AU363" s="293">
        <v>708050</v>
      </c>
      <c r="AV363" s="294">
        <v>731850</v>
      </c>
      <c r="AW363" s="294">
        <v>731850</v>
      </c>
      <c r="AX363" s="294">
        <v>21453.03</v>
      </c>
      <c r="AY363" s="299">
        <v>2.93E-2</v>
      </c>
    </row>
    <row r="364" spans="1:51" ht="57.6" hidden="1">
      <c r="A364" s="260" t="s">
        <v>2044</v>
      </c>
      <c r="B364" s="258" t="s">
        <v>2045</v>
      </c>
      <c r="C364" s="258">
        <v>49101700</v>
      </c>
      <c r="D364" s="260" t="s">
        <v>529</v>
      </c>
      <c r="F364" s="258" t="s">
        <v>191</v>
      </c>
      <c r="G364" s="303">
        <v>100</v>
      </c>
      <c r="H364" s="303" t="s">
        <v>192</v>
      </c>
      <c r="I364" s="321" t="s">
        <v>1186</v>
      </c>
      <c r="J364" s="322">
        <v>46197</v>
      </c>
      <c r="K364" s="263" t="s">
        <v>2200</v>
      </c>
      <c r="L364" s="264" t="s">
        <v>1193</v>
      </c>
      <c r="M364" s="265" t="s">
        <v>531</v>
      </c>
      <c r="N364" s="266">
        <v>8600</v>
      </c>
      <c r="O364" s="267" t="s">
        <v>1190</v>
      </c>
      <c r="P364" s="268" t="s">
        <v>1191</v>
      </c>
      <c r="Q364" s="304">
        <v>7226.89</v>
      </c>
      <c r="R364" s="305">
        <v>1373</v>
      </c>
      <c r="S364" s="305">
        <v>8600</v>
      </c>
      <c r="T364" s="306">
        <v>722689</v>
      </c>
      <c r="U364" s="306">
        <v>860000</v>
      </c>
      <c r="V364" s="273" t="s">
        <v>1186</v>
      </c>
      <c r="W364" s="274">
        <v>46197</v>
      </c>
      <c r="X364" s="263" t="s">
        <v>2201</v>
      </c>
      <c r="Y364" s="276" t="s">
        <v>1193</v>
      </c>
      <c r="Z364" s="277" t="s">
        <v>532</v>
      </c>
      <c r="AA364" s="278">
        <v>6500</v>
      </c>
      <c r="AB364" s="279" t="s">
        <v>1190</v>
      </c>
      <c r="AC364" s="280" t="s">
        <v>1191</v>
      </c>
      <c r="AD364" s="307">
        <v>5462.18</v>
      </c>
      <c r="AE364" s="308">
        <v>1038</v>
      </c>
      <c r="AF364" s="308">
        <v>6500</v>
      </c>
      <c r="AG364" s="309">
        <v>546218</v>
      </c>
      <c r="AH364" s="309">
        <v>650000</v>
      </c>
      <c r="AI364" s="285" t="s">
        <v>1186</v>
      </c>
      <c r="AJ364" s="286">
        <v>46197</v>
      </c>
      <c r="AK364" s="263" t="s">
        <v>2202</v>
      </c>
      <c r="AL364" s="288" t="s">
        <v>1193</v>
      </c>
      <c r="AM364" s="298" t="s">
        <v>533</v>
      </c>
      <c r="AN364" s="289">
        <v>7200</v>
      </c>
      <c r="AO364" s="290" t="s">
        <v>1190</v>
      </c>
      <c r="AP364" s="290" t="s">
        <v>1191</v>
      </c>
      <c r="AQ364" s="291">
        <v>6050.42</v>
      </c>
      <c r="AR364" s="292">
        <v>1150</v>
      </c>
      <c r="AS364" s="292">
        <v>7200</v>
      </c>
      <c r="AT364" s="293">
        <v>605042</v>
      </c>
      <c r="AU364" s="293">
        <v>720000</v>
      </c>
      <c r="AV364" s="294">
        <v>7433.33</v>
      </c>
      <c r="AW364" s="294">
        <v>743333.33</v>
      </c>
      <c r="AX364" s="294">
        <v>106926.77</v>
      </c>
      <c r="AY364" s="299">
        <v>0.14380000000000001</v>
      </c>
    </row>
    <row r="365" spans="1:51" ht="57.6" hidden="1">
      <c r="A365" s="257" t="s">
        <v>2044</v>
      </c>
      <c r="B365" s="258" t="s">
        <v>2045</v>
      </c>
      <c r="C365" s="258">
        <v>41113040</v>
      </c>
      <c r="D365" s="257" t="s">
        <v>852</v>
      </c>
      <c r="F365" s="258" t="s">
        <v>568</v>
      </c>
      <c r="G365" s="262">
        <v>1</v>
      </c>
      <c r="H365" s="262" t="s">
        <v>192</v>
      </c>
      <c r="I365" s="321" t="s">
        <v>1357</v>
      </c>
      <c r="J365" s="322">
        <v>46176</v>
      </c>
      <c r="K365" s="263" t="s">
        <v>2046</v>
      </c>
      <c r="L365" s="264" t="s">
        <v>1188</v>
      </c>
      <c r="M365" s="265" t="s">
        <v>380</v>
      </c>
      <c r="N365" s="266">
        <v>20000</v>
      </c>
      <c r="O365" s="267" t="s">
        <v>1197</v>
      </c>
      <c r="P365" s="268" t="s">
        <v>1217</v>
      </c>
      <c r="Q365" s="269">
        <v>20000</v>
      </c>
      <c r="R365" s="270" t="s">
        <v>2047</v>
      </c>
      <c r="S365" s="271">
        <v>20000</v>
      </c>
      <c r="T365" s="272">
        <v>20000</v>
      </c>
      <c r="U365" s="272">
        <v>20000</v>
      </c>
      <c r="V365" s="273" t="s">
        <v>1357</v>
      </c>
      <c r="W365" s="274">
        <v>46176</v>
      </c>
      <c r="X365" s="263" t="s">
        <v>2048</v>
      </c>
      <c r="Y365" s="276" t="s">
        <v>1188</v>
      </c>
      <c r="Z365" s="277" t="s">
        <v>381</v>
      </c>
      <c r="AA365" s="278">
        <v>18000</v>
      </c>
      <c r="AB365" s="279" t="s">
        <v>1197</v>
      </c>
      <c r="AC365" s="280" t="s">
        <v>1217</v>
      </c>
      <c r="AD365" s="281">
        <v>18000</v>
      </c>
      <c r="AE365" s="282" t="s">
        <v>2047</v>
      </c>
      <c r="AF365" s="283">
        <v>18000</v>
      </c>
      <c r="AG365" s="284">
        <v>18000</v>
      </c>
      <c r="AH365" s="284">
        <v>18000</v>
      </c>
      <c r="AI365" s="285" t="s">
        <v>1357</v>
      </c>
      <c r="AJ365" s="286">
        <v>46176</v>
      </c>
      <c r="AK365" s="263" t="s">
        <v>2108</v>
      </c>
      <c r="AL365" s="288" t="s">
        <v>1188</v>
      </c>
      <c r="AM365" s="298" t="s">
        <v>382</v>
      </c>
      <c r="AN365" s="289">
        <v>17000</v>
      </c>
      <c r="AO365" s="290" t="s">
        <v>1197</v>
      </c>
      <c r="AP365" s="290" t="s">
        <v>1217</v>
      </c>
      <c r="AQ365" s="291">
        <v>17000</v>
      </c>
      <c r="AR365" s="300" t="s">
        <v>2047</v>
      </c>
      <c r="AS365" s="292">
        <v>17000</v>
      </c>
      <c r="AT365" s="293">
        <v>17000</v>
      </c>
      <c r="AU365" s="293">
        <v>17000</v>
      </c>
      <c r="AV365" s="294">
        <v>18333.330000000002</v>
      </c>
      <c r="AW365" s="294">
        <v>18333.330000000002</v>
      </c>
      <c r="AX365" s="294">
        <v>1527.53</v>
      </c>
      <c r="AY365" s="299">
        <v>8.3299999999999999E-2</v>
      </c>
    </row>
    <row r="366" spans="1:51" ht="57.6" hidden="1">
      <c r="A366" s="257" t="s">
        <v>2044</v>
      </c>
      <c r="B366" s="258" t="s">
        <v>2045</v>
      </c>
      <c r="C366" s="258">
        <v>12162003</v>
      </c>
      <c r="D366" s="257" t="s">
        <v>874</v>
      </c>
      <c r="F366" s="258" t="s">
        <v>568</v>
      </c>
      <c r="G366" s="262">
        <v>1</v>
      </c>
      <c r="H366" s="262" t="s">
        <v>192</v>
      </c>
      <c r="I366" s="321" t="s">
        <v>1357</v>
      </c>
      <c r="J366" s="322">
        <v>46176</v>
      </c>
      <c r="K366" s="263" t="s">
        <v>2046</v>
      </c>
      <c r="L366" s="264" t="s">
        <v>1188</v>
      </c>
      <c r="M366" s="265" t="s">
        <v>380</v>
      </c>
      <c r="N366" s="266">
        <v>48000</v>
      </c>
      <c r="O366" s="267" t="s">
        <v>1197</v>
      </c>
      <c r="P366" s="268" t="s">
        <v>1217</v>
      </c>
      <c r="Q366" s="269">
        <v>48000</v>
      </c>
      <c r="R366" s="270" t="s">
        <v>2047</v>
      </c>
      <c r="S366" s="271">
        <v>48000</v>
      </c>
      <c r="T366" s="272">
        <v>48000</v>
      </c>
      <c r="U366" s="272">
        <v>48000</v>
      </c>
      <c r="V366" s="273" t="s">
        <v>1357</v>
      </c>
      <c r="W366" s="274">
        <v>46176</v>
      </c>
      <c r="X366" s="263" t="s">
        <v>2048</v>
      </c>
      <c r="Y366" s="276" t="s">
        <v>1188</v>
      </c>
      <c r="Z366" s="277" t="s">
        <v>381</v>
      </c>
      <c r="AA366" s="278">
        <v>46000</v>
      </c>
      <c r="AB366" s="279" t="s">
        <v>1197</v>
      </c>
      <c r="AC366" s="280" t="s">
        <v>1217</v>
      </c>
      <c r="AD366" s="281">
        <v>46000</v>
      </c>
      <c r="AE366" s="282" t="s">
        <v>2047</v>
      </c>
      <c r="AF366" s="283">
        <v>46000</v>
      </c>
      <c r="AG366" s="284">
        <v>46000</v>
      </c>
      <c r="AH366" s="284">
        <v>46000</v>
      </c>
      <c r="AI366" s="285" t="s">
        <v>1357</v>
      </c>
      <c r="AJ366" s="286">
        <v>46176</v>
      </c>
      <c r="AK366" s="263" t="s">
        <v>2108</v>
      </c>
      <c r="AL366" s="288" t="s">
        <v>1188</v>
      </c>
      <c r="AM366" s="298" t="s">
        <v>382</v>
      </c>
      <c r="AN366" s="289">
        <v>44000</v>
      </c>
      <c r="AO366" s="290" t="s">
        <v>1197</v>
      </c>
      <c r="AP366" s="290" t="s">
        <v>1217</v>
      </c>
      <c r="AQ366" s="291">
        <v>44000</v>
      </c>
      <c r="AR366" s="300" t="s">
        <v>2047</v>
      </c>
      <c r="AS366" s="292">
        <v>44000</v>
      </c>
      <c r="AT366" s="293">
        <v>44000</v>
      </c>
      <c r="AU366" s="293">
        <v>44000</v>
      </c>
      <c r="AV366" s="294">
        <v>46000</v>
      </c>
      <c r="AW366" s="294">
        <v>46000</v>
      </c>
      <c r="AX366" s="294">
        <v>2000</v>
      </c>
      <c r="AY366" s="299">
        <v>4.3499999999999997E-2</v>
      </c>
    </row>
    <row r="367" spans="1:51" ht="57.6" hidden="1">
      <c r="A367" s="257" t="s">
        <v>2044</v>
      </c>
      <c r="B367" s="258" t="s">
        <v>2045</v>
      </c>
      <c r="C367" s="258">
        <v>23151800</v>
      </c>
      <c r="D367" s="257" t="s">
        <v>311</v>
      </c>
      <c r="F367" s="258" t="s">
        <v>191</v>
      </c>
      <c r="G367" s="262">
        <v>50</v>
      </c>
      <c r="H367" s="262" t="s">
        <v>192</v>
      </c>
      <c r="I367" s="321" t="s">
        <v>1357</v>
      </c>
      <c r="J367" s="322">
        <v>46169</v>
      </c>
      <c r="K367" s="263" t="s">
        <v>2071</v>
      </c>
      <c r="L367" s="264" t="s">
        <v>1188</v>
      </c>
      <c r="M367" s="265" t="s">
        <v>193</v>
      </c>
      <c r="N367" s="266">
        <v>19000</v>
      </c>
      <c r="O367" s="267" t="s">
        <v>1197</v>
      </c>
      <c r="P367" s="268" t="s">
        <v>1191</v>
      </c>
      <c r="Q367" s="269">
        <v>19000</v>
      </c>
      <c r="R367" s="271">
        <v>3610</v>
      </c>
      <c r="S367" s="271">
        <v>22610</v>
      </c>
      <c r="T367" s="272">
        <v>950000</v>
      </c>
      <c r="U367" s="272">
        <v>1130500</v>
      </c>
      <c r="V367" s="273" t="s">
        <v>1357</v>
      </c>
      <c r="W367" s="274">
        <v>46169</v>
      </c>
      <c r="X367" s="263" t="s">
        <v>2062</v>
      </c>
      <c r="Y367" s="276" t="s">
        <v>1188</v>
      </c>
      <c r="Z367" s="277" t="s">
        <v>194</v>
      </c>
      <c r="AA367" s="278">
        <v>19000</v>
      </c>
      <c r="AB367" s="279" t="s">
        <v>1197</v>
      </c>
      <c r="AC367" s="280" t="s">
        <v>1191</v>
      </c>
      <c r="AD367" s="281">
        <v>19000</v>
      </c>
      <c r="AE367" s="283">
        <v>3610</v>
      </c>
      <c r="AF367" s="283">
        <v>22610</v>
      </c>
      <c r="AG367" s="284">
        <v>950000</v>
      </c>
      <c r="AH367" s="284">
        <v>1130500</v>
      </c>
      <c r="AI367" s="285" t="s">
        <v>1199</v>
      </c>
      <c r="AJ367" s="286">
        <v>46192</v>
      </c>
      <c r="AK367" s="263" t="s">
        <v>2203</v>
      </c>
      <c r="AL367" s="288" t="s">
        <v>1193</v>
      </c>
      <c r="AM367" s="298" t="s">
        <v>313</v>
      </c>
      <c r="AN367" s="289">
        <v>16000</v>
      </c>
      <c r="AO367" s="290" t="s">
        <v>1190</v>
      </c>
      <c r="AP367" s="290" t="s">
        <v>1191</v>
      </c>
      <c r="AQ367" s="291">
        <v>13445.38</v>
      </c>
      <c r="AR367" s="292">
        <v>2555</v>
      </c>
      <c r="AS367" s="292">
        <v>16000</v>
      </c>
      <c r="AT367" s="293">
        <v>672269</v>
      </c>
      <c r="AU367" s="293">
        <v>800000</v>
      </c>
      <c r="AV367" s="294">
        <v>20406.669999999998</v>
      </c>
      <c r="AW367" s="294">
        <v>1020333.33</v>
      </c>
      <c r="AX367" s="294">
        <v>190814.26</v>
      </c>
      <c r="AY367" s="299">
        <v>0.187</v>
      </c>
    </row>
    <row r="368" spans="1:51" ht="57.6" hidden="1">
      <c r="A368" s="257" t="s">
        <v>2044</v>
      </c>
      <c r="B368" s="258" t="s">
        <v>2045</v>
      </c>
      <c r="C368" s="258">
        <v>21102005</v>
      </c>
      <c r="D368" s="257" t="s">
        <v>979</v>
      </c>
      <c r="F368" s="258" t="s">
        <v>568</v>
      </c>
      <c r="G368" s="262">
        <v>1</v>
      </c>
      <c r="H368" s="262" t="s">
        <v>192</v>
      </c>
      <c r="I368" s="321" t="s">
        <v>1357</v>
      </c>
      <c r="J368" s="322">
        <v>46176</v>
      </c>
      <c r="K368" s="263" t="s">
        <v>2046</v>
      </c>
      <c r="L368" s="264" t="s">
        <v>1188</v>
      </c>
      <c r="M368" s="265" t="s">
        <v>380</v>
      </c>
      <c r="N368" s="266">
        <v>60000</v>
      </c>
      <c r="O368" s="267" t="s">
        <v>1197</v>
      </c>
      <c r="P368" s="268" t="s">
        <v>1191</v>
      </c>
      <c r="Q368" s="269">
        <v>60000</v>
      </c>
      <c r="R368" s="271">
        <v>11400</v>
      </c>
      <c r="S368" s="271">
        <v>71400</v>
      </c>
      <c r="T368" s="272">
        <v>60000</v>
      </c>
      <c r="U368" s="272">
        <v>71400</v>
      </c>
      <c r="V368" s="273" t="s">
        <v>1357</v>
      </c>
      <c r="W368" s="274">
        <v>46176</v>
      </c>
      <c r="X368" s="263" t="s">
        <v>2048</v>
      </c>
      <c r="Y368" s="276" t="s">
        <v>1188</v>
      </c>
      <c r="Z368" s="277" t="s">
        <v>381</v>
      </c>
      <c r="AA368" s="278">
        <v>58000</v>
      </c>
      <c r="AB368" s="279" t="s">
        <v>1197</v>
      </c>
      <c r="AC368" s="280" t="s">
        <v>1191</v>
      </c>
      <c r="AD368" s="281">
        <v>58000</v>
      </c>
      <c r="AE368" s="283">
        <v>11020</v>
      </c>
      <c r="AF368" s="283">
        <v>69020</v>
      </c>
      <c r="AG368" s="284">
        <v>58000</v>
      </c>
      <c r="AH368" s="284">
        <v>69020</v>
      </c>
      <c r="AI368" s="285" t="s">
        <v>1357</v>
      </c>
      <c r="AJ368" s="286">
        <v>46176</v>
      </c>
      <c r="AK368" s="263" t="s">
        <v>2108</v>
      </c>
      <c r="AL368" s="288" t="s">
        <v>1188</v>
      </c>
      <c r="AM368" s="298" t="s">
        <v>382</v>
      </c>
      <c r="AN368" s="289">
        <v>56000</v>
      </c>
      <c r="AO368" s="290" t="s">
        <v>1197</v>
      </c>
      <c r="AP368" s="290" t="s">
        <v>1191</v>
      </c>
      <c r="AQ368" s="291">
        <v>56000</v>
      </c>
      <c r="AR368" s="292">
        <v>10640</v>
      </c>
      <c r="AS368" s="292">
        <v>66640</v>
      </c>
      <c r="AT368" s="293">
        <v>56000</v>
      </c>
      <c r="AU368" s="293">
        <v>66640</v>
      </c>
      <c r="AV368" s="294">
        <v>69020</v>
      </c>
      <c r="AW368" s="294">
        <v>69020</v>
      </c>
      <c r="AX368" s="294">
        <v>2380</v>
      </c>
      <c r="AY368" s="299">
        <v>3.4500000000000003E-2</v>
      </c>
    </row>
    <row r="369" spans="1:51" ht="57.6" hidden="1">
      <c r="A369" s="257" t="s">
        <v>2044</v>
      </c>
      <c r="B369" s="258" t="s">
        <v>2045</v>
      </c>
      <c r="C369" s="258">
        <v>21101501</v>
      </c>
      <c r="D369" s="257" t="s">
        <v>708</v>
      </c>
      <c r="F369" s="258" t="s">
        <v>568</v>
      </c>
      <c r="G369" s="262">
        <v>1</v>
      </c>
      <c r="H369" s="262" t="s">
        <v>192</v>
      </c>
      <c r="I369" s="321" t="s">
        <v>1357</v>
      </c>
      <c r="J369" s="322">
        <v>46176</v>
      </c>
      <c r="K369" s="263" t="s">
        <v>2046</v>
      </c>
      <c r="L369" s="264" t="s">
        <v>1188</v>
      </c>
      <c r="M369" s="265" t="s">
        <v>380</v>
      </c>
      <c r="N369" s="266">
        <v>81500</v>
      </c>
      <c r="O369" s="267" t="s">
        <v>1197</v>
      </c>
      <c r="P369" s="268" t="s">
        <v>1191</v>
      </c>
      <c r="Q369" s="269">
        <v>81500</v>
      </c>
      <c r="R369" s="271">
        <v>15485</v>
      </c>
      <c r="S369" s="271">
        <v>96985</v>
      </c>
      <c r="T369" s="272">
        <v>81500</v>
      </c>
      <c r="U369" s="272">
        <v>96985</v>
      </c>
      <c r="V369" s="273" t="s">
        <v>1357</v>
      </c>
      <c r="W369" s="274">
        <v>46176</v>
      </c>
      <c r="X369" s="263" t="s">
        <v>2048</v>
      </c>
      <c r="Y369" s="276" t="s">
        <v>1188</v>
      </c>
      <c r="Z369" s="277" t="s">
        <v>381</v>
      </c>
      <c r="AA369" s="278">
        <v>84000</v>
      </c>
      <c r="AB369" s="279" t="s">
        <v>1197</v>
      </c>
      <c r="AC369" s="280" t="s">
        <v>1191</v>
      </c>
      <c r="AD369" s="281">
        <v>84000</v>
      </c>
      <c r="AE369" s="283">
        <v>15960</v>
      </c>
      <c r="AF369" s="283">
        <v>99960</v>
      </c>
      <c r="AG369" s="284">
        <v>84000</v>
      </c>
      <c r="AH369" s="284">
        <v>99960</v>
      </c>
      <c r="AI369" s="285" t="s">
        <v>1357</v>
      </c>
      <c r="AJ369" s="286">
        <v>46176</v>
      </c>
      <c r="AK369" s="263" t="s">
        <v>2108</v>
      </c>
      <c r="AL369" s="288" t="s">
        <v>1188</v>
      </c>
      <c r="AM369" s="298" t="s">
        <v>382</v>
      </c>
      <c r="AN369" s="289">
        <v>96460</v>
      </c>
      <c r="AO369" s="290" t="s">
        <v>1197</v>
      </c>
      <c r="AP369" s="290" t="s">
        <v>1191</v>
      </c>
      <c r="AQ369" s="291">
        <v>96460</v>
      </c>
      <c r="AR369" s="292">
        <v>18327</v>
      </c>
      <c r="AS369" s="292">
        <v>114787</v>
      </c>
      <c r="AT369" s="293">
        <v>96460</v>
      </c>
      <c r="AU369" s="293">
        <v>114787</v>
      </c>
      <c r="AV369" s="294">
        <v>103910.8</v>
      </c>
      <c r="AW369" s="294">
        <v>103910.8</v>
      </c>
      <c r="AX369" s="294">
        <v>9536.14</v>
      </c>
      <c r="AY369" s="299">
        <v>9.1800000000000007E-2</v>
      </c>
    </row>
    <row r="370" spans="1:51" ht="57.6" hidden="1">
      <c r="A370" s="257" t="s">
        <v>2044</v>
      </c>
      <c r="B370" s="258" t="s">
        <v>2045</v>
      </c>
      <c r="C370" s="258">
        <v>21101501</v>
      </c>
      <c r="D370" s="257" t="s">
        <v>697</v>
      </c>
      <c r="F370" s="258" t="s">
        <v>568</v>
      </c>
      <c r="G370" s="262">
        <v>1</v>
      </c>
      <c r="H370" s="262" t="s">
        <v>192</v>
      </c>
      <c r="I370" s="321" t="s">
        <v>1199</v>
      </c>
      <c r="J370" s="322">
        <v>46191</v>
      </c>
      <c r="K370" s="263" t="s">
        <v>2204</v>
      </c>
      <c r="L370" s="264" t="s">
        <v>1193</v>
      </c>
      <c r="M370" s="265" t="s">
        <v>699</v>
      </c>
      <c r="N370" s="266">
        <v>17899</v>
      </c>
      <c r="O370" s="267" t="s">
        <v>1190</v>
      </c>
      <c r="P370" s="268" t="s">
        <v>1191</v>
      </c>
      <c r="Q370" s="269">
        <v>15041.18</v>
      </c>
      <c r="R370" s="271">
        <v>2858</v>
      </c>
      <c r="S370" s="271">
        <v>17899</v>
      </c>
      <c r="T370" s="272">
        <v>15041</v>
      </c>
      <c r="U370" s="272">
        <v>17899</v>
      </c>
      <c r="V370" s="273" t="s">
        <v>1199</v>
      </c>
      <c r="W370" s="274">
        <v>46191</v>
      </c>
      <c r="X370" s="263" t="s">
        <v>2205</v>
      </c>
      <c r="Y370" s="276" t="s">
        <v>1193</v>
      </c>
      <c r="Z370" s="277" t="s">
        <v>285</v>
      </c>
      <c r="AA370" s="278">
        <v>18386</v>
      </c>
      <c r="AB370" s="279" t="s">
        <v>1190</v>
      </c>
      <c r="AC370" s="280" t="s">
        <v>1191</v>
      </c>
      <c r="AD370" s="281">
        <v>15450.42</v>
      </c>
      <c r="AE370" s="283">
        <v>2936</v>
      </c>
      <c r="AF370" s="283">
        <v>18386</v>
      </c>
      <c r="AG370" s="284">
        <v>15450</v>
      </c>
      <c r="AH370" s="284">
        <v>18386</v>
      </c>
      <c r="AI370" s="285" t="s">
        <v>1199</v>
      </c>
      <c r="AJ370" s="286">
        <v>46191</v>
      </c>
      <c r="AK370" s="263" t="s">
        <v>2206</v>
      </c>
      <c r="AL370" s="288" t="s">
        <v>1193</v>
      </c>
      <c r="AM370" s="298" t="s">
        <v>700</v>
      </c>
      <c r="AN370" s="289">
        <v>18718</v>
      </c>
      <c r="AO370" s="290" t="s">
        <v>1190</v>
      </c>
      <c r="AP370" s="290" t="s">
        <v>1191</v>
      </c>
      <c r="AQ370" s="291">
        <v>15729.41</v>
      </c>
      <c r="AR370" s="292">
        <v>2989</v>
      </c>
      <c r="AS370" s="292">
        <v>18718</v>
      </c>
      <c r="AT370" s="293">
        <v>15729</v>
      </c>
      <c r="AU370" s="293">
        <v>18718</v>
      </c>
      <c r="AV370" s="294">
        <v>18334.330000000002</v>
      </c>
      <c r="AW370" s="294">
        <v>18334.330000000002</v>
      </c>
      <c r="AX370" s="294">
        <v>411.94</v>
      </c>
      <c r="AY370" s="299">
        <v>2.2499999999999999E-2</v>
      </c>
    </row>
    <row r="371" spans="1:51" ht="57.6" hidden="1">
      <c r="A371" s="257" t="s">
        <v>2044</v>
      </c>
      <c r="B371" s="258" t="s">
        <v>2045</v>
      </c>
      <c r="C371" s="258">
        <v>10151524</v>
      </c>
      <c r="D371" s="257" t="s">
        <v>648</v>
      </c>
      <c r="F371" s="258" t="s">
        <v>568</v>
      </c>
      <c r="G371" s="262">
        <v>1</v>
      </c>
      <c r="H371" s="262" t="s">
        <v>192</v>
      </c>
      <c r="I371" s="321" t="s">
        <v>1357</v>
      </c>
      <c r="J371" s="322">
        <v>46176</v>
      </c>
      <c r="K371" s="263" t="s">
        <v>2046</v>
      </c>
      <c r="L371" s="264" t="s">
        <v>1188</v>
      </c>
      <c r="M371" s="265" t="s">
        <v>380</v>
      </c>
      <c r="N371" s="266">
        <v>880</v>
      </c>
      <c r="O371" s="267" t="s">
        <v>1197</v>
      </c>
      <c r="P371" s="268" t="s">
        <v>1217</v>
      </c>
      <c r="Q371" s="269">
        <v>880</v>
      </c>
      <c r="R371" s="270" t="s">
        <v>2047</v>
      </c>
      <c r="S371" s="271">
        <v>880</v>
      </c>
      <c r="T371" s="272">
        <v>880</v>
      </c>
      <c r="U371" s="272">
        <v>880</v>
      </c>
      <c r="V371" s="273" t="s">
        <v>1357</v>
      </c>
      <c r="W371" s="274">
        <v>46176</v>
      </c>
      <c r="X371" s="263" t="s">
        <v>2048</v>
      </c>
      <c r="Y371" s="276" t="s">
        <v>1188</v>
      </c>
      <c r="Z371" s="277" t="s">
        <v>381</v>
      </c>
      <c r="AA371" s="278">
        <v>700</v>
      </c>
      <c r="AB371" s="279" t="s">
        <v>1197</v>
      </c>
      <c r="AC371" s="280" t="s">
        <v>1217</v>
      </c>
      <c r="AD371" s="281">
        <v>700</v>
      </c>
      <c r="AE371" s="282" t="s">
        <v>2047</v>
      </c>
      <c r="AF371" s="283">
        <v>700</v>
      </c>
      <c r="AG371" s="284">
        <v>700</v>
      </c>
      <c r="AH371" s="284">
        <v>700</v>
      </c>
      <c r="AI371" s="285" t="s">
        <v>1357</v>
      </c>
      <c r="AJ371" s="286">
        <v>46176</v>
      </c>
      <c r="AK371" s="263" t="s">
        <v>2108</v>
      </c>
      <c r="AL371" s="288" t="s">
        <v>1188</v>
      </c>
      <c r="AM371" s="298" t="s">
        <v>382</v>
      </c>
      <c r="AN371" s="289">
        <v>616</v>
      </c>
      <c r="AO371" s="290" t="s">
        <v>1197</v>
      </c>
      <c r="AP371" s="290" t="s">
        <v>1217</v>
      </c>
      <c r="AQ371" s="291">
        <v>616</v>
      </c>
      <c r="AR371" s="300" t="s">
        <v>2047</v>
      </c>
      <c r="AS371" s="292">
        <v>616</v>
      </c>
      <c r="AT371" s="293">
        <v>616</v>
      </c>
      <c r="AU371" s="293">
        <v>616</v>
      </c>
      <c r="AV371" s="294">
        <v>732</v>
      </c>
      <c r="AW371" s="294">
        <v>732</v>
      </c>
      <c r="AX371" s="294">
        <v>134.88</v>
      </c>
      <c r="AY371" s="299">
        <v>0.18429999999999999</v>
      </c>
    </row>
    <row r="372" spans="1:51" ht="57.6" hidden="1">
      <c r="A372" s="257" t="s">
        <v>2044</v>
      </c>
      <c r="B372" s="258" t="s">
        <v>2045</v>
      </c>
      <c r="C372" s="258">
        <v>14111500</v>
      </c>
      <c r="D372" s="257" t="s">
        <v>2207</v>
      </c>
      <c r="F372" s="258" t="s">
        <v>191</v>
      </c>
      <c r="G372" s="262">
        <v>1</v>
      </c>
      <c r="H372" s="262" t="s">
        <v>192</v>
      </c>
      <c r="I372" s="321" t="s">
        <v>1357</v>
      </c>
      <c r="J372" s="322">
        <v>46169</v>
      </c>
      <c r="K372" s="263" t="s">
        <v>2072</v>
      </c>
      <c r="L372" s="264" t="s">
        <v>1188</v>
      </c>
      <c r="M372" s="265" t="s">
        <v>245</v>
      </c>
      <c r="N372" s="266">
        <v>18000</v>
      </c>
      <c r="O372" s="267" t="s">
        <v>1197</v>
      </c>
      <c r="P372" s="268" t="s">
        <v>1191</v>
      </c>
      <c r="Q372" s="269">
        <v>18000</v>
      </c>
      <c r="R372" s="271">
        <v>3420</v>
      </c>
      <c r="S372" s="271">
        <v>21420</v>
      </c>
      <c r="T372" s="272">
        <v>18000</v>
      </c>
      <c r="U372" s="272">
        <v>21420</v>
      </c>
      <c r="V372" s="273" t="s">
        <v>1357</v>
      </c>
      <c r="W372" s="274">
        <v>46169</v>
      </c>
      <c r="X372" s="263" t="s">
        <v>2062</v>
      </c>
      <c r="Y372" s="276" t="s">
        <v>1188</v>
      </c>
      <c r="Z372" s="277" t="s">
        <v>194</v>
      </c>
      <c r="AA372" s="278">
        <v>21000</v>
      </c>
      <c r="AB372" s="279" t="s">
        <v>1197</v>
      </c>
      <c r="AC372" s="280" t="s">
        <v>1191</v>
      </c>
      <c r="AD372" s="281">
        <v>21000</v>
      </c>
      <c r="AE372" s="283">
        <v>3990</v>
      </c>
      <c r="AF372" s="283">
        <v>24990</v>
      </c>
      <c r="AG372" s="284">
        <v>21000</v>
      </c>
      <c r="AH372" s="284">
        <v>24990</v>
      </c>
      <c r="AI372" s="285" t="s">
        <v>1357</v>
      </c>
      <c r="AJ372" s="286">
        <v>46183</v>
      </c>
      <c r="AK372" s="263" t="s">
        <v>2208</v>
      </c>
      <c r="AL372" s="311" t="s">
        <v>1193</v>
      </c>
      <c r="AM372" s="311" t="s">
        <v>2209</v>
      </c>
      <c r="AN372" s="312">
        <v>17900</v>
      </c>
      <c r="AO372" s="311" t="s">
        <v>1190</v>
      </c>
      <c r="AP372" s="311" t="s">
        <v>1191</v>
      </c>
      <c r="AQ372" s="291">
        <v>15042.02</v>
      </c>
      <c r="AR372" s="292">
        <v>2858</v>
      </c>
      <c r="AS372" s="292">
        <v>17900</v>
      </c>
      <c r="AT372" s="293">
        <v>15042</v>
      </c>
      <c r="AU372" s="293">
        <v>17900</v>
      </c>
      <c r="AV372" s="294">
        <v>21436.67</v>
      </c>
      <c r="AW372" s="294">
        <v>21436.67</v>
      </c>
      <c r="AX372" s="294">
        <v>3545.03</v>
      </c>
      <c r="AY372" s="299">
        <v>0.16539999999999999</v>
      </c>
    </row>
    <row r="373" spans="1:51" ht="57.6" hidden="1">
      <c r="A373" s="257" t="s">
        <v>2044</v>
      </c>
      <c r="B373" s="258" t="s">
        <v>2045</v>
      </c>
      <c r="C373" s="258">
        <v>60122504</v>
      </c>
      <c r="D373" s="257" t="s">
        <v>964</v>
      </c>
      <c r="F373" s="258" t="s">
        <v>568</v>
      </c>
      <c r="G373" s="262">
        <v>1</v>
      </c>
      <c r="H373" s="262" t="s">
        <v>192</v>
      </c>
      <c r="I373" s="321" t="s">
        <v>1357</v>
      </c>
      <c r="J373" s="322">
        <v>46176</v>
      </c>
      <c r="K373" s="263" t="s">
        <v>2046</v>
      </c>
      <c r="L373" s="264" t="s">
        <v>1188</v>
      </c>
      <c r="M373" s="265" t="s">
        <v>380</v>
      </c>
      <c r="N373" s="266">
        <v>76000</v>
      </c>
      <c r="O373" s="267" t="s">
        <v>1197</v>
      </c>
      <c r="P373" s="268" t="s">
        <v>1191</v>
      </c>
      <c r="Q373" s="269">
        <v>76000</v>
      </c>
      <c r="R373" s="271">
        <v>14440</v>
      </c>
      <c r="S373" s="271">
        <v>90440</v>
      </c>
      <c r="T373" s="272">
        <v>76000</v>
      </c>
      <c r="U373" s="272">
        <v>90440</v>
      </c>
      <c r="V373" s="273" t="s">
        <v>1357</v>
      </c>
      <c r="W373" s="274">
        <v>46176</v>
      </c>
      <c r="X373" s="263" t="s">
        <v>2048</v>
      </c>
      <c r="Y373" s="276" t="s">
        <v>1188</v>
      </c>
      <c r="Z373" s="277" t="s">
        <v>381</v>
      </c>
      <c r="AA373" s="278">
        <v>74000</v>
      </c>
      <c r="AB373" s="279" t="s">
        <v>1197</v>
      </c>
      <c r="AC373" s="280" t="s">
        <v>1191</v>
      </c>
      <c r="AD373" s="281">
        <v>74000</v>
      </c>
      <c r="AE373" s="283">
        <v>14060</v>
      </c>
      <c r="AF373" s="283">
        <v>88060</v>
      </c>
      <c r="AG373" s="284">
        <v>74000</v>
      </c>
      <c r="AH373" s="284">
        <v>88060</v>
      </c>
      <c r="AI373" s="285" t="s">
        <v>1357</v>
      </c>
      <c r="AJ373" s="286">
        <v>46176</v>
      </c>
      <c r="AK373" s="263" t="s">
        <v>2108</v>
      </c>
      <c r="AL373" s="288" t="s">
        <v>1188</v>
      </c>
      <c r="AM373" s="298" t="s">
        <v>382</v>
      </c>
      <c r="AN373" s="289">
        <v>63000</v>
      </c>
      <c r="AO373" s="290" t="s">
        <v>1197</v>
      </c>
      <c r="AP373" s="290" t="s">
        <v>1191</v>
      </c>
      <c r="AQ373" s="291">
        <v>63000</v>
      </c>
      <c r="AR373" s="292">
        <v>11970</v>
      </c>
      <c r="AS373" s="292">
        <v>74970</v>
      </c>
      <c r="AT373" s="293">
        <v>63000</v>
      </c>
      <c r="AU373" s="293">
        <v>74970</v>
      </c>
      <c r="AV373" s="294">
        <v>84490</v>
      </c>
      <c r="AW373" s="294">
        <v>84490</v>
      </c>
      <c r="AX373" s="294">
        <v>8330</v>
      </c>
      <c r="AY373" s="299">
        <v>9.8599999999999993E-2</v>
      </c>
    </row>
    <row r="374" spans="1:51" ht="57.6" hidden="1">
      <c r="A374" s="257" t="s">
        <v>2044</v>
      </c>
      <c r="B374" s="258" t="s">
        <v>2045</v>
      </c>
      <c r="C374" s="258">
        <v>14111500</v>
      </c>
      <c r="D374" s="259" t="s">
        <v>2210</v>
      </c>
      <c r="F374" s="258" t="s">
        <v>244</v>
      </c>
      <c r="G374" s="262">
        <v>15</v>
      </c>
      <c r="H374" s="262" t="s">
        <v>192</v>
      </c>
      <c r="I374" s="321" t="s">
        <v>1357</v>
      </c>
      <c r="J374" s="322">
        <v>46169</v>
      </c>
      <c r="K374" s="263" t="s">
        <v>2071</v>
      </c>
      <c r="L374" s="264" t="s">
        <v>1188</v>
      </c>
      <c r="M374" s="265" t="s">
        <v>193</v>
      </c>
      <c r="N374" s="266">
        <v>5500</v>
      </c>
      <c r="O374" s="267" t="s">
        <v>1197</v>
      </c>
      <c r="P374" s="268" t="s">
        <v>1191</v>
      </c>
      <c r="Q374" s="269">
        <v>5500</v>
      </c>
      <c r="R374" s="271">
        <v>1045</v>
      </c>
      <c r="S374" s="271">
        <v>6545</v>
      </c>
      <c r="T374" s="272">
        <v>82500</v>
      </c>
      <c r="U374" s="272">
        <v>98175</v>
      </c>
      <c r="V374" s="273" t="s">
        <v>1357</v>
      </c>
      <c r="W374" s="274">
        <v>46169</v>
      </c>
      <c r="X374" s="263" t="s">
        <v>2072</v>
      </c>
      <c r="Y374" s="276" t="s">
        <v>1188</v>
      </c>
      <c r="Z374" s="277" t="s">
        <v>245</v>
      </c>
      <c r="AA374" s="278">
        <v>6000</v>
      </c>
      <c r="AB374" s="279" t="s">
        <v>1197</v>
      </c>
      <c r="AC374" s="280" t="s">
        <v>1191</v>
      </c>
      <c r="AD374" s="281">
        <v>6000</v>
      </c>
      <c r="AE374" s="283">
        <v>1140</v>
      </c>
      <c r="AF374" s="283">
        <v>7140</v>
      </c>
      <c r="AG374" s="284">
        <v>90000</v>
      </c>
      <c r="AH374" s="284">
        <v>107100</v>
      </c>
      <c r="AI374" s="285" t="s">
        <v>1357</v>
      </c>
      <c r="AJ374" s="286">
        <v>46169</v>
      </c>
      <c r="AK374" s="263" t="s">
        <v>2062</v>
      </c>
      <c r="AL374" s="288" t="s">
        <v>1188</v>
      </c>
      <c r="AM374" s="298" t="s">
        <v>194</v>
      </c>
      <c r="AN374" s="289">
        <v>5500</v>
      </c>
      <c r="AO374" s="290" t="s">
        <v>1197</v>
      </c>
      <c r="AP374" s="290" t="s">
        <v>1191</v>
      </c>
      <c r="AQ374" s="291">
        <v>5500</v>
      </c>
      <c r="AR374" s="292">
        <v>1045</v>
      </c>
      <c r="AS374" s="292">
        <v>6545</v>
      </c>
      <c r="AT374" s="293">
        <v>82500</v>
      </c>
      <c r="AU374" s="293">
        <v>98175</v>
      </c>
      <c r="AV374" s="294">
        <v>6743.33</v>
      </c>
      <c r="AW374" s="294">
        <v>101150</v>
      </c>
      <c r="AX374" s="294">
        <v>5152.8500000000004</v>
      </c>
      <c r="AY374" s="299">
        <v>5.0900000000000001E-2</v>
      </c>
    </row>
    <row r="375" spans="1:51" ht="57.6" hidden="1">
      <c r="A375" s="257" t="s">
        <v>2044</v>
      </c>
      <c r="B375" s="258" t="s">
        <v>2045</v>
      </c>
      <c r="C375" s="258">
        <v>14111500</v>
      </c>
      <c r="D375" s="259" t="s">
        <v>2210</v>
      </c>
      <c r="F375" s="258" t="s">
        <v>191</v>
      </c>
      <c r="G375" s="262">
        <v>15</v>
      </c>
      <c r="H375" s="262" t="s">
        <v>192</v>
      </c>
      <c r="I375" s="321" t="s">
        <v>1186</v>
      </c>
      <c r="J375" s="322">
        <v>46195</v>
      </c>
      <c r="K375" s="263" t="s">
        <v>2211</v>
      </c>
      <c r="L375" s="264" t="s">
        <v>1193</v>
      </c>
      <c r="M375" s="265" t="s">
        <v>2212</v>
      </c>
      <c r="N375" s="266">
        <v>29900</v>
      </c>
      <c r="O375" s="267" t="s">
        <v>1190</v>
      </c>
      <c r="P375" s="268" t="s">
        <v>1191</v>
      </c>
      <c r="Q375" s="269">
        <v>25126.05</v>
      </c>
      <c r="R375" s="271">
        <v>4774</v>
      </c>
      <c r="S375" s="271">
        <v>29900</v>
      </c>
      <c r="T375" s="272">
        <v>376891</v>
      </c>
      <c r="U375" s="272">
        <v>448500</v>
      </c>
      <c r="V375" s="273" t="s">
        <v>1186</v>
      </c>
      <c r="W375" s="274">
        <v>46195</v>
      </c>
      <c r="X375" s="263" t="s">
        <v>2211</v>
      </c>
      <c r="Y375" s="276" t="s">
        <v>1193</v>
      </c>
      <c r="Z375" s="277" t="s">
        <v>284</v>
      </c>
      <c r="AA375" s="278">
        <v>30900</v>
      </c>
      <c r="AB375" s="279" t="s">
        <v>1190</v>
      </c>
      <c r="AC375" s="280" t="s">
        <v>1191</v>
      </c>
      <c r="AD375" s="281">
        <v>25966.39</v>
      </c>
      <c r="AE375" s="283">
        <v>4934</v>
      </c>
      <c r="AF375" s="283">
        <v>30900</v>
      </c>
      <c r="AG375" s="284">
        <v>389496</v>
      </c>
      <c r="AH375" s="284">
        <v>463500</v>
      </c>
      <c r="AI375" s="285" t="s">
        <v>1199</v>
      </c>
      <c r="AJ375" s="286">
        <v>46197</v>
      </c>
      <c r="AK375" s="263" t="s">
        <v>2213</v>
      </c>
      <c r="AL375" s="288" t="s">
        <v>1193</v>
      </c>
      <c r="AM375" s="298" t="s">
        <v>239</v>
      </c>
      <c r="AN375" s="289">
        <v>31900</v>
      </c>
      <c r="AO375" s="290" t="s">
        <v>1190</v>
      </c>
      <c r="AP375" s="290" t="s">
        <v>1191</v>
      </c>
      <c r="AQ375" s="291">
        <v>26806.720000000001</v>
      </c>
      <c r="AR375" s="292">
        <v>5093</v>
      </c>
      <c r="AS375" s="292">
        <v>31900</v>
      </c>
      <c r="AT375" s="293">
        <v>402101</v>
      </c>
      <c r="AU375" s="293">
        <v>478500</v>
      </c>
      <c r="AV375" s="294">
        <v>30900</v>
      </c>
      <c r="AW375" s="294">
        <v>463500</v>
      </c>
      <c r="AX375" s="294">
        <v>15000</v>
      </c>
      <c r="AY375" s="299">
        <v>3.2399999999999998E-2</v>
      </c>
    </row>
    <row r="376" spans="1:51" ht="57.6" hidden="1">
      <c r="A376" s="257" t="s">
        <v>2044</v>
      </c>
      <c r="B376" s="258" t="s">
        <v>2045</v>
      </c>
      <c r="C376" s="258">
        <v>10161802</v>
      </c>
      <c r="D376" s="257" t="s">
        <v>865</v>
      </c>
      <c r="F376" s="258" t="s">
        <v>568</v>
      </c>
      <c r="G376" s="262">
        <v>1</v>
      </c>
      <c r="H376" s="262" t="s">
        <v>192</v>
      </c>
      <c r="I376" s="321" t="s">
        <v>1357</v>
      </c>
      <c r="J376" s="322">
        <v>46176</v>
      </c>
      <c r="K376" s="263" t="s">
        <v>2046</v>
      </c>
      <c r="L376" s="264" t="s">
        <v>1188</v>
      </c>
      <c r="M376" s="265" t="s">
        <v>380</v>
      </c>
      <c r="N376" s="266">
        <v>252000</v>
      </c>
      <c r="O376" s="267" t="s">
        <v>1197</v>
      </c>
      <c r="P376" s="268" t="s">
        <v>1191</v>
      </c>
      <c r="Q376" s="269">
        <v>252000</v>
      </c>
      <c r="R376" s="271">
        <v>47880</v>
      </c>
      <c r="S376" s="271">
        <v>299880</v>
      </c>
      <c r="T376" s="272">
        <v>252000</v>
      </c>
      <c r="U376" s="272">
        <v>299880</v>
      </c>
      <c r="V376" s="273" t="s">
        <v>1357</v>
      </c>
      <c r="W376" s="274">
        <v>46176</v>
      </c>
      <c r="X376" s="263" t="s">
        <v>2048</v>
      </c>
      <c r="Y376" s="276" t="s">
        <v>1188</v>
      </c>
      <c r="Z376" s="277" t="s">
        <v>381</v>
      </c>
      <c r="AA376" s="278">
        <v>250000</v>
      </c>
      <c r="AB376" s="279" t="s">
        <v>1197</v>
      </c>
      <c r="AC376" s="280" t="s">
        <v>1191</v>
      </c>
      <c r="AD376" s="281">
        <v>250000</v>
      </c>
      <c r="AE376" s="283">
        <v>47500</v>
      </c>
      <c r="AF376" s="283">
        <v>297500</v>
      </c>
      <c r="AG376" s="284">
        <v>250000</v>
      </c>
      <c r="AH376" s="284">
        <v>297500</v>
      </c>
      <c r="AI376" s="285" t="s">
        <v>1186</v>
      </c>
      <c r="AJ376" s="286">
        <v>46195</v>
      </c>
      <c r="AK376" s="263" t="s">
        <v>2214</v>
      </c>
      <c r="AL376" s="288" t="s">
        <v>1193</v>
      </c>
      <c r="AM376" s="298" t="s">
        <v>867</v>
      </c>
      <c r="AN376" s="289">
        <v>288450</v>
      </c>
      <c r="AO376" s="290" t="s">
        <v>1197</v>
      </c>
      <c r="AP376" s="290" t="s">
        <v>1191</v>
      </c>
      <c r="AQ376" s="291">
        <v>288450</v>
      </c>
      <c r="AR376" s="292">
        <v>54806</v>
      </c>
      <c r="AS376" s="292">
        <v>343256</v>
      </c>
      <c r="AT376" s="293">
        <v>288450</v>
      </c>
      <c r="AU376" s="293">
        <v>343256</v>
      </c>
      <c r="AV376" s="294">
        <v>313545.17</v>
      </c>
      <c r="AW376" s="294">
        <v>313545.17</v>
      </c>
      <c r="AX376" s="294">
        <v>25757.41</v>
      </c>
      <c r="AY376" s="299">
        <v>8.2100000000000006E-2</v>
      </c>
    </row>
    <row r="377" spans="1:51" ht="57.6" hidden="1">
      <c r="A377" s="257" t="s">
        <v>2044</v>
      </c>
      <c r="B377" s="258" t="s">
        <v>2045</v>
      </c>
      <c r="C377" s="258">
        <v>31201600</v>
      </c>
      <c r="D377" s="259" t="s">
        <v>227</v>
      </c>
      <c r="F377" s="258" t="s">
        <v>191</v>
      </c>
      <c r="G377" s="262">
        <v>10</v>
      </c>
      <c r="H377" s="262" t="s">
        <v>192</v>
      </c>
      <c r="I377" s="313" t="s">
        <v>1199</v>
      </c>
      <c r="J377" s="323">
        <v>46195</v>
      </c>
      <c r="K377" s="263" t="s">
        <v>2215</v>
      </c>
      <c r="L377" s="313" t="s">
        <v>1193</v>
      </c>
      <c r="M377" s="313" t="s">
        <v>229</v>
      </c>
      <c r="N377" s="314">
        <v>51677</v>
      </c>
      <c r="O377" s="313" t="s">
        <v>1190</v>
      </c>
      <c r="P377" s="313" t="s">
        <v>1191</v>
      </c>
      <c r="Q377" s="269">
        <v>43426.05</v>
      </c>
      <c r="R377" s="271">
        <v>8251</v>
      </c>
      <c r="S377" s="271">
        <v>51677</v>
      </c>
      <c r="T377" s="272">
        <v>434261</v>
      </c>
      <c r="U377" s="272">
        <v>516770</v>
      </c>
      <c r="V377" s="273" t="s">
        <v>1199</v>
      </c>
      <c r="W377" s="274">
        <v>46195</v>
      </c>
      <c r="X377" s="263" t="s">
        <v>2216</v>
      </c>
      <c r="Y377" s="276" t="s">
        <v>1193</v>
      </c>
      <c r="Z377" s="277" t="s">
        <v>263</v>
      </c>
      <c r="AA377" s="278">
        <v>51900</v>
      </c>
      <c r="AB377" s="279" t="s">
        <v>1190</v>
      </c>
      <c r="AC377" s="280" t="s">
        <v>1191</v>
      </c>
      <c r="AD377" s="281">
        <v>43613.45</v>
      </c>
      <c r="AE377" s="283">
        <v>8287</v>
      </c>
      <c r="AF377" s="283">
        <v>51900</v>
      </c>
      <c r="AG377" s="284">
        <v>436134</v>
      </c>
      <c r="AH377" s="284">
        <v>519000</v>
      </c>
      <c r="AI377" s="285" t="s">
        <v>1199</v>
      </c>
      <c r="AJ377" s="315">
        <v>46195</v>
      </c>
      <c r="AK377" s="263" t="s">
        <v>2217</v>
      </c>
      <c r="AL377" s="311" t="s">
        <v>1193</v>
      </c>
      <c r="AM377" s="311" t="s">
        <v>231</v>
      </c>
      <c r="AN377" s="312">
        <v>65294</v>
      </c>
      <c r="AO377" s="311" t="s">
        <v>1190</v>
      </c>
      <c r="AP377" s="311" t="s">
        <v>1191</v>
      </c>
      <c r="AQ377" s="291">
        <v>54868.91</v>
      </c>
      <c r="AR377" s="292">
        <v>10425</v>
      </c>
      <c r="AS377" s="292">
        <v>65294</v>
      </c>
      <c r="AT377" s="293">
        <v>548689</v>
      </c>
      <c r="AU377" s="293">
        <v>652940</v>
      </c>
      <c r="AV377" s="294">
        <v>56290.33</v>
      </c>
      <c r="AW377" s="294">
        <v>562903.32999999996</v>
      </c>
      <c r="AX377" s="294">
        <v>77982.009999999995</v>
      </c>
      <c r="AY377" s="299">
        <v>0.13850000000000001</v>
      </c>
    </row>
    <row r="378" spans="1:51" ht="57.6" hidden="1">
      <c r="A378" s="257" t="s">
        <v>2044</v>
      </c>
      <c r="B378" s="258" t="s">
        <v>2045</v>
      </c>
      <c r="C378" s="258">
        <v>31201600</v>
      </c>
      <c r="D378" s="259" t="s">
        <v>227</v>
      </c>
      <c r="F378" s="258" t="s">
        <v>191</v>
      </c>
      <c r="G378" s="262">
        <v>1</v>
      </c>
      <c r="H378" s="262" t="s">
        <v>192</v>
      </c>
      <c r="I378" s="321" t="s">
        <v>1199</v>
      </c>
      <c r="J378" s="322">
        <v>46195</v>
      </c>
      <c r="K378" s="263" t="s">
        <v>2218</v>
      </c>
      <c r="L378" s="264" t="s">
        <v>1193</v>
      </c>
      <c r="M378" s="265" t="s">
        <v>431</v>
      </c>
      <c r="N378" s="266">
        <v>10300</v>
      </c>
      <c r="O378" s="267" t="s">
        <v>1190</v>
      </c>
      <c r="P378" s="268" t="s">
        <v>1191</v>
      </c>
      <c r="Q378" s="269">
        <v>8655.4599999999991</v>
      </c>
      <c r="R378" s="271">
        <v>1645</v>
      </c>
      <c r="S378" s="271">
        <v>10300</v>
      </c>
      <c r="T378" s="272">
        <v>8655</v>
      </c>
      <c r="U378" s="272">
        <v>10300</v>
      </c>
      <c r="V378" s="273" t="s">
        <v>1199</v>
      </c>
      <c r="W378" s="274">
        <v>46195</v>
      </c>
      <c r="X378" s="263" t="s">
        <v>2219</v>
      </c>
      <c r="Y378" s="276" t="s">
        <v>1193</v>
      </c>
      <c r="Z378" s="277" t="s">
        <v>432</v>
      </c>
      <c r="AA378" s="278">
        <v>11700</v>
      </c>
      <c r="AB378" s="279" t="s">
        <v>1190</v>
      </c>
      <c r="AC378" s="280" t="s">
        <v>1191</v>
      </c>
      <c r="AD378" s="281">
        <v>9831.93</v>
      </c>
      <c r="AE378" s="283">
        <v>1868</v>
      </c>
      <c r="AF378" s="283">
        <v>11700</v>
      </c>
      <c r="AG378" s="284">
        <v>9832</v>
      </c>
      <c r="AH378" s="284">
        <v>11700</v>
      </c>
      <c r="AI378" s="285" t="s">
        <v>1199</v>
      </c>
      <c r="AJ378" s="286">
        <v>46195</v>
      </c>
      <c r="AK378" s="263" t="s">
        <v>2220</v>
      </c>
      <c r="AL378" s="288" t="s">
        <v>1193</v>
      </c>
      <c r="AM378" s="311" t="s">
        <v>433</v>
      </c>
      <c r="AN378" s="289">
        <v>10400</v>
      </c>
      <c r="AO378" s="290" t="s">
        <v>1190</v>
      </c>
      <c r="AP378" s="290" t="s">
        <v>1191</v>
      </c>
      <c r="AQ378" s="291">
        <v>8739.5</v>
      </c>
      <c r="AR378" s="292">
        <v>1661</v>
      </c>
      <c r="AS378" s="292">
        <v>10400</v>
      </c>
      <c r="AT378" s="293">
        <v>8739</v>
      </c>
      <c r="AU378" s="293">
        <v>10400</v>
      </c>
      <c r="AV378" s="294">
        <v>10800</v>
      </c>
      <c r="AW378" s="294">
        <v>10800</v>
      </c>
      <c r="AX378" s="294">
        <v>781.02</v>
      </c>
      <c r="AY378" s="299">
        <v>7.2300000000000003E-2</v>
      </c>
    </row>
    <row r="379" spans="1:51" ht="57.6" hidden="1">
      <c r="A379" s="257" t="s">
        <v>2044</v>
      </c>
      <c r="B379" s="258" t="s">
        <v>2045</v>
      </c>
      <c r="C379" s="258">
        <v>82101500</v>
      </c>
      <c r="D379" s="257" t="s">
        <v>490</v>
      </c>
      <c r="F379" s="258" t="s">
        <v>191</v>
      </c>
      <c r="G379" s="262">
        <v>1</v>
      </c>
      <c r="H379" s="262" t="s">
        <v>192</v>
      </c>
      <c r="I379" s="321" t="s">
        <v>1199</v>
      </c>
      <c r="J379" s="322">
        <v>46195</v>
      </c>
      <c r="K379" s="263" t="s">
        <v>2221</v>
      </c>
      <c r="L379" s="264" t="s">
        <v>1193</v>
      </c>
      <c r="M379" s="265" t="s">
        <v>492</v>
      </c>
      <c r="N379" s="266">
        <v>760000</v>
      </c>
      <c r="O379" s="267" t="s">
        <v>1197</v>
      </c>
      <c r="P379" s="268" t="s">
        <v>1191</v>
      </c>
      <c r="Q379" s="269">
        <v>760000</v>
      </c>
      <c r="R379" s="271">
        <v>144400</v>
      </c>
      <c r="S379" s="271">
        <v>904400</v>
      </c>
      <c r="T379" s="272">
        <v>760000</v>
      </c>
      <c r="U379" s="272">
        <v>904400</v>
      </c>
      <c r="V379" s="273" t="s">
        <v>1199</v>
      </c>
      <c r="W379" s="274">
        <v>46195</v>
      </c>
      <c r="X379" s="263" t="s">
        <v>2222</v>
      </c>
      <c r="Y379" s="276" t="s">
        <v>1193</v>
      </c>
      <c r="Z379" s="277" t="s">
        <v>493</v>
      </c>
      <c r="AA379" s="278">
        <v>760000</v>
      </c>
      <c r="AB379" s="279" t="s">
        <v>1197</v>
      </c>
      <c r="AC379" s="280" t="s">
        <v>1191</v>
      </c>
      <c r="AD379" s="281">
        <v>760000</v>
      </c>
      <c r="AE379" s="283">
        <v>144400</v>
      </c>
      <c r="AF379" s="283">
        <v>904400</v>
      </c>
      <c r="AG379" s="284">
        <v>760000</v>
      </c>
      <c r="AH379" s="284">
        <v>904400</v>
      </c>
      <c r="AI379" s="285" t="s">
        <v>1199</v>
      </c>
      <c r="AJ379" s="286">
        <v>46195</v>
      </c>
      <c r="AK379" s="263" t="s">
        <v>2223</v>
      </c>
      <c r="AL379" s="288" t="s">
        <v>1193</v>
      </c>
      <c r="AM379" s="298" t="s">
        <v>494</v>
      </c>
      <c r="AN379" s="289">
        <v>800000</v>
      </c>
      <c r="AO379" s="290" t="s">
        <v>1197</v>
      </c>
      <c r="AP379" s="290" t="s">
        <v>1191</v>
      </c>
      <c r="AQ379" s="291">
        <v>800000</v>
      </c>
      <c r="AR379" s="292">
        <v>152000</v>
      </c>
      <c r="AS379" s="292">
        <v>952000</v>
      </c>
      <c r="AT379" s="293">
        <v>800000</v>
      </c>
      <c r="AU379" s="293">
        <v>952000</v>
      </c>
      <c r="AV379" s="294">
        <v>920266.67</v>
      </c>
      <c r="AW379" s="294">
        <v>920266.67</v>
      </c>
      <c r="AX379" s="294">
        <v>27481.87</v>
      </c>
      <c r="AY379" s="299">
        <v>2.9899999999999999E-2</v>
      </c>
    </row>
    <row r="380" spans="1:51" ht="57.6" hidden="1">
      <c r="A380" s="257" t="s">
        <v>2044</v>
      </c>
      <c r="B380" s="258" t="s">
        <v>2045</v>
      </c>
      <c r="C380" s="258">
        <v>10161804</v>
      </c>
      <c r="D380" s="257" t="s">
        <v>871</v>
      </c>
      <c r="F380" s="258" t="s">
        <v>568</v>
      </c>
      <c r="G380" s="262">
        <v>1</v>
      </c>
      <c r="H380" s="262" t="s">
        <v>192</v>
      </c>
      <c r="I380" s="321" t="s">
        <v>1357</v>
      </c>
      <c r="J380" s="322">
        <v>46176</v>
      </c>
      <c r="K380" s="263" t="s">
        <v>2046</v>
      </c>
      <c r="L380" s="264" t="s">
        <v>1188</v>
      </c>
      <c r="M380" s="265" t="s">
        <v>380</v>
      </c>
      <c r="N380" s="266">
        <v>10000</v>
      </c>
      <c r="O380" s="267" t="s">
        <v>1197</v>
      </c>
      <c r="P380" s="268" t="s">
        <v>1217</v>
      </c>
      <c r="Q380" s="269">
        <v>10000</v>
      </c>
      <c r="R380" s="270" t="s">
        <v>2047</v>
      </c>
      <c r="S380" s="271">
        <v>10000</v>
      </c>
      <c r="T380" s="272">
        <v>10000</v>
      </c>
      <c r="U380" s="272">
        <v>10000</v>
      </c>
      <c r="V380" s="273" t="s">
        <v>1357</v>
      </c>
      <c r="W380" s="274">
        <v>46176</v>
      </c>
      <c r="X380" s="263" t="s">
        <v>2048</v>
      </c>
      <c r="Y380" s="276" t="s">
        <v>1188</v>
      </c>
      <c r="Z380" s="277" t="s">
        <v>381</v>
      </c>
      <c r="AA380" s="278">
        <v>9000</v>
      </c>
      <c r="AB380" s="279" t="s">
        <v>1197</v>
      </c>
      <c r="AC380" s="280" t="s">
        <v>1217</v>
      </c>
      <c r="AD380" s="281">
        <v>9000</v>
      </c>
      <c r="AE380" s="282" t="s">
        <v>2047</v>
      </c>
      <c r="AF380" s="283">
        <v>9000</v>
      </c>
      <c r="AG380" s="284">
        <v>9000</v>
      </c>
      <c r="AH380" s="284">
        <v>9000</v>
      </c>
      <c r="AI380" s="285" t="s">
        <v>1357</v>
      </c>
      <c r="AJ380" s="286">
        <v>46176</v>
      </c>
      <c r="AK380" s="263" t="s">
        <v>2108</v>
      </c>
      <c r="AL380" s="288" t="s">
        <v>1188</v>
      </c>
      <c r="AM380" s="298" t="s">
        <v>382</v>
      </c>
      <c r="AN380" s="289">
        <v>10000</v>
      </c>
      <c r="AO380" s="290" t="s">
        <v>1197</v>
      </c>
      <c r="AP380" s="290" t="s">
        <v>1217</v>
      </c>
      <c r="AQ380" s="291">
        <v>10000</v>
      </c>
      <c r="AR380" s="300" t="s">
        <v>2047</v>
      </c>
      <c r="AS380" s="292">
        <v>10000</v>
      </c>
      <c r="AT380" s="293">
        <v>10000</v>
      </c>
      <c r="AU380" s="293">
        <v>10000</v>
      </c>
      <c r="AV380" s="294">
        <v>9666.67</v>
      </c>
      <c r="AW380" s="294">
        <v>9666.67</v>
      </c>
      <c r="AX380" s="294">
        <v>577.35</v>
      </c>
      <c r="AY380" s="299">
        <v>5.9700000000000003E-2</v>
      </c>
    </row>
    <row r="381" spans="1:51" ht="57.6" hidden="1">
      <c r="A381" s="257" t="s">
        <v>2044</v>
      </c>
      <c r="B381" s="258" t="s">
        <v>2045</v>
      </c>
      <c r="C381" s="258">
        <v>31211500</v>
      </c>
      <c r="D381" s="257" t="s">
        <v>265</v>
      </c>
      <c r="F381" s="258" t="s">
        <v>267</v>
      </c>
      <c r="G381" s="262">
        <v>1</v>
      </c>
      <c r="H381" s="262" t="s">
        <v>192</v>
      </c>
      <c r="I381" s="321" t="s">
        <v>1357</v>
      </c>
      <c r="J381" s="322">
        <v>46169</v>
      </c>
      <c r="K381" s="263" t="s">
        <v>2071</v>
      </c>
      <c r="L381" s="264" t="s">
        <v>1188</v>
      </c>
      <c r="M381" s="265" t="s">
        <v>193</v>
      </c>
      <c r="N381" s="266">
        <v>180000</v>
      </c>
      <c r="O381" s="267" t="s">
        <v>1197</v>
      </c>
      <c r="P381" s="268" t="s">
        <v>1191</v>
      </c>
      <c r="Q381" s="269">
        <v>180000</v>
      </c>
      <c r="R381" s="271">
        <v>34200</v>
      </c>
      <c r="S381" s="271">
        <v>214200</v>
      </c>
      <c r="T381" s="272">
        <v>180000</v>
      </c>
      <c r="U381" s="272">
        <v>214200</v>
      </c>
      <c r="V381" s="273" t="s">
        <v>1357</v>
      </c>
      <c r="W381" s="274">
        <v>46169</v>
      </c>
      <c r="X381" s="263" t="s">
        <v>2072</v>
      </c>
      <c r="Y381" s="276" t="s">
        <v>1188</v>
      </c>
      <c r="Z381" s="277" t="s">
        <v>245</v>
      </c>
      <c r="AA381" s="278">
        <v>150000</v>
      </c>
      <c r="AB381" s="279" t="s">
        <v>1197</v>
      </c>
      <c r="AC381" s="280" t="s">
        <v>1191</v>
      </c>
      <c r="AD381" s="281">
        <v>150000</v>
      </c>
      <c r="AE381" s="283">
        <v>28500</v>
      </c>
      <c r="AF381" s="283">
        <v>178500</v>
      </c>
      <c r="AG381" s="284">
        <v>150000</v>
      </c>
      <c r="AH381" s="284">
        <v>178500</v>
      </c>
      <c r="AI381" s="285" t="s">
        <v>1357</v>
      </c>
      <c r="AJ381" s="286">
        <v>46169</v>
      </c>
      <c r="AK381" s="263" t="s">
        <v>2062</v>
      </c>
      <c r="AL381" s="288" t="s">
        <v>1188</v>
      </c>
      <c r="AM381" s="298" t="s">
        <v>194</v>
      </c>
      <c r="AN381" s="289">
        <v>200000</v>
      </c>
      <c r="AO381" s="290" t="s">
        <v>1197</v>
      </c>
      <c r="AP381" s="290" t="s">
        <v>1191</v>
      </c>
      <c r="AQ381" s="291">
        <v>200000</v>
      </c>
      <c r="AR381" s="292">
        <v>38000</v>
      </c>
      <c r="AS381" s="292">
        <v>238000</v>
      </c>
      <c r="AT381" s="293">
        <v>200000</v>
      </c>
      <c r="AU381" s="293">
        <v>238000</v>
      </c>
      <c r="AV381" s="294">
        <v>210233.33</v>
      </c>
      <c r="AW381" s="294">
        <v>210233.33</v>
      </c>
      <c r="AX381" s="294">
        <v>29947.68</v>
      </c>
      <c r="AY381" s="299">
        <v>0.1424</v>
      </c>
    </row>
    <row r="382" spans="1:51" ht="57.6" hidden="1">
      <c r="A382" s="257" t="s">
        <v>2044</v>
      </c>
      <c r="B382" s="258" t="s">
        <v>2045</v>
      </c>
      <c r="C382" s="258">
        <v>31211500</v>
      </c>
      <c r="D382" s="257" t="s">
        <v>269</v>
      </c>
      <c r="F382" s="258" t="s">
        <v>267</v>
      </c>
      <c r="G382" s="262">
        <v>1</v>
      </c>
      <c r="H382" s="262" t="s">
        <v>192</v>
      </c>
      <c r="I382" s="321" t="s">
        <v>1357</v>
      </c>
      <c r="J382" s="322">
        <v>46169</v>
      </c>
      <c r="K382" s="263" t="s">
        <v>2071</v>
      </c>
      <c r="L382" s="264" t="s">
        <v>1188</v>
      </c>
      <c r="M382" s="265" t="s">
        <v>193</v>
      </c>
      <c r="N382" s="266">
        <v>180000</v>
      </c>
      <c r="O382" s="267" t="s">
        <v>1197</v>
      </c>
      <c r="P382" s="268" t="s">
        <v>1191</v>
      </c>
      <c r="Q382" s="269">
        <v>180000</v>
      </c>
      <c r="R382" s="271">
        <v>34200</v>
      </c>
      <c r="S382" s="271">
        <v>214200</v>
      </c>
      <c r="T382" s="272">
        <v>180000</v>
      </c>
      <c r="U382" s="272">
        <v>214200</v>
      </c>
      <c r="V382" s="273" t="s">
        <v>1357</v>
      </c>
      <c r="W382" s="274">
        <v>46169</v>
      </c>
      <c r="X382" s="263" t="s">
        <v>2072</v>
      </c>
      <c r="Y382" s="276" t="s">
        <v>1188</v>
      </c>
      <c r="Z382" s="277" t="s">
        <v>245</v>
      </c>
      <c r="AA382" s="278">
        <v>150000</v>
      </c>
      <c r="AB382" s="279" t="s">
        <v>1197</v>
      </c>
      <c r="AC382" s="280" t="s">
        <v>1191</v>
      </c>
      <c r="AD382" s="281">
        <v>150000</v>
      </c>
      <c r="AE382" s="283">
        <v>28500</v>
      </c>
      <c r="AF382" s="283">
        <v>178500</v>
      </c>
      <c r="AG382" s="284">
        <v>150000</v>
      </c>
      <c r="AH382" s="284">
        <v>178500</v>
      </c>
      <c r="AI382" s="285" t="s">
        <v>1357</v>
      </c>
      <c r="AJ382" s="286">
        <v>46169</v>
      </c>
      <c r="AK382" s="263" t="s">
        <v>2062</v>
      </c>
      <c r="AL382" s="288" t="s">
        <v>1188</v>
      </c>
      <c r="AM382" s="298" t="s">
        <v>194</v>
      </c>
      <c r="AN382" s="289">
        <v>200000</v>
      </c>
      <c r="AO382" s="290" t="s">
        <v>1197</v>
      </c>
      <c r="AP382" s="290" t="s">
        <v>1191</v>
      </c>
      <c r="AQ382" s="291">
        <v>200000</v>
      </c>
      <c r="AR382" s="292">
        <v>38000</v>
      </c>
      <c r="AS382" s="292">
        <v>238000</v>
      </c>
      <c r="AT382" s="293">
        <v>200000</v>
      </c>
      <c r="AU382" s="293">
        <v>238000</v>
      </c>
      <c r="AV382" s="294">
        <v>210233.33</v>
      </c>
      <c r="AW382" s="294">
        <v>210233.33</v>
      </c>
      <c r="AX382" s="294">
        <v>29947.68</v>
      </c>
      <c r="AY382" s="299">
        <v>0.1424</v>
      </c>
    </row>
    <row r="383" spans="1:51" ht="57.6" hidden="1">
      <c r="A383" s="257" t="s">
        <v>2044</v>
      </c>
      <c r="B383" s="258" t="s">
        <v>2045</v>
      </c>
      <c r="C383" s="258">
        <v>31211500</v>
      </c>
      <c r="D383" s="257" t="s">
        <v>260</v>
      </c>
      <c r="F383" s="258" t="s">
        <v>262</v>
      </c>
      <c r="G383" s="262">
        <v>1</v>
      </c>
      <c r="H383" s="262" t="s">
        <v>192</v>
      </c>
      <c r="I383" s="321" t="s">
        <v>1357</v>
      </c>
      <c r="J383" s="322">
        <v>46169</v>
      </c>
      <c r="K383" s="263" t="s">
        <v>2071</v>
      </c>
      <c r="L383" s="264" t="s">
        <v>1188</v>
      </c>
      <c r="M383" s="265" t="s">
        <v>193</v>
      </c>
      <c r="N383" s="266">
        <v>180000</v>
      </c>
      <c r="O383" s="267" t="s">
        <v>1197</v>
      </c>
      <c r="P383" s="268" t="s">
        <v>1191</v>
      </c>
      <c r="Q383" s="269">
        <v>180000</v>
      </c>
      <c r="R383" s="271">
        <v>34200</v>
      </c>
      <c r="S383" s="271">
        <v>214200</v>
      </c>
      <c r="T383" s="272">
        <v>180000</v>
      </c>
      <c r="U383" s="272">
        <v>214200</v>
      </c>
      <c r="V383" s="273" t="s">
        <v>1357</v>
      </c>
      <c r="W383" s="274">
        <v>46169</v>
      </c>
      <c r="X383" s="263" t="s">
        <v>2062</v>
      </c>
      <c r="Y383" s="276" t="s">
        <v>1188</v>
      </c>
      <c r="Z383" s="277" t="s">
        <v>194</v>
      </c>
      <c r="AA383" s="278">
        <v>200000</v>
      </c>
      <c r="AB383" s="279" t="s">
        <v>1197</v>
      </c>
      <c r="AC383" s="280" t="s">
        <v>1191</v>
      </c>
      <c r="AD383" s="281">
        <v>200000</v>
      </c>
      <c r="AE383" s="283">
        <v>38000</v>
      </c>
      <c r="AF383" s="283">
        <v>238000</v>
      </c>
      <c r="AG383" s="284">
        <v>200000</v>
      </c>
      <c r="AH383" s="284">
        <v>238000</v>
      </c>
      <c r="AI383" s="285" t="s">
        <v>1199</v>
      </c>
      <c r="AJ383" s="286">
        <v>46191</v>
      </c>
      <c r="AK383" s="263" t="s">
        <v>2224</v>
      </c>
      <c r="AL383" s="288" t="s">
        <v>1193</v>
      </c>
      <c r="AM383" s="298" t="s">
        <v>263</v>
      </c>
      <c r="AN383" s="289">
        <v>206900</v>
      </c>
      <c r="AO383" s="290" t="s">
        <v>1190</v>
      </c>
      <c r="AP383" s="290" t="s">
        <v>1191</v>
      </c>
      <c r="AQ383" s="291">
        <v>173865.55</v>
      </c>
      <c r="AR383" s="292">
        <v>33034</v>
      </c>
      <c r="AS383" s="292">
        <v>206900</v>
      </c>
      <c r="AT383" s="293">
        <v>173866</v>
      </c>
      <c r="AU383" s="293">
        <v>206900</v>
      </c>
      <c r="AV383" s="294">
        <v>219700</v>
      </c>
      <c r="AW383" s="294">
        <v>219700</v>
      </c>
      <c r="AX383" s="294">
        <v>16263.15</v>
      </c>
      <c r="AY383" s="299">
        <v>7.3999999999999996E-2</v>
      </c>
    </row>
    <row r="384" spans="1:51" ht="57.6" hidden="1">
      <c r="A384" s="257" t="s">
        <v>2044</v>
      </c>
      <c r="B384" s="258" t="s">
        <v>2045</v>
      </c>
      <c r="C384" s="258">
        <v>31211500</v>
      </c>
      <c r="D384" s="257" t="s">
        <v>276</v>
      </c>
      <c r="F384" s="258" t="s">
        <v>2225</v>
      </c>
      <c r="G384" s="262">
        <v>1</v>
      </c>
      <c r="H384" s="262" t="s">
        <v>192</v>
      </c>
      <c r="I384" s="321" t="s">
        <v>1357</v>
      </c>
      <c r="J384" s="322">
        <v>46169</v>
      </c>
      <c r="K384" s="263" t="s">
        <v>2071</v>
      </c>
      <c r="L384" s="264" t="s">
        <v>1188</v>
      </c>
      <c r="M384" s="265" t="s">
        <v>193</v>
      </c>
      <c r="N384" s="266">
        <v>180000</v>
      </c>
      <c r="O384" s="267" t="s">
        <v>1197</v>
      </c>
      <c r="P384" s="268" t="s">
        <v>1191</v>
      </c>
      <c r="Q384" s="269">
        <v>180000</v>
      </c>
      <c r="R384" s="271">
        <v>34200</v>
      </c>
      <c r="S384" s="271">
        <v>214200</v>
      </c>
      <c r="T384" s="272">
        <v>180000</v>
      </c>
      <c r="U384" s="272">
        <v>214200</v>
      </c>
      <c r="V384" s="273" t="s">
        <v>1357</v>
      </c>
      <c r="W384" s="274">
        <v>46169</v>
      </c>
      <c r="X384" s="263" t="s">
        <v>2072</v>
      </c>
      <c r="Y384" s="276" t="s">
        <v>1188</v>
      </c>
      <c r="Z384" s="277" t="s">
        <v>245</v>
      </c>
      <c r="AA384" s="278">
        <v>150000</v>
      </c>
      <c r="AB384" s="279" t="s">
        <v>1197</v>
      </c>
      <c r="AC384" s="280" t="s">
        <v>1191</v>
      </c>
      <c r="AD384" s="281">
        <v>150000</v>
      </c>
      <c r="AE384" s="283">
        <v>28500</v>
      </c>
      <c r="AF384" s="283">
        <v>178500</v>
      </c>
      <c r="AG384" s="284">
        <v>150000</v>
      </c>
      <c r="AH384" s="284">
        <v>178500</v>
      </c>
      <c r="AI384" s="285" t="s">
        <v>1357</v>
      </c>
      <c r="AJ384" s="286">
        <v>46169</v>
      </c>
      <c r="AK384" s="263" t="s">
        <v>2062</v>
      </c>
      <c r="AL384" s="288" t="s">
        <v>1188</v>
      </c>
      <c r="AM384" s="298" t="s">
        <v>194</v>
      </c>
      <c r="AN384" s="289">
        <v>200000</v>
      </c>
      <c r="AO384" s="290" t="s">
        <v>1197</v>
      </c>
      <c r="AP384" s="290" t="s">
        <v>1191</v>
      </c>
      <c r="AQ384" s="291">
        <v>200000</v>
      </c>
      <c r="AR384" s="292">
        <v>38000</v>
      </c>
      <c r="AS384" s="292">
        <v>238000</v>
      </c>
      <c r="AT384" s="293">
        <v>200000</v>
      </c>
      <c r="AU384" s="293">
        <v>238000</v>
      </c>
      <c r="AV384" s="294">
        <v>210233.33</v>
      </c>
      <c r="AW384" s="294">
        <v>210233.33</v>
      </c>
      <c r="AX384" s="294">
        <v>29947.68</v>
      </c>
      <c r="AY384" s="299">
        <v>0.1424</v>
      </c>
    </row>
    <row r="385" spans="1:51" ht="57.6" hidden="1">
      <c r="A385" s="257" t="s">
        <v>2044</v>
      </c>
      <c r="B385" s="258" t="s">
        <v>2045</v>
      </c>
      <c r="C385" s="258">
        <v>31211500</v>
      </c>
      <c r="D385" s="257" t="s">
        <v>273</v>
      </c>
      <c r="F385" s="258" t="s">
        <v>267</v>
      </c>
      <c r="G385" s="262">
        <v>1</v>
      </c>
      <c r="H385" s="262" t="s">
        <v>192</v>
      </c>
      <c r="I385" s="321" t="s">
        <v>1357</v>
      </c>
      <c r="J385" s="322">
        <v>46169</v>
      </c>
      <c r="K385" s="263" t="s">
        <v>2071</v>
      </c>
      <c r="L385" s="264" t="s">
        <v>1188</v>
      </c>
      <c r="M385" s="265" t="s">
        <v>193</v>
      </c>
      <c r="N385" s="266">
        <v>180000</v>
      </c>
      <c r="O385" s="267" t="s">
        <v>1197</v>
      </c>
      <c r="P385" s="268" t="s">
        <v>1191</v>
      </c>
      <c r="Q385" s="269">
        <v>180000</v>
      </c>
      <c r="R385" s="271">
        <v>34200</v>
      </c>
      <c r="S385" s="271">
        <v>214200</v>
      </c>
      <c r="T385" s="272">
        <v>180000</v>
      </c>
      <c r="U385" s="272">
        <v>214200</v>
      </c>
      <c r="V385" s="273" t="s">
        <v>1357</v>
      </c>
      <c r="W385" s="274">
        <v>46169</v>
      </c>
      <c r="X385" s="263" t="s">
        <v>2072</v>
      </c>
      <c r="Y385" s="276" t="s">
        <v>1188</v>
      </c>
      <c r="Z385" s="277" t="s">
        <v>245</v>
      </c>
      <c r="AA385" s="278">
        <v>150000</v>
      </c>
      <c r="AB385" s="279" t="s">
        <v>1197</v>
      </c>
      <c r="AC385" s="280" t="s">
        <v>1191</v>
      </c>
      <c r="AD385" s="281">
        <v>150000</v>
      </c>
      <c r="AE385" s="283">
        <v>28500</v>
      </c>
      <c r="AF385" s="283">
        <v>178500</v>
      </c>
      <c r="AG385" s="284">
        <v>150000</v>
      </c>
      <c r="AH385" s="284">
        <v>178500</v>
      </c>
      <c r="AI385" s="285" t="s">
        <v>1357</v>
      </c>
      <c r="AJ385" s="286">
        <v>46169</v>
      </c>
      <c r="AK385" s="263" t="s">
        <v>2062</v>
      </c>
      <c r="AL385" s="288" t="s">
        <v>1188</v>
      </c>
      <c r="AM385" s="298" t="s">
        <v>194</v>
      </c>
      <c r="AN385" s="289">
        <v>200000</v>
      </c>
      <c r="AO385" s="290" t="s">
        <v>1197</v>
      </c>
      <c r="AP385" s="290" t="s">
        <v>1191</v>
      </c>
      <c r="AQ385" s="291">
        <v>200000</v>
      </c>
      <c r="AR385" s="292">
        <v>38000</v>
      </c>
      <c r="AS385" s="292">
        <v>238000</v>
      </c>
      <c r="AT385" s="293">
        <v>200000</v>
      </c>
      <c r="AU385" s="293">
        <v>238000</v>
      </c>
      <c r="AV385" s="294">
        <v>210233.33</v>
      </c>
      <c r="AW385" s="294">
        <v>210233.33</v>
      </c>
      <c r="AX385" s="294">
        <v>29947.68</v>
      </c>
      <c r="AY385" s="299">
        <v>0.1424</v>
      </c>
    </row>
    <row r="386" spans="1:51" ht="57.6" hidden="1">
      <c r="A386" s="257" t="s">
        <v>2044</v>
      </c>
      <c r="B386" s="258" t="s">
        <v>2045</v>
      </c>
      <c r="C386" s="258">
        <v>11151504</v>
      </c>
      <c r="D386" s="257" t="s">
        <v>889</v>
      </c>
      <c r="F386" s="258" t="s">
        <v>568</v>
      </c>
      <c r="G386" s="262">
        <v>1</v>
      </c>
      <c r="H386" s="262" t="s">
        <v>192</v>
      </c>
      <c r="I386" s="321" t="s">
        <v>1357</v>
      </c>
      <c r="J386" s="322">
        <v>46176</v>
      </c>
      <c r="K386" s="263" t="s">
        <v>2046</v>
      </c>
      <c r="L386" s="264" t="s">
        <v>1188</v>
      </c>
      <c r="M386" s="265" t="s">
        <v>380</v>
      </c>
      <c r="N386" s="266">
        <v>24000</v>
      </c>
      <c r="O386" s="267" t="s">
        <v>1197</v>
      </c>
      <c r="P386" s="268" t="s">
        <v>1191</v>
      </c>
      <c r="Q386" s="269">
        <v>24000</v>
      </c>
      <c r="R386" s="271">
        <v>4560</v>
      </c>
      <c r="S386" s="271">
        <v>28560</v>
      </c>
      <c r="T386" s="272">
        <v>24000</v>
      </c>
      <c r="U386" s="272">
        <v>28560</v>
      </c>
      <c r="V386" s="273" t="s">
        <v>1357</v>
      </c>
      <c r="W386" s="274">
        <v>46176</v>
      </c>
      <c r="X386" s="263" t="s">
        <v>2048</v>
      </c>
      <c r="Y386" s="276" t="s">
        <v>1188</v>
      </c>
      <c r="Z386" s="277" t="s">
        <v>381</v>
      </c>
      <c r="AA386" s="278">
        <v>23000</v>
      </c>
      <c r="AB386" s="279" t="s">
        <v>1197</v>
      </c>
      <c r="AC386" s="280" t="s">
        <v>1191</v>
      </c>
      <c r="AD386" s="281">
        <v>23000</v>
      </c>
      <c r="AE386" s="283">
        <v>4370</v>
      </c>
      <c r="AF386" s="283">
        <v>27370</v>
      </c>
      <c r="AG386" s="284">
        <v>23000</v>
      </c>
      <c r="AH386" s="284">
        <v>27370</v>
      </c>
      <c r="AI386" s="285" t="s">
        <v>1357</v>
      </c>
      <c r="AJ386" s="286">
        <v>46176</v>
      </c>
      <c r="AK386" s="263" t="s">
        <v>2108</v>
      </c>
      <c r="AL386" s="288" t="s">
        <v>1188</v>
      </c>
      <c r="AM386" s="298" t="s">
        <v>382</v>
      </c>
      <c r="AN386" s="289">
        <v>21000</v>
      </c>
      <c r="AO386" s="290" t="s">
        <v>1197</v>
      </c>
      <c r="AP386" s="290" t="s">
        <v>1191</v>
      </c>
      <c r="AQ386" s="291">
        <v>21000</v>
      </c>
      <c r="AR386" s="292">
        <v>3990</v>
      </c>
      <c r="AS386" s="292">
        <v>24990</v>
      </c>
      <c r="AT386" s="293">
        <v>21000</v>
      </c>
      <c r="AU386" s="293">
        <v>24990</v>
      </c>
      <c r="AV386" s="294">
        <v>26973.33</v>
      </c>
      <c r="AW386" s="294">
        <v>26973.33</v>
      </c>
      <c r="AX386" s="294">
        <v>1817.76</v>
      </c>
      <c r="AY386" s="299">
        <v>6.7400000000000002E-2</v>
      </c>
    </row>
    <row r="387" spans="1:51" ht="57.6" hidden="1">
      <c r="A387" s="257" t="s">
        <v>2044</v>
      </c>
      <c r="B387" s="258" t="s">
        <v>2045</v>
      </c>
      <c r="C387" s="258">
        <v>46181500</v>
      </c>
      <c r="D387" s="257" t="s">
        <v>2226</v>
      </c>
      <c r="F387" s="258" t="s">
        <v>191</v>
      </c>
      <c r="G387" s="262">
        <v>3</v>
      </c>
      <c r="H387" s="262" t="s">
        <v>305</v>
      </c>
      <c r="I387" s="321"/>
      <c r="J387" s="267"/>
      <c r="K387" s="297"/>
      <c r="L387" s="264"/>
      <c r="M387" s="265"/>
      <c r="N387" s="267"/>
      <c r="O387" s="267"/>
      <c r="P387" s="268"/>
      <c r="Q387" s="270" t="s">
        <v>2227</v>
      </c>
      <c r="R387" s="270" t="s">
        <v>2047</v>
      </c>
      <c r="S387" s="270" t="s">
        <v>2047</v>
      </c>
      <c r="T387" s="316" t="s">
        <v>2047</v>
      </c>
      <c r="U387" s="316" t="s">
        <v>2047</v>
      </c>
      <c r="V387" s="273"/>
      <c r="W387" s="279"/>
      <c r="X387" s="275"/>
      <c r="Y387" s="276"/>
      <c r="Z387" s="277"/>
      <c r="AA387" s="279"/>
      <c r="AB387" s="279"/>
      <c r="AC387" s="280"/>
      <c r="AD387" s="282" t="s">
        <v>2047</v>
      </c>
      <c r="AE387" s="282" t="s">
        <v>2047</v>
      </c>
      <c r="AF387" s="282" t="s">
        <v>2047</v>
      </c>
      <c r="AG387" s="317" t="s">
        <v>2228</v>
      </c>
      <c r="AH387" s="317" t="s">
        <v>2228</v>
      </c>
      <c r="AI387" s="285"/>
      <c r="AJ387" s="290"/>
      <c r="AK387" s="287"/>
      <c r="AL387" s="288"/>
      <c r="AM387" s="298"/>
      <c r="AN387" s="290"/>
      <c r="AO387" s="290"/>
      <c r="AP387" s="290"/>
      <c r="AQ387" s="300" t="s">
        <v>2047</v>
      </c>
      <c r="AR387" s="300" t="s">
        <v>2047</v>
      </c>
      <c r="AS387" s="300" t="s">
        <v>2047</v>
      </c>
      <c r="AT387" s="301" t="s">
        <v>2228</v>
      </c>
      <c r="AU387" s="301" t="s">
        <v>2228</v>
      </c>
      <c r="AV387" s="318" t="s">
        <v>2047</v>
      </c>
      <c r="AW387" s="318" t="s">
        <v>2047</v>
      </c>
      <c r="AX387" s="318" t="s">
        <v>2228</v>
      </c>
      <c r="AY387" s="319" t="e">
        <v>#VALUE!</v>
      </c>
    </row>
    <row r="388" spans="1:51" ht="57.6" hidden="1">
      <c r="A388" s="257" t="s">
        <v>2044</v>
      </c>
      <c r="B388" s="258" t="s">
        <v>2045</v>
      </c>
      <c r="C388" s="258">
        <v>10151808</v>
      </c>
      <c r="D388" s="257" t="s">
        <v>2229</v>
      </c>
      <c r="F388" s="258" t="s">
        <v>568</v>
      </c>
      <c r="G388" s="262">
        <v>1</v>
      </c>
      <c r="H388" s="262" t="s">
        <v>192</v>
      </c>
      <c r="I388" s="321" t="s">
        <v>1199</v>
      </c>
      <c r="J388" s="322">
        <v>46196</v>
      </c>
      <c r="K388" s="263" t="s">
        <v>2230</v>
      </c>
      <c r="L388" s="264" t="s">
        <v>1193</v>
      </c>
      <c r="M388" s="265" t="s">
        <v>603</v>
      </c>
      <c r="N388" s="266">
        <v>1500</v>
      </c>
      <c r="O388" s="267" t="s">
        <v>1197</v>
      </c>
      <c r="P388" s="268" t="s">
        <v>1217</v>
      </c>
      <c r="Q388" s="269">
        <v>1500</v>
      </c>
      <c r="R388" s="270" t="s">
        <v>2047</v>
      </c>
      <c r="S388" s="271">
        <v>1500</v>
      </c>
      <c r="T388" s="272">
        <v>1500</v>
      </c>
      <c r="U388" s="272">
        <v>1500</v>
      </c>
      <c r="V388" s="273" t="s">
        <v>1199</v>
      </c>
      <c r="W388" s="274">
        <v>46196</v>
      </c>
      <c r="X388" s="263" t="s">
        <v>2231</v>
      </c>
      <c r="Y388" s="276" t="s">
        <v>1193</v>
      </c>
      <c r="Z388" s="277" t="s">
        <v>604</v>
      </c>
      <c r="AA388" s="278">
        <v>1200</v>
      </c>
      <c r="AB388" s="279" t="s">
        <v>1197</v>
      </c>
      <c r="AC388" s="280" t="s">
        <v>1217</v>
      </c>
      <c r="AD388" s="281">
        <v>1200</v>
      </c>
      <c r="AE388" s="282" t="s">
        <v>2047</v>
      </c>
      <c r="AF388" s="283">
        <v>1200</v>
      </c>
      <c r="AG388" s="284">
        <v>1200</v>
      </c>
      <c r="AH388" s="284">
        <v>1200</v>
      </c>
      <c r="AI388" s="285" t="s">
        <v>1199</v>
      </c>
      <c r="AJ388" s="286">
        <v>46196</v>
      </c>
      <c r="AK388" s="263" t="s">
        <v>2232</v>
      </c>
      <c r="AL388" s="288" t="s">
        <v>1193</v>
      </c>
      <c r="AM388" s="298" t="s">
        <v>676</v>
      </c>
      <c r="AN388" s="289">
        <v>1400</v>
      </c>
      <c r="AO388" s="290" t="s">
        <v>1197</v>
      </c>
      <c r="AP388" s="290" t="s">
        <v>1217</v>
      </c>
      <c r="AQ388" s="291">
        <v>1400</v>
      </c>
      <c r="AR388" s="300" t="s">
        <v>2047</v>
      </c>
      <c r="AS388" s="292">
        <v>1400</v>
      </c>
      <c r="AT388" s="293">
        <v>1400</v>
      </c>
      <c r="AU388" s="293">
        <v>1400</v>
      </c>
      <c r="AV388" s="294">
        <v>1366.67</v>
      </c>
      <c r="AW388" s="294">
        <v>1366.67</v>
      </c>
      <c r="AX388" s="294">
        <v>152.75</v>
      </c>
      <c r="AY388" s="299">
        <v>0.1118</v>
      </c>
    </row>
    <row r="389" spans="1:51" ht="57.6" hidden="1">
      <c r="A389" s="257" t="s">
        <v>2044</v>
      </c>
      <c r="B389" s="258" t="s">
        <v>2045</v>
      </c>
      <c r="C389" s="258">
        <v>10151503</v>
      </c>
      <c r="D389" s="257" t="s">
        <v>2233</v>
      </c>
      <c r="F389" s="258" t="s">
        <v>568</v>
      </c>
      <c r="G389" s="262">
        <v>1</v>
      </c>
      <c r="H389" s="262" t="s">
        <v>192</v>
      </c>
      <c r="I389" s="321" t="s">
        <v>1199</v>
      </c>
      <c r="J389" s="322">
        <v>46196</v>
      </c>
      <c r="K389" s="263" t="s">
        <v>2234</v>
      </c>
      <c r="L389" s="264" t="s">
        <v>1193</v>
      </c>
      <c r="M389" s="265" t="s">
        <v>603</v>
      </c>
      <c r="N389" s="266">
        <v>1500</v>
      </c>
      <c r="O389" s="267" t="s">
        <v>1197</v>
      </c>
      <c r="P389" s="268" t="s">
        <v>1217</v>
      </c>
      <c r="Q389" s="269">
        <v>1500</v>
      </c>
      <c r="R389" s="270" t="s">
        <v>2047</v>
      </c>
      <c r="S389" s="271">
        <v>1500</v>
      </c>
      <c r="T389" s="272">
        <v>1500</v>
      </c>
      <c r="U389" s="272">
        <v>1500</v>
      </c>
      <c r="V389" s="273" t="s">
        <v>1199</v>
      </c>
      <c r="W389" s="274">
        <v>46196</v>
      </c>
      <c r="X389" s="263" t="s">
        <v>2235</v>
      </c>
      <c r="Y389" s="276" t="s">
        <v>1193</v>
      </c>
      <c r="Z389" s="277" t="s">
        <v>604</v>
      </c>
      <c r="AA389" s="278">
        <v>1200</v>
      </c>
      <c r="AB389" s="279" t="s">
        <v>1197</v>
      </c>
      <c r="AC389" s="280" t="s">
        <v>1217</v>
      </c>
      <c r="AD389" s="281">
        <v>1200</v>
      </c>
      <c r="AE389" s="282" t="s">
        <v>2047</v>
      </c>
      <c r="AF389" s="283">
        <v>1200</v>
      </c>
      <c r="AG389" s="284">
        <v>1200</v>
      </c>
      <c r="AH389" s="284">
        <v>1200</v>
      </c>
      <c r="AI389" s="285" t="s">
        <v>1199</v>
      </c>
      <c r="AJ389" s="286">
        <v>46196</v>
      </c>
      <c r="AK389" s="263" t="s">
        <v>2236</v>
      </c>
      <c r="AL389" s="288" t="s">
        <v>1193</v>
      </c>
      <c r="AM389" s="298" t="s">
        <v>605</v>
      </c>
      <c r="AN389" s="289">
        <v>1500</v>
      </c>
      <c r="AO389" s="290" t="s">
        <v>1197</v>
      </c>
      <c r="AP389" s="290" t="s">
        <v>1217</v>
      </c>
      <c r="AQ389" s="291">
        <v>1500</v>
      </c>
      <c r="AR389" s="300" t="s">
        <v>2047</v>
      </c>
      <c r="AS389" s="292">
        <v>1500</v>
      </c>
      <c r="AT389" s="293">
        <v>1500</v>
      </c>
      <c r="AU389" s="293">
        <v>1500</v>
      </c>
      <c r="AV389" s="294">
        <v>1400</v>
      </c>
      <c r="AW389" s="294">
        <v>1400</v>
      </c>
      <c r="AX389" s="294">
        <v>173.21</v>
      </c>
      <c r="AY389" s="299">
        <v>0.1237</v>
      </c>
    </row>
    <row r="390" spans="1:51" ht="57.6" hidden="1">
      <c r="A390" s="257" t="s">
        <v>2044</v>
      </c>
      <c r="B390" s="258" t="s">
        <v>2045</v>
      </c>
      <c r="C390" s="258">
        <v>10161801</v>
      </c>
      <c r="D390" s="257" t="s">
        <v>2237</v>
      </c>
      <c r="F390" s="258" t="s">
        <v>568</v>
      </c>
      <c r="G390" s="262">
        <v>1</v>
      </c>
      <c r="H390" s="262" t="s">
        <v>192</v>
      </c>
      <c r="I390" s="321" t="s">
        <v>1357</v>
      </c>
      <c r="J390" s="322">
        <v>46176</v>
      </c>
      <c r="K390" s="263" t="s">
        <v>2046</v>
      </c>
      <c r="L390" s="264" t="s">
        <v>1188</v>
      </c>
      <c r="M390" s="265" t="s">
        <v>380</v>
      </c>
      <c r="N390" s="266">
        <v>280</v>
      </c>
      <c r="O390" s="267" t="s">
        <v>1197</v>
      </c>
      <c r="P390" s="268" t="s">
        <v>1217</v>
      </c>
      <c r="Q390" s="269">
        <v>280</v>
      </c>
      <c r="R390" s="270" t="s">
        <v>2047</v>
      </c>
      <c r="S390" s="271">
        <v>280</v>
      </c>
      <c r="T390" s="272">
        <v>280</v>
      </c>
      <c r="U390" s="272">
        <v>280</v>
      </c>
      <c r="V390" s="273" t="s">
        <v>1357</v>
      </c>
      <c r="W390" s="274">
        <v>46176</v>
      </c>
      <c r="X390" s="263" t="s">
        <v>2048</v>
      </c>
      <c r="Y390" s="276" t="s">
        <v>1188</v>
      </c>
      <c r="Z390" s="277" t="s">
        <v>381</v>
      </c>
      <c r="AA390" s="278">
        <v>250</v>
      </c>
      <c r="AB390" s="279" t="s">
        <v>1197</v>
      </c>
      <c r="AC390" s="280" t="s">
        <v>1217</v>
      </c>
      <c r="AD390" s="281">
        <v>250</v>
      </c>
      <c r="AE390" s="282" t="s">
        <v>2047</v>
      </c>
      <c r="AF390" s="283">
        <v>250</v>
      </c>
      <c r="AG390" s="284">
        <v>250</v>
      </c>
      <c r="AH390" s="284">
        <v>250</v>
      </c>
      <c r="AI390" s="285" t="s">
        <v>1357</v>
      </c>
      <c r="AJ390" s="286">
        <v>46176</v>
      </c>
      <c r="AK390" s="263" t="s">
        <v>2108</v>
      </c>
      <c r="AL390" s="288" t="s">
        <v>1188</v>
      </c>
      <c r="AM390" s="298" t="s">
        <v>382</v>
      </c>
      <c r="AN390" s="289">
        <v>193</v>
      </c>
      <c r="AO390" s="290" t="s">
        <v>1197</v>
      </c>
      <c r="AP390" s="290" t="s">
        <v>1217</v>
      </c>
      <c r="AQ390" s="291">
        <v>193</v>
      </c>
      <c r="AR390" s="300" t="s">
        <v>2047</v>
      </c>
      <c r="AS390" s="292">
        <v>193</v>
      </c>
      <c r="AT390" s="293">
        <v>193</v>
      </c>
      <c r="AU390" s="293">
        <v>193</v>
      </c>
      <c r="AV390" s="294">
        <v>241</v>
      </c>
      <c r="AW390" s="294">
        <v>241</v>
      </c>
      <c r="AX390" s="294">
        <v>44.19</v>
      </c>
      <c r="AY390" s="299">
        <v>0.18340000000000001</v>
      </c>
    </row>
    <row r="391" spans="1:51" ht="57.6" hidden="1">
      <c r="A391" s="257" t="s">
        <v>2044</v>
      </c>
      <c r="B391" s="258" t="s">
        <v>2045</v>
      </c>
      <c r="C391" s="258">
        <v>10161805</v>
      </c>
      <c r="D391" s="257" t="s">
        <v>616</v>
      </c>
      <c r="F391" s="258" t="s">
        <v>568</v>
      </c>
      <c r="G391" s="262">
        <v>1</v>
      </c>
      <c r="H391" s="262" t="s">
        <v>192</v>
      </c>
      <c r="I391" s="321" t="s">
        <v>1199</v>
      </c>
      <c r="J391" s="322">
        <v>46197</v>
      </c>
      <c r="K391" s="263" t="s">
        <v>2238</v>
      </c>
      <c r="L391" s="264" t="s">
        <v>1193</v>
      </c>
      <c r="M391" s="265" t="s">
        <v>617</v>
      </c>
      <c r="N391" s="266">
        <v>7083</v>
      </c>
      <c r="O391" s="267" t="s">
        <v>1190</v>
      </c>
      <c r="P391" s="268" t="s">
        <v>1191</v>
      </c>
      <c r="Q391" s="269">
        <v>5952.1</v>
      </c>
      <c r="R391" s="271">
        <v>1131</v>
      </c>
      <c r="S391" s="271">
        <v>7083</v>
      </c>
      <c r="T391" s="272">
        <v>5952</v>
      </c>
      <c r="U391" s="272">
        <v>7083</v>
      </c>
      <c r="V391" s="273" t="s">
        <v>1199</v>
      </c>
      <c r="W391" s="274">
        <v>46197</v>
      </c>
      <c r="X391" s="263" t="s">
        <v>2239</v>
      </c>
      <c r="Y391" s="276" t="s">
        <v>1193</v>
      </c>
      <c r="Z391" s="277" t="s">
        <v>618</v>
      </c>
      <c r="AA391" s="278">
        <v>7750</v>
      </c>
      <c r="AB391" s="279" t="s">
        <v>1190</v>
      </c>
      <c r="AC391" s="280" t="s">
        <v>1191</v>
      </c>
      <c r="AD391" s="281">
        <v>6512.61</v>
      </c>
      <c r="AE391" s="283">
        <v>1237</v>
      </c>
      <c r="AF391" s="283">
        <v>7750</v>
      </c>
      <c r="AG391" s="284">
        <v>6513</v>
      </c>
      <c r="AH391" s="284">
        <v>7750</v>
      </c>
      <c r="AI391" s="285" t="s">
        <v>1199</v>
      </c>
      <c r="AJ391" s="286">
        <v>46196</v>
      </c>
      <c r="AK391" s="263" t="s">
        <v>2240</v>
      </c>
      <c r="AL391" s="288" t="s">
        <v>1193</v>
      </c>
      <c r="AM391" s="298" t="s">
        <v>619</v>
      </c>
      <c r="AN391" s="289">
        <v>5300</v>
      </c>
      <c r="AO391" s="290" t="s">
        <v>1190</v>
      </c>
      <c r="AP391" s="290" t="s">
        <v>1191</v>
      </c>
      <c r="AQ391" s="291">
        <v>4453.78</v>
      </c>
      <c r="AR391" s="292">
        <v>846</v>
      </c>
      <c r="AS391" s="292">
        <v>5300</v>
      </c>
      <c r="AT391" s="293">
        <v>4454</v>
      </c>
      <c r="AU391" s="293">
        <v>5300</v>
      </c>
      <c r="AV391" s="294">
        <v>6711</v>
      </c>
      <c r="AW391" s="294">
        <v>6711</v>
      </c>
      <c r="AX391" s="294">
        <v>1266.6500000000001</v>
      </c>
      <c r="AY391" s="299">
        <v>0.18870000000000001</v>
      </c>
    </row>
    <row r="392" spans="1:51" ht="57.6" hidden="1">
      <c r="A392" s="257" t="s">
        <v>2044</v>
      </c>
      <c r="B392" s="258" t="s">
        <v>2045</v>
      </c>
      <c r="C392" s="258">
        <v>10151525</v>
      </c>
      <c r="D392" s="257" t="s">
        <v>601</v>
      </c>
      <c r="F392" s="258" t="s">
        <v>568</v>
      </c>
      <c r="G392" s="262">
        <v>1</v>
      </c>
      <c r="H392" s="262" t="s">
        <v>192</v>
      </c>
      <c r="I392" s="321" t="s">
        <v>1199</v>
      </c>
      <c r="J392" s="322">
        <v>46196</v>
      </c>
      <c r="K392" s="263" t="s">
        <v>2234</v>
      </c>
      <c r="L392" s="264" t="s">
        <v>1193</v>
      </c>
      <c r="M392" s="265" t="s">
        <v>603</v>
      </c>
      <c r="N392" s="266">
        <v>1500</v>
      </c>
      <c r="O392" s="267" t="s">
        <v>1197</v>
      </c>
      <c r="P392" s="268" t="s">
        <v>1217</v>
      </c>
      <c r="Q392" s="269">
        <v>1500</v>
      </c>
      <c r="R392" s="270" t="s">
        <v>2047</v>
      </c>
      <c r="S392" s="271">
        <v>1500</v>
      </c>
      <c r="T392" s="272">
        <v>1500</v>
      </c>
      <c r="U392" s="272">
        <v>1500</v>
      </c>
      <c r="V392" s="273" t="s">
        <v>1199</v>
      </c>
      <c r="W392" s="274">
        <v>46196</v>
      </c>
      <c r="X392" s="263" t="s">
        <v>2235</v>
      </c>
      <c r="Y392" s="276" t="s">
        <v>1193</v>
      </c>
      <c r="Z392" s="277" t="s">
        <v>604</v>
      </c>
      <c r="AA392" s="278">
        <v>1200</v>
      </c>
      <c r="AB392" s="279" t="s">
        <v>1197</v>
      </c>
      <c r="AC392" s="280" t="s">
        <v>1217</v>
      </c>
      <c r="AD392" s="281">
        <v>1200</v>
      </c>
      <c r="AE392" s="282" t="s">
        <v>2047</v>
      </c>
      <c r="AF392" s="283">
        <v>1200</v>
      </c>
      <c r="AG392" s="284">
        <v>1200</v>
      </c>
      <c r="AH392" s="284">
        <v>1200</v>
      </c>
      <c r="AI392" s="285" t="s">
        <v>1199</v>
      </c>
      <c r="AJ392" s="286">
        <v>46196</v>
      </c>
      <c r="AK392" s="263" t="s">
        <v>2236</v>
      </c>
      <c r="AL392" s="288" t="s">
        <v>1193</v>
      </c>
      <c r="AM392" s="298" t="s">
        <v>605</v>
      </c>
      <c r="AN392" s="289">
        <v>1800</v>
      </c>
      <c r="AO392" s="290" t="s">
        <v>1197</v>
      </c>
      <c r="AP392" s="290" t="s">
        <v>1217</v>
      </c>
      <c r="AQ392" s="291">
        <v>1800</v>
      </c>
      <c r="AR392" s="300" t="s">
        <v>2047</v>
      </c>
      <c r="AS392" s="292">
        <v>1800</v>
      </c>
      <c r="AT392" s="293">
        <v>1800</v>
      </c>
      <c r="AU392" s="293">
        <v>1800</v>
      </c>
      <c r="AV392" s="294">
        <v>1500</v>
      </c>
      <c r="AW392" s="294">
        <v>1500</v>
      </c>
      <c r="AX392" s="294">
        <v>300</v>
      </c>
      <c r="AY392" s="299">
        <v>0.2</v>
      </c>
    </row>
    <row r="393" spans="1:51" ht="57.6" hidden="1">
      <c r="A393" s="257" t="s">
        <v>2044</v>
      </c>
      <c r="B393" s="258" t="s">
        <v>2045</v>
      </c>
      <c r="C393" s="258">
        <v>10161801</v>
      </c>
      <c r="D393" s="257" t="s">
        <v>652</v>
      </c>
      <c r="F393" s="258" t="s">
        <v>568</v>
      </c>
      <c r="G393" s="262">
        <v>1</v>
      </c>
      <c r="H393" s="262" t="s">
        <v>192</v>
      </c>
      <c r="I393" s="321" t="s">
        <v>1357</v>
      </c>
      <c r="J393" s="322">
        <v>46176</v>
      </c>
      <c r="K393" s="263" t="s">
        <v>2046</v>
      </c>
      <c r="L393" s="264" t="s">
        <v>1188</v>
      </c>
      <c r="M393" s="265" t="s">
        <v>380</v>
      </c>
      <c r="N393" s="266">
        <v>280</v>
      </c>
      <c r="O393" s="267" t="s">
        <v>1197</v>
      </c>
      <c r="P393" s="268" t="s">
        <v>1217</v>
      </c>
      <c r="Q393" s="269">
        <v>280</v>
      </c>
      <c r="R393" s="270" t="s">
        <v>2047</v>
      </c>
      <c r="S393" s="271">
        <v>280</v>
      </c>
      <c r="T393" s="272">
        <v>280</v>
      </c>
      <c r="U393" s="272">
        <v>280</v>
      </c>
      <c r="V393" s="273" t="s">
        <v>1357</v>
      </c>
      <c r="W393" s="274">
        <v>46176</v>
      </c>
      <c r="X393" s="263" t="s">
        <v>2048</v>
      </c>
      <c r="Y393" s="276" t="s">
        <v>1188</v>
      </c>
      <c r="Z393" s="277" t="s">
        <v>381</v>
      </c>
      <c r="AA393" s="278">
        <v>250</v>
      </c>
      <c r="AB393" s="279" t="s">
        <v>1197</v>
      </c>
      <c r="AC393" s="280" t="s">
        <v>1217</v>
      </c>
      <c r="AD393" s="281">
        <v>250</v>
      </c>
      <c r="AE393" s="282" t="s">
        <v>2047</v>
      </c>
      <c r="AF393" s="283">
        <v>250</v>
      </c>
      <c r="AG393" s="284">
        <v>250</v>
      </c>
      <c r="AH393" s="284">
        <v>250</v>
      </c>
      <c r="AI393" s="285" t="s">
        <v>1357</v>
      </c>
      <c r="AJ393" s="286">
        <v>46176</v>
      </c>
      <c r="AK393" s="263" t="s">
        <v>2108</v>
      </c>
      <c r="AL393" s="288" t="s">
        <v>1188</v>
      </c>
      <c r="AM393" s="298" t="s">
        <v>382</v>
      </c>
      <c r="AN393" s="289">
        <v>216</v>
      </c>
      <c r="AO393" s="290" t="s">
        <v>1197</v>
      </c>
      <c r="AP393" s="290" t="s">
        <v>1217</v>
      </c>
      <c r="AQ393" s="291">
        <v>216</v>
      </c>
      <c r="AR393" s="300" t="s">
        <v>2047</v>
      </c>
      <c r="AS393" s="292">
        <v>216</v>
      </c>
      <c r="AT393" s="293">
        <v>216</v>
      </c>
      <c r="AU393" s="293">
        <v>216</v>
      </c>
      <c r="AV393" s="294">
        <v>248.67</v>
      </c>
      <c r="AW393" s="294">
        <v>248.67</v>
      </c>
      <c r="AX393" s="294">
        <v>32.020000000000003</v>
      </c>
      <c r="AY393" s="299">
        <v>0.1288</v>
      </c>
    </row>
    <row r="394" spans="1:51" ht="57.6" hidden="1">
      <c r="A394" s="257" t="s">
        <v>2044</v>
      </c>
      <c r="B394" s="258" t="s">
        <v>2045</v>
      </c>
      <c r="C394" s="258">
        <v>10161801</v>
      </c>
      <c r="D394" s="257" t="s">
        <v>654</v>
      </c>
      <c r="F394" s="258" t="s">
        <v>568</v>
      </c>
      <c r="G394" s="262">
        <v>1</v>
      </c>
      <c r="H394" s="262" t="s">
        <v>192</v>
      </c>
      <c r="I394" s="321" t="s">
        <v>1199</v>
      </c>
      <c r="J394" s="322">
        <v>46196</v>
      </c>
      <c r="K394" s="263" t="s">
        <v>2234</v>
      </c>
      <c r="L394" s="264" t="s">
        <v>1193</v>
      </c>
      <c r="M394" s="265" t="s">
        <v>603</v>
      </c>
      <c r="N394" s="266">
        <v>1500</v>
      </c>
      <c r="O394" s="267" t="s">
        <v>1197</v>
      </c>
      <c r="P394" s="268" t="s">
        <v>1217</v>
      </c>
      <c r="Q394" s="269">
        <v>1500</v>
      </c>
      <c r="R394" s="270" t="s">
        <v>2047</v>
      </c>
      <c r="S394" s="271">
        <v>1500</v>
      </c>
      <c r="T394" s="272">
        <v>1500</v>
      </c>
      <c r="U394" s="272">
        <v>1500</v>
      </c>
      <c r="V394" s="273" t="s">
        <v>1199</v>
      </c>
      <c r="W394" s="274">
        <v>46196</v>
      </c>
      <c r="X394" s="263" t="s">
        <v>2235</v>
      </c>
      <c r="Y394" s="276" t="s">
        <v>1193</v>
      </c>
      <c r="Z394" s="277" t="s">
        <v>604</v>
      </c>
      <c r="AA394" s="278">
        <v>1200</v>
      </c>
      <c r="AB394" s="279" t="s">
        <v>1197</v>
      </c>
      <c r="AC394" s="280" t="s">
        <v>1217</v>
      </c>
      <c r="AD394" s="281">
        <v>1200</v>
      </c>
      <c r="AE394" s="282" t="s">
        <v>2047</v>
      </c>
      <c r="AF394" s="283">
        <v>1200</v>
      </c>
      <c r="AG394" s="284">
        <v>1200</v>
      </c>
      <c r="AH394" s="284">
        <v>1200</v>
      </c>
      <c r="AI394" s="285" t="s">
        <v>1199</v>
      </c>
      <c r="AJ394" s="286">
        <v>46196</v>
      </c>
      <c r="AK394" s="263" t="s">
        <v>2236</v>
      </c>
      <c r="AL394" s="288" t="s">
        <v>1193</v>
      </c>
      <c r="AM394" s="298" t="s">
        <v>605</v>
      </c>
      <c r="AN394" s="289">
        <v>1800</v>
      </c>
      <c r="AO394" s="290" t="s">
        <v>1197</v>
      </c>
      <c r="AP394" s="290" t="s">
        <v>1217</v>
      </c>
      <c r="AQ394" s="291">
        <v>1800</v>
      </c>
      <c r="AR394" s="300" t="s">
        <v>2047</v>
      </c>
      <c r="AS394" s="292">
        <v>1800</v>
      </c>
      <c r="AT394" s="293">
        <v>1800</v>
      </c>
      <c r="AU394" s="293">
        <v>1800</v>
      </c>
      <c r="AV394" s="294">
        <v>1500</v>
      </c>
      <c r="AW394" s="294">
        <v>1500</v>
      </c>
      <c r="AX394" s="294">
        <v>300</v>
      </c>
      <c r="AY394" s="299">
        <v>0.2</v>
      </c>
    </row>
    <row r="395" spans="1:51" ht="57.6" hidden="1">
      <c r="A395" s="257" t="s">
        <v>2044</v>
      </c>
      <c r="B395" s="258" t="s">
        <v>2045</v>
      </c>
      <c r="C395" s="258">
        <v>10222901</v>
      </c>
      <c r="D395" s="257" t="s">
        <v>614</v>
      </c>
      <c r="F395" s="258" t="s">
        <v>568</v>
      </c>
      <c r="G395" s="262">
        <v>1</v>
      </c>
      <c r="H395" s="262" t="s">
        <v>192</v>
      </c>
      <c r="I395" s="321" t="s">
        <v>1357</v>
      </c>
      <c r="J395" s="322">
        <v>46176</v>
      </c>
      <c r="K395" s="263" t="s">
        <v>2046</v>
      </c>
      <c r="L395" s="264" t="s">
        <v>1188</v>
      </c>
      <c r="M395" s="265" t="s">
        <v>380</v>
      </c>
      <c r="N395" s="266">
        <v>420</v>
      </c>
      <c r="O395" s="267" t="s">
        <v>1197</v>
      </c>
      <c r="P395" s="268" t="s">
        <v>1217</v>
      </c>
      <c r="Q395" s="269">
        <v>420</v>
      </c>
      <c r="R395" s="270" t="s">
        <v>2047</v>
      </c>
      <c r="S395" s="271">
        <v>420</v>
      </c>
      <c r="T395" s="272">
        <v>420</v>
      </c>
      <c r="U395" s="272">
        <v>420</v>
      </c>
      <c r="V395" s="273" t="s">
        <v>1357</v>
      </c>
      <c r="W395" s="274">
        <v>46176</v>
      </c>
      <c r="X395" s="263" t="s">
        <v>2048</v>
      </c>
      <c r="Y395" s="276" t="s">
        <v>1188</v>
      </c>
      <c r="Z395" s="277" t="s">
        <v>381</v>
      </c>
      <c r="AA395" s="278">
        <v>400</v>
      </c>
      <c r="AB395" s="279" t="s">
        <v>1197</v>
      </c>
      <c r="AC395" s="280" t="s">
        <v>1217</v>
      </c>
      <c r="AD395" s="281">
        <v>400</v>
      </c>
      <c r="AE395" s="282" t="s">
        <v>2047</v>
      </c>
      <c r="AF395" s="283">
        <v>400</v>
      </c>
      <c r="AG395" s="284">
        <v>400</v>
      </c>
      <c r="AH395" s="284">
        <v>400</v>
      </c>
      <c r="AI395" s="285" t="s">
        <v>1357</v>
      </c>
      <c r="AJ395" s="286">
        <v>46176</v>
      </c>
      <c r="AK395" s="263" t="s">
        <v>2108</v>
      </c>
      <c r="AL395" s="288" t="s">
        <v>1188</v>
      </c>
      <c r="AM395" s="298" t="s">
        <v>382</v>
      </c>
      <c r="AN395" s="289">
        <v>350</v>
      </c>
      <c r="AO395" s="290" t="s">
        <v>1197</v>
      </c>
      <c r="AP395" s="290" t="s">
        <v>1217</v>
      </c>
      <c r="AQ395" s="291">
        <v>350</v>
      </c>
      <c r="AR395" s="300" t="s">
        <v>2047</v>
      </c>
      <c r="AS395" s="292">
        <v>350</v>
      </c>
      <c r="AT395" s="293">
        <v>350</v>
      </c>
      <c r="AU395" s="293">
        <v>350</v>
      </c>
      <c r="AV395" s="294">
        <v>390</v>
      </c>
      <c r="AW395" s="294">
        <v>390</v>
      </c>
      <c r="AX395" s="294">
        <v>36.06</v>
      </c>
      <c r="AY395" s="299">
        <v>9.2499999999999999E-2</v>
      </c>
    </row>
    <row r="396" spans="1:51" ht="57.6" hidden="1">
      <c r="A396" s="257" t="s">
        <v>2044</v>
      </c>
      <c r="B396" s="258" t="s">
        <v>2045</v>
      </c>
      <c r="C396" s="258">
        <v>70141504</v>
      </c>
      <c r="D396" s="257" t="s">
        <v>673</v>
      </c>
      <c r="F396" s="258" t="s">
        <v>568</v>
      </c>
      <c r="G396" s="262">
        <v>1</v>
      </c>
      <c r="H396" s="262" t="s">
        <v>192</v>
      </c>
      <c r="I396" s="321" t="s">
        <v>1357</v>
      </c>
      <c r="J396" s="322">
        <v>46176</v>
      </c>
      <c r="K396" s="263" t="s">
        <v>2046</v>
      </c>
      <c r="L396" s="264" t="s">
        <v>1188</v>
      </c>
      <c r="M396" s="265" t="s">
        <v>380</v>
      </c>
      <c r="N396" s="266">
        <v>460</v>
      </c>
      <c r="O396" s="267" t="s">
        <v>1197</v>
      </c>
      <c r="P396" s="268" t="s">
        <v>1217</v>
      </c>
      <c r="Q396" s="269">
        <v>460</v>
      </c>
      <c r="R396" s="270" t="s">
        <v>2047</v>
      </c>
      <c r="S396" s="271">
        <v>460</v>
      </c>
      <c r="T396" s="272">
        <v>460</v>
      </c>
      <c r="U396" s="272">
        <v>460</v>
      </c>
      <c r="V396" s="273" t="s">
        <v>1357</v>
      </c>
      <c r="W396" s="274">
        <v>46176</v>
      </c>
      <c r="X396" s="263" t="s">
        <v>2048</v>
      </c>
      <c r="Y396" s="276" t="s">
        <v>1188</v>
      </c>
      <c r="Z396" s="277" t="s">
        <v>381</v>
      </c>
      <c r="AA396" s="278">
        <v>400</v>
      </c>
      <c r="AB396" s="279" t="s">
        <v>1197</v>
      </c>
      <c r="AC396" s="280" t="s">
        <v>1217</v>
      </c>
      <c r="AD396" s="281">
        <v>400</v>
      </c>
      <c r="AE396" s="282" t="s">
        <v>2047</v>
      </c>
      <c r="AF396" s="283">
        <v>400</v>
      </c>
      <c r="AG396" s="284">
        <v>400</v>
      </c>
      <c r="AH396" s="284">
        <v>400</v>
      </c>
      <c r="AI396" s="285" t="s">
        <v>1357</v>
      </c>
      <c r="AJ396" s="286">
        <v>46176</v>
      </c>
      <c r="AK396" s="263" t="s">
        <v>2108</v>
      </c>
      <c r="AL396" s="288" t="s">
        <v>1188</v>
      </c>
      <c r="AM396" s="298" t="s">
        <v>382</v>
      </c>
      <c r="AN396" s="289">
        <v>350</v>
      </c>
      <c r="AO396" s="290" t="s">
        <v>1197</v>
      </c>
      <c r="AP396" s="290" t="s">
        <v>1217</v>
      </c>
      <c r="AQ396" s="291">
        <v>350</v>
      </c>
      <c r="AR396" s="300" t="s">
        <v>2047</v>
      </c>
      <c r="AS396" s="292">
        <v>350</v>
      </c>
      <c r="AT396" s="293">
        <v>350</v>
      </c>
      <c r="AU396" s="293">
        <v>350</v>
      </c>
      <c r="AV396" s="294">
        <v>403.33</v>
      </c>
      <c r="AW396" s="294">
        <v>403.33</v>
      </c>
      <c r="AX396" s="294">
        <v>55.08</v>
      </c>
      <c r="AY396" s="299">
        <v>0.1366</v>
      </c>
    </row>
    <row r="397" spans="1:51" ht="57.6" hidden="1">
      <c r="A397" s="257" t="s">
        <v>2044</v>
      </c>
      <c r="B397" s="258" t="s">
        <v>2045</v>
      </c>
      <c r="C397" s="258">
        <v>10151515</v>
      </c>
      <c r="D397" s="257" t="s">
        <v>607</v>
      </c>
      <c r="F397" s="258" t="s">
        <v>568</v>
      </c>
      <c r="G397" s="262">
        <v>1</v>
      </c>
      <c r="H397" s="262" t="s">
        <v>192</v>
      </c>
      <c r="I397" s="321" t="s">
        <v>1357</v>
      </c>
      <c r="J397" s="322">
        <v>46176</v>
      </c>
      <c r="K397" s="263" t="s">
        <v>2046</v>
      </c>
      <c r="L397" s="264" t="s">
        <v>1188</v>
      </c>
      <c r="M397" s="265" t="s">
        <v>380</v>
      </c>
      <c r="N397" s="266">
        <v>220</v>
      </c>
      <c r="O397" s="267" t="s">
        <v>1197</v>
      </c>
      <c r="P397" s="268" t="s">
        <v>1217</v>
      </c>
      <c r="Q397" s="269">
        <v>220</v>
      </c>
      <c r="R397" s="270" t="s">
        <v>2047</v>
      </c>
      <c r="S397" s="271">
        <v>220</v>
      </c>
      <c r="T397" s="272">
        <v>220</v>
      </c>
      <c r="U397" s="272">
        <v>220</v>
      </c>
      <c r="V397" s="273" t="s">
        <v>1357</v>
      </c>
      <c r="W397" s="274">
        <v>46176</v>
      </c>
      <c r="X397" s="263" t="s">
        <v>2048</v>
      </c>
      <c r="Y397" s="276" t="s">
        <v>1188</v>
      </c>
      <c r="Z397" s="277" t="s">
        <v>381</v>
      </c>
      <c r="AA397" s="278">
        <v>200</v>
      </c>
      <c r="AB397" s="279" t="s">
        <v>1197</v>
      </c>
      <c r="AC397" s="280" t="s">
        <v>1217</v>
      </c>
      <c r="AD397" s="281">
        <v>200</v>
      </c>
      <c r="AE397" s="282" t="s">
        <v>2047</v>
      </c>
      <c r="AF397" s="283">
        <v>200</v>
      </c>
      <c r="AG397" s="284">
        <v>200</v>
      </c>
      <c r="AH397" s="284">
        <v>200</v>
      </c>
      <c r="AI397" s="285" t="s">
        <v>1357</v>
      </c>
      <c r="AJ397" s="286">
        <v>46176</v>
      </c>
      <c r="AK397" s="263" t="s">
        <v>2108</v>
      </c>
      <c r="AL397" s="288" t="s">
        <v>1188</v>
      </c>
      <c r="AM397" s="298" t="s">
        <v>382</v>
      </c>
      <c r="AN397" s="289">
        <v>169</v>
      </c>
      <c r="AO397" s="290" t="s">
        <v>1197</v>
      </c>
      <c r="AP397" s="290" t="s">
        <v>1217</v>
      </c>
      <c r="AQ397" s="291">
        <v>169</v>
      </c>
      <c r="AR397" s="300" t="s">
        <v>2047</v>
      </c>
      <c r="AS397" s="292">
        <v>169</v>
      </c>
      <c r="AT397" s="293">
        <v>169</v>
      </c>
      <c r="AU397" s="293">
        <v>169</v>
      </c>
      <c r="AV397" s="294">
        <v>196.33</v>
      </c>
      <c r="AW397" s="294">
        <v>196.33</v>
      </c>
      <c r="AX397" s="294">
        <v>25.7</v>
      </c>
      <c r="AY397" s="299">
        <v>0.13089999999999999</v>
      </c>
    </row>
    <row r="398" spans="1:51" ht="57.6" hidden="1">
      <c r="A398" s="257" t="s">
        <v>2044</v>
      </c>
      <c r="B398" s="258" t="s">
        <v>2045</v>
      </c>
      <c r="C398" s="258">
        <v>10151805</v>
      </c>
      <c r="D398" s="257" t="s">
        <v>621</v>
      </c>
      <c r="F398" s="258" t="s">
        <v>568</v>
      </c>
      <c r="G398" s="262">
        <v>1</v>
      </c>
      <c r="H398" s="262" t="s">
        <v>192</v>
      </c>
      <c r="I398" s="321" t="s">
        <v>1199</v>
      </c>
      <c r="J398" s="322">
        <v>46196</v>
      </c>
      <c r="K398" s="263" t="s">
        <v>2234</v>
      </c>
      <c r="L398" s="264" t="s">
        <v>1193</v>
      </c>
      <c r="M398" s="265" t="s">
        <v>603</v>
      </c>
      <c r="N398" s="266">
        <v>1500</v>
      </c>
      <c r="O398" s="267" t="s">
        <v>1197</v>
      </c>
      <c r="P398" s="268" t="s">
        <v>1217</v>
      </c>
      <c r="Q398" s="269">
        <v>1500</v>
      </c>
      <c r="R398" s="270" t="s">
        <v>2047</v>
      </c>
      <c r="S398" s="271">
        <v>1500</v>
      </c>
      <c r="T398" s="272">
        <v>1500</v>
      </c>
      <c r="U398" s="272">
        <v>1500</v>
      </c>
      <c r="V398" s="273" t="s">
        <v>1199</v>
      </c>
      <c r="W398" s="274">
        <v>46196</v>
      </c>
      <c r="X398" s="263" t="s">
        <v>2235</v>
      </c>
      <c r="Y398" s="276" t="s">
        <v>1193</v>
      </c>
      <c r="Z398" s="277" t="s">
        <v>604</v>
      </c>
      <c r="AA398" s="278">
        <v>1200</v>
      </c>
      <c r="AB398" s="279" t="s">
        <v>1197</v>
      </c>
      <c r="AC398" s="280" t="s">
        <v>1217</v>
      </c>
      <c r="AD398" s="281">
        <v>1200</v>
      </c>
      <c r="AE398" s="282" t="s">
        <v>2047</v>
      </c>
      <c r="AF398" s="283">
        <v>1200</v>
      </c>
      <c r="AG398" s="284">
        <v>1200</v>
      </c>
      <c r="AH398" s="284">
        <v>1200</v>
      </c>
      <c r="AI398" s="285" t="s">
        <v>1199</v>
      </c>
      <c r="AJ398" s="286">
        <v>46196</v>
      </c>
      <c r="AK398" s="263" t="s">
        <v>2236</v>
      </c>
      <c r="AL398" s="288" t="s">
        <v>1193</v>
      </c>
      <c r="AM398" s="298" t="s">
        <v>605</v>
      </c>
      <c r="AN398" s="289">
        <v>1500</v>
      </c>
      <c r="AO398" s="290" t="s">
        <v>1197</v>
      </c>
      <c r="AP398" s="290" t="s">
        <v>1217</v>
      </c>
      <c r="AQ398" s="291">
        <v>1500</v>
      </c>
      <c r="AR398" s="300" t="s">
        <v>2047</v>
      </c>
      <c r="AS398" s="292">
        <v>1500</v>
      </c>
      <c r="AT398" s="293">
        <v>1500</v>
      </c>
      <c r="AU398" s="293">
        <v>1500</v>
      </c>
      <c r="AV398" s="294">
        <v>1400</v>
      </c>
      <c r="AW398" s="294">
        <v>1400</v>
      </c>
      <c r="AX398" s="294">
        <v>173.21</v>
      </c>
      <c r="AY398" s="299">
        <v>0.1237</v>
      </c>
    </row>
    <row r="399" spans="1:51" ht="57.6" hidden="1">
      <c r="A399" s="257" t="s">
        <v>2044</v>
      </c>
      <c r="B399" s="258" t="s">
        <v>2045</v>
      </c>
      <c r="C399" s="258">
        <v>10151525</v>
      </c>
      <c r="D399" s="257" t="s">
        <v>2241</v>
      </c>
      <c r="F399" s="258" t="s">
        <v>568</v>
      </c>
      <c r="G399" s="262">
        <v>1</v>
      </c>
      <c r="H399" s="262" t="s">
        <v>192</v>
      </c>
      <c r="I399" s="321" t="s">
        <v>1186</v>
      </c>
      <c r="J399" s="322">
        <v>46198</v>
      </c>
      <c r="K399" s="263" t="s">
        <v>2242</v>
      </c>
      <c r="L399" s="264" t="s">
        <v>1193</v>
      </c>
      <c r="M399" s="265" t="s">
        <v>665</v>
      </c>
      <c r="N399" s="266">
        <v>8000</v>
      </c>
      <c r="O399" s="267" t="s">
        <v>1190</v>
      </c>
      <c r="P399" s="268" t="s">
        <v>1191</v>
      </c>
      <c r="Q399" s="269">
        <v>6722.69</v>
      </c>
      <c r="R399" s="271">
        <v>1277</v>
      </c>
      <c r="S399" s="271">
        <v>8000</v>
      </c>
      <c r="T399" s="272">
        <v>6723</v>
      </c>
      <c r="U399" s="272">
        <v>8000</v>
      </c>
      <c r="V399" s="273" t="s">
        <v>1186</v>
      </c>
      <c r="W399" s="274">
        <v>46198</v>
      </c>
      <c r="X399" s="263" t="s">
        <v>2243</v>
      </c>
      <c r="Y399" s="276" t="s">
        <v>1193</v>
      </c>
      <c r="Z399" s="277" t="s">
        <v>666</v>
      </c>
      <c r="AA399" s="278">
        <v>8000</v>
      </c>
      <c r="AB399" s="279" t="s">
        <v>1190</v>
      </c>
      <c r="AC399" s="280" t="s">
        <v>1191</v>
      </c>
      <c r="AD399" s="281">
        <v>6722.69</v>
      </c>
      <c r="AE399" s="283">
        <v>1277</v>
      </c>
      <c r="AF399" s="283">
        <v>8000</v>
      </c>
      <c r="AG399" s="284">
        <v>6723</v>
      </c>
      <c r="AH399" s="284">
        <v>8000</v>
      </c>
      <c r="AI399" s="285" t="s">
        <v>1186</v>
      </c>
      <c r="AJ399" s="286">
        <v>46198</v>
      </c>
      <c r="AK399" s="263" t="s">
        <v>2244</v>
      </c>
      <c r="AL399" s="288" t="s">
        <v>1193</v>
      </c>
      <c r="AM399" s="298" t="s">
        <v>667</v>
      </c>
      <c r="AN399" s="289">
        <v>8000</v>
      </c>
      <c r="AO399" s="290" t="s">
        <v>1197</v>
      </c>
      <c r="AP399" s="290" t="s">
        <v>1217</v>
      </c>
      <c r="AQ399" s="291">
        <v>8000</v>
      </c>
      <c r="AR399" s="300" t="s">
        <v>2047</v>
      </c>
      <c r="AS399" s="292">
        <v>8000</v>
      </c>
      <c r="AT399" s="293">
        <v>8000</v>
      </c>
      <c r="AU399" s="293">
        <v>8000</v>
      </c>
      <c r="AV399" s="294">
        <v>8000</v>
      </c>
      <c r="AW399" s="294">
        <v>8000</v>
      </c>
      <c r="AX399" s="294">
        <v>0</v>
      </c>
      <c r="AY399" s="299">
        <v>0</v>
      </c>
    </row>
    <row r="400" spans="1:51" ht="57.6" hidden="1">
      <c r="A400" s="257" t="s">
        <v>2044</v>
      </c>
      <c r="B400" s="258" t="s">
        <v>2045</v>
      </c>
      <c r="C400" s="258">
        <v>10151518</v>
      </c>
      <c r="D400" s="257" t="s">
        <v>2245</v>
      </c>
      <c r="F400" s="258" t="s">
        <v>568</v>
      </c>
      <c r="G400" s="262">
        <v>1</v>
      </c>
      <c r="H400" s="262" t="s">
        <v>192</v>
      </c>
      <c r="I400" s="321" t="s">
        <v>1199</v>
      </c>
      <c r="J400" s="322">
        <v>46196</v>
      </c>
      <c r="K400" s="263" t="s">
        <v>2234</v>
      </c>
      <c r="L400" s="264" t="s">
        <v>1193</v>
      </c>
      <c r="M400" s="265" t="s">
        <v>603</v>
      </c>
      <c r="N400" s="266">
        <v>1500</v>
      </c>
      <c r="O400" s="267" t="s">
        <v>1197</v>
      </c>
      <c r="P400" s="268" t="s">
        <v>1217</v>
      </c>
      <c r="Q400" s="269">
        <v>1500</v>
      </c>
      <c r="R400" s="270" t="s">
        <v>2047</v>
      </c>
      <c r="S400" s="271">
        <v>1500</v>
      </c>
      <c r="T400" s="272">
        <v>1500</v>
      </c>
      <c r="U400" s="272">
        <v>1500</v>
      </c>
      <c r="V400" s="273" t="s">
        <v>1199</v>
      </c>
      <c r="W400" s="274">
        <v>46196</v>
      </c>
      <c r="X400" s="263" t="s">
        <v>2235</v>
      </c>
      <c r="Y400" s="276" t="s">
        <v>1193</v>
      </c>
      <c r="Z400" s="277" t="s">
        <v>604</v>
      </c>
      <c r="AA400" s="278">
        <v>1200</v>
      </c>
      <c r="AB400" s="279" t="s">
        <v>1197</v>
      </c>
      <c r="AC400" s="280" t="s">
        <v>1217</v>
      </c>
      <c r="AD400" s="281">
        <v>1200</v>
      </c>
      <c r="AE400" s="282" t="s">
        <v>2047</v>
      </c>
      <c r="AF400" s="283">
        <v>1200</v>
      </c>
      <c r="AG400" s="284">
        <v>1200</v>
      </c>
      <c r="AH400" s="284">
        <v>1200</v>
      </c>
      <c r="AI400" s="285" t="s">
        <v>1199</v>
      </c>
      <c r="AJ400" s="286">
        <v>46196</v>
      </c>
      <c r="AK400" s="263" t="s">
        <v>2236</v>
      </c>
      <c r="AL400" s="288" t="s">
        <v>1193</v>
      </c>
      <c r="AM400" s="298" t="s">
        <v>605</v>
      </c>
      <c r="AN400" s="289">
        <v>1500</v>
      </c>
      <c r="AO400" s="290" t="s">
        <v>1197</v>
      </c>
      <c r="AP400" s="290" t="s">
        <v>1217</v>
      </c>
      <c r="AQ400" s="291">
        <v>1500</v>
      </c>
      <c r="AR400" s="300" t="s">
        <v>2047</v>
      </c>
      <c r="AS400" s="292">
        <v>1500</v>
      </c>
      <c r="AT400" s="293">
        <v>1500</v>
      </c>
      <c r="AU400" s="293">
        <v>1500</v>
      </c>
      <c r="AV400" s="294">
        <v>1400</v>
      </c>
      <c r="AW400" s="294">
        <v>1400</v>
      </c>
      <c r="AX400" s="294">
        <v>173.21</v>
      </c>
      <c r="AY400" s="299">
        <v>0.1237</v>
      </c>
    </row>
    <row r="401" spans="1:51" ht="57.6" hidden="1">
      <c r="A401" s="257" t="s">
        <v>2044</v>
      </c>
      <c r="B401" s="258" t="s">
        <v>2045</v>
      </c>
      <c r="C401" s="258">
        <v>50402002</v>
      </c>
      <c r="D401" s="257" t="s">
        <v>2246</v>
      </c>
      <c r="F401" s="258" t="s">
        <v>568</v>
      </c>
      <c r="G401" s="262">
        <v>1</v>
      </c>
      <c r="H401" s="262" t="s">
        <v>192</v>
      </c>
      <c r="I401" s="321" t="s">
        <v>1199</v>
      </c>
      <c r="J401" s="322">
        <v>46196</v>
      </c>
      <c r="K401" s="263" t="s">
        <v>2234</v>
      </c>
      <c r="L401" s="264" t="s">
        <v>1193</v>
      </c>
      <c r="M401" s="265" t="s">
        <v>603</v>
      </c>
      <c r="N401" s="266">
        <v>1500</v>
      </c>
      <c r="O401" s="267" t="s">
        <v>1197</v>
      </c>
      <c r="P401" s="268" t="s">
        <v>1217</v>
      </c>
      <c r="Q401" s="269">
        <v>1500</v>
      </c>
      <c r="R401" s="270" t="s">
        <v>2047</v>
      </c>
      <c r="S401" s="271">
        <v>1500</v>
      </c>
      <c r="T401" s="272">
        <v>1500</v>
      </c>
      <c r="U401" s="272">
        <v>1500</v>
      </c>
      <c r="V401" s="273" t="s">
        <v>1199</v>
      </c>
      <c r="W401" s="274">
        <v>46196</v>
      </c>
      <c r="X401" s="263" t="s">
        <v>2235</v>
      </c>
      <c r="Y401" s="276" t="s">
        <v>1193</v>
      </c>
      <c r="Z401" s="277" t="s">
        <v>604</v>
      </c>
      <c r="AA401" s="278">
        <v>1200</v>
      </c>
      <c r="AB401" s="279" t="s">
        <v>1197</v>
      </c>
      <c r="AC401" s="280" t="s">
        <v>1217</v>
      </c>
      <c r="AD401" s="281">
        <v>1200</v>
      </c>
      <c r="AE401" s="282" t="s">
        <v>2047</v>
      </c>
      <c r="AF401" s="283">
        <v>1200</v>
      </c>
      <c r="AG401" s="284">
        <v>1200</v>
      </c>
      <c r="AH401" s="284">
        <v>1200</v>
      </c>
      <c r="AI401" s="285" t="s">
        <v>1199</v>
      </c>
      <c r="AJ401" s="286">
        <v>46196</v>
      </c>
      <c r="AK401" s="263" t="s">
        <v>2236</v>
      </c>
      <c r="AL401" s="288" t="s">
        <v>1193</v>
      </c>
      <c r="AM401" s="298" t="s">
        <v>605</v>
      </c>
      <c r="AN401" s="289">
        <v>1500</v>
      </c>
      <c r="AO401" s="290" t="s">
        <v>1197</v>
      </c>
      <c r="AP401" s="290" t="s">
        <v>1217</v>
      </c>
      <c r="AQ401" s="291">
        <v>1500</v>
      </c>
      <c r="AR401" s="300" t="s">
        <v>2047</v>
      </c>
      <c r="AS401" s="292">
        <v>1500</v>
      </c>
      <c r="AT401" s="293">
        <v>1500</v>
      </c>
      <c r="AU401" s="293">
        <v>1500</v>
      </c>
      <c r="AV401" s="294">
        <v>1400</v>
      </c>
      <c r="AW401" s="294">
        <v>1400</v>
      </c>
      <c r="AX401" s="294">
        <v>173.21</v>
      </c>
      <c r="AY401" s="299">
        <v>0.1237</v>
      </c>
    </row>
    <row r="402" spans="1:51" ht="57.6" hidden="1">
      <c r="A402" s="257" t="s">
        <v>2044</v>
      </c>
      <c r="B402" s="258" t="s">
        <v>2045</v>
      </c>
      <c r="C402" s="258">
        <v>10151512</v>
      </c>
      <c r="D402" s="257" t="s">
        <v>632</v>
      </c>
      <c r="F402" s="258" t="s">
        <v>568</v>
      </c>
      <c r="G402" s="262">
        <v>1</v>
      </c>
      <c r="H402" s="262" t="s">
        <v>192</v>
      </c>
      <c r="I402" s="321" t="s">
        <v>1199</v>
      </c>
      <c r="J402" s="322">
        <v>46196</v>
      </c>
      <c r="K402" s="297" t="s">
        <v>2234</v>
      </c>
      <c r="L402" s="264" t="s">
        <v>1193</v>
      </c>
      <c r="M402" s="265" t="s">
        <v>603</v>
      </c>
      <c r="N402" s="266">
        <v>1500</v>
      </c>
      <c r="O402" s="267" t="s">
        <v>1197</v>
      </c>
      <c r="P402" s="268" t="s">
        <v>1217</v>
      </c>
      <c r="Q402" s="269">
        <v>1500</v>
      </c>
      <c r="R402" s="270" t="s">
        <v>2047</v>
      </c>
      <c r="S402" s="271">
        <v>1500</v>
      </c>
      <c r="T402" s="272">
        <v>1500</v>
      </c>
      <c r="U402" s="272">
        <v>1500</v>
      </c>
      <c r="V402" s="273" t="s">
        <v>1199</v>
      </c>
      <c r="W402" s="274">
        <v>46196</v>
      </c>
      <c r="X402" s="263" t="s">
        <v>2235</v>
      </c>
      <c r="Y402" s="276" t="s">
        <v>1193</v>
      </c>
      <c r="Z402" s="277" t="s">
        <v>604</v>
      </c>
      <c r="AA402" s="278">
        <v>1200</v>
      </c>
      <c r="AB402" s="279" t="s">
        <v>1197</v>
      </c>
      <c r="AC402" s="280" t="s">
        <v>1217</v>
      </c>
      <c r="AD402" s="281">
        <v>1200</v>
      </c>
      <c r="AE402" s="282" t="s">
        <v>2047</v>
      </c>
      <c r="AF402" s="283">
        <v>1200</v>
      </c>
      <c r="AG402" s="284">
        <v>1200</v>
      </c>
      <c r="AH402" s="284">
        <v>1200</v>
      </c>
      <c r="AI402" s="285" t="s">
        <v>1199</v>
      </c>
      <c r="AJ402" s="286">
        <v>46196</v>
      </c>
      <c r="AK402" s="263" t="s">
        <v>2236</v>
      </c>
      <c r="AL402" s="288" t="s">
        <v>1193</v>
      </c>
      <c r="AM402" s="298" t="s">
        <v>605</v>
      </c>
      <c r="AN402" s="289">
        <v>1500</v>
      </c>
      <c r="AO402" s="290" t="s">
        <v>1197</v>
      </c>
      <c r="AP402" s="290" t="s">
        <v>1217</v>
      </c>
      <c r="AQ402" s="291">
        <v>1500</v>
      </c>
      <c r="AR402" s="300" t="s">
        <v>2047</v>
      </c>
      <c r="AS402" s="292">
        <v>1500</v>
      </c>
      <c r="AT402" s="293">
        <v>1500</v>
      </c>
      <c r="AU402" s="293">
        <v>1500</v>
      </c>
      <c r="AV402" s="294">
        <v>1400</v>
      </c>
      <c r="AW402" s="294">
        <v>1400</v>
      </c>
      <c r="AX402" s="294">
        <v>173.21</v>
      </c>
      <c r="AY402" s="299">
        <v>0.1237</v>
      </c>
    </row>
    <row r="403" spans="1:51" ht="57.6" hidden="1">
      <c r="A403" s="257" t="s">
        <v>2044</v>
      </c>
      <c r="B403" s="258" t="s">
        <v>2045</v>
      </c>
      <c r="C403" s="258">
        <v>10151512</v>
      </c>
      <c r="D403" s="257" t="s">
        <v>2247</v>
      </c>
      <c r="F403" s="258" t="s">
        <v>568</v>
      </c>
      <c r="G403" s="262">
        <v>1</v>
      </c>
      <c r="H403" s="262" t="s">
        <v>192</v>
      </c>
      <c r="I403" s="321" t="s">
        <v>1357</v>
      </c>
      <c r="J403" s="322">
        <v>46176</v>
      </c>
      <c r="K403" s="263" t="s">
        <v>2046</v>
      </c>
      <c r="L403" s="264" t="s">
        <v>1188</v>
      </c>
      <c r="M403" s="265" t="s">
        <v>380</v>
      </c>
      <c r="N403" s="266">
        <v>280</v>
      </c>
      <c r="O403" s="267" t="s">
        <v>1197</v>
      </c>
      <c r="P403" s="268" t="s">
        <v>1217</v>
      </c>
      <c r="Q403" s="269">
        <v>280</v>
      </c>
      <c r="R403" s="270" t="s">
        <v>2047</v>
      </c>
      <c r="S403" s="271">
        <v>280</v>
      </c>
      <c r="T403" s="272">
        <v>280</v>
      </c>
      <c r="U403" s="272">
        <v>280</v>
      </c>
      <c r="V403" s="273" t="s">
        <v>1357</v>
      </c>
      <c r="W403" s="274">
        <v>46176</v>
      </c>
      <c r="X403" s="263" t="s">
        <v>2108</v>
      </c>
      <c r="Y403" s="276" t="s">
        <v>1188</v>
      </c>
      <c r="Z403" s="277" t="s">
        <v>382</v>
      </c>
      <c r="AA403" s="278">
        <v>216</v>
      </c>
      <c r="AB403" s="279" t="s">
        <v>1197</v>
      </c>
      <c r="AC403" s="280" t="s">
        <v>1217</v>
      </c>
      <c r="AD403" s="281">
        <v>216</v>
      </c>
      <c r="AE403" s="282" t="s">
        <v>2047</v>
      </c>
      <c r="AF403" s="283">
        <v>216</v>
      </c>
      <c r="AG403" s="284">
        <v>216</v>
      </c>
      <c r="AH403" s="284">
        <v>216</v>
      </c>
      <c r="AI403" s="285" t="s">
        <v>1357</v>
      </c>
      <c r="AJ403" s="286">
        <v>46176</v>
      </c>
      <c r="AK403" s="263" t="s">
        <v>2048</v>
      </c>
      <c r="AL403" s="288" t="s">
        <v>1188</v>
      </c>
      <c r="AM403" s="298" t="s">
        <v>381</v>
      </c>
      <c r="AN403" s="289">
        <v>250</v>
      </c>
      <c r="AO403" s="290" t="s">
        <v>1197</v>
      </c>
      <c r="AP403" s="290" t="s">
        <v>1217</v>
      </c>
      <c r="AQ403" s="291">
        <v>250</v>
      </c>
      <c r="AR403" s="300" t="s">
        <v>2047</v>
      </c>
      <c r="AS403" s="292">
        <v>250</v>
      </c>
      <c r="AT403" s="293">
        <v>250</v>
      </c>
      <c r="AU403" s="293">
        <v>250</v>
      </c>
      <c r="AV403" s="294">
        <v>248.67</v>
      </c>
      <c r="AW403" s="294">
        <v>248.67</v>
      </c>
      <c r="AX403" s="294">
        <v>32.020000000000003</v>
      </c>
      <c r="AY403" s="299">
        <v>0.1288</v>
      </c>
    </row>
    <row r="404" spans="1:51" ht="57.6" hidden="1">
      <c r="A404" s="257" t="s">
        <v>2044</v>
      </c>
      <c r="B404" s="258" t="s">
        <v>2045</v>
      </c>
      <c r="C404" s="258">
        <v>10151512</v>
      </c>
      <c r="D404" s="257" t="s">
        <v>2248</v>
      </c>
      <c r="F404" s="258" t="s">
        <v>568</v>
      </c>
      <c r="G404" s="262">
        <v>1</v>
      </c>
      <c r="H404" s="262" t="s">
        <v>192</v>
      </c>
      <c r="I404" s="321" t="s">
        <v>1357</v>
      </c>
      <c r="J404" s="322">
        <v>46176</v>
      </c>
      <c r="K404" s="263" t="s">
        <v>2046</v>
      </c>
      <c r="L404" s="264" t="s">
        <v>1188</v>
      </c>
      <c r="M404" s="265" t="s">
        <v>380</v>
      </c>
      <c r="N404" s="266">
        <v>240</v>
      </c>
      <c r="O404" s="267" t="s">
        <v>1197</v>
      </c>
      <c r="P404" s="268" t="s">
        <v>1217</v>
      </c>
      <c r="Q404" s="269">
        <v>240</v>
      </c>
      <c r="R404" s="270" t="s">
        <v>2047</v>
      </c>
      <c r="S404" s="271">
        <v>240</v>
      </c>
      <c r="T404" s="272">
        <v>240</v>
      </c>
      <c r="U404" s="272">
        <v>240</v>
      </c>
      <c r="V404" s="273" t="s">
        <v>1357</v>
      </c>
      <c r="W404" s="274">
        <v>46176</v>
      </c>
      <c r="X404" s="263" t="s">
        <v>2048</v>
      </c>
      <c r="Y404" s="276" t="s">
        <v>1188</v>
      </c>
      <c r="Z404" s="277" t="s">
        <v>381</v>
      </c>
      <c r="AA404" s="278">
        <v>250</v>
      </c>
      <c r="AB404" s="279" t="s">
        <v>1197</v>
      </c>
      <c r="AC404" s="280" t="s">
        <v>1217</v>
      </c>
      <c r="AD404" s="281">
        <v>250</v>
      </c>
      <c r="AE404" s="282" t="s">
        <v>2047</v>
      </c>
      <c r="AF404" s="283">
        <v>250</v>
      </c>
      <c r="AG404" s="284">
        <v>250</v>
      </c>
      <c r="AH404" s="284">
        <v>250</v>
      </c>
      <c r="AI404" s="285" t="s">
        <v>1357</v>
      </c>
      <c r="AJ404" s="286">
        <v>46176</v>
      </c>
      <c r="AK404" s="263" t="s">
        <v>2108</v>
      </c>
      <c r="AL404" s="288" t="s">
        <v>1188</v>
      </c>
      <c r="AM404" s="298" t="s">
        <v>382</v>
      </c>
      <c r="AN404" s="289">
        <v>224</v>
      </c>
      <c r="AO404" s="290" t="s">
        <v>1197</v>
      </c>
      <c r="AP404" s="290" t="s">
        <v>1217</v>
      </c>
      <c r="AQ404" s="291">
        <v>224</v>
      </c>
      <c r="AR404" s="300" t="s">
        <v>2047</v>
      </c>
      <c r="AS404" s="292">
        <v>224</v>
      </c>
      <c r="AT404" s="293">
        <v>224</v>
      </c>
      <c r="AU404" s="293">
        <v>224</v>
      </c>
      <c r="AV404" s="294">
        <v>238</v>
      </c>
      <c r="AW404" s="294">
        <v>238</v>
      </c>
      <c r="AX404" s="294">
        <v>13.11</v>
      </c>
      <c r="AY404" s="299">
        <v>5.5100000000000003E-2</v>
      </c>
    </row>
    <row r="405" spans="1:51" ht="57.6" hidden="1">
      <c r="A405" s="257" t="s">
        <v>2044</v>
      </c>
      <c r="B405" s="258" t="s">
        <v>2045</v>
      </c>
      <c r="C405" s="258">
        <v>10151512</v>
      </c>
      <c r="D405" s="257" t="s">
        <v>639</v>
      </c>
      <c r="F405" s="258" t="s">
        <v>568</v>
      </c>
      <c r="G405" s="262">
        <v>1</v>
      </c>
      <c r="H405" s="262" t="s">
        <v>192</v>
      </c>
      <c r="I405" s="321" t="s">
        <v>1357</v>
      </c>
      <c r="J405" s="322">
        <v>46176</v>
      </c>
      <c r="K405" s="263" t="s">
        <v>2046</v>
      </c>
      <c r="L405" s="264" t="s">
        <v>1188</v>
      </c>
      <c r="M405" s="265" t="s">
        <v>380</v>
      </c>
      <c r="N405" s="266">
        <v>220</v>
      </c>
      <c r="O405" s="267" t="s">
        <v>1197</v>
      </c>
      <c r="P405" s="268" t="s">
        <v>1217</v>
      </c>
      <c r="Q405" s="269">
        <v>220</v>
      </c>
      <c r="R405" s="270" t="s">
        <v>2047</v>
      </c>
      <c r="S405" s="271">
        <v>220</v>
      </c>
      <c r="T405" s="272">
        <v>220</v>
      </c>
      <c r="U405" s="272">
        <v>220</v>
      </c>
      <c r="V405" s="273" t="s">
        <v>1357</v>
      </c>
      <c r="W405" s="274">
        <v>46176</v>
      </c>
      <c r="X405" s="263" t="s">
        <v>2048</v>
      </c>
      <c r="Y405" s="276" t="s">
        <v>1188</v>
      </c>
      <c r="Z405" s="277" t="s">
        <v>381</v>
      </c>
      <c r="AA405" s="278">
        <v>200</v>
      </c>
      <c r="AB405" s="279" t="s">
        <v>1197</v>
      </c>
      <c r="AC405" s="280" t="s">
        <v>1217</v>
      </c>
      <c r="AD405" s="281">
        <v>200</v>
      </c>
      <c r="AE405" s="282" t="s">
        <v>2047</v>
      </c>
      <c r="AF405" s="283">
        <v>200</v>
      </c>
      <c r="AG405" s="284">
        <v>200</v>
      </c>
      <c r="AH405" s="284">
        <v>200</v>
      </c>
      <c r="AI405" s="285" t="s">
        <v>1357</v>
      </c>
      <c r="AJ405" s="286">
        <v>46176</v>
      </c>
      <c r="AK405" s="263" t="s">
        <v>2108</v>
      </c>
      <c r="AL405" s="288" t="s">
        <v>1188</v>
      </c>
      <c r="AM405" s="298" t="s">
        <v>382</v>
      </c>
      <c r="AN405" s="289">
        <v>154</v>
      </c>
      <c r="AO405" s="290" t="s">
        <v>1197</v>
      </c>
      <c r="AP405" s="290" t="s">
        <v>1217</v>
      </c>
      <c r="AQ405" s="291">
        <v>154</v>
      </c>
      <c r="AR405" s="300" t="s">
        <v>2047</v>
      </c>
      <c r="AS405" s="292">
        <v>154</v>
      </c>
      <c r="AT405" s="293">
        <v>154</v>
      </c>
      <c r="AU405" s="293">
        <v>154</v>
      </c>
      <c r="AV405" s="294">
        <v>191.33</v>
      </c>
      <c r="AW405" s="294">
        <v>191.33</v>
      </c>
      <c r="AX405" s="294">
        <v>33.840000000000003</v>
      </c>
      <c r="AY405" s="299">
        <v>0.1769</v>
      </c>
    </row>
    <row r="406" spans="1:51" ht="57.6" hidden="1">
      <c r="A406" s="257" t="s">
        <v>2044</v>
      </c>
      <c r="B406" s="258" t="s">
        <v>2045</v>
      </c>
      <c r="C406" s="258">
        <v>10151512</v>
      </c>
      <c r="D406" s="257" t="s">
        <v>630</v>
      </c>
      <c r="F406" s="258" t="s">
        <v>568</v>
      </c>
      <c r="G406" s="262">
        <v>1</v>
      </c>
      <c r="H406" s="262" t="s">
        <v>192</v>
      </c>
      <c r="I406" s="321" t="s">
        <v>1357</v>
      </c>
      <c r="J406" s="322">
        <v>46176</v>
      </c>
      <c r="K406" s="263" t="s">
        <v>2046</v>
      </c>
      <c r="L406" s="264" t="s">
        <v>1188</v>
      </c>
      <c r="M406" s="265" t="s">
        <v>380</v>
      </c>
      <c r="N406" s="266">
        <v>320</v>
      </c>
      <c r="O406" s="267" t="s">
        <v>1197</v>
      </c>
      <c r="P406" s="268" t="s">
        <v>1217</v>
      </c>
      <c r="Q406" s="269">
        <v>320</v>
      </c>
      <c r="R406" s="270" t="s">
        <v>2047</v>
      </c>
      <c r="S406" s="271">
        <v>320</v>
      </c>
      <c r="T406" s="272">
        <v>320</v>
      </c>
      <c r="U406" s="272">
        <v>320</v>
      </c>
      <c r="V406" s="273" t="s">
        <v>1357</v>
      </c>
      <c r="W406" s="274">
        <v>46176</v>
      </c>
      <c r="X406" s="263" t="s">
        <v>2048</v>
      </c>
      <c r="Y406" s="276" t="s">
        <v>1188</v>
      </c>
      <c r="Z406" s="277" t="s">
        <v>381</v>
      </c>
      <c r="AA406" s="278">
        <v>300</v>
      </c>
      <c r="AB406" s="279" t="s">
        <v>1197</v>
      </c>
      <c r="AC406" s="280" t="s">
        <v>1217</v>
      </c>
      <c r="AD406" s="281">
        <v>300</v>
      </c>
      <c r="AE406" s="282" t="s">
        <v>2047</v>
      </c>
      <c r="AF406" s="283">
        <v>300</v>
      </c>
      <c r="AG406" s="284">
        <v>300</v>
      </c>
      <c r="AH406" s="284">
        <v>300</v>
      </c>
      <c r="AI406" s="285" t="s">
        <v>1357</v>
      </c>
      <c r="AJ406" s="286">
        <v>46176</v>
      </c>
      <c r="AK406" s="263" t="s">
        <v>2108</v>
      </c>
      <c r="AL406" s="288" t="s">
        <v>1188</v>
      </c>
      <c r="AM406" s="298" t="s">
        <v>382</v>
      </c>
      <c r="AN406" s="289">
        <v>255</v>
      </c>
      <c r="AO406" s="290" t="s">
        <v>1197</v>
      </c>
      <c r="AP406" s="290" t="s">
        <v>1217</v>
      </c>
      <c r="AQ406" s="291">
        <v>255</v>
      </c>
      <c r="AR406" s="300" t="s">
        <v>2047</v>
      </c>
      <c r="AS406" s="292">
        <v>255</v>
      </c>
      <c r="AT406" s="293">
        <v>255</v>
      </c>
      <c r="AU406" s="293">
        <v>255</v>
      </c>
      <c r="AV406" s="294">
        <v>291.67</v>
      </c>
      <c r="AW406" s="294">
        <v>291.67</v>
      </c>
      <c r="AX406" s="294">
        <v>33.29</v>
      </c>
      <c r="AY406" s="299">
        <v>0.11409999999999999</v>
      </c>
    </row>
    <row r="407" spans="1:51" ht="57.6" hidden="1">
      <c r="A407" s="257" t="s">
        <v>2044</v>
      </c>
      <c r="B407" s="258" t="s">
        <v>2045</v>
      </c>
      <c r="C407" s="258">
        <v>50404614</v>
      </c>
      <c r="D407" s="257" t="s">
        <v>628</v>
      </c>
      <c r="F407" s="258" t="s">
        <v>568</v>
      </c>
      <c r="G407" s="262">
        <v>1</v>
      </c>
      <c r="H407" s="262" t="s">
        <v>192</v>
      </c>
      <c r="I407" s="321" t="s">
        <v>1357</v>
      </c>
      <c r="J407" s="322">
        <v>46176</v>
      </c>
      <c r="K407" s="263" t="s">
        <v>2046</v>
      </c>
      <c r="L407" s="264" t="s">
        <v>1188</v>
      </c>
      <c r="M407" s="265" t="s">
        <v>380</v>
      </c>
      <c r="N407" s="266">
        <v>320</v>
      </c>
      <c r="O407" s="267" t="s">
        <v>1197</v>
      </c>
      <c r="P407" s="268" t="s">
        <v>1217</v>
      </c>
      <c r="Q407" s="269">
        <v>320</v>
      </c>
      <c r="R407" s="270" t="s">
        <v>2047</v>
      </c>
      <c r="S407" s="271">
        <v>320</v>
      </c>
      <c r="T407" s="272">
        <v>320</v>
      </c>
      <c r="U407" s="272">
        <v>320</v>
      </c>
      <c r="V407" s="273" t="s">
        <v>1357</v>
      </c>
      <c r="W407" s="274">
        <v>46176</v>
      </c>
      <c r="X407" s="263" t="s">
        <v>2048</v>
      </c>
      <c r="Y407" s="276" t="s">
        <v>1188</v>
      </c>
      <c r="Z407" s="277" t="s">
        <v>381</v>
      </c>
      <c r="AA407" s="278">
        <v>300</v>
      </c>
      <c r="AB407" s="279" t="s">
        <v>1197</v>
      </c>
      <c r="AC407" s="280" t="s">
        <v>1217</v>
      </c>
      <c r="AD407" s="281">
        <v>300</v>
      </c>
      <c r="AE407" s="282" t="s">
        <v>2047</v>
      </c>
      <c r="AF407" s="283">
        <v>300</v>
      </c>
      <c r="AG407" s="284">
        <v>300</v>
      </c>
      <c r="AH407" s="284">
        <v>300</v>
      </c>
      <c r="AI407" s="285" t="s">
        <v>1357</v>
      </c>
      <c r="AJ407" s="286">
        <v>46176</v>
      </c>
      <c r="AK407" s="263" t="s">
        <v>2108</v>
      </c>
      <c r="AL407" s="288" t="s">
        <v>1188</v>
      </c>
      <c r="AM407" s="298" t="s">
        <v>382</v>
      </c>
      <c r="AN407" s="289">
        <v>246</v>
      </c>
      <c r="AO407" s="290" t="s">
        <v>1197</v>
      </c>
      <c r="AP407" s="290" t="s">
        <v>1217</v>
      </c>
      <c r="AQ407" s="291">
        <v>246</v>
      </c>
      <c r="AR407" s="300" t="s">
        <v>2047</v>
      </c>
      <c r="AS407" s="292">
        <v>246</v>
      </c>
      <c r="AT407" s="293">
        <v>246</v>
      </c>
      <c r="AU407" s="293">
        <v>246</v>
      </c>
      <c r="AV407" s="294">
        <v>288.67</v>
      </c>
      <c r="AW407" s="294">
        <v>288.67</v>
      </c>
      <c r="AX407" s="294">
        <v>38.28</v>
      </c>
      <c r="AY407" s="299">
        <v>0.1326</v>
      </c>
    </row>
    <row r="408" spans="1:51" ht="57.6" hidden="1">
      <c r="A408" s="257" t="s">
        <v>2044</v>
      </c>
      <c r="B408" s="258" t="s">
        <v>2045</v>
      </c>
      <c r="C408" s="258">
        <v>50404606</v>
      </c>
      <c r="D408" s="257" t="s">
        <v>636</v>
      </c>
      <c r="F408" s="258" t="s">
        <v>568</v>
      </c>
      <c r="G408" s="262">
        <v>1</v>
      </c>
      <c r="H408" s="262" t="s">
        <v>192</v>
      </c>
      <c r="I408" s="321" t="s">
        <v>1199</v>
      </c>
      <c r="J408" s="322">
        <v>46196</v>
      </c>
      <c r="K408" s="263" t="s">
        <v>2234</v>
      </c>
      <c r="L408" s="264" t="s">
        <v>1193</v>
      </c>
      <c r="M408" s="265" t="s">
        <v>603</v>
      </c>
      <c r="N408" s="266">
        <v>1500</v>
      </c>
      <c r="O408" s="267" t="s">
        <v>1197</v>
      </c>
      <c r="P408" s="268" t="s">
        <v>1217</v>
      </c>
      <c r="Q408" s="269">
        <v>1500</v>
      </c>
      <c r="R408" s="270" t="s">
        <v>2047</v>
      </c>
      <c r="S408" s="271">
        <v>1500</v>
      </c>
      <c r="T408" s="272">
        <v>1500</v>
      </c>
      <c r="U408" s="272">
        <v>1500</v>
      </c>
      <c r="V408" s="273" t="s">
        <v>1199</v>
      </c>
      <c r="W408" s="274">
        <v>46196</v>
      </c>
      <c r="X408" s="263" t="s">
        <v>2235</v>
      </c>
      <c r="Y408" s="276" t="s">
        <v>1193</v>
      </c>
      <c r="Z408" s="277" t="s">
        <v>637</v>
      </c>
      <c r="AA408" s="278">
        <v>1200</v>
      </c>
      <c r="AB408" s="279" t="s">
        <v>1197</v>
      </c>
      <c r="AC408" s="280" t="s">
        <v>1217</v>
      </c>
      <c r="AD408" s="281">
        <v>1200</v>
      </c>
      <c r="AE408" s="282" t="s">
        <v>2047</v>
      </c>
      <c r="AF408" s="283">
        <v>1200</v>
      </c>
      <c r="AG408" s="284">
        <v>1200</v>
      </c>
      <c r="AH408" s="284">
        <v>1200</v>
      </c>
      <c r="AI408" s="285" t="s">
        <v>1199</v>
      </c>
      <c r="AJ408" s="286">
        <v>46196</v>
      </c>
      <c r="AK408" s="263" t="s">
        <v>2236</v>
      </c>
      <c r="AL408" s="288" t="s">
        <v>1193</v>
      </c>
      <c r="AM408" s="298" t="s">
        <v>605</v>
      </c>
      <c r="AN408" s="289">
        <v>1500</v>
      </c>
      <c r="AO408" s="290" t="s">
        <v>1197</v>
      </c>
      <c r="AP408" s="290" t="s">
        <v>1217</v>
      </c>
      <c r="AQ408" s="291">
        <v>1500</v>
      </c>
      <c r="AR408" s="300" t="s">
        <v>2047</v>
      </c>
      <c r="AS408" s="292">
        <v>1500</v>
      </c>
      <c r="AT408" s="293">
        <v>1500</v>
      </c>
      <c r="AU408" s="293">
        <v>1500</v>
      </c>
      <c r="AV408" s="294">
        <v>1400</v>
      </c>
      <c r="AW408" s="294">
        <v>1400</v>
      </c>
      <c r="AX408" s="294">
        <v>173.21</v>
      </c>
      <c r="AY408" s="299">
        <v>0.1237</v>
      </c>
    </row>
    <row r="409" spans="1:51" ht="57.6" hidden="1">
      <c r="A409" s="257" t="s">
        <v>2044</v>
      </c>
      <c r="B409" s="258" t="s">
        <v>2045</v>
      </c>
      <c r="C409" s="258">
        <v>50404606</v>
      </c>
      <c r="D409" s="257" t="s">
        <v>641</v>
      </c>
      <c r="F409" s="258" t="s">
        <v>568</v>
      </c>
      <c r="G409" s="262">
        <v>1</v>
      </c>
      <c r="H409" s="262" t="s">
        <v>192</v>
      </c>
      <c r="I409" s="321" t="s">
        <v>1357</v>
      </c>
      <c r="J409" s="322">
        <v>46176</v>
      </c>
      <c r="K409" s="263" t="s">
        <v>2046</v>
      </c>
      <c r="L409" s="264" t="s">
        <v>1188</v>
      </c>
      <c r="M409" s="265" t="s">
        <v>380</v>
      </c>
      <c r="N409" s="266">
        <v>220</v>
      </c>
      <c r="O409" s="267" t="s">
        <v>1197</v>
      </c>
      <c r="P409" s="268" t="s">
        <v>1217</v>
      </c>
      <c r="Q409" s="269">
        <v>220</v>
      </c>
      <c r="R409" s="270" t="s">
        <v>2047</v>
      </c>
      <c r="S409" s="271">
        <v>220</v>
      </c>
      <c r="T409" s="272">
        <v>220</v>
      </c>
      <c r="U409" s="272">
        <v>220</v>
      </c>
      <c r="V409" s="273" t="s">
        <v>1357</v>
      </c>
      <c r="W409" s="274">
        <v>46176</v>
      </c>
      <c r="X409" s="263" t="s">
        <v>2048</v>
      </c>
      <c r="Y409" s="276" t="s">
        <v>1188</v>
      </c>
      <c r="Z409" s="277" t="s">
        <v>381</v>
      </c>
      <c r="AA409" s="278">
        <v>200</v>
      </c>
      <c r="AB409" s="279" t="s">
        <v>1197</v>
      </c>
      <c r="AC409" s="280" t="s">
        <v>1217</v>
      </c>
      <c r="AD409" s="281">
        <v>200</v>
      </c>
      <c r="AE409" s="282" t="s">
        <v>2047</v>
      </c>
      <c r="AF409" s="283">
        <v>200</v>
      </c>
      <c r="AG409" s="284">
        <v>200</v>
      </c>
      <c r="AH409" s="284">
        <v>200</v>
      </c>
      <c r="AI409" s="285" t="s">
        <v>1199</v>
      </c>
      <c r="AJ409" s="286">
        <v>46191</v>
      </c>
      <c r="AK409" s="263" t="s">
        <v>2249</v>
      </c>
      <c r="AL409" s="288" t="s">
        <v>1193</v>
      </c>
      <c r="AM409" s="298" t="s">
        <v>642</v>
      </c>
      <c r="AN409" s="289">
        <v>200</v>
      </c>
      <c r="AO409" s="290" t="s">
        <v>1190</v>
      </c>
      <c r="AP409" s="290" t="s">
        <v>1191</v>
      </c>
      <c r="AQ409" s="291">
        <v>168.07</v>
      </c>
      <c r="AR409" s="292">
        <v>32</v>
      </c>
      <c r="AS409" s="292">
        <v>200</v>
      </c>
      <c r="AT409" s="293">
        <v>168</v>
      </c>
      <c r="AU409" s="293">
        <v>200</v>
      </c>
      <c r="AV409" s="294">
        <v>206.67</v>
      </c>
      <c r="AW409" s="294">
        <v>206.67</v>
      </c>
      <c r="AX409" s="294">
        <v>11.55</v>
      </c>
      <c r="AY409" s="299">
        <v>5.5899999999999998E-2</v>
      </c>
    </row>
    <row r="410" spans="1:51" ht="57.6" hidden="1">
      <c r="A410" s="257" t="s">
        <v>2044</v>
      </c>
      <c r="B410" s="258" t="s">
        <v>2045</v>
      </c>
      <c r="C410" s="258">
        <v>10151512</v>
      </c>
      <c r="D410" s="257" t="s">
        <v>609</v>
      </c>
      <c r="F410" s="258" t="s">
        <v>568</v>
      </c>
      <c r="G410" s="262">
        <v>1</v>
      </c>
      <c r="H410" s="262" t="s">
        <v>192</v>
      </c>
      <c r="I410" s="321" t="s">
        <v>1357</v>
      </c>
      <c r="J410" s="322">
        <v>46176</v>
      </c>
      <c r="K410" s="263" t="s">
        <v>2046</v>
      </c>
      <c r="L410" s="264" t="s">
        <v>1188</v>
      </c>
      <c r="M410" s="265" t="s">
        <v>380</v>
      </c>
      <c r="N410" s="266">
        <v>220</v>
      </c>
      <c r="O410" s="267" t="s">
        <v>1197</v>
      </c>
      <c r="P410" s="268" t="s">
        <v>1217</v>
      </c>
      <c r="Q410" s="269">
        <v>220</v>
      </c>
      <c r="R410" s="270" t="s">
        <v>2047</v>
      </c>
      <c r="S410" s="271">
        <v>220</v>
      </c>
      <c r="T410" s="272">
        <v>220</v>
      </c>
      <c r="U410" s="272">
        <v>220</v>
      </c>
      <c r="V410" s="273" t="s">
        <v>1357</v>
      </c>
      <c r="W410" s="274">
        <v>46176</v>
      </c>
      <c r="X410" s="263" t="s">
        <v>2048</v>
      </c>
      <c r="Y410" s="276" t="s">
        <v>1188</v>
      </c>
      <c r="Z410" s="277" t="s">
        <v>381</v>
      </c>
      <c r="AA410" s="278">
        <v>200</v>
      </c>
      <c r="AB410" s="279" t="s">
        <v>1197</v>
      </c>
      <c r="AC410" s="280" t="s">
        <v>1217</v>
      </c>
      <c r="AD410" s="281">
        <v>200</v>
      </c>
      <c r="AE410" s="282" t="s">
        <v>2047</v>
      </c>
      <c r="AF410" s="283">
        <v>200</v>
      </c>
      <c r="AG410" s="284">
        <v>200</v>
      </c>
      <c r="AH410" s="284">
        <v>200</v>
      </c>
      <c r="AI410" s="285" t="s">
        <v>1199</v>
      </c>
      <c r="AJ410" s="286">
        <v>46191</v>
      </c>
      <c r="AK410" s="263" t="s">
        <v>2250</v>
      </c>
      <c r="AL410" s="288" t="s">
        <v>1193</v>
      </c>
      <c r="AM410" s="298" t="s">
        <v>610</v>
      </c>
      <c r="AN410" s="289">
        <v>250</v>
      </c>
      <c r="AO410" s="290" t="s">
        <v>1190</v>
      </c>
      <c r="AP410" s="290" t="s">
        <v>1191</v>
      </c>
      <c r="AQ410" s="291">
        <v>210.08</v>
      </c>
      <c r="AR410" s="292">
        <v>40</v>
      </c>
      <c r="AS410" s="292">
        <v>250</v>
      </c>
      <c r="AT410" s="293">
        <v>210</v>
      </c>
      <c r="AU410" s="293">
        <v>250</v>
      </c>
      <c r="AV410" s="294">
        <v>223.33</v>
      </c>
      <c r="AW410" s="294">
        <v>223.33</v>
      </c>
      <c r="AX410" s="294">
        <v>25.17</v>
      </c>
      <c r="AY410" s="299">
        <v>0.11269999999999999</v>
      </c>
    </row>
    <row r="411" spans="1:51" ht="57.6" hidden="1">
      <c r="A411" s="257" t="s">
        <v>2044</v>
      </c>
      <c r="B411" s="258" t="s">
        <v>2045</v>
      </c>
      <c r="C411" s="258">
        <v>10151506</v>
      </c>
      <c r="D411" s="257" t="s">
        <v>680</v>
      </c>
      <c r="F411" s="258" t="s">
        <v>568</v>
      </c>
      <c r="G411" s="262">
        <v>1</v>
      </c>
      <c r="H411" s="262" t="s">
        <v>192</v>
      </c>
      <c r="I411" s="321" t="s">
        <v>1357</v>
      </c>
      <c r="J411" s="322">
        <v>46176</v>
      </c>
      <c r="K411" s="263" t="s">
        <v>2046</v>
      </c>
      <c r="L411" s="264" t="s">
        <v>1188</v>
      </c>
      <c r="M411" s="265" t="s">
        <v>380</v>
      </c>
      <c r="N411" s="266">
        <v>4000</v>
      </c>
      <c r="O411" s="267" t="s">
        <v>1197</v>
      </c>
      <c r="P411" s="268" t="s">
        <v>1217</v>
      </c>
      <c r="Q411" s="269">
        <v>4000</v>
      </c>
      <c r="R411" s="270" t="s">
        <v>2047</v>
      </c>
      <c r="S411" s="271">
        <v>4000</v>
      </c>
      <c r="T411" s="272">
        <v>4000</v>
      </c>
      <c r="U411" s="272">
        <v>4000</v>
      </c>
      <c r="V411" s="273" t="s">
        <v>1357</v>
      </c>
      <c r="W411" s="274">
        <v>46176</v>
      </c>
      <c r="X411" s="263" t="s">
        <v>2048</v>
      </c>
      <c r="Y411" s="276" t="s">
        <v>1188</v>
      </c>
      <c r="Z411" s="277" t="s">
        <v>381</v>
      </c>
      <c r="AA411" s="278">
        <v>3800</v>
      </c>
      <c r="AB411" s="279" t="s">
        <v>1197</v>
      </c>
      <c r="AC411" s="280" t="s">
        <v>1217</v>
      </c>
      <c r="AD411" s="281">
        <v>3800</v>
      </c>
      <c r="AE411" s="282" t="s">
        <v>2047</v>
      </c>
      <c r="AF411" s="283">
        <v>3800</v>
      </c>
      <c r="AG411" s="284">
        <v>3800</v>
      </c>
      <c r="AH411" s="284">
        <v>3800</v>
      </c>
      <c r="AI411" s="285" t="s">
        <v>1357</v>
      </c>
      <c r="AJ411" s="286">
        <v>46176</v>
      </c>
      <c r="AK411" s="263" t="s">
        <v>2108</v>
      </c>
      <c r="AL411" s="288" t="s">
        <v>1188</v>
      </c>
      <c r="AM411" s="298" t="s">
        <v>382</v>
      </c>
      <c r="AN411" s="289">
        <v>3500</v>
      </c>
      <c r="AO411" s="290" t="s">
        <v>1197</v>
      </c>
      <c r="AP411" s="290" t="s">
        <v>1217</v>
      </c>
      <c r="AQ411" s="291">
        <v>3500</v>
      </c>
      <c r="AR411" s="300" t="s">
        <v>2047</v>
      </c>
      <c r="AS411" s="292">
        <v>3500</v>
      </c>
      <c r="AT411" s="293">
        <v>3500</v>
      </c>
      <c r="AU411" s="293">
        <v>3500</v>
      </c>
      <c r="AV411" s="294">
        <v>3766.67</v>
      </c>
      <c r="AW411" s="294">
        <v>3766.67</v>
      </c>
      <c r="AX411" s="294">
        <v>251.66</v>
      </c>
      <c r="AY411" s="299">
        <v>6.6799999999999998E-2</v>
      </c>
    </row>
    <row r="412" spans="1:51" ht="57.6" hidden="1">
      <c r="A412" s="257" t="s">
        <v>2044</v>
      </c>
      <c r="B412" s="258" t="s">
        <v>2045</v>
      </c>
      <c r="C412" s="258">
        <v>70141504</v>
      </c>
      <c r="D412" s="257" t="s">
        <v>612</v>
      </c>
      <c r="F412" s="258" t="s">
        <v>568</v>
      </c>
      <c r="G412" s="262">
        <v>1</v>
      </c>
      <c r="H412" s="262" t="s">
        <v>192</v>
      </c>
      <c r="I412" s="321" t="s">
        <v>1357</v>
      </c>
      <c r="J412" s="322">
        <v>46176</v>
      </c>
      <c r="K412" s="263" t="s">
        <v>2046</v>
      </c>
      <c r="L412" s="264" t="s">
        <v>1188</v>
      </c>
      <c r="M412" s="265" t="s">
        <v>380</v>
      </c>
      <c r="N412" s="266">
        <v>360</v>
      </c>
      <c r="O412" s="267" t="s">
        <v>1197</v>
      </c>
      <c r="P412" s="268" t="s">
        <v>1217</v>
      </c>
      <c r="Q412" s="269">
        <v>360</v>
      </c>
      <c r="R412" s="270" t="s">
        <v>2047</v>
      </c>
      <c r="S412" s="271">
        <v>360</v>
      </c>
      <c r="T412" s="272">
        <v>360</v>
      </c>
      <c r="U412" s="272">
        <v>360</v>
      </c>
      <c r="V412" s="273" t="s">
        <v>1357</v>
      </c>
      <c r="W412" s="274">
        <v>46176</v>
      </c>
      <c r="X412" s="263" t="s">
        <v>2048</v>
      </c>
      <c r="Y412" s="276" t="s">
        <v>1188</v>
      </c>
      <c r="Z412" s="277" t="s">
        <v>381</v>
      </c>
      <c r="AA412" s="278">
        <v>380</v>
      </c>
      <c r="AB412" s="279" t="s">
        <v>1197</v>
      </c>
      <c r="AC412" s="280" t="s">
        <v>1217</v>
      </c>
      <c r="AD412" s="281">
        <v>380</v>
      </c>
      <c r="AE412" s="282" t="s">
        <v>2047</v>
      </c>
      <c r="AF412" s="283">
        <v>380</v>
      </c>
      <c r="AG412" s="284">
        <v>380</v>
      </c>
      <c r="AH412" s="284">
        <v>380</v>
      </c>
      <c r="AI412" s="285" t="s">
        <v>1357</v>
      </c>
      <c r="AJ412" s="286">
        <v>46176</v>
      </c>
      <c r="AK412" s="263" t="s">
        <v>2108</v>
      </c>
      <c r="AL412" s="288" t="s">
        <v>1188</v>
      </c>
      <c r="AM412" s="298" t="s">
        <v>382</v>
      </c>
      <c r="AN412" s="289">
        <v>350</v>
      </c>
      <c r="AO412" s="290" t="s">
        <v>1197</v>
      </c>
      <c r="AP412" s="290" t="s">
        <v>1217</v>
      </c>
      <c r="AQ412" s="291">
        <v>350</v>
      </c>
      <c r="AR412" s="300" t="s">
        <v>2047</v>
      </c>
      <c r="AS412" s="292">
        <v>350</v>
      </c>
      <c r="AT412" s="293">
        <v>350</v>
      </c>
      <c r="AU412" s="293">
        <v>350</v>
      </c>
      <c r="AV412" s="294">
        <v>363.33</v>
      </c>
      <c r="AW412" s="294">
        <v>363.33</v>
      </c>
      <c r="AX412" s="294">
        <v>15.28</v>
      </c>
      <c r="AY412" s="299">
        <v>4.2000000000000003E-2</v>
      </c>
    </row>
    <row r="413" spans="1:51" ht="57.6" hidden="1">
      <c r="A413" s="257" t="s">
        <v>2044</v>
      </c>
      <c r="B413" s="258" t="s">
        <v>2045</v>
      </c>
      <c r="C413" s="258">
        <v>50404621</v>
      </c>
      <c r="D413" s="257" t="s">
        <v>646</v>
      </c>
      <c r="F413" s="258" t="s">
        <v>568</v>
      </c>
      <c r="G413" s="262">
        <v>1</v>
      </c>
      <c r="H413" s="262" t="s">
        <v>192</v>
      </c>
      <c r="I413" s="321" t="s">
        <v>1357</v>
      </c>
      <c r="J413" s="322">
        <v>46176</v>
      </c>
      <c r="K413" s="263" t="s">
        <v>2046</v>
      </c>
      <c r="L413" s="264" t="s">
        <v>1188</v>
      </c>
      <c r="M413" s="265" t="s">
        <v>380</v>
      </c>
      <c r="N413" s="266">
        <v>220</v>
      </c>
      <c r="O413" s="267" t="s">
        <v>1197</v>
      </c>
      <c r="P413" s="268" t="s">
        <v>1217</v>
      </c>
      <c r="Q413" s="269">
        <v>220</v>
      </c>
      <c r="R413" s="270" t="s">
        <v>2047</v>
      </c>
      <c r="S413" s="271">
        <v>220</v>
      </c>
      <c r="T413" s="272">
        <v>220</v>
      </c>
      <c r="U413" s="272">
        <v>220</v>
      </c>
      <c r="V413" s="273" t="s">
        <v>1357</v>
      </c>
      <c r="W413" s="274">
        <v>46176</v>
      </c>
      <c r="X413" s="263" t="s">
        <v>2048</v>
      </c>
      <c r="Y413" s="276" t="s">
        <v>1188</v>
      </c>
      <c r="Z413" s="277" t="s">
        <v>381</v>
      </c>
      <c r="AA413" s="278">
        <v>200</v>
      </c>
      <c r="AB413" s="279" t="s">
        <v>1197</v>
      </c>
      <c r="AC413" s="280" t="s">
        <v>1217</v>
      </c>
      <c r="AD413" s="281">
        <v>200</v>
      </c>
      <c r="AE413" s="282" t="s">
        <v>2047</v>
      </c>
      <c r="AF413" s="283">
        <v>200</v>
      </c>
      <c r="AG413" s="284">
        <v>200</v>
      </c>
      <c r="AH413" s="284">
        <v>200</v>
      </c>
      <c r="AI413" s="285" t="s">
        <v>1357</v>
      </c>
      <c r="AJ413" s="286">
        <v>46176</v>
      </c>
      <c r="AK413" s="263" t="s">
        <v>2108</v>
      </c>
      <c r="AL413" s="288" t="s">
        <v>1188</v>
      </c>
      <c r="AM413" s="298" t="s">
        <v>382</v>
      </c>
      <c r="AN413" s="289">
        <v>147</v>
      </c>
      <c r="AO413" s="290" t="s">
        <v>1197</v>
      </c>
      <c r="AP413" s="290" t="s">
        <v>1217</v>
      </c>
      <c r="AQ413" s="291">
        <v>147</v>
      </c>
      <c r="AR413" s="300" t="s">
        <v>2047</v>
      </c>
      <c r="AS413" s="292">
        <v>147</v>
      </c>
      <c r="AT413" s="293">
        <v>147</v>
      </c>
      <c r="AU413" s="293">
        <v>147</v>
      </c>
      <c r="AV413" s="294">
        <v>189</v>
      </c>
      <c r="AW413" s="294">
        <v>189</v>
      </c>
      <c r="AX413" s="294">
        <v>37.72</v>
      </c>
      <c r="AY413" s="299">
        <v>0.1996</v>
      </c>
    </row>
    <row r="414" spans="1:51" ht="57.6" hidden="1">
      <c r="A414" s="257" t="s">
        <v>2044</v>
      </c>
      <c r="B414" s="258" t="s">
        <v>2045</v>
      </c>
      <c r="C414" s="258">
        <v>10151512</v>
      </c>
      <c r="D414" s="257" t="s">
        <v>644</v>
      </c>
      <c r="F414" s="258" t="s">
        <v>568</v>
      </c>
      <c r="G414" s="262">
        <v>1</v>
      </c>
      <c r="H414" s="262" t="s">
        <v>192</v>
      </c>
      <c r="I414" s="321" t="s">
        <v>1357</v>
      </c>
      <c r="J414" s="322">
        <v>46176</v>
      </c>
      <c r="K414" s="263" t="s">
        <v>2046</v>
      </c>
      <c r="L414" s="264" t="s">
        <v>1188</v>
      </c>
      <c r="M414" s="265" t="s">
        <v>380</v>
      </c>
      <c r="N414" s="266">
        <v>220</v>
      </c>
      <c r="O414" s="267" t="s">
        <v>1197</v>
      </c>
      <c r="P414" s="268" t="s">
        <v>1217</v>
      </c>
      <c r="Q414" s="269">
        <v>220</v>
      </c>
      <c r="R414" s="270" t="s">
        <v>2047</v>
      </c>
      <c r="S414" s="271">
        <v>220</v>
      </c>
      <c r="T414" s="272">
        <v>220</v>
      </c>
      <c r="U414" s="272">
        <v>220</v>
      </c>
      <c r="V414" s="273" t="s">
        <v>1357</v>
      </c>
      <c r="W414" s="274">
        <v>46176</v>
      </c>
      <c r="X414" s="263" t="s">
        <v>2048</v>
      </c>
      <c r="Y414" s="276" t="s">
        <v>1188</v>
      </c>
      <c r="Z414" s="277" t="s">
        <v>381</v>
      </c>
      <c r="AA414" s="278">
        <v>200</v>
      </c>
      <c r="AB414" s="279" t="s">
        <v>1197</v>
      </c>
      <c r="AC414" s="280" t="s">
        <v>1217</v>
      </c>
      <c r="AD414" s="281">
        <v>200</v>
      </c>
      <c r="AE414" s="282" t="s">
        <v>2047</v>
      </c>
      <c r="AF414" s="283">
        <v>200</v>
      </c>
      <c r="AG414" s="284">
        <v>200</v>
      </c>
      <c r="AH414" s="284">
        <v>200</v>
      </c>
      <c r="AI414" s="285" t="s">
        <v>1357</v>
      </c>
      <c r="AJ414" s="286">
        <v>46176</v>
      </c>
      <c r="AK414" s="263" t="s">
        <v>2108</v>
      </c>
      <c r="AL414" s="288" t="s">
        <v>1188</v>
      </c>
      <c r="AM414" s="298" t="s">
        <v>382</v>
      </c>
      <c r="AN414" s="289">
        <v>147</v>
      </c>
      <c r="AO414" s="290" t="s">
        <v>1197</v>
      </c>
      <c r="AP414" s="290" t="s">
        <v>1217</v>
      </c>
      <c r="AQ414" s="291">
        <v>147</v>
      </c>
      <c r="AR414" s="300" t="s">
        <v>2047</v>
      </c>
      <c r="AS414" s="292">
        <v>147</v>
      </c>
      <c r="AT414" s="293">
        <v>147</v>
      </c>
      <c r="AU414" s="293">
        <v>147</v>
      </c>
      <c r="AV414" s="294">
        <v>189</v>
      </c>
      <c r="AW414" s="294">
        <v>189</v>
      </c>
      <c r="AX414" s="294">
        <v>37.72</v>
      </c>
      <c r="AY414" s="299">
        <v>0.1996</v>
      </c>
    </row>
    <row r="415" spans="1:51" ht="57.6" hidden="1">
      <c r="A415" s="257" t="s">
        <v>2044</v>
      </c>
      <c r="B415" s="258" t="s">
        <v>2045</v>
      </c>
      <c r="C415" s="258">
        <v>10151524</v>
      </c>
      <c r="D415" s="257" t="s">
        <v>658</v>
      </c>
      <c r="F415" s="258" t="s">
        <v>568</v>
      </c>
      <c r="G415" s="262">
        <v>1</v>
      </c>
      <c r="H415" s="262" t="s">
        <v>192</v>
      </c>
      <c r="I415" s="321" t="s">
        <v>1357</v>
      </c>
      <c r="J415" s="322">
        <v>46176</v>
      </c>
      <c r="K415" s="263" t="s">
        <v>2046</v>
      </c>
      <c r="L415" s="264" t="s">
        <v>1188</v>
      </c>
      <c r="M415" s="265" t="s">
        <v>380</v>
      </c>
      <c r="N415" s="266">
        <v>220</v>
      </c>
      <c r="O415" s="267" t="s">
        <v>1197</v>
      </c>
      <c r="P415" s="268" t="s">
        <v>1217</v>
      </c>
      <c r="Q415" s="269">
        <v>220</v>
      </c>
      <c r="R415" s="270" t="s">
        <v>2047</v>
      </c>
      <c r="S415" s="271">
        <v>220</v>
      </c>
      <c r="T415" s="272">
        <v>220</v>
      </c>
      <c r="U415" s="272">
        <v>220</v>
      </c>
      <c r="V415" s="273" t="s">
        <v>1357</v>
      </c>
      <c r="W415" s="274">
        <v>46176</v>
      </c>
      <c r="X415" s="263" t="s">
        <v>2048</v>
      </c>
      <c r="Y415" s="276" t="s">
        <v>1188</v>
      </c>
      <c r="Z415" s="277" t="s">
        <v>381</v>
      </c>
      <c r="AA415" s="278">
        <v>200</v>
      </c>
      <c r="AB415" s="279" t="s">
        <v>1197</v>
      </c>
      <c r="AC415" s="280" t="s">
        <v>1217</v>
      </c>
      <c r="AD415" s="281">
        <v>200</v>
      </c>
      <c r="AE415" s="282" t="s">
        <v>2047</v>
      </c>
      <c r="AF415" s="283">
        <v>200</v>
      </c>
      <c r="AG415" s="284">
        <v>200</v>
      </c>
      <c r="AH415" s="284">
        <v>200</v>
      </c>
      <c r="AI415" s="285" t="s">
        <v>1357</v>
      </c>
      <c r="AJ415" s="286">
        <v>46176</v>
      </c>
      <c r="AK415" s="263" t="s">
        <v>2108</v>
      </c>
      <c r="AL415" s="288" t="s">
        <v>1188</v>
      </c>
      <c r="AM415" s="298" t="s">
        <v>382</v>
      </c>
      <c r="AN415" s="289">
        <v>147</v>
      </c>
      <c r="AO415" s="290" t="s">
        <v>1197</v>
      </c>
      <c r="AP415" s="290" t="s">
        <v>1217</v>
      </c>
      <c r="AQ415" s="291">
        <v>147</v>
      </c>
      <c r="AR415" s="300" t="s">
        <v>2047</v>
      </c>
      <c r="AS415" s="292">
        <v>147</v>
      </c>
      <c r="AT415" s="293">
        <v>147</v>
      </c>
      <c r="AU415" s="293">
        <v>147</v>
      </c>
      <c r="AV415" s="294">
        <v>189</v>
      </c>
      <c r="AW415" s="294">
        <v>189</v>
      </c>
      <c r="AX415" s="294">
        <v>37.72</v>
      </c>
      <c r="AY415" s="299">
        <v>0.1996</v>
      </c>
    </row>
    <row r="416" spans="1:51" ht="57.6" hidden="1">
      <c r="A416" s="257" t="s">
        <v>2044</v>
      </c>
      <c r="B416" s="258" t="s">
        <v>2045</v>
      </c>
      <c r="C416" s="258">
        <v>50404621</v>
      </c>
      <c r="D416" s="257" t="s">
        <v>656</v>
      </c>
      <c r="F416" s="258" t="s">
        <v>568</v>
      </c>
      <c r="G416" s="262">
        <v>1</v>
      </c>
      <c r="H416" s="262" t="s">
        <v>192</v>
      </c>
      <c r="I416" s="321" t="s">
        <v>1357</v>
      </c>
      <c r="J416" s="322">
        <v>46176</v>
      </c>
      <c r="K416" s="263" t="s">
        <v>2046</v>
      </c>
      <c r="L416" s="264" t="s">
        <v>1188</v>
      </c>
      <c r="M416" s="265" t="s">
        <v>380</v>
      </c>
      <c r="N416" s="266">
        <v>2600</v>
      </c>
      <c r="O416" s="267" t="s">
        <v>1197</v>
      </c>
      <c r="P416" s="268" t="s">
        <v>1217</v>
      </c>
      <c r="Q416" s="269">
        <v>2600</v>
      </c>
      <c r="R416" s="270" t="s">
        <v>2047</v>
      </c>
      <c r="S416" s="271">
        <v>2600</v>
      </c>
      <c r="T416" s="272">
        <v>2600</v>
      </c>
      <c r="U416" s="272">
        <v>2600</v>
      </c>
      <c r="V416" s="273" t="s">
        <v>1357</v>
      </c>
      <c r="W416" s="274">
        <v>46176</v>
      </c>
      <c r="X416" s="263" t="s">
        <v>2048</v>
      </c>
      <c r="Y416" s="276" t="s">
        <v>1188</v>
      </c>
      <c r="Z416" s="277" t="s">
        <v>381</v>
      </c>
      <c r="AA416" s="278">
        <v>2500</v>
      </c>
      <c r="AB416" s="279" t="s">
        <v>1197</v>
      </c>
      <c r="AC416" s="280" t="s">
        <v>1217</v>
      </c>
      <c r="AD416" s="281">
        <v>2500</v>
      </c>
      <c r="AE416" s="282" t="s">
        <v>2047</v>
      </c>
      <c r="AF416" s="283">
        <v>2500</v>
      </c>
      <c r="AG416" s="284">
        <v>2500</v>
      </c>
      <c r="AH416" s="284">
        <v>2500</v>
      </c>
      <c r="AI416" s="285" t="s">
        <v>1357</v>
      </c>
      <c r="AJ416" s="286">
        <v>46176</v>
      </c>
      <c r="AK416" s="263" t="s">
        <v>2108</v>
      </c>
      <c r="AL416" s="288" t="s">
        <v>1188</v>
      </c>
      <c r="AM416" s="298" t="s">
        <v>382</v>
      </c>
      <c r="AN416" s="289">
        <v>2387</v>
      </c>
      <c r="AO416" s="290" t="s">
        <v>1197</v>
      </c>
      <c r="AP416" s="290" t="s">
        <v>1217</v>
      </c>
      <c r="AQ416" s="291">
        <v>2387</v>
      </c>
      <c r="AR416" s="300" t="s">
        <v>2047</v>
      </c>
      <c r="AS416" s="292">
        <v>2387</v>
      </c>
      <c r="AT416" s="293">
        <v>2387</v>
      </c>
      <c r="AU416" s="293">
        <v>2387</v>
      </c>
      <c r="AV416" s="294">
        <v>2495.67</v>
      </c>
      <c r="AW416" s="294">
        <v>2495.67</v>
      </c>
      <c r="AX416" s="294">
        <v>106.57</v>
      </c>
      <c r="AY416" s="299">
        <v>4.2700000000000002E-2</v>
      </c>
    </row>
    <row r="417" spans="1:51" ht="57.6" hidden="1">
      <c r="A417" s="257" t="s">
        <v>2044</v>
      </c>
      <c r="B417" s="258" t="s">
        <v>2045</v>
      </c>
      <c r="C417" s="258">
        <v>10151524</v>
      </c>
      <c r="D417" s="257" t="s">
        <v>2251</v>
      </c>
      <c r="F417" s="258" t="s">
        <v>568</v>
      </c>
      <c r="G417" s="262">
        <v>1</v>
      </c>
      <c r="H417" s="262" t="s">
        <v>192</v>
      </c>
      <c r="I417" s="321" t="s">
        <v>1357</v>
      </c>
      <c r="J417" s="322">
        <v>46176</v>
      </c>
      <c r="K417" s="263" t="s">
        <v>2046</v>
      </c>
      <c r="L417" s="264" t="s">
        <v>1188</v>
      </c>
      <c r="M417" s="265" t="s">
        <v>380</v>
      </c>
      <c r="N417" s="266">
        <v>260</v>
      </c>
      <c r="O417" s="267" t="s">
        <v>1197</v>
      </c>
      <c r="P417" s="268" t="s">
        <v>1217</v>
      </c>
      <c r="Q417" s="269">
        <v>260</v>
      </c>
      <c r="R417" s="270" t="s">
        <v>2047</v>
      </c>
      <c r="S417" s="271">
        <v>260</v>
      </c>
      <c r="T417" s="272">
        <v>260</v>
      </c>
      <c r="U417" s="272">
        <v>260</v>
      </c>
      <c r="V417" s="273" t="s">
        <v>1357</v>
      </c>
      <c r="W417" s="274">
        <v>46176</v>
      </c>
      <c r="X417" s="263" t="s">
        <v>2048</v>
      </c>
      <c r="Y417" s="276" t="s">
        <v>1188</v>
      </c>
      <c r="Z417" s="277" t="s">
        <v>381</v>
      </c>
      <c r="AA417" s="278">
        <v>250</v>
      </c>
      <c r="AB417" s="279" t="s">
        <v>1197</v>
      </c>
      <c r="AC417" s="280" t="s">
        <v>1217</v>
      </c>
      <c r="AD417" s="281">
        <v>250</v>
      </c>
      <c r="AE417" s="282" t="s">
        <v>2047</v>
      </c>
      <c r="AF417" s="283">
        <v>250</v>
      </c>
      <c r="AG417" s="284">
        <v>250</v>
      </c>
      <c r="AH417" s="284">
        <v>250</v>
      </c>
      <c r="AI417" s="285" t="s">
        <v>1357</v>
      </c>
      <c r="AJ417" s="286">
        <v>46176</v>
      </c>
      <c r="AK417" s="263" t="s">
        <v>2108</v>
      </c>
      <c r="AL417" s="288" t="s">
        <v>1188</v>
      </c>
      <c r="AM417" s="298" t="s">
        <v>382</v>
      </c>
      <c r="AN417" s="289">
        <v>350</v>
      </c>
      <c r="AO417" s="290" t="s">
        <v>1197</v>
      </c>
      <c r="AP417" s="290" t="s">
        <v>1217</v>
      </c>
      <c r="AQ417" s="291">
        <v>350</v>
      </c>
      <c r="AR417" s="300" t="s">
        <v>2047</v>
      </c>
      <c r="AS417" s="292">
        <v>350</v>
      </c>
      <c r="AT417" s="293">
        <v>350</v>
      </c>
      <c r="AU417" s="293">
        <v>350</v>
      </c>
      <c r="AV417" s="294">
        <v>286.67</v>
      </c>
      <c r="AW417" s="294">
        <v>286.67</v>
      </c>
      <c r="AX417" s="294">
        <v>55.08</v>
      </c>
      <c r="AY417" s="299">
        <v>0.19209999999999999</v>
      </c>
    </row>
    <row r="418" spans="1:51" ht="57.6" hidden="1">
      <c r="A418" s="257" t="s">
        <v>2044</v>
      </c>
      <c r="B418" s="258" t="s">
        <v>2045</v>
      </c>
      <c r="C418" s="258">
        <v>10151502</v>
      </c>
      <c r="D418" s="257" t="s">
        <v>624</v>
      </c>
      <c r="F418" s="258" t="s">
        <v>568</v>
      </c>
      <c r="G418" s="262">
        <v>1</v>
      </c>
      <c r="H418" s="262" t="s">
        <v>192</v>
      </c>
      <c r="I418" s="321" t="s">
        <v>1357</v>
      </c>
      <c r="J418" s="322">
        <v>46176</v>
      </c>
      <c r="K418" s="263" t="s">
        <v>2046</v>
      </c>
      <c r="L418" s="264" t="s">
        <v>1188</v>
      </c>
      <c r="M418" s="265" t="s">
        <v>380</v>
      </c>
      <c r="N418" s="266">
        <v>290</v>
      </c>
      <c r="O418" s="267" t="s">
        <v>1197</v>
      </c>
      <c r="P418" s="268" t="s">
        <v>1217</v>
      </c>
      <c r="Q418" s="269">
        <v>290</v>
      </c>
      <c r="R418" s="270" t="s">
        <v>2047</v>
      </c>
      <c r="S418" s="271">
        <v>290</v>
      </c>
      <c r="T418" s="272">
        <v>290</v>
      </c>
      <c r="U418" s="272">
        <v>290</v>
      </c>
      <c r="V418" s="273" t="s">
        <v>1357</v>
      </c>
      <c r="W418" s="274">
        <v>46176</v>
      </c>
      <c r="X418" s="263" t="s">
        <v>2048</v>
      </c>
      <c r="Y418" s="276" t="s">
        <v>1188</v>
      </c>
      <c r="Z418" s="277" t="s">
        <v>381</v>
      </c>
      <c r="AA418" s="278">
        <v>275</v>
      </c>
      <c r="AB418" s="279" t="s">
        <v>1197</v>
      </c>
      <c r="AC418" s="280" t="s">
        <v>1217</v>
      </c>
      <c r="AD418" s="281">
        <v>275</v>
      </c>
      <c r="AE418" s="282" t="s">
        <v>2047</v>
      </c>
      <c r="AF418" s="283">
        <v>275</v>
      </c>
      <c r="AG418" s="284">
        <v>275</v>
      </c>
      <c r="AH418" s="284">
        <v>275</v>
      </c>
      <c r="AI418" s="285" t="s">
        <v>1199</v>
      </c>
      <c r="AJ418" s="286">
        <v>46192</v>
      </c>
      <c r="AK418" s="263" t="s">
        <v>2252</v>
      </c>
      <c r="AL418" s="288" t="s">
        <v>1193</v>
      </c>
      <c r="AM418" s="298" t="s">
        <v>610</v>
      </c>
      <c r="AN418" s="289">
        <v>300</v>
      </c>
      <c r="AO418" s="290" t="s">
        <v>1190</v>
      </c>
      <c r="AP418" s="290" t="s">
        <v>1191</v>
      </c>
      <c r="AQ418" s="291">
        <v>252.1</v>
      </c>
      <c r="AR418" s="292">
        <v>48</v>
      </c>
      <c r="AS418" s="292">
        <v>300</v>
      </c>
      <c r="AT418" s="293">
        <v>252</v>
      </c>
      <c r="AU418" s="293">
        <v>300</v>
      </c>
      <c r="AV418" s="294">
        <v>288.33</v>
      </c>
      <c r="AW418" s="294">
        <v>288.33</v>
      </c>
      <c r="AX418" s="294">
        <v>12.58</v>
      </c>
      <c r="AY418" s="299">
        <v>4.36E-2</v>
      </c>
    </row>
    <row r="419" spans="1:51" ht="57.6" hidden="1">
      <c r="A419" s="257" t="s">
        <v>2044</v>
      </c>
      <c r="B419" s="258" t="s">
        <v>2045</v>
      </c>
      <c r="C419" s="258">
        <v>10151524</v>
      </c>
      <c r="D419" s="257" t="s">
        <v>650</v>
      </c>
      <c r="F419" s="258" t="s">
        <v>568</v>
      </c>
      <c r="G419" s="262">
        <v>1</v>
      </c>
      <c r="H419" s="262" t="s">
        <v>192</v>
      </c>
      <c r="I419" s="321" t="s">
        <v>1357</v>
      </c>
      <c r="J419" s="322">
        <v>46176</v>
      </c>
      <c r="K419" s="263" t="s">
        <v>2046</v>
      </c>
      <c r="L419" s="264" t="s">
        <v>1188</v>
      </c>
      <c r="M419" s="265" t="s">
        <v>380</v>
      </c>
      <c r="N419" s="266">
        <v>800</v>
      </c>
      <c r="O419" s="267" t="s">
        <v>1197</v>
      </c>
      <c r="P419" s="268" t="s">
        <v>1217</v>
      </c>
      <c r="Q419" s="269">
        <v>800</v>
      </c>
      <c r="R419" s="270" t="s">
        <v>2047</v>
      </c>
      <c r="S419" s="271">
        <v>800</v>
      </c>
      <c r="T419" s="272">
        <v>800</v>
      </c>
      <c r="U419" s="272">
        <v>800</v>
      </c>
      <c r="V419" s="273" t="s">
        <v>1357</v>
      </c>
      <c r="W419" s="274">
        <v>46176</v>
      </c>
      <c r="X419" s="263" t="s">
        <v>2048</v>
      </c>
      <c r="Y419" s="276" t="s">
        <v>1188</v>
      </c>
      <c r="Z419" s="277" t="s">
        <v>381</v>
      </c>
      <c r="AA419" s="278">
        <v>700</v>
      </c>
      <c r="AB419" s="279" t="s">
        <v>1197</v>
      </c>
      <c r="AC419" s="280" t="s">
        <v>1217</v>
      </c>
      <c r="AD419" s="281">
        <v>700</v>
      </c>
      <c r="AE419" s="282" t="s">
        <v>2047</v>
      </c>
      <c r="AF419" s="283">
        <v>700</v>
      </c>
      <c r="AG419" s="284">
        <v>700</v>
      </c>
      <c r="AH419" s="284">
        <v>700</v>
      </c>
      <c r="AI419" s="285" t="s">
        <v>1357</v>
      </c>
      <c r="AJ419" s="286">
        <v>46176</v>
      </c>
      <c r="AK419" s="263" t="s">
        <v>2108</v>
      </c>
      <c r="AL419" s="288" t="s">
        <v>1188</v>
      </c>
      <c r="AM419" s="298" t="s">
        <v>382</v>
      </c>
      <c r="AN419" s="289">
        <v>616</v>
      </c>
      <c r="AO419" s="290" t="s">
        <v>1197</v>
      </c>
      <c r="AP419" s="290" t="s">
        <v>1217</v>
      </c>
      <c r="AQ419" s="291">
        <v>616</v>
      </c>
      <c r="AR419" s="300" t="s">
        <v>2047</v>
      </c>
      <c r="AS419" s="292">
        <v>616</v>
      </c>
      <c r="AT419" s="293">
        <v>616</v>
      </c>
      <c r="AU419" s="293">
        <v>616</v>
      </c>
      <c r="AV419" s="294">
        <v>705.33</v>
      </c>
      <c r="AW419" s="294">
        <v>705.33</v>
      </c>
      <c r="AX419" s="294">
        <v>92.12</v>
      </c>
      <c r="AY419" s="299">
        <v>0.13059999999999999</v>
      </c>
    </row>
    <row r="420" spans="1:51" ht="57.6" hidden="1">
      <c r="A420" s="257" t="s">
        <v>2044</v>
      </c>
      <c r="B420" s="258" t="s">
        <v>2045</v>
      </c>
      <c r="C420" s="258">
        <v>13101606</v>
      </c>
      <c r="D420" s="257" t="s">
        <v>745</v>
      </c>
      <c r="F420" s="258" t="s">
        <v>568</v>
      </c>
      <c r="G420" s="262">
        <v>1</v>
      </c>
      <c r="H420" s="262" t="s">
        <v>192</v>
      </c>
      <c r="I420" s="321" t="s">
        <v>1357</v>
      </c>
      <c r="J420" s="322">
        <v>46176</v>
      </c>
      <c r="K420" s="263" t="s">
        <v>2046</v>
      </c>
      <c r="L420" s="264" t="s">
        <v>1188</v>
      </c>
      <c r="M420" s="265" t="s">
        <v>380</v>
      </c>
      <c r="N420" s="266">
        <v>69000</v>
      </c>
      <c r="O420" s="267" t="s">
        <v>1197</v>
      </c>
      <c r="P420" s="268" t="s">
        <v>1191</v>
      </c>
      <c r="Q420" s="269">
        <v>69000</v>
      </c>
      <c r="R420" s="271">
        <v>13110</v>
      </c>
      <c r="S420" s="271">
        <v>82110</v>
      </c>
      <c r="T420" s="272">
        <v>69000</v>
      </c>
      <c r="U420" s="272">
        <v>82110</v>
      </c>
      <c r="V420" s="273" t="s">
        <v>1357</v>
      </c>
      <c r="W420" s="274">
        <v>46176</v>
      </c>
      <c r="X420" s="263" t="s">
        <v>2108</v>
      </c>
      <c r="Y420" s="276" t="s">
        <v>1188</v>
      </c>
      <c r="Z420" s="277" t="s">
        <v>382</v>
      </c>
      <c r="AA420" s="278">
        <v>70000</v>
      </c>
      <c r="AB420" s="279" t="s">
        <v>1197</v>
      </c>
      <c r="AC420" s="280" t="s">
        <v>1191</v>
      </c>
      <c r="AD420" s="281">
        <v>70000</v>
      </c>
      <c r="AE420" s="283">
        <v>13300</v>
      </c>
      <c r="AF420" s="283">
        <v>83300</v>
      </c>
      <c r="AG420" s="284">
        <v>70000</v>
      </c>
      <c r="AH420" s="284">
        <v>83300</v>
      </c>
      <c r="AI420" s="285" t="s">
        <v>1357</v>
      </c>
      <c r="AJ420" s="286">
        <v>46176</v>
      </c>
      <c r="AK420" s="263" t="s">
        <v>2048</v>
      </c>
      <c r="AL420" s="288" t="s">
        <v>1188</v>
      </c>
      <c r="AM420" s="298" t="s">
        <v>381</v>
      </c>
      <c r="AN420" s="289">
        <v>72000</v>
      </c>
      <c r="AO420" s="290" t="s">
        <v>1197</v>
      </c>
      <c r="AP420" s="290" t="s">
        <v>1191</v>
      </c>
      <c r="AQ420" s="291">
        <v>72000</v>
      </c>
      <c r="AR420" s="292">
        <v>13680</v>
      </c>
      <c r="AS420" s="292">
        <v>85680</v>
      </c>
      <c r="AT420" s="293">
        <v>72000</v>
      </c>
      <c r="AU420" s="293">
        <v>85680</v>
      </c>
      <c r="AV420" s="294">
        <v>83696.67</v>
      </c>
      <c r="AW420" s="294">
        <v>83696.67</v>
      </c>
      <c r="AX420" s="294">
        <v>1817.76</v>
      </c>
      <c r="AY420" s="299">
        <v>2.1700000000000001E-2</v>
      </c>
    </row>
    <row r="421" spans="1:51" ht="57.6" hidden="1">
      <c r="A421" s="257" t="s">
        <v>2044</v>
      </c>
      <c r="B421" s="258" t="s">
        <v>2045</v>
      </c>
      <c r="C421" s="258">
        <v>21102305</v>
      </c>
      <c r="D421" s="257" t="s">
        <v>816</v>
      </c>
      <c r="F421" s="258" t="s">
        <v>568</v>
      </c>
      <c r="G421" s="262">
        <v>1</v>
      </c>
      <c r="H421" s="262" t="s">
        <v>192</v>
      </c>
      <c r="I421" s="321" t="s">
        <v>1357</v>
      </c>
      <c r="J421" s="322">
        <v>46176</v>
      </c>
      <c r="K421" s="263" t="s">
        <v>2046</v>
      </c>
      <c r="L421" s="264" t="s">
        <v>1188</v>
      </c>
      <c r="M421" s="265" t="s">
        <v>380</v>
      </c>
      <c r="N421" s="266">
        <v>69000</v>
      </c>
      <c r="O421" s="267" t="s">
        <v>1197</v>
      </c>
      <c r="P421" s="268" t="s">
        <v>1191</v>
      </c>
      <c r="Q421" s="269">
        <v>69000</v>
      </c>
      <c r="R421" s="271">
        <v>13110</v>
      </c>
      <c r="S421" s="271">
        <v>82110</v>
      </c>
      <c r="T421" s="272">
        <v>69000</v>
      </c>
      <c r="U421" s="272">
        <v>82110</v>
      </c>
      <c r="V421" s="273" t="s">
        <v>1357</v>
      </c>
      <c r="W421" s="274">
        <v>46176</v>
      </c>
      <c r="X421" s="263" t="s">
        <v>2048</v>
      </c>
      <c r="Y421" s="276" t="s">
        <v>1188</v>
      </c>
      <c r="Z421" s="277" t="s">
        <v>381</v>
      </c>
      <c r="AA421" s="278">
        <v>68000</v>
      </c>
      <c r="AB421" s="279" t="s">
        <v>1197</v>
      </c>
      <c r="AC421" s="280" t="s">
        <v>1191</v>
      </c>
      <c r="AD421" s="281">
        <v>68000</v>
      </c>
      <c r="AE421" s="283">
        <v>12920</v>
      </c>
      <c r="AF421" s="283">
        <v>80920</v>
      </c>
      <c r="AG421" s="284">
        <v>68000</v>
      </c>
      <c r="AH421" s="284">
        <v>80920</v>
      </c>
      <c r="AI421" s="285" t="s">
        <v>1357</v>
      </c>
      <c r="AJ421" s="286">
        <v>46176</v>
      </c>
      <c r="AK421" s="263" t="s">
        <v>2108</v>
      </c>
      <c r="AL421" s="288" t="s">
        <v>1188</v>
      </c>
      <c r="AM421" s="298" t="s">
        <v>382</v>
      </c>
      <c r="AN421" s="289">
        <v>70000</v>
      </c>
      <c r="AO421" s="290" t="s">
        <v>1197</v>
      </c>
      <c r="AP421" s="290" t="s">
        <v>1191</v>
      </c>
      <c r="AQ421" s="291">
        <v>70000</v>
      </c>
      <c r="AR421" s="292">
        <v>13300</v>
      </c>
      <c r="AS421" s="292">
        <v>83300</v>
      </c>
      <c r="AT421" s="293">
        <v>70000</v>
      </c>
      <c r="AU421" s="293">
        <v>83300</v>
      </c>
      <c r="AV421" s="294">
        <v>82110</v>
      </c>
      <c r="AW421" s="294">
        <v>82110</v>
      </c>
      <c r="AX421" s="294">
        <v>1190</v>
      </c>
      <c r="AY421" s="299">
        <v>1.4500000000000001E-2</v>
      </c>
    </row>
    <row r="422" spans="1:51" ht="57.6" hidden="1">
      <c r="A422" s="257" t="s">
        <v>2044</v>
      </c>
      <c r="B422" s="258" t="s">
        <v>2045</v>
      </c>
      <c r="C422" s="258">
        <v>30152001</v>
      </c>
      <c r="D422" s="257" t="s">
        <v>730</v>
      </c>
      <c r="F422" s="258" t="s">
        <v>568</v>
      </c>
      <c r="G422" s="262">
        <v>1</v>
      </c>
      <c r="H422" s="262" t="s">
        <v>192</v>
      </c>
      <c r="I422" s="321" t="s">
        <v>1357</v>
      </c>
      <c r="J422" s="322">
        <v>46176</v>
      </c>
      <c r="K422" s="263" t="s">
        <v>2046</v>
      </c>
      <c r="L422" s="264" t="s">
        <v>1188</v>
      </c>
      <c r="M422" s="265" t="s">
        <v>380</v>
      </c>
      <c r="N422" s="266">
        <v>75000</v>
      </c>
      <c r="O422" s="267" t="s">
        <v>1197</v>
      </c>
      <c r="P422" s="268" t="s">
        <v>1191</v>
      </c>
      <c r="Q422" s="269">
        <v>75000</v>
      </c>
      <c r="R422" s="271">
        <v>14250</v>
      </c>
      <c r="S422" s="271">
        <v>89250</v>
      </c>
      <c r="T422" s="272">
        <v>75000</v>
      </c>
      <c r="U422" s="272">
        <v>89250</v>
      </c>
      <c r="V422" s="273" t="s">
        <v>1357</v>
      </c>
      <c r="W422" s="274">
        <v>46176</v>
      </c>
      <c r="X422" s="263" t="s">
        <v>2048</v>
      </c>
      <c r="Y422" s="276" t="s">
        <v>1188</v>
      </c>
      <c r="Z422" s="277" t="s">
        <v>381</v>
      </c>
      <c r="AA422" s="278">
        <v>73000</v>
      </c>
      <c r="AB422" s="279" t="s">
        <v>1197</v>
      </c>
      <c r="AC422" s="280" t="s">
        <v>1191</v>
      </c>
      <c r="AD422" s="281">
        <v>73000</v>
      </c>
      <c r="AE422" s="283">
        <v>13870</v>
      </c>
      <c r="AF422" s="283">
        <v>86870</v>
      </c>
      <c r="AG422" s="284">
        <v>73000</v>
      </c>
      <c r="AH422" s="284">
        <v>86870</v>
      </c>
      <c r="AI422" s="285" t="s">
        <v>1357</v>
      </c>
      <c r="AJ422" s="286">
        <v>46176</v>
      </c>
      <c r="AK422" s="263" t="s">
        <v>2108</v>
      </c>
      <c r="AL422" s="288" t="s">
        <v>1188</v>
      </c>
      <c r="AM422" s="298" t="s">
        <v>382</v>
      </c>
      <c r="AN422" s="289">
        <v>70000</v>
      </c>
      <c r="AO422" s="290" t="s">
        <v>1197</v>
      </c>
      <c r="AP422" s="290" t="s">
        <v>1191</v>
      </c>
      <c r="AQ422" s="291">
        <v>70000</v>
      </c>
      <c r="AR422" s="292">
        <v>13300</v>
      </c>
      <c r="AS422" s="292">
        <v>83300</v>
      </c>
      <c r="AT422" s="293">
        <v>70000</v>
      </c>
      <c r="AU422" s="293">
        <v>83300</v>
      </c>
      <c r="AV422" s="294">
        <v>86473.33</v>
      </c>
      <c r="AW422" s="294">
        <v>86473.33</v>
      </c>
      <c r="AX422" s="294">
        <v>2994.77</v>
      </c>
      <c r="AY422" s="299">
        <v>3.4599999999999999E-2</v>
      </c>
    </row>
    <row r="423" spans="1:51" ht="57.6" hidden="1">
      <c r="A423" s="257" t="s">
        <v>2044</v>
      </c>
      <c r="B423" s="258" t="s">
        <v>2045</v>
      </c>
      <c r="C423" s="258">
        <v>39111800</v>
      </c>
      <c r="D423" s="257" t="s">
        <v>2253</v>
      </c>
      <c r="F423" s="258" t="s">
        <v>191</v>
      </c>
      <c r="G423" s="262">
        <v>150</v>
      </c>
      <c r="H423" s="262" t="s">
        <v>192</v>
      </c>
      <c r="I423" s="321" t="s">
        <v>1199</v>
      </c>
      <c r="J423" s="322">
        <v>46191</v>
      </c>
      <c r="K423" s="263" t="s">
        <v>2254</v>
      </c>
      <c r="L423" s="264" t="s">
        <v>1193</v>
      </c>
      <c r="M423" s="265" t="s">
        <v>263</v>
      </c>
      <c r="N423" s="266">
        <v>23900</v>
      </c>
      <c r="O423" s="267" t="s">
        <v>1190</v>
      </c>
      <c r="P423" s="268" t="s">
        <v>1191</v>
      </c>
      <c r="Q423" s="269">
        <v>20084.03</v>
      </c>
      <c r="R423" s="271">
        <v>3816</v>
      </c>
      <c r="S423" s="271">
        <v>23900</v>
      </c>
      <c r="T423" s="272">
        <v>3012605</v>
      </c>
      <c r="U423" s="272">
        <v>3585000</v>
      </c>
      <c r="V423" s="273" t="s">
        <v>1199</v>
      </c>
      <c r="W423" s="274">
        <v>46191</v>
      </c>
      <c r="X423" s="263" t="s">
        <v>2255</v>
      </c>
      <c r="Y423" s="276" t="s">
        <v>1193</v>
      </c>
      <c r="Z423" s="277" t="s">
        <v>285</v>
      </c>
      <c r="AA423" s="278">
        <v>23500</v>
      </c>
      <c r="AB423" s="279" t="s">
        <v>1190</v>
      </c>
      <c r="AC423" s="280" t="s">
        <v>1191</v>
      </c>
      <c r="AD423" s="281">
        <v>19747.900000000001</v>
      </c>
      <c r="AE423" s="283">
        <v>3752</v>
      </c>
      <c r="AF423" s="283">
        <v>23500</v>
      </c>
      <c r="AG423" s="284">
        <v>2962185</v>
      </c>
      <c r="AH423" s="284">
        <v>3525000</v>
      </c>
      <c r="AI423" s="285" t="s">
        <v>1199</v>
      </c>
      <c r="AJ423" s="286">
        <v>46191</v>
      </c>
      <c r="AK423" s="263" t="s">
        <v>2256</v>
      </c>
      <c r="AL423" s="288" t="s">
        <v>1193</v>
      </c>
      <c r="AM423" s="298" t="s">
        <v>2257</v>
      </c>
      <c r="AN423" s="289">
        <v>22990</v>
      </c>
      <c r="AO423" s="290" t="s">
        <v>1190</v>
      </c>
      <c r="AP423" s="290" t="s">
        <v>1191</v>
      </c>
      <c r="AQ423" s="291">
        <v>19319.330000000002</v>
      </c>
      <c r="AR423" s="292">
        <v>3671</v>
      </c>
      <c r="AS423" s="292">
        <v>22990</v>
      </c>
      <c r="AT423" s="293">
        <v>2897899</v>
      </c>
      <c r="AU423" s="293">
        <v>3448500</v>
      </c>
      <c r="AV423" s="294">
        <v>23463.33</v>
      </c>
      <c r="AW423" s="294">
        <v>3519500</v>
      </c>
      <c r="AX423" s="294">
        <v>68416.009999999995</v>
      </c>
      <c r="AY423" s="299">
        <v>1.9400000000000001E-2</v>
      </c>
    </row>
    <row r="424" spans="1:51" ht="57.6" hidden="1">
      <c r="A424" s="257" t="s">
        <v>2044</v>
      </c>
      <c r="B424" s="258" t="s">
        <v>2045</v>
      </c>
      <c r="C424" s="258" t="s">
        <v>2086</v>
      </c>
      <c r="D424" s="257" t="s">
        <v>535</v>
      </c>
      <c r="F424" s="258" t="s">
        <v>537</v>
      </c>
      <c r="G424" s="262">
        <v>1</v>
      </c>
      <c r="H424" s="262" t="s">
        <v>305</v>
      </c>
      <c r="I424" s="321" t="s">
        <v>1199</v>
      </c>
      <c r="J424" s="322">
        <v>46198</v>
      </c>
      <c r="K424" s="263" t="s">
        <v>2071</v>
      </c>
      <c r="L424" s="264" t="s">
        <v>1188</v>
      </c>
      <c r="M424" s="265" t="s">
        <v>540</v>
      </c>
      <c r="N424" s="266">
        <v>190000</v>
      </c>
      <c r="O424" s="267" t="s">
        <v>1190</v>
      </c>
      <c r="P424" s="268" t="s">
        <v>1191</v>
      </c>
      <c r="Q424" s="269">
        <v>159663.87</v>
      </c>
      <c r="R424" s="271">
        <v>30336</v>
      </c>
      <c r="S424" s="271">
        <v>190000</v>
      </c>
      <c r="T424" s="272">
        <v>159664</v>
      </c>
      <c r="U424" s="272">
        <v>190000</v>
      </c>
      <c r="V424" s="273" t="s">
        <v>1199</v>
      </c>
      <c r="W424" s="274">
        <v>46198</v>
      </c>
      <c r="X424" s="263" t="s">
        <v>2258</v>
      </c>
      <c r="Y424" s="276" t="s">
        <v>1193</v>
      </c>
      <c r="Z424" s="277" t="s">
        <v>538</v>
      </c>
      <c r="AA424" s="278">
        <v>230000</v>
      </c>
      <c r="AB424" s="279" t="s">
        <v>1190</v>
      </c>
      <c r="AC424" s="280" t="s">
        <v>1191</v>
      </c>
      <c r="AD424" s="281">
        <v>193277.31</v>
      </c>
      <c r="AE424" s="283">
        <v>36723</v>
      </c>
      <c r="AF424" s="283">
        <v>230000</v>
      </c>
      <c r="AG424" s="284">
        <v>193277</v>
      </c>
      <c r="AH424" s="284">
        <v>230000</v>
      </c>
      <c r="AI424" s="285" t="s">
        <v>1199</v>
      </c>
      <c r="AJ424" s="286">
        <v>46198</v>
      </c>
      <c r="AK424" s="263" t="s">
        <v>2259</v>
      </c>
      <c r="AL424" s="288" t="s">
        <v>1193</v>
      </c>
      <c r="AM424" s="298" t="s">
        <v>558</v>
      </c>
      <c r="AN424" s="289">
        <v>227960</v>
      </c>
      <c r="AO424" s="290" t="s">
        <v>1190</v>
      </c>
      <c r="AP424" s="290" t="s">
        <v>1191</v>
      </c>
      <c r="AQ424" s="291">
        <v>191563.03</v>
      </c>
      <c r="AR424" s="292">
        <v>36397</v>
      </c>
      <c r="AS424" s="292">
        <v>227960</v>
      </c>
      <c r="AT424" s="293">
        <v>191563</v>
      </c>
      <c r="AU424" s="293">
        <v>227960</v>
      </c>
      <c r="AV424" s="294">
        <v>215986.67</v>
      </c>
      <c r="AW424" s="294">
        <v>215986.67</v>
      </c>
      <c r="AX424" s="294">
        <v>22528.22</v>
      </c>
      <c r="AY424" s="299">
        <v>0.1043</v>
      </c>
    </row>
    <row r="425" spans="1:51" ht="57.6" hidden="1">
      <c r="A425" s="257" t="s">
        <v>2044</v>
      </c>
      <c r="B425" s="258" t="s">
        <v>2045</v>
      </c>
      <c r="C425" s="258" t="s">
        <v>2086</v>
      </c>
      <c r="D425" s="257" t="s">
        <v>542</v>
      </c>
      <c r="F425" s="258" t="s">
        <v>544</v>
      </c>
      <c r="G425" s="262">
        <v>1</v>
      </c>
      <c r="H425" s="262" t="s">
        <v>192</v>
      </c>
      <c r="I425" s="321"/>
      <c r="J425" s="267"/>
      <c r="K425" s="297"/>
      <c r="L425" s="264"/>
      <c r="M425" s="265"/>
      <c r="N425" s="266">
        <v>50000</v>
      </c>
      <c r="O425" s="267" t="s">
        <v>1197</v>
      </c>
      <c r="P425" s="268" t="s">
        <v>1191</v>
      </c>
      <c r="Q425" s="269">
        <v>50000</v>
      </c>
      <c r="R425" s="271">
        <v>9500</v>
      </c>
      <c r="S425" s="271">
        <v>59500</v>
      </c>
      <c r="T425" s="272">
        <v>50000</v>
      </c>
      <c r="U425" s="272">
        <v>59500</v>
      </c>
      <c r="V425" s="273"/>
      <c r="W425" s="279"/>
      <c r="X425" s="275"/>
      <c r="Y425" s="276"/>
      <c r="Z425" s="277"/>
      <c r="AA425" s="278">
        <v>72000</v>
      </c>
      <c r="AB425" s="279" t="s">
        <v>1190</v>
      </c>
      <c r="AC425" s="280" t="s">
        <v>1191</v>
      </c>
      <c r="AD425" s="281">
        <v>60504.2</v>
      </c>
      <c r="AE425" s="283">
        <v>11496</v>
      </c>
      <c r="AF425" s="283">
        <v>72000</v>
      </c>
      <c r="AG425" s="284">
        <v>60504</v>
      </c>
      <c r="AH425" s="284">
        <v>72000</v>
      </c>
      <c r="AI425" s="285"/>
      <c r="AJ425" s="290"/>
      <c r="AK425" s="287"/>
      <c r="AL425" s="288"/>
      <c r="AM425" s="298"/>
      <c r="AN425" s="289">
        <v>72000</v>
      </c>
      <c r="AO425" s="290" t="s">
        <v>1190</v>
      </c>
      <c r="AP425" s="290" t="s">
        <v>1191</v>
      </c>
      <c r="AQ425" s="291">
        <v>60504.2</v>
      </c>
      <c r="AR425" s="292">
        <v>11496</v>
      </c>
      <c r="AS425" s="292">
        <v>72000</v>
      </c>
      <c r="AT425" s="293">
        <v>60504</v>
      </c>
      <c r="AU425" s="293">
        <v>72000</v>
      </c>
      <c r="AV425" s="294">
        <v>67833.33</v>
      </c>
      <c r="AW425" s="294">
        <v>67833.33</v>
      </c>
      <c r="AX425" s="294">
        <v>7216.88</v>
      </c>
      <c r="AY425" s="299">
        <v>0.10639999999999999</v>
      </c>
    </row>
    <row r="426" spans="1:51" ht="57.6" hidden="1">
      <c r="A426" s="257" t="s">
        <v>2044</v>
      </c>
      <c r="B426" s="258" t="s">
        <v>2045</v>
      </c>
      <c r="C426" s="258" t="s">
        <v>2086</v>
      </c>
      <c r="D426" s="257" t="s">
        <v>546</v>
      </c>
      <c r="F426" s="258" t="s">
        <v>191</v>
      </c>
      <c r="G426" s="262">
        <v>1</v>
      </c>
      <c r="H426" s="262" t="s">
        <v>192</v>
      </c>
      <c r="I426" s="321" t="s">
        <v>1357</v>
      </c>
      <c r="J426" s="322">
        <v>46169</v>
      </c>
      <c r="K426" s="263" t="s">
        <v>2071</v>
      </c>
      <c r="L426" s="264" t="s">
        <v>1188</v>
      </c>
      <c r="M426" s="265" t="s">
        <v>193</v>
      </c>
      <c r="N426" s="266">
        <v>50000</v>
      </c>
      <c r="O426" s="267" t="s">
        <v>1197</v>
      </c>
      <c r="P426" s="268" t="s">
        <v>1217</v>
      </c>
      <c r="Q426" s="269">
        <v>50000</v>
      </c>
      <c r="R426" s="270" t="s">
        <v>2047</v>
      </c>
      <c r="S426" s="271">
        <v>50000</v>
      </c>
      <c r="T426" s="272">
        <v>50000</v>
      </c>
      <c r="U426" s="272">
        <v>50000</v>
      </c>
      <c r="V426" s="273" t="s">
        <v>1357</v>
      </c>
      <c r="W426" s="274">
        <v>46169</v>
      </c>
      <c r="X426" s="263" t="s">
        <v>2072</v>
      </c>
      <c r="Y426" s="276" t="s">
        <v>1188</v>
      </c>
      <c r="Z426" s="277" t="s">
        <v>245</v>
      </c>
      <c r="AA426" s="278">
        <v>50000</v>
      </c>
      <c r="AB426" s="279" t="s">
        <v>1197</v>
      </c>
      <c r="AC426" s="280" t="s">
        <v>1217</v>
      </c>
      <c r="AD426" s="281">
        <v>50000</v>
      </c>
      <c r="AE426" s="282" t="s">
        <v>2047</v>
      </c>
      <c r="AF426" s="283">
        <v>50000</v>
      </c>
      <c r="AG426" s="284">
        <v>50000</v>
      </c>
      <c r="AH426" s="284">
        <v>50000</v>
      </c>
      <c r="AI426" s="285" t="s">
        <v>1357</v>
      </c>
      <c r="AJ426" s="286">
        <v>46169</v>
      </c>
      <c r="AK426" s="263" t="s">
        <v>2062</v>
      </c>
      <c r="AL426" s="288" t="s">
        <v>1188</v>
      </c>
      <c r="AM426" s="298" t="s">
        <v>194</v>
      </c>
      <c r="AN426" s="289">
        <v>52000</v>
      </c>
      <c r="AO426" s="290" t="s">
        <v>1197</v>
      </c>
      <c r="AP426" s="290" t="s">
        <v>1191</v>
      </c>
      <c r="AQ426" s="291">
        <v>52000</v>
      </c>
      <c r="AR426" s="292">
        <v>9880</v>
      </c>
      <c r="AS426" s="292">
        <v>61880</v>
      </c>
      <c r="AT426" s="293">
        <v>52000</v>
      </c>
      <c r="AU426" s="293">
        <v>61880</v>
      </c>
      <c r="AV426" s="294">
        <v>53960</v>
      </c>
      <c r="AW426" s="294">
        <v>53960</v>
      </c>
      <c r="AX426" s="294">
        <v>6858.92</v>
      </c>
      <c r="AY426" s="299">
        <v>0.12709999999999999</v>
      </c>
    </row>
    <row r="427" spans="1:51" ht="57.6" hidden="1">
      <c r="A427" s="257" t="s">
        <v>2044</v>
      </c>
      <c r="B427" s="258" t="s">
        <v>2045</v>
      </c>
      <c r="C427" s="258">
        <v>80141900</v>
      </c>
      <c r="D427" s="257" t="s">
        <v>483</v>
      </c>
      <c r="F427" s="258" t="s">
        <v>485</v>
      </c>
      <c r="G427" s="262">
        <v>8</v>
      </c>
      <c r="H427" s="262" t="s">
        <v>209</v>
      </c>
      <c r="I427" s="321" t="s">
        <v>1357</v>
      </c>
      <c r="J427" s="322">
        <v>46169</v>
      </c>
      <c r="K427" s="263" t="s">
        <v>2072</v>
      </c>
      <c r="L427" s="264" t="s">
        <v>1188</v>
      </c>
      <c r="M427" s="265" t="s">
        <v>245</v>
      </c>
      <c r="N427" s="266">
        <v>1600000</v>
      </c>
      <c r="O427" s="267" t="s">
        <v>1197</v>
      </c>
      <c r="P427" s="268" t="s">
        <v>1191</v>
      </c>
      <c r="Q427" s="269">
        <v>1600000</v>
      </c>
      <c r="R427" s="271">
        <v>304000</v>
      </c>
      <c r="S427" s="271">
        <v>1904000</v>
      </c>
      <c r="T427" s="272">
        <v>12800000</v>
      </c>
      <c r="U427" s="272">
        <v>15232000</v>
      </c>
      <c r="V427" s="273" t="s">
        <v>1357</v>
      </c>
      <c r="W427" s="274">
        <v>46169</v>
      </c>
      <c r="X427" s="263" t="s">
        <v>2062</v>
      </c>
      <c r="Y427" s="276" t="s">
        <v>1188</v>
      </c>
      <c r="Z427" s="277" t="s">
        <v>194</v>
      </c>
      <c r="AA427" s="278">
        <v>1700000</v>
      </c>
      <c r="AB427" s="279" t="s">
        <v>1197</v>
      </c>
      <c r="AC427" s="280" t="s">
        <v>1191</v>
      </c>
      <c r="AD427" s="281">
        <v>1700000</v>
      </c>
      <c r="AE427" s="283">
        <v>323000</v>
      </c>
      <c r="AF427" s="283">
        <v>2023000</v>
      </c>
      <c r="AG427" s="284">
        <v>13600000</v>
      </c>
      <c r="AH427" s="284">
        <v>16184000</v>
      </c>
      <c r="AI427" s="285"/>
      <c r="AJ427" s="290"/>
      <c r="AK427" s="287"/>
      <c r="AL427" s="288"/>
      <c r="AM427" s="298"/>
      <c r="AN427" s="290"/>
      <c r="AO427" s="290"/>
      <c r="AP427" s="290"/>
      <c r="AQ427" s="300"/>
      <c r="AR427" s="300"/>
      <c r="AS427" s="300"/>
      <c r="AT427" s="301"/>
      <c r="AU427" s="301"/>
      <c r="AV427" s="294">
        <v>1963500</v>
      </c>
      <c r="AW427" s="294">
        <v>15708000</v>
      </c>
      <c r="AX427" s="294">
        <v>673165.66</v>
      </c>
      <c r="AY427" s="299">
        <v>4.2900000000000001E-2</v>
      </c>
    </row>
    <row r="428" spans="1:51" ht="57.6" hidden="1">
      <c r="A428" s="257" t="s">
        <v>2044</v>
      </c>
      <c r="B428" s="258" t="s">
        <v>2045</v>
      </c>
      <c r="C428" s="258">
        <v>60121408</v>
      </c>
      <c r="D428" s="257" t="s">
        <v>2260</v>
      </c>
      <c r="F428" s="258" t="s">
        <v>568</v>
      </c>
      <c r="G428" s="262">
        <v>1</v>
      </c>
      <c r="H428" s="262" t="s">
        <v>192</v>
      </c>
      <c r="I428" s="321" t="s">
        <v>1357</v>
      </c>
      <c r="J428" s="322">
        <v>46176</v>
      </c>
      <c r="K428" s="263" t="s">
        <v>2046</v>
      </c>
      <c r="L428" s="264" t="s">
        <v>1188</v>
      </c>
      <c r="M428" s="265" t="s">
        <v>380</v>
      </c>
      <c r="N428" s="266">
        <v>9000</v>
      </c>
      <c r="O428" s="267" t="s">
        <v>1197</v>
      </c>
      <c r="P428" s="268" t="s">
        <v>1191</v>
      </c>
      <c r="Q428" s="269">
        <v>9000</v>
      </c>
      <c r="R428" s="271">
        <v>1710</v>
      </c>
      <c r="S428" s="271">
        <v>10710</v>
      </c>
      <c r="T428" s="272">
        <v>9000</v>
      </c>
      <c r="U428" s="272">
        <v>10710</v>
      </c>
      <c r="V428" s="273" t="s">
        <v>1357</v>
      </c>
      <c r="W428" s="274">
        <v>46176</v>
      </c>
      <c r="X428" s="263" t="s">
        <v>2048</v>
      </c>
      <c r="Y428" s="276" t="s">
        <v>1188</v>
      </c>
      <c r="Z428" s="277" t="s">
        <v>381</v>
      </c>
      <c r="AA428" s="278">
        <v>8000</v>
      </c>
      <c r="AB428" s="279" t="s">
        <v>1197</v>
      </c>
      <c r="AC428" s="280" t="s">
        <v>1191</v>
      </c>
      <c r="AD428" s="281">
        <v>8000</v>
      </c>
      <c r="AE428" s="283">
        <v>1520</v>
      </c>
      <c r="AF428" s="283">
        <v>9520</v>
      </c>
      <c r="AG428" s="284">
        <v>8000</v>
      </c>
      <c r="AH428" s="284">
        <v>9520</v>
      </c>
      <c r="AI428" s="285" t="s">
        <v>1357</v>
      </c>
      <c r="AJ428" s="286">
        <v>46176</v>
      </c>
      <c r="AK428" s="263" t="s">
        <v>2108</v>
      </c>
      <c r="AL428" s="288" t="s">
        <v>1188</v>
      </c>
      <c r="AM428" s="298" t="s">
        <v>382</v>
      </c>
      <c r="AN428" s="289">
        <v>7140</v>
      </c>
      <c r="AO428" s="290" t="s">
        <v>1197</v>
      </c>
      <c r="AP428" s="290" t="s">
        <v>1191</v>
      </c>
      <c r="AQ428" s="291">
        <v>7140</v>
      </c>
      <c r="AR428" s="292">
        <v>1357</v>
      </c>
      <c r="AS428" s="292">
        <v>8497</v>
      </c>
      <c r="AT428" s="293">
        <v>7140</v>
      </c>
      <c r="AU428" s="293">
        <v>8497</v>
      </c>
      <c r="AV428" s="294">
        <v>9575.5300000000007</v>
      </c>
      <c r="AW428" s="294">
        <v>9575.5300000000007</v>
      </c>
      <c r="AX428" s="294">
        <v>1107.74</v>
      </c>
      <c r="AY428" s="299">
        <v>0.1157</v>
      </c>
    </row>
    <row r="429" spans="1:51" ht="57.6" hidden="1">
      <c r="A429" s="257" t="s">
        <v>2044</v>
      </c>
      <c r="B429" s="258" t="s">
        <v>2045</v>
      </c>
      <c r="C429" s="258">
        <v>27112003</v>
      </c>
      <c r="D429" s="257" t="s">
        <v>714</v>
      </c>
      <c r="F429" s="258" t="s">
        <v>568</v>
      </c>
      <c r="G429" s="262">
        <v>1</v>
      </c>
      <c r="H429" s="262" t="s">
        <v>192</v>
      </c>
      <c r="I429" s="321" t="s">
        <v>1357</v>
      </c>
      <c r="J429" s="322">
        <v>46176</v>
      </c>
      <c r="K429" s="263" t="s">
        <v>2046</v>
      </c>
      <c r="L429" s="264" t="s">
        <v>1188</v>
      </c>
      <c r="M429" s="265" t="s">
        <v>380</v>
      </c>
      <c r="N429" s="266">
        <v>56000</v>
      </c>
      <c r="O429" s="267" t="s">
        <v>1197</v>
      </c>
      <c r="P429" s="268" t="s">
        <v>1191</v>
      </c>
      <c r="Q429" s="269">
        <v>56000</v>
      </c>
      <c r="R429" s="271">
        <v>10640</v>
      </c>
      <c r="S429" s="271">
        <v>66640</v>
      </c>
      <c r="T429" s="272">
        <v>56000</v>
      </c>
      <c r="U429" s="272">
        <v>66640</v>
      </c>
      <c r="V429" s="273" t="s">
        <v>1357</v>
      </c>
      <c r="W429" s="274">
        <v>46176</v>
      </c>
      <c r="X429" s="263" t="s">
        <v>2048</v>
      </c>
      <c r="Y429" s="276" t="s">
        <v>1188</v>
      </c>
      <c r="Z429" s="277" t="s">
        <v>381</v>
      </c>
      <c r="AA429" s="278">
        <v>60000</v>
      </c>
      <c r="AB429" s="279" t="s">
        <v>1197</v>
      </c>
      <c r="AC429" s="280" t="s">
        <v>1191</v>
      </c>
      <c r="AD429" s="281">
        <v>60000</v>
      </c>
      <c r="AE429" s="283">
        <v>11400</v>
      </c>
      <c r="AF429" s="283">
        <v>71400</v>
      </c>
      <c r="AG429" s="284">
        <v>60000</v>
      </c>
      <c r="AH429" s="284">
        <v>71400</v>
      </c>
      <c r="AI429" s="285" t="s">
        <v>1357</v>
      </c>
      <c r="AJ429" s="286">
        <v>46176</v>
      </c>
      <c r="AK429" s="263" t="s">
        <v>2108</v>
      </c>
      <c r="AL429" s="288" t="s">
        <v>1188</v>
      </c>
      <c r="AM429" s="298" t="s">
        <v>382</v>
      </c>
      <c r="AN429" s="289">
        <v>58660</v>
      </c>
      <c r="AO429" s="290" t="s">
        <v>1197</v>
      </c>
      <c r="AP429" s="290" t="s">
        <v>1191</v>
      </c>
      <c r="AQ429" s="291">
        <v>58660</v>
      </c>
      <c r="AR429" s="292">
        <v>11145</v>
      </c>
      <c r="AS429" s="292">
        <v>69805</v>
      </c>
      <c r="AT429" s="293">
        <v>58660</v>
      </c>
      <c r="AU429" s="293">
        <v>69805</v>
      </c>
      <c r="AV429" s="294">
        <v>69281.8</v>
      </c>
      <c r="AW429" s="294">
        <v>69281.8</v>
      </c>
      <c r="AX429" s="294">
        <v>2422.81</v>
      </c>
      <c r="AY429" s="299">
        <v>3.5000000000000003E-2</v>
      </c>
    </row>
    <row r="430" spans="1:51" ht="57.6" hidden="1">
      <c r="A430" s="257" t="s">
        <v>2044</v>
      </c>
      <c r="B430" s="258" t="s">
        <v>2045</v>
      </c>
      <c r="C430" s="258">
        <v>10161801</v>
      </c>
      <c r="D430" s="257" t="s">
        <v>778</v>
      </c>
      <c r="F430" s="258" t="s">
        <v>568</v>
      </c>
      <c r="G430" s="262">
        <v>1</v>
      </c>
      <c r="H430" s="262" t="s">
        <v>192</v>
      </c>
      <c r="I430" s="321" t="s">
        <v>1357</v>
      </c>
      <c r="J430" s="322">
        <v>46176</v>
      </c>
      <c r="K430" s="263" t="s">
        <v>2046</v>
      </c>
      <c r="L430" s="264" t="s">
        <v>1188</v>
      </c>
      <c r="M430" s="265" t="s">
        <v>380</v>
      </c>
      <c r="N430" s="266">
        <v>38000</v>
      </c>
      <c r="O430" s="267" t="s">
        <v>1197</v>
      </c>
      <c r="P430" s="268" t="s">
        <v>1191</v>
      </c>
      <c r="Q430" s="269">
        <v>38000</v>
      </c>
      <c r="R430" s="271">
        <v>7220</v>
      </c>
      <c r="S430" s="271">
        <v>45220</v>
      </c>
      <c r="T430" s="272">
        <v>38000</v>
      </c>
      <c r="U430" s="272">
        <v>45220</v>
      </c>
      <c r="V430" s="273" t="s">
        <v>1357</v>
      </c>
      <c r="W430" s="274">
        <v>46176</v>
      </c>
      <c r="X430" s="263" t="s">
        <v>2048</v>
      </c>
      <c r="Y430" s="276" t="s">
        <v>1188</v>
      </c>
      <c r="Z430" s="277" t="s">
        <v>381</v>
      </c>
      <c r="AA430" s="278">
        <v>36000</v>
      </c>
      <c r="AB430" s="279" t="s">
        <v>1197</v>
      </c>
      <c r="AC430" s="280" t="s">
        <v>1191</v>
      </c>
      <c r="AD430" s="281">
        <v>36000</v>
      </c>
      <c r="AE430" s="283">
        <v>6840</v>
      </c>
      <c r="AF430" s="283">
        <v>42840</v>
      </c>
      <c r="AG430" s="284">
        <v>36000</v>
      </c>
      <c r="AH430" s="284">
        <v>42840</v>
      </c>
      <c r="AI430" s="285" t="s">
        <v>1357</v>
      </c>
      <c r="AJ430" s="286">
        <v>46176</v>
      </c>
      <c r="AK430" s="263" t="s">
        <v>2108</v>
      </c>
      <c r="AL430" s="288" t="s">
        <v>1188</v>
      </c>
      <c r="AM430" s="298" t="s">
        <v>382</v>
      </c>
      <c r="AN430" s="289">
        <v>32000</v>
      </c>
      <c r="AO430" s="290" t="s">
        <v>1197</v>
      </c>
      <c r="AP430" s="290" t="s">
        <v>1191</v>
      </c>
      <c r="AQ430" s="291">
        <v>32000</v>
      </c>
      <c r="AR430" s="292">
        <v>6080</v>
      </c>
      <c r="AS430" s="292">
        <v>38080</v>
      </c>
      <c r="AT430" s="293">
        <v>32000</v>
      </c>
      <c r="AU430" s="293">
        <v>38080</v>
      </c>
      <c r="AV430" s="294">
        <v>42046.67</v>
      </c>
      <c r="AW430" s="294">
        <v>42046.67</v>
      </c>
      <c r="AX430" s="294">
        <v>3635.51</v>
      </c>
      <c r="AY430" s="299">
        <v>8.6499999999999994E-2</v>
      </c>
    </row>
    <row r="431" spans="1:51" ht="57.6" hidden="1">
      <c r="A431" s="257" t="s">
        <v>2044</v>
      </c>
      <c r="B431" s="258" t="s">
        <v>2045</v>
      </c>
      <c r="C431" s="258">
        <v>27112029</v>
      </c>
      <c r="D431" s="257" t="s">
        <v>810</v>
      </c>
      <c r="F431" s="258" t="s">
        <v>568</v>
      </c>
      <c r="G431" s="262">
        <v>1</v>
      </c>
      <c r="H431" s="262" t="s">
        <v>192</v>
      </c>
      <c r="I431" s="321" t="s">
        <v>1357</v>
      </c>
      <c r="J431" s="322">
        <v>46176</v>
      </c>
      <c r="K431" s="263" t="s">
        <v>2046</v>
      </c>
      <c r="L431" s="264" t="s">
        <v>1188</v>
      </c>
      <c r="M431" s="265" t="s">
        <v>380</v>
      </c>
      <c r="N431" s="266">
        <v>24000</v>
      </c>
      <c r="O431" s="267" t="s">
        <v>1197</v>
      </c>
      <c r="P431" s="268" t="s">
        <v>1191</v>
      </c>
      <c r="Q431" s="269">
        <v>24000</v>
      </c>
      <c r="R431" s="271">
        <v>4560</v>
      </c>
      <c r="S431" s="271">
        <v>28560</v>
      </c>
      <c r="T431" s="272">
        <v>24000</v>
      </c>
      <c r="U431" s="272">
        <v>28560</v>
      </c>
      <c r="V431" s="273" t="s">
        <v>1357</v>
      </c>
      <c r="W431" s="274">
        <v>46176</v>
      </c>
      <c r="X431" s="263" t="s">
        <v>2048</v>
      </c>
      <c r="Y431" s="276" t="s">
        <v>1188</v>
      </c>
      <c r="Z431" s="277" t="s">
        <v>381</v>
      </c>
      <c r="AA431" s="278">
        <v>23000</v>
      </c>
      <c r="AB431" s="279" t="s">
        <v>1197</v>
      </c>
      <c r="AC431" s="280" t="s">
        <v>1191</v>
      </c>
      <c r="AD431" s="281">
        <v>23000</v>
      </c>
      <c r="AE431" s="283">
        <v>4370</v>
      </c>
      <c r="AF431" s="283">
        <v>27370</v>
      </c>
      <c r="AG431" s="284">
        <v>23000</v>
      </c>
      <c r="AH431" s="284">
        <v>27370</v>
      </c>
      <c r="AI431" s="285" t="s">
        <v>1357</v>
      </c>
      <c r="AJ431" s="286">
        <v>46176</v>
      </c>
      <c r="AK431" s="263" t="s">
        <v>2108</v>
      </c>
      <c r="AL431" s="288" t="s">
        <v>1188</v>
      </c>
      <c r="AM431" s="298" t="s">
        <v>382</v>
      </c>
      <c r="AN431" s="289">
        <v>16800</v>
      </c>
      <c r="AO431" s="290" t="s">
        <v>1197</v>
      </c>
      <c r="AP431" s="290" t="s">
        <v>1191</v>
      </c>
      <c r="AQ431" s="291">
        <v>16800</v>
      </c>
      <c r="AR431" s="292">
        <v>3192</v>
      </c>
      <c r="AS431" s="292">
        <v>19992</v>
      </c>
      <c r="AT431" s="293">
        <v>16800</v>
      </c>
      <c r="AU431" s="293">
        <v>19992</v>
      </c>
      <c r="AV431" s="294">
        <v>25307.33</v>
      </c>
      <c r="AW431" s="294">
        <v>25307.33</v>
      </c>
      <c r="AX431" s="294">
        <v>4641.51</v>
      </c>
      <c r="AY431" s="299">
        <v>0.18340000000000001</v>
      </c>
    </row>
    <row r="432" spans="1:51" ht="57.6" hidden="1">
      <c r="A432" s="257" t="s">
        <v>2044</v>
      </c>
      <c r="B432" s="258" t="s">
        <v>2045</v>
      </c>
      <c r="C432" s="258">
        <v>27112029</v>
      </c>
      <c r="D432" s="257" t="s">
        <v>720</v>
      </c>
      <c r="F432" s="258" t="s">
        <v>568</v>
      </c>
      <c r="G432" s="262">
        <v>1</v>
      </c>
      <c r="H432" s="262" t="s">
        <v>192</v>
      </c>
      <c r="I432" s="321" t="s">
        <v>1357</v>
      </c>
      <c r="J432" s="322">
        <v>46176</v>
      </c>
      <c r="K432" s="263" t="s">
        <v>2046</v>
      </c>
      <c r="L432" s="264" t="s">
        <v>1188</v>
      </c>
      <c r="M432" s="265" t="s">
        <v>380</v>
      </c>
      <c r="N432" s="266">
        <v>50000</v>
      </c>
      <c r="O432" s="267" t="s">
        <v>1197</v>
      </c>
      <c r="P432" s="268" t="s">
        <v>1191</v>
      </c>
      <c r="Q432" s="269">
        <v>50000</v>
      </c>
      <c r="R432" s="271">
        <v>9500</v>
      </c>
      <c r="S432" s="271">
        <v>59500</v>
      </c>
      <c r="T432" s="272">
        <v>50000</v>
      </c>
      <c r="U432" s="272">
        <v>59500</v>
      </c>
      <c r="V432" s="273" t="s">
        <v>1357</v>
      </c>
      <c r="W432" s="274">
        <v>46176</v>
      </c>
      <c r="X432" s="263" t="s">
        <v>2048</v>
      </c>
      <c r="Y432" s="276" t="s">
        <v>1188</v>
      </c>
      <c r="Z432" s="277" t="s">
        <v>381</v>
      </c>
      <c r="AA432" s="278">
        <v>49000</v>
      </c>
      <c r="AB432" s="279" t="s">
        <v>1197</v>
      </c>
      <c r="AC432" s="280" t="s">
        <v>1191</v>
      </c>
      <c r="AD432" s="281">
        <v>49000</v>
      </c>
      <c r="AE432" s="283">
        <v>9310</v>
      </c>
      <c r="AF432" s="283">
        <v>58310</v>
      </c>
      <c r="AG432" s="284">
        <v>49000</v>
      </c>
      <c r="AH432" s="284">
        <v>58310</v>
      </c>
      <c r="AI432" s="285" t="s">
        <v>1357</v>
      </c>
      <c r="AJ432" s="286">
        <v>46176</v>
      </c>
      <c r="AK432" s="263" t="s">
        <v>2108</v>
      </c>
      <c r="AL432" s="288" t="s">
        <v>1188</v>
      </c>
      <c r="AM432" s="298" t="s">
        <v>382</v>
      </c>
      <c r="AN432" s="289">
        <v>47600</v>
      </c>
      <c r="AO432" s="290" t="s">
        <v>1197</v>
      </c>
      <c r="AP432" s="290" t="s">
        <v>1191</v>
      </c>
      <c r="AQ432" s="291">
        <v>47600</v>
      </c>
      <c r="AR432" s="292">
        <v>9044</v>
      </c>
      <c r="AS432" s="292">
        <v>56644</v>
      </c>
      <c r="AT432" s="293">
        <v>47600</v>
      </c>
      <c r="AU432" s="293">
        <v>56644</v>
      </c>
      <c r="AV432" s="294">
        <v>58151.33</v>
      </c>
      <c r="AW432" s="294">
        <v>58151.33</v>
      </c>
      <c r="AX432" s="294">
        <v>1434.6</v>
      </c>
      <c r="AY432" s="299">
        <v>2.47E-2</v>
      </c>
    </row>
    <row r="433" spans="1:51" ht="57.6" hidden="1">
      <c r="A433" s="257" t="s">
        <v>2044</v>
      </c>
      <c r="B433" s="258" t="s">
        <v>2045</v>
      </c>
      <c r="C433" s="258">
        <v>13111000</v>
      </c>
      <c r="D433" s="257" t="s">
        <v>419</v>
      </c>
      <c r="F433" s="258" t="s">
        <v>2261</v>
      </c>
      <c r="G433" s="262">
        <v>3</v>
      </c>
      <c r="H433" s="262" t="s">
        <v>192</v>
      </c>
      <c r="I433" s="321" t="s">
        <v>1357</v>
      </c>
      <c r="J433" s="322">
        <v>46169</v>
      </c>
      <c r="K433" s="263" t="s">
        <v>2071</v>
      </c>
      <c r="L433" s="264" t="s">
        <v>1188</v>
      </c>
      <c r="M433" s="265" t="s">
        <v>193</v>
      </c>
      <c r="N433" s="266">
        <v>128000</v>
      </c>
      <c r="O433" s="267" t="s">
        <v>1197</v>
      </c>
      <c r="P433" s="268" t="s">
        <v>1191</v>
      </c>
      <c r="Q433" s="269">
        <v>128000</v>
      </c>
      <c r="R433" s="271">
        <v>24320</v>
      </c>
      <c r="S433" s="271">
        <v>152320</v>
      </c>
      <c r="T433" s="272">
        <v>384000</v>
      </c>
      <c r="U433" s="272">
        <v>456960</v>
      </c>
      <c r="V433" s="273" t="s">
        <v>1357</v>
      </c>
      <c r="W433" s="274">
        <v>46169</v>
      </c>
      <c r="X433" s="263" t="s">
        <v>2062</v>
      </c>
      <c r="Y433" s="276" t="s">
        <v>1188</v>
      </c>
      <c r="Z433" s="277" t="s">
        <v>194</v>
      </c>
      <c r="AA433" s="278">
        <v>116000</v>
      </c>
      <c r="AB433" s="279" t="s">
        <v>1197</v>
      </c>
      <c r="AC433" s="280" t="s">
        <v>1191</v>
      </c>
      <c r="AD433" s="281">
        <v>116000</v>
      </c>
      <c r="AE433" s="283">
        <v>22040</v>
      </c>
      <c r="AF433" s="283">
        <v>138040</v>
      </c>
      <c r="AG433" s="284">
        <v>348000</v>
      </c>
      <c r="AH433" s="284">
        <v>414120</v>
      </c>
      <c r="AI433" s="285" t="s">
        <v>1357</v>
      </c>
      <c r="AJ433" s="286">
        <v>46177</v>
      </c>
      <c r="AK433" s="263" t="s">
        <v>2262</v>
      </c>
      <c r="AL433" s="288" t="s">
        <v>1188</v>
      </c>
      <c r="AM433" s="298" t="s">
        <v>422</v>
      </c>
      <c r="AN433" s="289">
        <v>114450</v>
      </c>
      <c r="AO433" s="290" t="s">
        <v>1190</v>
      </c>
      <c r="AP433" s="290" t="s">
        <v>1191</v>
      </c>
      <c r="AQ433" s="291">
        <v>96176.47</v>
      </c>
      <c r="AR433" s="292">
        <v>18274</v>
      </c>
      <c r="AS433" s="292">
        <v>114450</v>
      </c>
      <c r="AT433" s="293">
        <v>288529</v>
      </c>
      <c r="AU433" s="293">
        <v>343350</v>
      </c>
      <c r="AV433" s="294">
        <v>134936.67000000001</v>
      </c>
      <c r="AW433" s="294">
        <v>404810</v>
      </c>
      <c r="AX433" s="294">
        <v>57374.34</v>
      </c>
      <c r="AY433" s="299">
        <v>0.14169999999999999</v>
      </c>
    </row>
    <row r="434" spans="1:51" ht="57.6" hidden="1">
      <c r="A434" s="257" t="s">
        <v>2044</v>
      </c>
      <c r="B434" s="258" t="s">
        <v>2045</v>
      </c>
      <c r="C434" s="258">
        <v>31211900</v>
      </c>
      <c r="D434" s="257" t="s">
        <v>279</v>
      </c>
      <c r="F434" s="258" t="s">
        <v>191</v>
      </c>
      <c r="G434" s="262">
        <v>3</v>
      </c>
      <c r="H434" s="262" t="s">
        <v>192</v>
      </c>
      <c r="I434" s="321" t="s">
        <v>1357</v>
      </c>
      <c r="J434" s="322">
        <v>46169</v>
      </c>
      <c r="K434" s="263" t="s">
        <v>2071</v>
      </c>
      <c r="L434" s="264" t="s">
        <v>1188</v>
      </c>
      <c r="M434" s="265" t="s">
        <v>193</v>
      </c>
      <c r="N434" s="266">
        <v>13000</v>
      </c>
      <c r="O434" s="267" t="s">
        <v>1197</v>
      </c>
      <c r="P434" s="268" t="s">
        <v>1191</v>
      </c>
      <c r="Q434" s="269">
        <v>13000</v>
      </c>
      <c r="R434" s="271">
        <v>2470</v>
      </c>
      <c r="S434" s="271">
        <v>15470</v>
      </c>
      <c r="T434" s="272">
        <v>39000</v>
      </c>
      <c r="U434" s="272">
        <v>46410</v>
      </c>
      <c r="V434" s="273" t="s">
        <v>1357</v>
      </c>
      <c r="W434" s="274">
        <v>46169</v>
      </c>
      <c r="X434" s="263" t="s">
        <v>2072</v>
      </c>
      <c r="Y434" s="276" t="s">
        <v>1188</v>
      </c>
      <c r="Z434" s="277" t="s">
        <v>245</v>
      </c>
      <c r="AA434" s="278">
        <v>12000</v>
      </c>
      <c r="AB434" s="279" t="s">
        <v>1197</v>
      </c>
      <c r="AC434" s="280" t="s">
        <v>1191</v>
      </c>
      <c r="AD434" s="281">
        <v>12000</v>
      </c>
      <c r="AE434" s="283">
        <v>2280</v>
      </c>
      <c r="AF434" s="283">
        <v>14280</v>
      </c>
      <c r="AG434" s="284">
        <v>36000</v>
      </c>
      <c r="AH434" s="284">
        <v>42840</v>
      </c>
      <c r="AI434" s="285" t="s">
        <v>1357</v>
      </c>
      <c r="AJ434" s="286">
        <v>46169</v>
      </c>
      <c r="AK434" s="263" t="s">
        <v>2062</v>
      </c>
      <c r="AL434" s="288" t="s">
        <v>1188</v>
      </c>
      <c r="AM434" s="298" t="s">
        <v>194</v>
      </c>
      <c r="AN434" s="289">
        <v>15000</v>
      </c>
      <c r="AO434" s="290" t="s">
        <v>1197</v>
      </c>
      <c r="AP434" s="290" t="s">
        <v>1191</v>
      </c>
      <c r="AQ434" s="291">
        <v>15000</v>
      </c>
      <c r="AR434" s="292">
        <v>2850</v>
      </c>
      <c r="AS434" s="292">
        <v>17850</v>
      </c>
      <c r="AT434" s="293">
        <v>45000</v>
      </c>
      <c r="AU434" s="293">
        <v>53550</v>
      </c>
      <c r="AV434" s="294">
        <v>15866.67</v>
      </c>
      <c r="AW434" s="294">
        <v>47600</v>
      </c>
      <c r="AX434" s="294">
        <v>5453.27</v>
      </c>
      <c r="AY434" s="299">
        <v>0.11459999999999999</v>
      </c>
    </row>
    <row r="435" spans="1:51" ht="57.6" hidden="1">
      <c r="A435" s="257" t="s">
        <v>2044</v>
      </c>
      <c r="B435" s="258" t="s">
        <v>2045</v>
      </c>
      <c r="C435" s="258">
        <v>24111500</v>
      </c>
      <c r="D435" s="257" t="s">
        <v>373</v>
      </c>
      <c r="F435" s="258" t="s">
        <v>191</v>
      </c>
      <c r="G435" s="262">
        <v>40</v>
      </c>
      <c r="H435" s="262" t="s">
        <v>192</v>
      </c>
      <c r="I435" s="321" t="s">
        <v>1186</v>
      </c>
      <c r="J435" s="322">
        <v>46191</v>
      </c>
      <c r="K435" s="263" t="s">
        <v>2263</v>
      </c>
      <c r="L435" s="264" t="s">
        <v>1193</v>
      </c>
      <c r="M435" s="265" t="s">
        <v>284</v>
      </c>
      <c r="N435" s="266">
        <v>1600</v>
      </c>
      <c r="O435" s="267" t="s">
        <v>1190</v>
      </c>
      <c r="P435" s="268" t="s">
        <v>1191</v>
      </c>
      <c r="Q435" s="269">
        <v>1344.54</v>
      </c>
      <c r="R435" s="271">
        <v>255</v>
      </c>
      <c r="S435" s="271">
        <v>1600</v>
      </c>
      <c r="T435" s="272">
        <v>53782</v>
      </c>
      <c r="U435" s="272">
        <v>64000</v>
      </c>
      <c r="V435" s="273" t="s">
        <v>1186</v>
      </c>
      <c r="W435" s="274">
        <v>46191</v>
      </c>
      <c r="X435" s="263" t="s">
        <v>2264</v>
      </c>
      <c r="Y435" s="276" t="s">
        <v>1193</v>
      </c>
      <c r="Z435" s="277" t="s">
        <v>375</v>
      </c>
      <c r="AA435" s="278">
        <v>1800</v>
      </c>
      <c r="AB435" s="279" t="s">
        <v>1190</v>
      </c>
      <c r="AC435" s="280" t="s">
        <v>1191</v>
      </c>
      <c r="AD435" s="281">
        <v>1512.61</v>
      </c>
      <c r="AE435" s="283">
        <v>287</v>
      </c>
      <c r="AF435" s="283">
        <v>1800</v>
      </c>
      <c r="AG435" s="284">
        <v>60504</v>
      </c>
      <c r="AH435" s="284">
        <v>72000</v>
      </c>
      <c r="AI435" s="285" t="s">
        <v>1199</v>
      </c>
      <c r="AJ435" s="286">
        <v>46191</v>
      </c>
      <c r="AK435" s="263" t="s">
        <v>2265</v>
      </c>
      <c r="AL435" s="288" t="s">
        <v>1193</v>
      </c>
      <c r="AM435" s="298" t="s">
        <v>376</v>
      </c>
      <c r="AN435" s="289">
        <v>1200</v>
      </c>
      <c r="AO435" s="290" t="s">
        <v>1190</v>
      </c>
      <c r="AP435" s="290" t="s">
        <v>1191</v>
      </c>
      <c r="AQ435" s="291">
        <v>1008.4</v>
      </c>
      <c r="AR435" s="292">
        <v>192</v>
      </c>
      <c r="AS435" s="292">
        <v>1200</v>
      </c>
      <c r="AT435" s="293">
        <v>40336</v>
      </c>
      <c r="AU435" s="293">
        <v>48000</v>
      </c>
      <c r="AV435" s="294">
        <v>1533.33</v>
      </c>
      <c r="AW435" s="294">
        <v>61333.33</v>
      </c>
      <c r="AX435" s="294">
        <v>12220.2</v>
      </c>
      <c r="AY435" s="299">
        <v>0.19919999999999999</v>
      </c>
    </row>
    <row r="436" spans="1:51" ht="57.6" hidden="1">
      <c r="A436" s="257" t="s">
        <v>2044</v>
      </c>
      <c r="B436" s="258" t="s">
        <v>2045</v>
      </c>
      <c r="C436" s="258">
        <v>31211506</v>
      </c>
      <c r="D436" s="257" t="s">
        <v>2266</v>
      </c>
      <c r="F436" s="258" t="s">
        <v>191</v>
      </c>
      <c r="G436" s="262">
        <v>1</v>
      </c>
      <c r="H436" s="262" t="s">
        <v>192</v>
      </c>
      <c r="I436" s="321" t="s">
        <v>1357</v>
      </c>
      <c r="J436" s="322">
        <v>46169</v>
      </c>
      <c r="K436" s="263" t="s">
        <v>2071</v>
      </c>
      <c r="L436" s="264" t="s">
        <v>1188</v>
      </c>
      <c r="M436" s="265" t="s">
        <v>193</v>
      </c>
      <c r="N436" s="266">
        <v>26000</v>
      </c>
      <c r="O436" s="267" t="s">
        <v>1197</v>
      </c>
      <c r="P436" s="268" t="s">
        <v>1191</v>
      </c>
      <c r="Q436" s="269">
        <v>26000</v>
      </c>
      <c r="R436" s="271">
        <v>4940</v>
      </c>
      <c r="S436" s="271">
        <v>30940</v>
      </c>
      <c r="T436" s="272">
        <v>26000</v>
      </c>
      <c r="U436" s="272">
        <v>30940</v>
      </c>
      <c r="V436" s="273" t="s">
        <v>1357</v>
      </c>
      <c r="W436" s="274">
        <v>46169</v>
      </c>
      <c r="X436" s="263" t="s">
        <v>2062</v>
      </c>
      <c r="Y436" s="276" t="s">
        <v>1188</v>
      </c>
      <c r="Z436" s="277" t="s">
        <v>194</v>
      </c>
      <c r="AA436" s="278">
        <v>26000</v>
      </c>
      <c r="AB436" s="279" t="s">
        <v>1197</v>
      </c>
      <c r="AC436" s="280" t="s">
        <v>1191</v>
      </c>
      <c r="AD436" s="281">
        <v>26000</v>
      </c>
      <c r="AE436" s="283">
        <v>4940</v>
      </c>
      <c r="AF436" s="283">
        <v>30940</v>
      </c>
      <c r="AG436" s="284">
        <v>26000</v>
      </c>
      <c r="AH436" s="284">
        <v>30940</v>
      </c>
      <c r="AI436" s="285" t="s">
        <v>1199</v>
      </c>
      <c r="AJ436" s="286">
        <v>46191</v>
      </c>
      <c r="AK436" s="263" t="s">
        <v>2267</v>
      </c>
      <c r="AL436" s="288" t="s">
        <v>1193</v>
      </c>
      <c r="AM436" s="298" t="s">
        <v>263</v>
      </c>
      <c r="AN436" s="289">
        <v>39900</v>
      </c>
      <c r="AO436" s="290" t="s">
        <v>1190</v>
      </c>
      <c r="AP436" s="290" t="s">
        <v>1191</v>
      </c>
      <c r="AQ436" s="291">
        <v>33529.410000000003</v>
      </c>
      <c r="AR436" s="292">
        <v>6371</v>
      </c>
      <c r="AS436" s="292">
        <v>39900</v>
      </c>
      <c r="AT436" s="293">
        <v>33529</v>
      </c>
      <c r="AU436" s="293">
        <v>39900</v>
      </c>
      <c r="AV436" s="294">
        <v>33926.67</v>
      </c>
      <c r="AW436" s="294">
        <v>33926.67</v>
      </c>
      <c r="AX436" s="294">
        <v>5173.0600000000004</v>
      </c>
      <c r="AY436" s="299">
        <v>0.1525</v>
      </c>
    </row>
    <row r="437" spans="1:51" ht="57.6" hidden="1">
      <c r="A437" s="257" t="s">
        <v>2044</v>
      </c>
      <c r="B437" s="258" t="s">
        <v>2045</v>
      </c>
      <c r="C437" s="258">
        <v>10151816</v>
      </c>
      <c r="D437" s="257" t="s">
        <v>594</v>
      </c>
      <c r="F437" s="258" t="s">
        <v>568</v>
      </c>
      <c r="G437" s="262">
        <v>1</v>
      </c>
      <c r="H437" s="262" t="s">
        <v>192</v>
      </c>
      <c r="I437" s="321" t="s">
        <v>1357</v>
      </c>
      <c r="J437" s="322">
        <v>46176</v>
      </c>
      <c r="K437" s="263" t="s">
        <v>2046</v>
      </c>
      <c r="L437" s="264" t="s">
        <v>1188</v>
      </c>
      <c r="M437" s="265" t="s">
        <v>380</v>
      </c>
      <c r="N437" s="266">
        <v>4100</v>
      </c>
      <c r="O437" s="267" t="s">
        <v>1197</v>
      </c>
      <c r="P437" s="268" t="s">
        <v>1217</v>
      </c>
      <c r="Q437" s="269">
        <v>4100</v>
      </c>
      <c r="R437" s="270" t="s">
        <v>2047</v>
      </c>
      <c r="S437" s="271">
        <v>4100</v>
      </c>
      <c r="T437" s="272">
        <v>4100</v>
      </c>
      <c r="U437" s="272">
        <v>4100</v>
      </c>
      <c r="V437" s="273" t="s">
        <v>1357</v>
      </c>
      <c r="W437" s="274">
        <v>46176</v>
      </c>
      <c r="X437" s="263" t="s">
        <v>2048</v>
      </c>
      <c r="Y437" s="276" t="s">
        <v>1188</v>
      </c>
      <c r="Z437" s="277" t="s">
        <v>381</v>
      </c>
      <c r="AA437" s="278">
        <v>4200</v>
      </c>
      <c r="AB437" s="279" t="s">
        <v>1197</v>
      </c>
      <c r="AC437" s="280" t="s">
        <v>1217</v>
      </c>
      <c r="AD437" s="281">
        <v>4200</v>
      </c>
      <c r="AE437" s="282" t="s">
        <v>2047</v>
      </c>
      <c r="AF437" s="283">
        <v>4200</v>
      </c>
      <c r="AG437" s="284">
        <v>4200</v>
      </c>
      <c r="AH437" s="284">
        <v>4200</v>
      </c>
      <c r="AI437" s="285" t="s">
        <v>1357</v>
      </c>
      <c r="AJ437" s="286">
        <v>46176</v>
      </c>
      <c r="AK437" s="263" t="s">
        <v>2108</v>
      </c>
      <c r="AL437" s="288" t="s">
        <v>1188</v>
      </c>
      <c r="AM437" s="298" t="s">
        <v>382</v>
      </c>
      <c r="AN437" s="289">
        <v>4000</v>
      </c>
      <c r="AO437" s="290" t="s">
        <v>1197</v>
      </c>
      <c r="AP437" s="290" t="s">
        <v>1217</v>
      </c>
      <c r="AQ437" s="291">
        <v>4000</v>
      </c>
      <c r="AR437" s="300" t="s">
        <v>2047</v>
      </c>
      <c r="AS437" s="292">
        <v>4000</v>
      </c>
      <c r="AT437" s="293">
        <v>4000</v>
      </c>
      <c r="AU437" s="293">
        <v>4000</v>
      </c>
      <c r="AV437" s="294">
        <v>4100</v>
      </c>
      <c r="AW437" s="294">
        <v>4100</v>
      </c>
      <c r="AX437" s="294">
        <v>100</v>
      </c>
      <c r="AY437" s="299">
        <v>2.4400000000000002E-2</v>
      </c>
    </row>
    <row r="438" spans="1:51" ht="57.6" hidden="1">
      <c r="A438" s="257" t="s">
        <v>2044</v>
      </c>
      <c r="B438" s="258" t="s">
        <v>2045</v>
      </c>
      <c r="C438" s="258">
        <v>10161801</v>
      </c>
      <c r="D438" s="257" t="s">
        <v>597</v>
      </c>
      <c r="F438" s="258" t="s">
        <v>568</v>
      </c>
      <c r="G438" s="262">
        <v>1</v>
      </c>
      <c r="H438" s="262" t="s">
        <v>192</v>
      </c>
      <c r="I438" s="321" t="s">
        <v>1357</v>
      </c>
      <c r="J438" s="322">
        <v>46176</v>
      </c>
      <c r="K438" s="263" t="s">
        <v>2046</v>
      </c>
      <c r="L438" s="264" t="s">
        <v>1188</v>
      </c>
      <c r="M438" s="265" t="s">
        <v>380</v>
      </c>
      <c r="N438" s="266">
        <v>15500</v>
      </c>
      <c r="O438" s="267" t="s">
        <v>1197</v>
      </c>
      <c r="P438" s="268" t="s">
        <v>1217</v>
      </c>
      <c r="Q438" s="269">
        <v>15500</v>
      </c>
      <c r="R438" s="270" t="s">
        <v>2047</v>
      </c>
      <c r="S438" s="271">
        <v>15500</v>
      </c>
      <c r="T438" s="272">
        <v>15500</v>
      </c>
      <c r="U438" s="272">
        <v>15500</v>
      </c>
      <c r="V438" s="273" t="s">
        <v>1357</v>
      </c>
      <c r="W438" s="274">
        <v>46176</v>
      </c>
      <c r="X438" s="263" t="s">
        <v>2048</v>
      </c>
      <c r="Y438" s="276" t="s">
        <v>1188</v>
      </c>
      <c r="Z438" s="277" t="s">
        <v>381</v>
      </c>
      <c r="AA438" s="278">
        <v>14000</v>
      </c>
      <c r="AB438" s="279" t="s">
        <v>1197</v>
      </c>
      <c r="AC438" s="280" t="s">
        <v>1217</v>
      </c>
      <c r="AD438" s="281">
        <v>14000</v>
      </c>
      <c r="AE438" s="282" t="s">
        <v>2047</v>
      </c>
      <c r="AF438" s="283">
        <v>14000</v>
      </c>
      <c r="AG438" s="284">
        <v>14000</v>
      </c>
      <c r="AH438" s="284">
        <v>14000</v>
      </c>
      <c r="AI438" s="285" t="s">
        <v>1199</v>
      </c>
      <c r="AJ438" s="286">
        <v>46191</v>
      </c>
      <c r="AK438" s="263" t="s">
        <v>2268</v>
      </c>
      <c r="AL438" s="288" t="s">
        <v>1193</v>
      </c>
      <c r="AM438" s="298" t="s">
        <v>599</v>
      </c>
      <c r="AN438" s="289">
        <v>20000</v>
      </c>
      <c r="AO438" s="290" t="s">
        <v>1190</v>
      </c>
      <c r="AP438" s="290" t="s">
        <v>1191</v>
      </c>
      <c r="AQ438" s="291">
        <v>16806.72</v>
      </c>
      <c r="AR438" s="292">
        <v>3193</v>
      </c>
      <c r="AS438" s="292">
        <v>20000</v>
      </c>
      <c r="AT438" s="293">
        <v>16807</v>
      </c>
      <c r="AU438" s="293">
        <v>20000</v>
      </c>
      <c r="AV438" s="294">
        <v>16500</v>
      </c>
      <c r="AW438" s="294">
        <v>16500</v>
      </c>
      <c r="AX438" s="294">
        <v>3122.5</v>
      </c>
      <c r="AY438" s="299">
        <v>0.18920000000000001</v>
      </c>
    </row>
    <row r="439" spans="1:51" ht="57.6" hidden="1">
      <c r="A439" s="257" t="s">
        <v>2044</v>
      </c>
      <c r="B439" s="258" t="s">
        <v>2045</v>
      </c>
      <c r="C439" s="258">
        <v>10151503</v>
      </c>
      <c r="D439" s="257" t="s">
        <v>583</v>
      </c>
      <c r="F439" s="258" t="s">
        <v>568</v>
      </c>
      <c r="G439" s="262">
        <v>1</v>
      </c>
      <c r="H439" s="262" t="s">
        <v>192</v>
      </c>
      <c r="I439" s="321" t="s">
        <v>1357</v>
      </c>
      <c r="J439" s="322">
        <v>46176</v>
      </c>
      <c r="K439" s="263" t="s">
        <v>2046</v>
      </c>
      <c r="L439" s="264" t="s">
        <v>1188</v>
      </c>
      <c r="M439" s="265" t="s">
        <v>380</v>
      </c>
      <c r="N439" s="266">
        <v>4100</v>
      </c>
      <c r="O439" s="267" t="s">
        <v>1197</v>
      </c>
      <c r="P439" s="268" t="s">
        <v>1217</v>
      </c>
      <c r="Q439" s="269">
        <v>4100</v>
      </c>
      <c r="R439" s="270" t="s">
        <v>2047</v>
      </c>
      <c r="S439" s="271">
        <v>4100</v>
      </c>
      <c r="T439" s="272">
        <v>4100</v>
      </c>
      <c r="U439" s="272">
        <v>4100</v>
      </c>
      <c r="V439" s="273" t="s">
        <v>1357</v>
      </c>
      <c r="W439" s="274">
        <v>46176</v>
      </c>
      <c r="X439" s="263" t="s">
        <v>2048</v>
      </c>
      <c r="Y439" s="276" t="s">
        <v>1188</v>
      </c>
      <c r="Z439" s="277" t="s">
        <v>381</v>
      </c>
      <c r="AA439" s="278">
        <v>4000</v>
      </c>
      <c r="AB439" s="279" t="s">
        <v>1197</v>
      </c>
      <c r="AC439" s="280" t="s">
        <v>1217</v>
      </c>
      <c r="AD439" s="281">
        <v>4000</v>
      </c>
      <c r="AE439" s="282" t="s">
        <v>2047</v>
      </c>
      <c r="AF439" s="283">
        <v>4000</v>
      </c>
      <c r="AG439" s="284">
        <v>4000</v>
      </c>
      <c r="AH439" s="284">
        <v>4000</v>
      </c>
      <c r="AI439" s="285" t="s">
        <v>1357</v>
      </c>
      <c r="AJ439" s="286">
        <v>46176</v>
      </c>
      <c r="AK439" s="263" t="s">
        <v>2108</v>
      </c>
      <c r="AL439" s="288" t="s">
        <v>1188</v>
      </c>
      <c r="AM439" s="298" t="s">
        <v>382</v>
      </c>
      <c r="AN439" s="289">
        <v>3500</v>
      </c>
      <c r="AO439" s="290" t="s">
        <v>1197</v>
      </c>
      <c r="AP439" s="290" t="s">
        <v>1217</v>
      </c>
      <c r="AQ439" s="291">
        <v>3500</v>
      </c>
      <c r="AR439" s="300" t="s">
        <v>2047</v>
      </c>
      <c r="AS439" s="292">
        <v>3500</v>
      </c>
      <c r="AT439" s="293">
        <v>3500</v>
      </c>
      <c r="AU439" s="293">
        <v>3500</v>
      </c>
      <c r="AV439" s="294">
        <v>3866.67</v>
      </c>
      <c r="AW439" s="294">
        <v>3866.67</v>
      </c>
      <c r="AX439" s="294">
        <v>321.45999999999998</v>
      </c>
      <c r="AY439" s="299">
        <v>8.3099999999999993E-2</v>
      </c>
    </row>
    <row r="440" spans="1:51" ht="57.6" hidden="1">
      <c r="A440" s="257" t="s">
        <v>2044</v>
      </c>
      <c r="B440" s="258" t="s">
        <v>2045</v>
      </c>
      <c r="C440" s="258">
        <v>10161801</v>
      </c>
      <c r="D440" s="257" t="s">
        <v>591</v>
      </c>
      <c r="F440" s="258" t="s">
        <v>568</v>
      </c>
      <c r="G440" s="262">
        <v>1</v>
      </c>
      <c r="H440" s="262" t="s">
        <v>192</v>
      </c>
      <c r="I440" s="321" t="s">
        <v>1357</v>
      </c>
      <c r="J440" s="322">
        <v>46176</v>
      </c>
      <c r="K440" s="263" t="s">
        <v>2046</v>
      </c>
      <c r="L440" s="264" t="s">
        <v>1188</v>
      </c>
      <c r="M440" s="265" t="s">
        <v>380</v>
      </c>
      <c r="N440" s="266">
        <v>3700</v>
      </c>
      <c r="O440" s="267" t="s">
        <v>1197</v>
      </c>
      <c r="P440" s="268" t="s">
        <v>1217</v>
      </c>
      <c r="Q440" s="269">
        <v>3700</v>
      </c>
      <c r="R440" s="270" t="s">
        <v>2047</v>
      </c>
      <c r="S440" s="271">
        <v>3700</v>
      </c>
      <c r="T440" s="272">
        <v>3700</v>
      </c>
      <c r="U440" s="272">
        <v>3700</v>
      </c>
      <c r="V440" s="273" t="s">
        <v>1357</v>
      </c>
      <c r="W440" s="274">
        <v>46176</v>
      </c>
      <c r="X440" s="263" t="s">
        <v>2048</v>
      </c>
      <c r="Y440" s="276" t="s">
        <v>1188</v>
      </c>
      <c r="Z440" s="277" t="s">
        <v>381</v>
      </c>
      <c r="AA440" s="278">
        <v>3800</v>
      </c>
      <c r="AB440" s="279" t="s">
        <v>1197</v>
      </c>
      <c r="AC440" s="280" t="s">
        <v>1217</v>
      </c>
      <c r="AD440" s="281">
        <v>3800</v>
      </c>
      <c r="AE440" s="282" t="s">
        <v>2047</v>
      </c>
      <c r="AF440" s="283">
        <v>3800</v>
      </c>
      <c r="AG440" s="284">
        <v>3800</v>
      </c>
      <c r="AH440" s="284">
        <v>3800</v>
      </c>
      <c r="AI440" s="285" t="s">
        <v>1357</v>
      </c>
      <c r="AJ440" s="286">
        <v>46176</v>
      </c>
      <c r="AK440" s="263" t="s">
        <v>2108</v>
      </c>
      <c r="AL440" s="288" t="s">
        <v>1188</v>
      </c>
      <c r="AM440" s="298" t="s">
        <v>382</v>
      </c>
      <c r="AN440" s="289">
        <v>3500</v>
      </c>
      <c r="AO440" s="290" t="s">
        <v>1197</v>
      </c>
      <c r="AP440" s="290" t="s">
        <v>1217</v>
      </c>
      <c r="AQ440" s="291">
        <v>3500</v>
      </c>
      <c r="AR440" s="300" t="s">
        <v>2047</v>
      </c>
      <c r="AS440" s="292">
        <v>3500</v>
      </c>
      <c r="AT440" s="293">
        <v>3500</v>
      </c>
      <c r="AU440" s="293">
        <v>3500</v>
      </c>
      <c r="AV440" s="294">
        <v>3666.67</v>
      </c>
      <c r="AW440" s="294">
        <v>3666.67</v>
      </c>
      <c r="AX440" s="294">
        <v>152.75</v>
      </c>
      <c r="AY440" s="299">
        <v>4.1700000000000001E-2</v>
      </c>
    </row>
    <row r="441" spans="1:51" ht="57.6" hidden="1">
      <c r="A441" s="257" t="s">
        <v>2044</v>
      </c>
      <c r="B441" s="258" t="s">
        <v>2045</v>
      </c>
      <c r="C441" s="258">
        <v>10151613</v>
      </c>
      <c r="D441" s="257" t="s">
        <v>580</v>
      </c>
      <c r="F441" s="258" t="s">
        <v>568</v>
      </c>
      <c r="G441" s="262">
        <v>1</v>
      </c>
      <c r="H441" s="262" t="s">
        <v>192</v>
      </c>
      <c r="I441" s="321" t="s">
        <v>1357</v>
      </c>
      <c r="J441" s="322">
        <v>46176</v>
      </c>
      <c r="K441" s="263" t="s">
        <v>2046</v>
      </c>
      <c r="L441" s="264" t="s">
        <v>1188</v>
      </c>
      <c r="M441" s="265" t="s">
        <v>380</v>
      </c>
      <c r="N441" s="266">
        <v>3900</v>
      </c>
      <c r="O441" s="267" t="s">
        <v>1197</v>
      </c>
      <c r="P441" s="268" t="s">
        <v>1217</v>
      </c>
      <c r="Q441" s="269">
        <v>3900</v>
      </c>
      <c r="R441" s="270" t="s">
        <v>2047</v>
      </c>
      <c r="S441" s="271">
        <v>3900</v>
      </c>
      <c r="T441" s="272">
        <v>3900</v>
      </c>
      <c r="U441" s="272">
        <v>3900</v>
      </c>
      <c r="V441" s="273" t="s">
        <v>1357</v>
      </c>
      <c r="W441" s="274">
        <v>46176</v>
      </c>
      <c r="X441" s="263" t="s">
        <v>2048</v>
      </c>
      <c r="Y441" s="276" t="s">
        <v>1188</v>
      </c>
      <c r="Z441" s="277" t="s">
        <v>381</v>
      </c>
      <c r="AA441" s="278">
        <v>4200</v>
      </c>
      <c r="AB441" s="279" t="s">
        <v>1197</v>
      </c>
      <c r="AC441" s="280" t="s">
        <v>1217</v>
      </c>
      <c r="AD441" s="281">
        <v>4200</v>
      </c>
      <c r="AE441" s="282" t="s">
        <v>2047</v>
      </c>
      <c r="AF441" s="283">
        <v>4200</v>
      </c>
      <c r="AG441" s="284">
        <v>4200</v>
      </c>
      <c r="AH441" s="284">
        <v>4200</v>
      </c>
      <c r="AI441" s="285" t="s">
        <v>1357</v>
      </c>
      <c r="AJ441" s="286">
        <v>46176</v>
      </c>
      <c r="AK441" s="263" t="s">
        <v>2108</v>
      </c>
      <c r="AL441" s="288" t="s">
        <v>1188</v>
      </c>
      <c r="AM441" s="298" t="s">
        <v>382</v>
      </c>
      <c r="AN441" s="289">
        <v>4000</v>
      </c>
      <c r="AO441" s="290" t="s">
        <v>1197</v>
      </c>
      <c r="AP441" s="290" t="s">
        <v>1217</v>
      </c>
      <c r="AQ441" s="291">
        <v>4000</v>
      </c>
      <c r="AR441" s="300" t="s">
        <v>2047</v>
      </c>
      <c r="AS441" s="292">
        <v>4000</v>
      </c>
      <c r="AT441" s="293">
        <v>4000</v>
      </c>
      <c r="AU441" s="293">
        <v>4000</v>
      </c>
      <c r="AV441" s="294">
        <v>4033.33</v>
      </c>
      <c r="AW441" s="294">
        <v>4033.33</v>
      </c>
      <c r="AX441" s="294">
        <v>152.75</v>
      </c>
      <c r="AY441" s="299">
        <v>3.7900000000000003E-2</v>
      </c>
    </row>
    <row r="442" spans="1:51" ht="57.6" hidden="1">
      <c r="A442" s="257" t="s">
        <v>2044</v>
      </c>
      <c r="B442" s="258" t="s">
        <v>2045</v>
      </c>
      <c r="C442" s="258">
        <v>10151518</v>
      </c>
      <c r="D442" s="257" t="s">
        <v>586</v>
      </c>
      <c r="F442" s="258" t="s">
        <v>568</v>
      </c>
      <c r="G442" s="262">
        <v>1</v>
      </c>
      <c r="H442" s="262" t="s">
        <v>192</v>
      </c>
      <c r="I442" s="321" t="s">
        <v>1357</v>
      </c>
      <c r="J442" s="322">
        <v>46176</v>
      </c>
      <c r="K442" s="263" t="s">
        <v>2046</v>
      </c>
      <c r="L442" s="264" t="s">
        <v>1188</v>
      </c>
      <c r="M442" s="265" t="s">
        <v>380</v>
      </c>
      <c r="N442" s="266">
        <v>3900</v>
      </c>
      <c r="O442" s="267" t="s">
        <v>1197</v>
      </c>
      <c r="P442" s="268" t="s">
        <v>1217</v>
      </c>
      <c r="Q442" s="269">
        <v>3900</v>
      </c>
      <c r="R442" s="270" t="s">
        <v>2047</v>
      </c>
      <c r="S442" s="271">
        <v>3900</v>
      </c>
      <c r="T442" s="272">
        <v>3900</v>
      </c>
      <c r="U442" s="272">
        <v>3900</v>
      </c>
      <c r="V442" s="273" t="s">
        <v>1357</v>
      </c>
      <c r="W442" s="274">
        <v>46176</v>
      </c>
      <c r="X442" s="263" t="s">
        <v>2048</v>
      </c>
      <c r="Y442" s="276" t="s">
        <v>1188</v>
      </c>
      <c r="Z442" s="277" t="s">
        <v>381</v>
      </c>
      <c r="AA442" s="278">
        <v>3800</v>
      </c>
      <c r="AB442" s="279" t="s">
        <v>1197</v>
      </c>
      <c r="AC442" s="280" t="s">
        <v>1217</v>
      </c>
      <c r="AD442" s="281">
        <v>3800</v>
      </c>
      <c r="AE442" s="282" t="s">
        <v>2047</v>
      </c>
      <c r="AF442" s="283">
        <v>3800</v>
      </c>
      <c r="AG442" s="284">
        <v>3800</v>
      </c>
      <c r="AH442" s="284">
        <v>3800</v>
      </c>
      <c r="AI442" s="285" t="s">
        <v>1357</v>
      </c>
      <c r="AJ442" s="286">
        <v>46176</v>
      </c>
      <c r="AK442" s="263" t="s">
        <v>2108</v>
      </c>
      <c r="AL442" s="288" t="s">
        <v>1188</v>
      </c>
      <c r="AM442" s="298" t="s">
        <v>382</v>
      </c>
      <c r="AN442" s="289">
        <v>3500</v>
      </c>
      <c r="AO442" s="290" t="s">
        <v>1197</v>
      </c>
      <c r="AP442" s="290" t="s">
        <v>1217</v>
      </c>
      <c r="AQ442" s="291">
        <v>3500</v>
      </c>
      <c r="AR442" s="300" t="s">
        <v>2047</v>
      </c>
      <c r="AS442" s="292">
        <v>3500</v>
      </c>
      <c r="AT442" s="293">
        <v>3500</v>
      </c>
      <c r="AU442" s="293">
        <v>3500</v>
      </c>
      <c r="AV442" s="294">
        <v>3733.33</v>
      </c>
      <c r="AW442" s="294">
        <v>3733.33</v>
      </c>
      <c r="AX442" s="294">
        <v>208.17</v>
      </c>
      <c r="AY442" s="299">
        <v>5.5800000000000002E-2</v>
      </c>
    </row>
    <row r="443" spans="1:51" ht="57.6" hidden="1">
      <c r="A443" s="257" t="s">
        <v>2044</v>
      </c>
      <c r="B443" s="258" t="s">
        <v>2045</v>
      </c>
      <c r="C443" s="258">
        <v>10161801</v>
      </c>
      <c r="D443" s="257" t="s">
        <v>589</v>
      </c>
      <c r="F443" s="258" t="s">
        <v>568</v>
      </c>
      <c r="G443" s="262">
        <v>1</v>
      </c>
      <c r="H443" s="262" t="s">
        <v>192</v>
      </c>
      <c r="I443" s="321" t="s">
        <v>1357</v>
      </c>
      <c r="J443" s="322">
        <v>46176</v>
      </c>
      <c r="K443" s="263" t="s">
        <v>2046</v>
      </c>
      <c r="L443" s="264" t="s">
        <v>1188</v>
      </c>
      <c r="M443" s="265" t="s">
        <v>380</v>
      </c>
      <c r="N443" s="266">
        <v>16000</v>
      </c>
      <c r="O443" s="267" t="s">
        <v>1197</v>
      </c>
      <c r="P443" s="268" t="s">
        <v>1217</v>
      </c>
      <c r="Q443" s="269">
        <v>16000</v>
      </c>
      <c r="R443" s="270" t="s">
        <v>2047</v>
      </c>
      <c r="S443" s="271">
        <v>16000</v>
      </c>
      <c r="T443" s="272">
        <v>16000</v>
      </c>
      <c r="U443" s="272">
        <v>16000</v>
      </c>
      <c r="V443" s="273" t="s">
        <v>1357</v>
      </c>
      <c r="W443" s="274">
        <v>46176</v>
      </c>
      <c r="X443" s="275" t="s">
        <v>2048</v>
      </c>
      <c r="Y443" s="276" t="s">
        <v>1188</v>
      </c>
      <c r="Z443" s="277" t="s">
        <v>381</v>
      </c>
      <c r="AA443" s="278">
        <v>15000</v>
      </c>
      <c r="AB443" s="279" t="s">
        <v>1197</v>
      </c>
      <c r="AC443" s="280" t="s">
        <v>1217</v>
      </c>
      <c r="AD443" s="281">
        <v>15000</v>
      </c>
      <c r="AE443" s="282" t="s">
        <v>2047</v>
      </c>
      <c r="AF443" s="283">
        <v>15000</v>
      </c>
      <c r="AG443" s="284">
        <v>15000</v>
      </c>
      <c r="AH443" s="284">
        <v>15000</v>
      </c>
      <c r="AI443" s="285" t="s">
        <v>1199</v>
      </c>
      <c r="AJ443" s="286">
        <v>46191</v>
      </c>
      <c r="AK443" s="263" t="s">
        <v>2269</v>
      </c>
      <c r="AL443" s="288" t="s">
        <v>1193</v>
      </c>
      <c r="AM443" s="298" t="s">
        <v>263</v>
      </c>
      <c r="AN443" s="289">
        <v>12500</v>
      </c>
      <c r="AO443" s="290" t="s">
        <v>1190</v>
      </c>
      <c r="AP443" s="290" t="s">
        <v>1191</v>
      </c>
      <c r="AQ443" s="291">
        <v>10504.2</v>
      </c>
      <c r="AR443" s="292">
        <v>1996</v>
      </c>
      <c r="AS443" s="292">
        <v>12500</v>
      </c>
      <c r="AT443" s="293">
        <v>10504</v>
      </c>
      <c r="AU443" s="293">
        <v>12500</v>
      </c>
      <c r="AV443" s="294">
        <v>14500</v>
      </c>
      <c r="AW443" s="294">
        <v>14500</v>
      </c>
      <c r="AX443" s="294">
        <v>1802.78</v>
      </c>
      <c r="AY443" s="299">
        <v>0.12429999999999999</v>
      </c>
    </row>
    <row r="444" spans="1:51" ht="57.6" hidden="1">
      <c r="A444" s="257" t="s">
        <v>2044</v>
      </c>
      <c r="B444" s="258" t="s">
        <v>2045</v>
      </c>
      <c r="C444" s="258">
        <v>70141803</v>
      </c>
      <c r="D444" s="257" t="s">
        <v>573</v>
      </c>
      <c r="F444" s="258" t="s">
        <v>568</v>
      </c>
      <c r="G444" s="262">
        <v>1</v>
      </c>
      <c r="H444" s="262" t="s">
        <v>209</v>
      </c>
      <c r="I444" s="321" t="s">
        <v>1357</v>
      </c>
      <c r="J444" s="322">
        <v>46176</v>
      </c>
      <c r="K444" s="263" t="s">
        <v>2046</v>
      </c>
      <c r="L444" s="264" t="s">
        <v>1188</v>
      </c>
      <c r="M444" s="265" t="s">
        <v>380</v>
      </c>
      <c r="N444" s="266">
        <v>750000</v>
      </c>
      <c r="O444" s="267" t="s">
        <v>1197</v>
      </c>
      <c r="P444" s="268" t="s">
        <v>1217</v>
      </c>
      <c r="Q444" s="269">
        <v>750000</v>
      </c>
      <c r="R444" s="270" t="s">
        <v>2047</v>
      </c>
      <c r="S444" s="271">
        <v>750000</v>
      </c>
      <c r="T444" s="272">
        <v>750000</v>
      </c>
      <c r="U444" s="272">
        <v>750000</v>
      </c>
      <c r="V444" s="273" t="s">
        <v>1357</v>
      </c>
      <c r="W444" s="274">
        <v>46176</v>
      </c>
      <c r="X444" s="263" t="s">
        <v>2048</v>
      </c>
      <c r="Y444" s="276" t="s">
        <v>1188</v>
      </c>
      <c r="Z444" s="277" t="s">
        <v>381</v>
      </c>
      <c r="AA444" s="278">
        <v>820000</v>
      </c>
      <c r="AB444" s="279" t="s">
        <v>1197</v>
      </c>
      <c r="AC444" s="280" t="s">
        <v>1217</v>
      </c>
      <c r="AD444" s="281">
        <v>820000</v>
      </c>
      <c r="AE444" s="282" t="s">
        <v>2047</v>
      </c>
      <c r="AF444" s="283">
        <v>820000</v>
      </c>
      <c r="AG444" s="284">
        <v>820000</v>
      </c>
      <c r="AH444" s="284">
        <v>820000</v>
      </c>
      <c r="AI444" s="285" t="s">
        <v>1357</v>
      </c>
      <c r="AJ444" s="286">
        <v>46176</v>
      </c>
      <c r="AK444" s="263" t="s">
        <v>2108</v>
      </c>
      <c r="AL444" s="288" t="s">
        <v>1188</v>
      </c>
      <c r="AM444" s="298" t="s">
        <v>382</v>
      </c>
      <c r="AN444" s="289">
        <v>800000</v>
      </c>
      <c r="AO444" s="290" t="s">
        <v>1197</v>
      </c>
      <c r="AP444" s="290" t="s">
        <v>1217</v>
      </c>
      <c r="AQ444" s="291">
        <v>800000</v>
      </c>
      <c r="AR444" s="300" t="s">
        <v>2047</v>
      </c>
      <c r="AS444" s="292">
        <v>800000</v>
      </c>
      <c r="AT444" s="293">
        <v>800000</v>
      </c>
      <c r="AU444" s="293">
        <v>800000</v>
      </c>
      <c r="AV444" s="294">
        <v>790000</v>
      </c>
      <c r="AW444" s="294">
        <v>790000</v>
      </c>
      <c r="AX444" s="294">
        <v>36055.51</v>
      </c>
      <c r="AY444" s="299">
        <v>4.5600000000000002E-2</v>
      </c>
    </row>
    <row r="445" spans="1:51" ht="57.6" hidden="1">
      <c r="A445" s="257" t="s">
        <v>2044</v>
      </c>
      <c r="B445" s="258" t="s">
        <v>2045</v>
      </c>
      <c r="C445" s="258">
        <v>70141803</v>
      </c>
      <c r="D445" s="257" t="s">
        <v>576</v>
      </c>
      <c r="F445" s="258" t="s">
        <v>568</v>
      </c>
      <c r="G445" s="262">
        <v>1</v>
      </c>
      <c r="H445" s="262" t="s">
        <v>209</v>
      </c>
      <c r="I445" s="321" t="s">
        <v>1357</v>
      </c>
      <c r="J445" s="322">
        <v>46176</v>
      </c>
      <c r="K445" s="263" t="s">
        <v>2046</v>
      </c>
      <c r="L445" s="264" t="s">
        <v>1188</v>
      </c>
      <c r="M445" s="265" t="s">
        <v>380</v>
      </c>
      <c r="N445" s="266">
        <v>280000</v>
      </c>
      <c r="O445" s="267" t="s">
        <v>1197</v>
      </c>
      <c r="P445" s="268" t="s">
        <v>1217</v>
      </c>
      <c r="Q445" s="269">
        <v>280000</v>
      </c>
      <c r="R445" s="270" t="s">
        <v>2047</v>
      </c>
      <c r="S445" s="271">
        <v>280000</v>
      </c>
      <c r="T445" s="272">
        <v>280000</v>
      </c>
      <c r="U445" s="272">
        <v>280000</v>
      </c>
      <c r="V445" s="273" t="s">
        <v>1357</v>
      </c>
      <c r="W445" s="274">
        <v>46176</v>
      </c>
      <c r="X445" s="263" t="s">
        <v>2048</v>
      </c>
      <c r="Y445" s="276" t="s">
        <v>1188</v>
      </c>
      <c r="Z445" s="277" t="s">
        <v>381</v>
      </c>
      <c r="AA445" s="278">
        <v>290000</v>
      </c>
      <c r="AB445" s="279" t="s">
        <v>1197</v>
      </c>
      <c r="AC445" s="280" t="s">
        <v>1217</v>
      </c>
      <c r="AD445" s="281">
        <v>290000</v>
      </c>
      <c r="AE445" s="282" t="s">
        <v>2047</v>
      </c>
      <c r="AF445" s="283">
        <v>290000</v>
      </c>
      <c r="AG445" s="284">
        <v>290000</v>
      </c>
      <c r="AH445" s="284">
        <v>290000</v>
      </c>
      <c r="AI445" s="285" t="s">
        <v>1357</v>
      </c>
      <c r="AJ445" s="286">
        <v>46176</v>
      </c>
      <c r="AK445" s="263" t="s">
        <v>2108</v>
      </c>
      <c r="AL445" s="288" t="s">
        <v>1188</v>
      </c>
      <c r="AM445" s="298" t="s">
        <v>382</v>
      </c>
      <c r="AN445" s="289">
        <v>250000</v>
      </c>
      <c r="AO445" s="290" t="s">
        <v>1197</v>
      </c>
      <c r="AP445" s="290" t="s">
        <v>1217</v>
      </c>
      <c r="AQ445" s="291">
        <v>250000</v>
      </c>
      <c r="AR445" s="300" t="s">
        <v>2047</v>
      </c>
      <c r="AS445" s="292">
        <v>250000</v>
      </c>
      <c r="AT445" s="293">
        <v>250000</v>
      </c>
      <c r="AU445" s="293">
        <v>250000</v>
      </c>
      <c r="AV445" s="294">
        <v>273333.33</v>
      </c>
      <c r="AW445" s="294">
        <v>273333.33</v>
      </c>
      <c r="AX445" s="294">
        <v>20816.66</v>
      </c>
      <c r="AY445" s="299">
        <v>7.6200000000000004E-2</v>
      </c>
    </row>
    <row r="446" spans="1:51" ht="57.6" hidden="1">
      <c r="A446" s="257" t="s">
        <v>2044</v>
      </c>
      <c r="B446" s="258" t="s">
        <v>2045</v>
      </c>
      <c r="C446" s="258">
        <v>31201600</v>
      </c>
      <c r="D446" s="257" t="s">
        <v>247</v>
      </c>
      <c r="F446" s="258" t="s">
        <v>191</v>
      </c>
      <c r="G446" s="262">
        <v>4</v>
      </c>
      <c r="H446" s="262" t="s">
        <v>192</v>
      </c>
      <c r="I446" s="321" t="s">
        <v>1357</v>
      </c>
      <c r="J446" s="322">
        <v>46169</v>
      </c>
      <c r="K446" s="263" t="s">
        <v>2071</v>
      </c>
      <c r="L446" s="264" t="s">
        <v>1188</v>
      </c>
      <c r="M446" s="265" t="s">
        <v>193</v>
      </c>
      <c r="N446" s="266">
        <v>24000</v>
      </c>
      <c r="O446" s="267" t="s">
        <v>1197</v>
      </c>
      <c r="P446" s="268" t="s">
        <v>1191</v>
      </c>
      <c r="Q446" s="269">
        <v>24000</v>
      </c>
      <c r="R446" s="271">
        <v>4560</v>
      </c>
      <c r="S446" s="271">
        <v>28560</v>
      </c>
      <c r="T446" s="272">
        <v>96000</v>
      </c>
      <c r="U446" s="272">
        <v>114240</v>
      </c>
      <c r="V446" s="273" t="s">
        <v>1357</v>
      </c>
      <c r="W446" s="274">
        <v>46169</v>
      </c>
      <c r="X446" s="263" t="s">
        <v>2072</v>
      </c>
      <c r="Y446" s="276" t="s">
        <v>1188</v>
      </c>
      <c r="Z446" s="277" t="s">
        <v>245</v>
      </c>
      <c r="AA446" s="278">
        <v>22000</v>
      </c>
      <c r="AB446" s="279" t="s">
        <v>1197</v>
      </c>
      <c r="AC446" s="280" t="s">
        <v>1191</v>
      </c>
      <c r="AD446" s="281">
        <v>22000</v>
      </c>
      <c r="AE446" s="283">
        <v>4180</v>
      </c>
      <c r="AF446" s="283">
        <v>26180</v>
      </c>
      <c r="AG446" s="284">
        <v>88000</v>
      </c>
      <c r="AH446" s="284">
        <v>104720</v>
      </c>
      <c r="AI446" s="285" t="s">
        <v>1357</v>
      </c>
      <c r="AJ446" s="286">
        <v>46169</v>
      </c>
      <c r="AK446" s="263" t="s">
        <v>2062</v>
      </c>
      <c r="AL446" s="288" t="s">
        <v>1188</v>
      </c>
      <c r="AM446" s="298" t="s">
        <v>194</v>
      </c>
      <c r="AN446" s="289">
        <v>25000</v>
      </c>
      <c r="AO446" s="290" t="s">
        <v>1197</v>
      </c>
      <c r="AP446" s="290" t="s">
        <v>1191</v>
      </c>
      <c r="AQ446" s="291">
        <v>25000</v>
      </c>
      <c r="AR446" s="292">
        <v>4750</v>
      </c>
      <c r="AS446" s="292">
        <v>29750</v>
      </c>
      <c r="AT446" s="293">
        <v>100000</v>
      </c>
      <c r="AU446" s="293">
        <v>119000</v>
      </c>
      <c r="AV446" s="294">
        <v>28163.33</v>
      </c>
      <c r="AW446" s="294">
        <v>112653.33</v>
      </c>
      <c r="AX446" s="294">
        <v>7271.02</v>
      </c>
      <c r="AY446" s="299">
        <v>6.4500000000000002E-2</v>
      </c>
    </row>
    <row r="447" spans="1:51" ht="57.6" hidden="1">
      <c r="A447" s="257" t="s">
        <v>2044</v>
      </c>
      <c r="B447" s="258" t="s">
        <v>2045</v>
      </c>
      <c r="C447" s="258">
        <v>56101500</v>
      </c>
      <c r="D447" s="257" t="s">
        <v>303</v>
      </c>
      <c r="F447" s="258" t="s">
        <v>191</v>
      </c>
      <c r="G447" s="262">
        <v>80</v>
      </c>
      <c r="H447" s="262" t="s">
        <v>305</v>
      </c>
      <c r="I447" s="321" t="s">
        <v>1357</v>
      </c>
      <c r="J447" s="322">
        <v>46169</v>
      </c>
      <c r="K447" s="263" t="s">
        <v>2071</v>
      </c>
      <c r="L447" s="264" t="s">
        <v>1188</v>
      </c>
      <c r="M447" s="265" t="s">
        <v>193</v>
      </c>
      <c r="N447" s="266">
        <v>3400</v>
      </c>
      <c r="O447" s="267" t="s">
        <v>1197</v>
      </c>
      <c r="P447" s="268" t="s">
        <v>1191</v>
      </c>
      <c r="Q447" s="269">
        <v>3400</v>
      </c>
      <c r="R447" s="271">
        <v>646</v>
      </c>
      <c r="S447" s="271">
        <v>4046</v>
      </c>
      <c r="T447" s="272">
        <v>272000</v>
      </c>
      <c r="U447" s="272">
        <v>323680</v>
      </c>
      <c r="V447" s="273" t="s">
        <v>1357</v>
      </c>
      <c r="W447" s="274">
        <v>46169</v>
      </c>
      <c r="X447" s="263" t="s">
        <v>2072</v>
      </c>
      <c r="Y447" s="276" t="s">
        <v>1188</v>
      </c>
      <c r="Z447" s="277" t="s">
        <v>245</v>
      </c>
      <c r="AA447" s="278">
        <v>3000</v>
      </c>
      <c r="AB447" s="279" t="s">
        <v>1197</v>
      </c>
      <c r="AC447" s="280" t="s">
        <v>1191</v>
      </c>
      <c r="AD447" s="281">
        <v>3000</v>
      </c>
      <c r="AE447" s="283">
        <v>570</v>
      </c>
      <c r="AF447" s="283">
        <v>3570</v>
      </c>
      <c r="AG447" s="284">
        <v>240000</v>
      </c>
      <c r="AH447" s="284">
        <v>285600</v>
      </c>
      <c r="AI447" s="285" t="s">
        <v>1357</v>
      </c>
      <c r="AJ447" s="286">
        <v>46169</v>
      </c>
      <c r="AK447" s="263" t="s">
        <v>2062</v>
      </c>
      <c r="AL447" s="288" t="s">
        <v>1188</v>
      </c>
      <c r="AM447" s="298" t="s">
        <v>194</v>
      </c>
      <c r="AN447" s="289">
        <v>3400</v>
      </c>
      <c r="AO447" s="290" t="s">
        <v>1197</v>
      </c>
      <c r="AP447" s="290" t="s">
        <v>1191</v>
      </c>
      <c r="AQ447" s="291">
        <v>3400</v>
      </c>
      <c r="AR447" s="292">
        <v>646</v>
      </c>
      <c r="AS447" s="292">
        <v>4046</v>
      </c>
      <c r="AT447" s="293">
        <v>272000</v>
      </c>
      <c r="AU447" s="293">
        <v>323680</v>
      </c>
      <c r="AV447" s="294">
        <v>3887.33</v>
      </c>
      <c r="AW447" s="294">
        <v>310986.67</v>
      </c>
      <c r="AX447" s="294">
        <v>21985.5</v>
      </c>
      <c r="AY447" s="299">
        <v>7.0699999999999999E-2</v>
      </c>
    </row>
    <row r="448" spans="1:51" ht="57.6" hidden="1">
      <c r="A448" s="257" t="s">
        <v>2044</v>
      </c>
      <c r="B448" s="258" t="s">
        <v>2045</v>
      </c>
      <c r="C448" s="258">
        <v>10161800</v>
      </c>
      <c r="D448" s="257" t="s">
        <v>507</v>
      </c>
      <c r="F448" s="258" t="s">
        <v>191</v>
      </c>
      <c r="G448" s="262">
        <v>100</v>
      </c>
      <c r="H448" s="262" t="s">
        <v>192</v>
      </c>
      <c r="I448" s="321" t="s">
        <v>1357</v>
      </c>
      <c r="J448" s="322">
        <v>46169</v>
      </c>
      <c r="K448" s="263" t="s">
        <v>2071</v>
      </c>
      <c r="L448" s="264" t="s">
        <v>1188</v>
      </c>
      <c r="M448" s="265" t="s">
        <v>193</v>
      </c>
      <c r="N448" s="266">
        <v>14500</v>
      </c>
      <c r="O448" s="267" t="s">
        <v>1197</v>
      </c>
      <c r="P448" s="268" t="s">
        <v>1191</v>
      </c>
      <c r="Q448" s="269">
        <v>14500</v>
      </c>
      <c r="R448" s="271">
        <v>2755</v>
      </c>
      <c r="S448" s="271">
        <v>17255</v>
      </c>
      <c r="T448" s="272">
        <v>1450000</v>
      </c>
      <c r="U448" s="272">
        <v>1725500</v>
      </c>
      <c r="V448" s="273" t="s">
        <v>1199</v>
      </c>
      <c r="W448" s="274">
        <v>46190</v>
      </c>
      <c r="X448" s="263" t="s">
        <v>2270</v>
      </c>
      <c r="Y448" s="276" t="s">
        <v>1193</v>
      </c>
      <c r="Z448" s="277" t="s">
        <v>263</v>
      </c>
      <c r="AA448" s="278">
        <v>14900</v>
      </c>
      <c r="AB448" s="279" t="s">
        <v>1190</v>
      </c>
      <c r="AC448" s="280" t="s">
        <v>1191</v>
      </c>
      <c r="AD448" s="281">
        <v>12521.01</v>
      </c>
      <c r="AE448" s="283">
        <v>2379</v>
      </c>
      <c r="AF448" s="283">
        <v>14900</v>
      </c>
      <c r="AG448" s="284">
        <v>1252101</v>
      </c>
      <c r="AH448" s="284">
        <v>1490000</v>
      </c>
      <c r="AI448" s="285" t="s">
        <v>1357</v>
      </c>
      <c r="AJ448" s="286">
        <v>46169</v>
      </c>
      <c r="AK448" s="263" t="s">
        <v>2062</v>
      </c>
      <c r="AL448" s="288" t="s">
        <v>1188</v>
      </c>
      <c r="AM448" s="298" t="s">
        <v>194</v>
      </c>
      <c r="AN448" s="289">
        <v>16500</v>
      </c>
      <c r="AO448" s="290" t="s">
        <v>1197</v>
      </c>
      <c r="AP448" s="290" t="s">
        <v>1191</v>
      </c>
      <c r="AQ448" s="291">
        <v>16500</v>
      </c>
      <c r="AR448" s="292">
        <v>3135</v>
      </c>
      <c r="AS448" s="292">
        <v>19635</v>
      </c>
      <c r="AT448" s="293">
        <v>1650000</v>
      </c>
      <c r="AU448" s="293">
        <v>1963500</v>
      </c>
      <c r="AV448" s="294">
        <v>17263.330000000002</v>
      </c>
      <c r="AW448" s="294">
        <v>1726333.33</v>
      </c>
      <c r="AX448" s="294">
        <v>236751.1</v>
      </c>
      <c r="AY448" s="299">
        <v>0.1371</v>
      </c>
    </row>
    <row r="449" spans="1:51" ht="57.6" hidden="1">
      <c r="A449" s="257" t="s">
        <v>2044</v>
      </c>
      <c r="B449" s="258" t="s">
        <v>2045</v>
      </c>
      <c r="C449" s="258">
        <v>30102804</v>
      </c>
      <c r="D449" s="257" t="s">
        <v>813</v>
      </c>
      <c r="F449" s="258" t="s">
        <v>568</v>
      </c>
      <c r="G449" s="262">
        <v>1</v>
      </c>
      <c r="H449" s="262" t="s">
        <v>192</v>
      </c>
      <c r="I449" s="321" t="s">
        <v>1357</v>
      </c>
      <c r="J449" s="322">
        <v>46176</v>
      </c>
      <c r="K449" s="263" t="s">
        <v>2046</v>
      </c>
      <c r="L449" s="264" t="s">
        <v>1188</v>
      </c>
      <c r="M449" s="265" t="s">
        <v>380</v>
      </c>
      <c r="N449" s="266">
        <v>57000</v>
      </c>
      <c r="O449" s="267" t="s">
        <v>1197</v>
      </c>
      <c r="P449" s="268" t="s">
        <v>1191</v>
      </c>
      <c r="Q449" s="269">
        <v>57000</v>
      </c>
      <c r="R449" s="271">
        <v>10830</v>
      </c>
      <c r="S449" s="271">
        <v>67830</v>
      </c>
      <c r="T449" s="272">
        <v>57000</v>
      </c>
      <c r="U449" s="272">
        <v>67830</v>
      </c>
      <c r="V449" s="273" t="s">
        <v>1357</v>
      </c>
      <c r="W449" s="274">
        <v>46176</v>
      </c>
      <c r="X449" s="263" t="s">
        <v>2048</v>
      </c>
      <c r="Y449" s="276" t="s">
        <v>1188</v>
      </c>
      <c r="Z449" s="277" t="s">
        <v>381</v>
      </c>
      <c r="AA449" s="278">
        <v>55000</v>
      </c>
      <c r="AB449" s="279" t="s">
        <v>1197</v>
      </c>
      <c r="AC449" s="280" t="s">
        <v>1191</v>
      </c>
      <c r="AD449" s="281">
        <v>55000</v>
      </c>
      <c r="AE449" s="283">
        <v>10450</v>
      </c>
      <c r="AF449" s="283">
        <v>65450</v>
      </c>
      <c r="AG449" s="284">
        <v>55000</v>
      </c>
      <c r="AH449" s="284">
        <v>65450</v>
      </c>
      <c r="AI449" s="285" t="s">
        <v>1357</v>
      </c>
      <c r="AJ449" s="286">
        <v>46176</v>
      </c>
      <c r="AK449" s="263" t="s">
        <v>2108</v>
      </c>
      <c r="AL449" s="288" t="s">
        <v>1188</v>
      </c>
      <c r="AM449" s="298" t="s">
        <v>382</v>
      </c>
      <c r="AN449" s="289">
        <v>56000</v>
      </c>
      <c r="AO449" s="290" t="s">
        <v>1197</v>
      </c>
      <c r="AP449" s="290" t="s">
        <v>1191</v>
      </c>
      <c r="AQ449" s="291">
        <v>56000</v>
      </c>
      <c r="AR449" s="292">
        <v>10640</v>
      </c>
      <c r="AS449" s="292">
        <v>66640</v>
      </c>
      <c r="AT449" s="293">
        <v>56000</v>
      </c>
      <c r="AU449" s="293">
        <v>66640</v>
      </c>
      <c r="AV449" s="294">
        <v>66640</v>
      </c>
      <c r="AW449" s="294">
        <v>66640</v>
      </c>
      <c r="AX449" s="294">
        <v>1190</v>
      </c>
      <c r="AY449" s="299">
        <v>1.7899999999999999E-2</v>
      </c>
    </row>
    <row r="450" spans="1:51" ht="57.6" hidden="1">
      <c r="A450" s="257" t="s">
        <v>2044</v>
      </c>
      <c r="B450" s="258" t="s">
        <v>2045</v>
      </c>
      <c r="C450" s="258">
        <v>86101700</v>
      </c>
      <c r="D450" s="257" t="s">
        <v>207</v>
      </c>
      <c r="F450" s="258" t="s">
        <v>191</v>
      </c>
      <c r="G450" s="262">
        <v>5</v>
      </c>
      <c r="H450" s="262" t="s">
        <v>209</v>
      </c>
      <c r="I450" s="321" t="s">
        <v>1357</v>
      </c>
      <c r="J450" s="322">
        <v>46169</v>
      </c>
      <c r="K450" s="263" t="s">
        <v>2062</v>
      </c>
      <c r="L450" s="264" t="s">
        <v>1188</v>
      </c>
      <c r="M450" s="265" t="s">
        <v>194</v>
      </c>
      <c r="N450" s="266">
        <v>660000</v>
      </c>
      <c r="O450" s="267" t="s">
        <v>1197</v>
      </c>
      <c r="P450" s="268" t="s">
        <v>1191</v>
      </c>
      <c r="Q450" s="269">
        <v>660000</v>
      </c>
      <c r="R450" s="271">
        <v>125400</v>
      </c>
      <c r="S450" s="271">
        <v>785400</v>
      </c>
      <c r="T450" s="272">
        <v>3300000</v>
      </c>
      <c r="U450" s="272">
        <v>3927000</v>
      </c>
      <c r="V450" s="273" t="s">
        <v>1357</v>
      </c>
      <c r="W450" s="274">
        <v>46169</v>
      </c>
      <c r="X450" s="263" t="s">
        <v>2071</v>
      </c>
      <c r="Y450" s="276" t="s">
        <v>1188</v>
      </c>
      <c r="Z450" s="277" t="s">
        <v>193</v>
      </c>
      <c r="AA450" s="278">
        <v>620000</v>
      </c>
      <c r="AB450" s="279" t="s">
        <v>1197</v>
      </c>
      <c r="AC450" s="280" t="s">
        <v>1191</v>
      </c>
      <c r="AD450" s="281">
        <v>620000</v>
      </c>
      <c r="AE450" s="283">
        <v>117800</v>
      </c>
      <c r="AF450" s="283">
        <v>737800</v>
      </c>
      <c r="AG450" s="284">
        <v>3100000</v>
      </c>
      <c r="AH450" s="284">
        <v>3689000</v>
      </c>
      <c r="AI450" s="285" t="s">
        <v>1186</v>
      </c>
      <c r="AJ450" s="286">
        <v>46196</v>
      </c>
      <c r="AK450" s="263" t="s">
        <v>2271</v>
      </c>
      <c r="AL450" s="288" t="s">
        <v>1188</v>
      </c>
      <c r="AM450" s="298" t="s">
        <v>210</v>
      </c>
      <c r="AN450" s="289">
        <v>850000</v>
      </c>
      <c r="AO450" s="290" t="s">
        <v>1197</v>
      </c>
      <c r="AP450" s="290" t="s">
        <v>1191</v>
      </c>
      <c r="AQ450" s="291">
        <v>850000</v>
      </c>
      <c r="AR450" s="292">
        <v>161500</v>
      </c>
      <c r="AS450" s="292">
        <v>1011500</v>
      </c>
      <c r="AT450" s="293">
        <v>4250000</v>
      </c>
      <c r="AU450" s="293">
        <v>5057500</v>
      </c>
      <c r="AV450" s="294">
        <v>844900</v>
      </c>
      <c r="AW450" s="294">
        <v>4224500</v>
      </c>
      <c r="AX450" s="294">
        <v>731148.24</v>
      </c>
      <c r="AY450" s="299">
        <v>0.1731</v>
      </c>
    </row>
    <row r="451" spans="1:51" ht="57.6" hidden="1">
      <c r="A451" s="257" t="s">
        <v>2044</v>
      </c>
      <c r="B451" s="258" t="s">
        <v>2045</v>
      </c>
      <c r="C451" s="258">
        <v>46182000</v>
      </c>
      <c r="D451" s="257" t="s">
        <v>384</v>
      </c>
      <c r="F451" s="258" t="s">
        <v>191</v>
      </c>
      <c r="G451" s="262">
        <v>3</v>
      </c>
      <c r="H451" s="262" t="s">
        <v>192</v>
      </c>
      <c r="I451" s="321" t="s">
        <v>1199</v>
      </c>
      <c r="J451" s="322">
        <v>46190</v>
      </c>
      <c r="K451" s="263" t="s">
        <v>2272</v>
      </c>
      <c r="L451" s="264" t="s">
        <v>1193</v>
      </c>
      <c r="M451" s="265" t="s">
        <v>386</v>
      </c>
      <c r="N451" s="266">
        <v>10600</v>
      </c>
      <c r="O451" s="267" t="s">
        <v>1190</v>
      </c>
      <c r="P451" s="268" t="s">
        <v>1191</v>
      </c>
      <c r="Q451" s="269">
        <v>8907.56</v>
      </c>
      <c r="R451" s="271">
        <v>1692</v>
      </c>
      <c r="S451" s="271">
        <v>10600</v>
      </c>
      <c r="T451" s="272">
        <v>26723</v>
      </c>
      <c r="U451" s="272">
        <v>31800</v>
      </c>
      <c r="V451" s="273" t="s">
        <v>1199</v>
      </c>
      <c r="W451" s="274">
        <v>46190</v>
      </c>
      <c r="X451" s="263" t="s">
        <v>2273</v>
      </c>
      <c r="Y451" s="276" t="s">
        <v>1193</v>
      </c>
      <c r="Z451" s="277" t="s">
        <v>387</v>
      </c>
      <c r="AA451" s="278">
        <v>15000</v>
      </c>
      <c r="AB451" s="279" t="s">
        <v>1190</v>
      </c>
      <c r="AC451" s="280" t="s">
        <v>1191</v>
      </c>
      <c r="AD451" s="281">
        <v>12605.04</v>
      </c>
      <c r="AE451" s="283">
        <v>2395</v>
      </c>
      <c r="AF451" s="283">
        <v>15000</v>
      </c>
      <c r="AG451" s="284">
        <v>37815</v>
      </c>
      <c r="AH451" s="284">
        <v>45000</v>
      </c>
      <c r="AI451" s="285" t="s">
        <v>1199</v>
      </c>
      <c r="AJ451" s="286">
        <v>46190</v>
      </c>
      <c r="AK451" s="263" t="s">
        <v>2274</v>
      </c>
      <c r="AL451" s="288" t="s">
        <v>1193</v>
      </c>
      <c r="AM451" s="298" t="s">
        <v>388</v>
      </c>
      <c r="AN451" s="289">
        <v>12500</v>
      </c>
      <c r="AO451" s="290" t="s">
        <v>1190</v>
      </c>
      <c r="AP451" s="290" t="s">
        <v>1191</v>
      </c>
      <c r="AQ451" s="291">
        <v>10504.2</v>
      </c>
      <c r="AR451" s="292">
        <v>1996</v>
      </c>
      <c r="AS451" s="292">
        <v>12500</v>
      </c>
      <c r="AT451" s="293">
        <v>31513</v>
      </c>
      <c r="AU451" s="293">
        <v>37500</v>
      </c>
      <c r="AV451" s="294">
        <v>12700</v>
      </c>
      <c r="AW451" s="294">
        <v>38100</v>
      </c>
      <c r="AX451" s="294">
        <v>6620.42</v>
      </c>
      <c r="AY451" s="299">
        <v>0.17380000000000001</v>
      </c>
    </row>
    <row r="452" spans="1:51" ht="57.6" hidden="1">
      <c r="A452" s="257" t="s">
        <v>2044</v>
      </c>
      <c r="B452" s="258" t="s">
        <v>2045</v>
      </c>
      <c r="C452" s="258">
        <v>24122003</v>
      </c>
      <c r="D452" s="257" t="s">
        <v>354</v>
      </c>
      <c r="F452" s="258" t="s">
        <v>191</v>
      </c>
      <c r="G452" s="262">
        <v>150</v>
      </c>
      <c r="H452" s="262" t="s">
        <v>192</v>
      </c>
      <c r="I452" s="321" t="s">
        <v>1199</v>
      </c>
      <c r="J452" s="322">
        <v>46190</v>
      </c>
      <c r="K452" s="263" t="s">
        <v>2275</v>
      </c>
      <c r="L452" s="264" t="s">
        <v>1193</v>
      </c>
      <c r="M452" s="265" t="s">
        <v>356</v>
      </c>
      <c r="N452" s="266">
        <v>80</v>
      </c>
      <c r="O452" s="267" t="s">
        <v>1190</v>
      </c>
      <c r="P452" s="268" t="s">
        <v>1191</v>
      </c>
      <c r="Q452" s="269">
        <v>67.23</v>
      </c>
      <c r="R452" s="271">
        <v>13</v>
      </c>
      <c r="S452" s="271">
        <v>80</v>
      </c>
      <c r="T452" s="272">
        <v>10084</v>
      </c>
      <c r="U452" s="272">
        <v>12000</v>
      </c>
      <c r="V452" s="273" t="s">
        <v>1199</v>
      </c>
      <c r="W452" s="274">
        <v>46190</v>
      </c>
      <c r="X452" s="263" t="s">
        <v>2276</v>
      </c>
      <c r="Y452" s="276" t="s">
        <v>1193</v>
      </c>
      <c r="Z452" s="277" t="s">
        <v>357</v>
      </c>
      <c r="AA452" s="278">
        <v>88</v>
      </c>
      <c r="AB452" s="279" t="s">
        <v>1197</v>
      </c>
      <c r="AC452" s="280" t="s">
        <v>1191</v>
      </c>
      <c r="AD452" s="281">
        <v>88</v>
      </c>
      <c r="AE452" s="283">
        <v>17</v>
      </c>
      <c r="AF452" s="283">
        <v>105</v>
      </c>
      <c r="AG452" s="284">
        <v>13200</v>
      </c>
      <c r="AH452" s="284">
        <v>15708</v>
      </c>
      <c r="AI452" s="285" t="s">
        <v>1199</v>
      </c>
      <c r="AJ452" s="286">
        <v>46190</v>
      </c>
      <c r="AK452" s="310" t="s">
        <v>358</v>
      </c>
      <c r="AL452" s="288" t="s">
        <v>1193</v>
      </c>
      <c r="AM452" s="298" t="s">
        <v>358</v>
      </c>
      <c r="AN452" s="289">
        <v>85</v>
      </c>
      <c r="AO452" s="290" t="s">
        <v>1197</v>
      </c>
      <c r="AP452" s="290" t="s">
        <v>1191</v>
      </c>
      <c r="AQ452" s="291">
        <v>85</v>
      </c>
      <c r="AR452" s="292">
        <v>16</v>
      </c>
      <c r="AS452" s="292">
        <v>101</v>
      </c>
      <c r="AT452" s="293">
        <v>12750</v>
      </c>
      <c r="AU452" s="293">
        <v>15173</v>
      </c>
      <c r="AV452" s="294">
        <v>95.29</v>
      </c>
      <c r="AW452" s="294">
        <v>14293.5</v>
      </c>
      <c r="AX452" s="294">
        <v>2004.19</v>
      </c>
      <c r="AY452" s="299">
        <v>0.14019999999999999</v>
      </c>
    </row>
    <row r="453" spans="1:51" ht="57.6" hidden="1">
      <c r="A453" s="257" t="s">
        <v>2044</v>
      </c>
      <c r="B453" s="258" t="s">
        <v>2045</v>
      </c>
      <c r="C453" s="258">
        <v>11162100</v>
      </c>
      <c r="D453" s="257" t="s">
        <v>447</v>
      </c>
      <c r="F453" s="258" t="s">
        <v>191</v>
      </c>
      <c r="G453" s="262">
        <v>42</v>
      </c>
      <c r="H453" s="262" t="s">
        <v>192</v>
      </c>
      <c r="I453" s="321" t="s">
        <v>1357</v>
      </c>
      <c r="J453" s="322">
        <v>46169</v>
      </c>
      <c r="K453" s="263" t="s">
        <v>2071</v>
      </c>
      <c r="L453" s="264" t="s">
        <v>1188</v>
      </c>
      <c r="M453" s="265" t="s">
        <v>193</v>
      </c>
      <c r="N453" s="266">
        <v>8200</v>
      </c>
      <c r="O453" s="267" t="s">
        <v>1197</v>
      </c>
      <c r="P453" s="268" t="s">
        <v>1191</v>
      </c>
      <c r="Q453" s="269">
        <v>8200</v>
      </c>
      <c r="R453" s="271">
        <v>1558</v>
      </c>
      <c r="S453" s="271">
        <v>9758</v>
      </c>
      <c r="T453" s="272">
        <v>344400</v>
      </c>
      <c r="U453" s="272">
        <v>409836</v>
      </c>
      <c r="V453" s="273" t="s">
        <v>1357</v>
      </c>
      <c r="W453" s="274">
        <v>46169</v>
      </c>
      <c r="X453" s="263" t="s">
        <v>2062</v>
      </c>
      <c r="Y453" s="276" t="s">
        <v>1188</v>
      </c>
      <c r="Z453" s="277" t="s">
        <v>194</v>
      </c>
      <c r="AA453" s="278">
        <v>8200</v>
      </c>
      <c r="AB453" s="279" t="s">
        <v>1197</v>
      </c>
      <c r="AC453" s="280" t="s">
        <v>1191</v>
      </c>
      <c r="AD453" s="281">
        <v>8200</v>
      </c>
      <c r="AE453" s="283">
        <v>1558</v>
      </c>
      <c r="AF453" s="283">
        <v>9758</v>
      </c>
      <c r="AG453" s="284">
        <v>344400</v>
      </c>
      <c r="AH453" s="284">
        <v>409836</v>
      </c>
      <c r="AI453" s="285" t="s">
        <v>1199</v>
      </c>
      <c r="AJ453" s="286">
        <v>46191</v>
      </c>
      <c r="AK453" s="263" t="s">
        <v>2277</v>
      </c>
      <c r="AL453" s="288" t="s">
        <v>1193</v>
      </c>
      <c r="AM453" s="298" t="s">
        <v>449</v>
      </c>
      <c r="AN453" s="289">
        <v>8000</v>
      </c>
      <c r="AO453" s="290" t="s">
        <v>1190</v>
      </c>
      <c r="AP453" s="290" t="s">
        <v>1191</v>
      </c>
      <c r="AQ453" s="291">
        <v>6722.69</v>
      </c>
      <c r="AR453" s="292">
        <v>1277</v>
      </c>
      <c r="AS453" s="292">
        <v>8000</v>
      </c>
      <c r="AT453" s="293">
        <v>282353</v>
      </c>
      <c r="AU453" s="293">
        <v>336000</v>
      </c>
      <c r="AV453" s="294">
        <v>9172</v>
      </c>
      <c r="AW453" s="294">
        <v>385224</v>
      </c>
      <c r="AX453" s="294">
        <v>42629.23</v>
      </c>
      <c r="AY453" s="299">
        <v>0.11070000000000001</v>
      </c>
    </row>
    <row r="454" spans="1:51" ht="57.6" hidden="1">
      <c r="A454" s="257" t="s">
        <v>2044</v>
      </c>
      <c r="B454" s="258" t="s">
        <v>2045</v>
      </c>
      <c r="C454" s="258">
        <v>40161508</v>
      </c>
      <c r="D454" s="257" t="s">
        <v>967</v>
      </c>
      <c r="F454" s="258" t="s">
        <v>568</v>
      </c>
      <c r="G454" s="262">
        <v>1</v>
      </c>
      <c r="H454" s="262" t="s">
        <v>192</v>
      </c>
      <c r="I454" s="321" t="s">
        <v>1357</v>
      </c>
      <c r="J454" s="322">
        <v>46176</v>
      </c>
      <c r="K454" s="263" t="s">
        <v>2046</v>
      </c>
      <c r="L454" s="264" t="s">
        <v>1188</v>
      </c>
      <c r="M454" s="265" t="s">
        <v>380</v>
      </c>
      <c r="N454" s="266">
        <v>25000</v>
      </c>
      <c r="O454" s="267" t="s">
        <v>1197</v>
      </c>
      <c r="P454" s="268" t="s">
        <v>1191</v>
      </c>
      <c r="Q454" s="269">
        <v>25000</v>
      </c>
      <c r="R454" s="271">
        <v>4750</v>
      </c>
      <c r="S454" s="271">
        <v>29750</v>
      </c>
      <c r="T454" s="272">
        <v>25000</v>
      </c>
      <c r="U454" s="272">
        <v>29750</v>
      </c>
      <c r="V454" s="273" t="s">
        <v>1357</v>
      </c>
      <c r="W454" s="274">
        <v>46176</v>
      </c>
      <c r="X454" s="263" t="s">
        <v>2048</v>
      </c>
      <c r="Y454" s="276" t="s">
        <v>1188</v>
      </c>
      <c r="Z454" s="277" t="s">
        <v>381</v>
      </c>
      <c r="AA454" s="278">
        <v>23000</v>
      </c>
      <c r="AB454" s="279" t="s">
        <v>1197</v>
      </c>
      <c r="AC454" s="280" t="s">
        <v>1191</v>
      </c>
      <c r="AD454" s="281">
        <v>23000</v>
      </c>
      <c r="AE454" s="283">
        <v>4370</v>
      </c>
      <c r="AF454" s="283">
        <v>27370</v>
      </c>
      <c r="AG454" s="284">
        <v>23000</v>
      </c>
      <c r="AH454" s="284">
        <v>27370</v>
      </c>
      <c r="AI454" s="285" t="s">
        <v>1357</v>
      </c>
      <c r="AJ454" s="286">
        <v>46176</v>
      </c>
      <c r="AK454" s="263" t="s">
        <v>2108</v>
      </c>
      <c r="AL454" s="288" t="s">
        <v>1188</v>
      </c>
      <c r="AM454" s="298" t="s">
        <v>382</v>
      </c>
      <c r="AN454" s="289">
        <v>22000</v>
      </c>
      <c r="AO454" s="290" t="s">
        <v>1197</v>
      </c>
      <c r="AP454" s="290" t="s">
        <v>1191</v>
      </c>
      <c r="AQ454" s="291">
        <v>22000</v>
      </c>
      <c r="AR454" s="292">
        <v>4180</v>
      </c>
      <c r="AS454" s="292">
        <v>26180</v>
      </c>
      <c r="AT454" s="293">
        <v>22000</v>
      </c>
      <c r="AU454" s="293">
        <v>26180</v>
      </c>
      <c r="AV454" s="294">
        <v>27766.67</v>
      </c>
      <c r="AW454" s="294">
        <v>27766.67</v>
      </c>
      <c r="AX454" s="294">
        <v>1817.76</v>
      </c>
      <c r="AY454" s="299">
        <v>6.5500000000000003E-2</v>
      </c>
    </row>
    <row r="455" spans="1:51" ht="57.6" hidden="1">
      <c r="A455" s="257" t="s">
        <v>2044</v>
      </c>
      <c r="B455" s="258" t="s">
        <v>2045</v>
      </c>
      <c r="C455" s="258">
        <v>11162100</v>
      </c>
      <c r="D455" s="259" t="s">
        <v>451</v>
      </c>
      <c r="F455" s="258" t="s">
        <v>191</v>
      </c>
      <c r="G455" s="262">
        <v>33</v>
      </c>
      <c r="H455" s="262" t="s">
        <v>192</v>
      </c>
      <c r="I455" s="321" t="s">
        <v>1357</v>
      </c>
      <c r="J455" s="322">
        <v>46169</v>
      </c>
      <c r="K455" s="263" t="s">
        <v>2071</v>
      </c>
      <c r="L455" s="264" t="s">
        <v>1188</v>
      </c>
      <c r="M455" s="265" t="s">
        <v>193</v>
      </c>
      <c r="N455" s="266">
        <v>8200</v>
      </c>
      <c r="O455" s="267" t="s">
        <v>1197</v>
      </c>
      <c r="P455" s="268" t="s">
        <v>1191</v>
      </c>
      <c r="Q455" s="269">
        <v>8200</v>
      </c>
      <c r="R455" s="271">
        <v>1558</v>
      </c>
      <c r="S455" s="271">
        <v>9758</v>
      </c>
      <c r="T455" s="272">
        <v>270600</v>
      </c>
      <c r="U455" s="272">
        <v>322014</v>
      </c>
      <c r="V455" s="273" t="s">
        <v>1357</v>
      </c>
      <c r="W455" s="274">
        <v>46169</v>
      </c>
      <c r="X455" s="263" t="s">
        <v>2062</v>
      </c>
      <c r="Y455" s="276" t="s">
        <v>1188</v>
      </c>
      <c r="Z455" s="277" t="s">
        <v>194</v>
      </c>
      <c r="AA455" s="278">
        <v>8200</v>
      </c>
      <c r="AB455" s="279" t="s">
        <v>1197</v>
      </c>
      <c r="AC455" s="280" t="s">
        <v>1191</v>
      </c>
      <c r="AD455" s="281">
        <v>8200</v>
      </c>
      <c r="AE455" s="283">
        <v>1558</v>
      </c>
      <c r="AF455" s="283">
        <v>9758</v>
      </c>
      <c r="AG455" s="284">
        <v>270600</v>
      </c>
      <c r="AH455" s="284">
        <v>322014</v>
      </c>
      <c r="AI455" s="285" t="s">
        <v>1199</v>
      </c>
      <c r="AJ455" s="286">
        <v>46190</v>
      </c>
      <c r="AK455" s="263" t="s">
        <v>2278</v>
      </c>
      <c r="AL455" s="288" t="s">
        <v>1193</v>
      </c>
      <c r="AM455" s="298" t="s">
        <v>453</v>
      </c>
      <c r="AN455" s="289">
        <v>7000</v>
      </c>
      <c r="AO455" s="290" t="s">
        <v>1190</v>
      </c>
      <c r="AP455" s="290" t="s">
        <v>1191</v>
      </c>
      <c r="AQ455" s="291">
        <v>5882.35</v>
      </c>
      <c r="AR455" s="292">
        <v>1118</v>
      </c>
      <c r="AS455" s="292">
        <v>7000</v>
      </c>
      <c r="AT455" s="293">
        <v>194118</v>
      </c>
      <c r="AU455" s="293">
        <v>231000</v>
      </c>
      <c r="AV455" s="294">
        <v>8838.67</v>
      </c>
      <c r="AW455" s="294">
        <v>291676</v>
      </c>
      <c r="AX455" s="294">
        <v>52546.96</v>
      </c>
      <c r="AY455" s="299">
        <v>0.1802</v>
      </c>
    </row>
    <row r="456" spans="1:51" ht="57.6" hidden="1">
      <c r="A456" s="257" t="s">
        <v>2044</v>
      </c>
      <c r="B456" s="258" t="s">
        <v>2045</v>
      </c>
      <c r="C456" s="258">
        <v>11162100</v>
      </c>
      <c r="D456" s="259" t="s">
        <v>451</v>
      </c>
      <c r="F456" s="258" t="s">
        <v>191</v>
      </c>
      <c r="G456" s="262">
        <v>9</v>
      </c>
      <c r="H456" s="262" t="s">
        <v>192</v>
      </c>
      <c r="I456" s="321" t="s">
        <v>1357</v>
      </c>
      <c r="J456" s="322">
        <v>46169</v>
      </c>
      <c r="K456" s="263" t="s">
        <v>2071</v>
      </c>
      <c r="L456" s="264" t="s">
        <v>1188</v>
      </c>
      <c r="M456" s="265" t="s">
        <v>193</v>
      </c>
      <c r="N456" s="266">
        <v>8200</v>
      </c>
      <c r="O456" s="267" t="s">
        <v>1197</v>
      </c>
      <c r="P456" s="268" t="s">
        <v>1191</v>
      </c>
      <c r="Q456" s="269">
        <v>8200</v>
      </c>
      <c r="R456" s="271">
        <v>1558</v>
      </c>
      <c r="S456" s="271">
        <v>9758</v>
      </c>
      <c r="T456" s="272">
        <v>73800</v>
      </c>
      <c r="U456" s="272">
        <v>87822</v>
      </c>
      <c r="V456" s="273" t="s">
        <v>1357</v>
      </c>
      <c r="W456" s="274">
        <v>46169</v>
      </c>
      <c r="X456" s="263" t="s">
        <v>2062</v>
      </c>
      <c r="Y456" s="276" t="s">
        <v>1188</v>
      </c>
      <c r="Z456" s="277" t="s">
        <v>194</v>
      </c>
      <c r="AA456" s="278">
        <v>8200</v>
      </c>
      <c r="AB456" s="279" t="s">
        <v>1197</v>
      </c>
      <c r="AC456" s="280" t="s">
        <v>1191</v>
      </c>
      <c r="AD456" s="281">
        <v>8200</v>
      </c>
      <c r="AE456" s="283">
        <v>1558</v>
      </c>
      <c r="AF456" s="283">
        <v>9758</v>
      </c>
      <c r="AG456" s="284">
        <v>73800</v>
      </c>
      <c r="AH456" s="284">
        <v>87822</v>
      </c>
      <c r="AI456" s="285" t="s">
        <v>1199</v>
      </c>
      <c r="AJ456" s="286">
        <v>46191</v>
      </c>
      <c r="AK456" s="263" t="s">
        <v>2279</v>
      </c>
      <c r="AL456" s="288" t="s">
        <v>1193</v>
      </c>
      <c r="AM456" s="298" t="s">
        <v>2280</v>
      </c>
      <c r="AN456" s="289">
        <v>10500</v>
      </c>
      <c r="AO456" s="290" t="s">
        <v>1197</v>
      </c>
      <c r="AP456" s="290" t="s">
        <v>1191</v>
      </c>
      <c r="AQ456" s="291">
        <v>10500</v>
      </c>
      <c r="AR456" s="292">
        <v>1995</v>
      </c>
      <c r="AS456" s="292">
        <v>12495</v>
      </c>
      <c r="AT456" s="293">
        <v>94500</v>
      </c>
      <c r="AU456" s="293">
        <v>112455</v>
      </c>
      <c r="AV456" s="294">
        <v>10670.33</v>
      </c>
      <c r="AW456" s="294">
        <v>96033</v>
      </c>
      <c r="AX456" s="294">
        <v>14221.87</v>
      </c>
      <c r="AY456" s="299">
        <v>0.14810000000000001</v>
      </c>
    </row>
    <row r="457" spans="1:51" ht="57.6" hidden="1">
      <c r="A457" s="257" t="s">
        <v>2044</v>
      </c>
      <c r="B457" s="258" t="s">
        <v>2045</v>
      </c>
      <c r="C457" s="258">
        <v>41112224</v>
      </c>
      <c r="D457" s="257" t="s">
        <v>982</v>
      </c>
      <c r="F457" s="258" t="s">
        <v>568</v>
      </c>
      <c r="G457" s="262">
        <v>1</v>
      </c>
      <c r="H457" s="262" t="s">
        <v>192</v>
      </c>
      <c r="I457" s="321" t="s">
        <v>1357</v>
      </c>
      <c r="J457" s="322">
        <v>46176</v>
      </c>
      <c r="K457" s="263" t="s">
        <v>2046</v>
      </c>
      <c r="L457" s="264" t="s">
        <v>1188</v>
      </c>
      <c r="M457" s="265" t="s">
        <v>380</v>
      </c>
      <c r="N457" s="266">
        <v>80000</v>
      </c>
      <c r="O457" s="267" t="s">
        <v>1197</v>
      </c>
      <c r="P457" s="268" t="s">
        <v>1191</v>
      </c>
      <c r="Q457" s="269">
        <v>80000</v>
      </c>
      <c r="R457" s="271">
        <v>15200</v>
      </c>
      <c r="S457" s="271">
        <v>95200</v>
      </c>
      <c r="T457" s="272">
        <v>80000</v>
      </c>
      <c r="U457" s="272">
        <v>95200</v>
      </c>
      <c r="V457" s="273" t="s">
        <v>1357</v>
      </c>
      <c r="W457" s="274">
        <v>46176</v>
      </c>
      <c r="X457" s="263" t="s">
        <v>2048</v>
      </c>
      <c r="Y457" s="276" t="s">
        <v>1188</v>
      </c>
      <c r="Z457" s="277" t="s">
        <v>381</v>
      </c>
      <c r="AA457" s="278">
        <v>78000</v>
      </c>
      <c r="AB457" s="279" t="s">
        <v>1197</v>
      </c>
      <c r="AC457" s="280" t="s">
        <v>1191</v>
      </c>
      <c r="AD457" s="281">
        <v>78000</v>
      </c>
      <c r="AE457" s="283">
        <v>14820</v>
      </c>
      <c r="AF457" s="283">
        <v>92820</v>
      </c>
      <c r="AG457" s="284">
        <v>78000</v>
      </c>
      <c r="AH457" s="284">
        <v>92820</v>
      </c>
      <c r="AI457" s="285" t="s">
        <v>1357</v>
      </c>
      <c r="AJ457" s="286">
        <v>46176</v>
      </c>
      <c r="AK457" s="263" t="s">
        <v>2108</v>
      </c>
      <c r="AL457" s="288" t="s">
        <v>1188</v>
      </c>
      <c r="AM457" s="298" t="s">
        <v>382</v>
      </c>
      <c r="AN457" s="289">
        <v>77000</v>
      </c>
      <c r="AO457" s="290" t="s">
        <v>1197</v>
      </c>
      <c r="AP457" s="290" t="s">
        <v>1191</v>
      </c>
      <c r="AQ457" s="291">
        <v>77000</v>
      </c>
      <c r="AR457" s="292">
        <v>14630</v>
      </c>
      <c r="AS457" s="292">
        <v>91630</v>
      </c>
      <c r="AT457" s="293">
        <v>77000</v>
      </c>
      <c r="AU457" s="293">
        <v>91630</v>
      </c>
      <c r="AV457" s="294">
        <v>93216.67</v>
      </c>
      <c r="AW457" s="294">
        <v>93216.67</v>
      </c>
      <c r="AX457" s="294">
        <v>1817.76</v>
      </c>
      <c r="AY457" s="299">
        <v>1.95E-2</v>
      </c>
    </row>
    <row r="458" spans="1:51" ht="57.6" hidden="1">
      <c r="A458" s="257" t="s">
        <v>2044</v>
      </c>
      <c r="B458" s="258" t="s">
        <v>2045</v>
      </c>
      <c r="C458" s="258">
        <v>41112212</v>
      </c>
      <c r="D458" s="257" t="s">
        <v>849</v>
      </c>
      <c r="F458" s="258" t="s">
        <v>568</v>
      </c>
      <c r="G458" s="262">
        <v>1</v>
      </c>
      <c r="H458" s="262" t="s">
        <v>192</v>
      </c>
      <c r="I458" s="321" t="s">
        <v>1357</v>
      </c>
      <c r="J458" s="322">
        <v>46176</v>
      </c>
      <c r="K458" s="263" t="s">
        <v>2046</v>
      </c>
      <c r="L458" s="264" t="s">
        <v>1188</v>
      </c>
      <c r="M458" s="265" t="s">
        <v>380</v>
      </c>
      <c r="N458" s="266">
        <v>75000</v>
      </c>
      <c r="O458" s="267" t="s">
        <v>1197</v>
      </c>
      <c r="P458" s="268" t="s">
        <v>1191</v>
      </c>
      <c r="Q458" s="269">
        <v>75000</v>
      </c>
      <c r="R458" s="271">
        <v>14250</v>
      </c>
      <c r="S458" s="271">
        <v>89250</v>
      </c>
      <c r="T458" s="272">
        <v>75000</v>
      </c>
      <c r="U458" s="272">
        <v>89250</v>
      </c>
      <c r="V458" s="273" t="s">
        <v>1357</v>
      </c>
      <c r="W458" s="274">
        <v>46176</v>
      </c>
      <c r="X458" s="263" t="s">
        <v>2048</v>
      </c>
      <c r="Y458" s="276" t="s">
        <v>1188</v>
      </c>
      <c r="Z458" s="277" t="s">
        <v>381</v>
      </c>
      <c r="AA458" s="278">
        <v>73000</v>
      </c>
      <c r="AB458" s="279" t="s">
        <v>1197</v>
      </c>
      <c r="AC458" s="280" t="s">
        <v>1191</v>
      </c>
      <c r="AD458" s="281">
        <v>73000</v>
      </c>
      <c r="AE458" s="283">
        <v>13870</v>
      </c>
      <c r="AF458" s="283">
        <v>86870</v>
      </c>
      <c r="AG458" s="284">
        <v>73000</v>
      </c>
      <c r="AH458" s="284">
        <v>86870</v>
      </c>
      <c r="AI458" s="285" t="s">
        <v>1357</v>
      </c>
      <c r="AJ458" s="286">
        <v>46176</v>
      </c>
      <c r="AK458" s="263" t="s">
        <v>2108</v>
      </c>
      <c r="AL458" s="288" t="s">
        <v>1188</v>
      </c>
      <c r="AM458" s="298" t="s">
        <v>382</v>
      </c>
      <c r="AN458" s="289">
        <v>70000</v>
      </c>
      <c r="AO458" s="290" t="s">
        <v>1197</v>
      </c>
      <c r="AP458" s="290"/>
      <c r="AQ458" s="291">
        <v>70000</v>
      </c>
      <c r="AR458" s="300" t="s">
        <v>2047</v>
      </c>
      <c r="AS458" s="292">
        <v>70000</v>
      </c>
      <c r="AT458" s="293">
        <v>70000</v>
      </c>
      <c r="AU458" s="293">
        <v>70000</v>
      </c>
      <c r="AV458" s="294">
        <v>82040</v>
      </c>
      <c r="AW458" s="294">
        <v>82040</v>
      </c>
      <c r="AX458" s="294">
        <v>10494.63</v>
      </c>
      <c r="AY458" s="299">
        <v>0.12790000000000001</v>
      </c>
    </row>
    <row r="459" spans="1:51" ht="57.6" hidden="1">
      <c r="A459" s="257" t="s">
        <v>2044</v>
      </c>
      <c r="B459" s="258" t="s">
        <v>2045</v>
      </c>
      <c r="C459" s="258">
        <v>11111501</v>
      </c>
      <c r="D459" s="257" t="s">
        <v>723</v>
      </c>
      <c r="F459" s="258" t="s">
        <v>568</v>
      </c>
      <c r="G459" s="262">
        <v>1</v>
      </c>
      <c r="H459" s="262" t="s">
        <v>192</v>
      </c>
      <c r="I459" s="321" t="s">
        <v>1357</v>
      </c>
      <c r="J459" s="322">
        <v>46176</v>
      </c>
      <c r="K459" s="263" t="s">
        <v>2046</v>
      </c>
      <c r="L459" s="264" t="s">
        <v>1188</v>
      </c>
      <c r="M459" s="265" t="s">
        <v>380</v>
      </c>
      <c r="N459" s="266">
        <v>26000</v>
      </c>
      <c r="O459" s="267" t="s">
        <v>1197</v>
      </c>
      <c r="P459" s="268" t="s">
        <v>1217</v>
      </c>
      <c r="Q459" s="269">
        <v>26000</v>
      </c>
      <c r="R459" s="270" t="s">
        <v>2047</v>
      </c>
      <c r="S459" s="271">
        <v>26000</v>
      </c>
      <c r="T459" s="272">
        <v>26000</v>
      </c>
      <c r="U459" s="272">
        <v>26000</v>
      </c>
      <c r="V459" s="273" t="s">
        <v>1357</v>
      </c>
      <c r="W459" s="274">
        <v>46176</v>
      </c>
      <c r="X459" s="263" t="s">
        <v>2048</v>
      </c>
      <c r="Y459" s="276" t="s">
        <v>1188</v>
      </c>
      <c r="Z459" s="277" t="s">
        <v>381</v>
      </c>
      <c r="AA459" s="278">
        <v>28000</v>
      </c>
      <c r="AB459" s="279" t="s">
        <v>1197</v>
      </c>
      <c r="AC459" s="280" t="s">
        <v>1217</v>
      </c>
      <c r="AD459" s="281">
        <v>28000</v>
      </c>
      <c r="AE459" s="282" t="s">
        <v>2047</v>
      </c>
      <c r="AF459" s="283">
        <v>28000</v>
      </c>
      <c r="AG459" s="284">
        <v>28000</v>
      </c>
      <c r="AH459" s="284">
        <v>28000</v>
      </c>
      <c r="AI459" s="285" t="s">
        <v>1357</v>
      </c>
      <c r="AJ459" s="286">
        <v>46176</v>
      </c>
      <c r="AK459" s="263" t="s">
        <v>2108</v>
      </c>
      <c r="AL459" s="288" t="s">
        <v>1188</v>
      </c>
      <c r="AM459" s="298" t="s">
        <v>382</v>
      </c>
      <c r="AN459" s="289">
        <v>25000</v>
      </c>
      <c r="AO459" s="290" t="s">
        <v>1197</v>
      </c>
      <c r="AP459" s="290" t="s">
        <v>1217</v>
      </c>
      <c r="AQ459" s="291">
        <v>25000</v>
      </c>
      <c r="AR459" s="300" t="s">
        <v>2047</v>
      </c>
      <c r="AS459" s="292">
        <v>25000</v>
      </c>
      <c r="AT459" s="293">
        <v>25000</v>
      </c>
      <c r="AU459" s="293">
        <v>25000</v>
      </c>
      <c r="AV459" s="294">
        <v>26333.33</v>
      </c>
      <c r="AW459" s="294">
        <v>26333.33</v>
      </c>
      <c r="AX459" s="294">
        <v>1527.53</v>
      </c>
      <c r="AY459" s="299">
        <v>5.8000000000000003E-2</v>
      </c>
    </row>
    <row r="460" spans="1:51" ht="57.6" hidden="1">
      <c r="A460" s="257" t="s">
        <v>2044</v>
      </c>
      <c r="B460" s="258" t="s">
        <v>2045</v>
      </c>
      <c r="C460" s="258">
        <v>27112007</v>
      </c>
      <c r="D460" s="257" t="s">
        <v>751</v>
      </c>
      <c r="F460" s="258" t="s">
        <v>568</v>
      </c>
      <c r="G460" s="262">
        <v>1</v>
      </c>
      <c r="H460" s="262" t="s">
        <v>192</v>
      </c>
      <c r="I460" s="321" t="s">
        <v>1357</v>
      </c>
      <c r="J460" s="322">
        <v>46176</v>
      </c>
      <c r="K460" s="263" t="s">
        <v>2046</v>
      </c>
      <c r="L460" s="264" t="s">
        <v>1188</v>
      </c>
      <c r="M460" s="265" t="s">
        <v>380</v>
      </c>
      <c r="N460" s="266">
        <v>173000</v>
      </c>
      <c r="O460" s="267" t="s">
        <v>1197</v>
      </c>
      <c r="P460" s="268" t="s">
        <v>1191</v>
      </c>
      <c r="Q460" s="269">
        <v>173000</v>
      </c>
      <c r="R460" s="271">
        <v>32870</v>
      </c>
      <c r="S460" s="271">
        <v>205870</v>
      </c>
      <c r="T460" s="272">
        <v>173000</v>
      </c>
      <c r="U460" s="272">
        <v>205870</v>
      </c>
      <c r="V460" s="273" t="s">
        <v>1357</v>
      </c>
      <c r="W460" s="274">
        <v>46176</v>
      </c>
      <c r="X460" s="263" t="s">
        <v>2048</v>
      </c>
      <c r="Y460" s="276" t="s">
        <v>1188</v>
      </c>
      <c r="Z460" s="277" t="s">
        <v>381</v>
      </c>
      <c r="AA460" s="278">
        <v>175000</v>
      </c>
      <c r="AB460" s="279" t="s">
        <v>1197</v>
      </c>
      <c r="AC460" s="280" t="s">
        <v>1191</v>
      </c>
      <c r="AD460" s="281">
        <v>175000</v>
      </c>
      <c r="AE460" s="283">
        <v>33250</v>
      </c>
      <c r="AF460" s="283">
        <v>208250</v>
      </c>
      <c r="AG460" s="284">
        <v>175000</v>
      </c>
      <c r="AH460" s="284">
        <v>208250</v>
      </c>
      <c r="AI460" s="285" t="s">
        <v>1357</v>
      </c>
      <c r="AJ460" s="286">
        <v>46176</v>
      </c>
      <c r="AK460" s="263" t="s">
        <v>2108</v>
      </c>
      <c r="AL460" s="288" t="s">
        <v>1188</v>
      </c>
      <c r="AM460" s="298" t="s">
        <v>382</v>
      </c>
      <c r="AN460" s="289">
        <v>180600</v>
      </c>
      <c r="AO460" s="290" t="s">
        <v>1197</v>
      </c>
      <c r="AP460" s="290" t="s">
        <v>1191</v>
      </c>
      <c r="AQ460" s="291">
        <v>180600</v>
      </c>
      <c r="AR460" s="292">
        <v>34314</v>
      </c>
      <c r="AS460" s="292">
        <v>214914</v>
      </c>
      <c r="AT460" s="293">
        <v>180600</v>
      </c>
      <c r="AU460" s="293">
        <v>214914</v>
      </c>
      <c r="AV460" s="294">
        <v>209678</v>
      </c>
      <c r="AW460" s="294">
        <v>209678</v>
      </c>
      <c r="AX460" s="294">
        <v>4688.0600000000004</v>
      </c>
      <c r="AY460" s="299">
        <v>2.24E-2</v>
      </c>
    </row>
    <row r="461" spans="1:51" ht="57.6" hidden="1">
      <c r="A461" s="257" t="s">
        <v>2044</v>
      </c>
      <c r="B461" s="258" t="s">
        <v>2045</v>
      </c>
      <c r="C461" s="258">
        <v>12171500</v>
      </c>
      <c r="D461" s="257" t="s">
        <v>473</v>
      </c>
      <c r="F461" s="258" t="s">
        <v>191</v>
      </c>
      <c r="G461" s="262">
        <v>3</v>
      </c>
      <c r="H461" s="262" t="s">
        <v>192</v>
      </c>
      <c r="I461" s="321" t="s">
        <v>1357</v>
      </c>
      <c r="J461" s="322">
        <v>46169</v>
      </c>
      <c r="K461" s="263" t="s">
        <v>2071</v>
      </c>
      <c r="L461" s="264" t="s">
        <v>1188</v>
      </c>
      <c r="M461" s="265" t="s">
        <v>193</v>
      </c>
      <c r="N461" s="266">
        <v>6000</v>
      </c>
      <c r="O461" s="267" t="s">
        <v>1197</v>
      </c>
      <c r="P461" s="268" t="s">
        <v>1191</v>
      </c>
      <c r="Q461" s="269">
        <v>6000</v>
      </c>
      <c r="R461" s="271">
        <v>1140</v>
      </c>
      <c r="S461" s="271">
        <v>7140</v>
      </c>
      <c r="T461" s="272">
        <v>18000</v>
      </c>
      <c r="U461" s="272">
        <v>21420</v>
      </c>
      <c r="V461" s="273" t="s">
        <v>1357</v>
      </c>
      <c r="W461" s="274">
        <v>46169</v>
      </c>
      <c r="X461" s="263" t="s">
        <v>2062</v>
      </c>
      <c r="Y461" s="276" t="s">
        <v>1188</v>
      </c>
      <c r="Z461" s="277" t="s">
        <v>194</v>
      </c>
      <c r="AA461" s="278">
        <v>8000</v>
      </c>
      <c r="AB461" s="279" t="s">
        <v>1197</v>
      </c>
      <c r="AC461" s="280" t="s">
        <v>1191</v>
      </c>
      <c r="AD461" s="281">
        <v>8000</v>
      </c>
      <c r="AE461" s="283">
        <v>1520</v>
      </c>
      <c r="AF461" s="283">
        <v>9520</v>
      </c>
      <c r="AG461" s="284">
        <v>24000</v>
      </c>
      <c r="AH461" s="284">
        <v>28560</v>
      </c>
      <c r="AI461" s="285" t="s">
        <v>1199</v>
      </c>
      <c r="AJ461" s="286">
        <v>46190</v>
      </c>
      <c r="AK461" s="263" t="s">
        <v>2281</v>
      </c>
      <c r="AL461" s="288" t="s">
        <v>1193</v>
      </c>
      <c r="AM461" s="298" t="s">
        <v>263</v>
      </c>
      <c r="AN461" s="289">
        <v>10000</v>
      </c>
      <c r="AO461" s="290" t="s">
        <v>1190</v>
      </c>
      <c r="AP461" s="290" t="s">
        <v>1191</v>
      </c>
      <c r="AQ461" s="291">
        <v>8403.36</v>
      </c>
      <c r="AR461" s="292">
        <v>1597</v>
      </c>
      <c r="AS461" s="292">
        <v>10000</v>
      </c>
      <c r="AT461" s="293">
        <v>25210</v>
      </c>
      <c r="AU461" s="293">
        <v>30000</v>
      </c>
      <c r="AV461" s="294">
        <v>8886.67</v>
      </c>
      <c r="AW461" s="294">
        <v>26660</v>
      </c>
      <c r="AX461" s="294">
        <v>4594.74</v>
      </c>
      <c r="AY461" s="299">
        <v>0.17230000000000001</v>
      </c>
    </row>
    <row r="462" spans="1:51" ht="57.6" hidden="1">
      <c r="A462" s="257" t="s">
        <v>2044</v>
      </c>
      <c r="B462" s="258" t="s">
        <v>2045</v>
      </c>
      <c r="C462" s="258">
        <v>31151500</v>
      </c>
      <c r="D462" s="257" t="s">
        <v>469</v>
      </c>
      <c r="F462" s="258" t="s">
        <v>191</v>
      </c>
      <c r="G462" s="262">
        <v>2</v>
      </c>
      <c r="H462" s="262" t="s">
        <v>192</v>
      </c>
      <c r="I462" s="321"/>
      <c r="J462" s="267"/>
      <c r="K462" s="297"/>
      <c r="L462" s="264"/>
      <c r="M462" s="265"/>
      <c r="N462" s="267"/>
      <c r="O462" s="267"/>
      <c r="P462" s="268"/>
      <c r="Q462" s="270" t="s">
        <v>2227</v>
      </c>
      <c r="R462" s="270" t="s">
        <v>2047</v>
      </c>
      <c r="S462" s="270" t="s">
        <v>2047</v>
      </c>
      <c r="T462" s="316" t="s">
        <v>2047</v>
      </c>
      <c r="U462" s="316" t="s">
        <v>2047</v>
      </c>
      <c r="V462" s="273"/>
      <c r="W462" s="279"/>
      <c r="X462" s="275"/>
      <c r="Y462" s="276"/>
      <c r="Z462" s="277"/>
      <c r="AA462" s="279"/>
      <c r="AB462" s="279"/>
      <c r="AC462" s="280"/>
      <c r="AD462" s="282" t="s">
        <v>2047</v>
      </c>
      <c r="AE462" s="282" t="s">
        <v>2047</v>
      </c>
      <c r="AF462" s="282" t="s">
        <v>2047</v>
      </c>
      <c r="AG462" s="317" t="s">
        <v>2228</v>
      </c>
      <c r="AH462" s="317" t="s">
        <v>2228</v>
      </c>
      <c r="AI462" s="285"/>
      <c r="AJ462" s="290"/>
      <c r="AK462" s="287"/>
      <c r="AL462" s="288"/>
      <c r="AM462" s="298"/>
      <c r="AN462" s="290"/>
      <c r="AO462" s="290"/>
      <c r="AP462" s="290"/>
      <c r="AQ462" s="300" t="s">
        <v>2047</v>
      </c>
      <c r="AR462" s="300" t="s">
        <v>2047</v>
      </c>
      <c r="AS462" s="300" t="s">
        <v>2047</v>
      </c>
      <c r="AT462" s="301" t="s">
        <v>2228</v>
      </c>
      <c r="AU462" s="301" t="s">
        <v>2228</v>
      </c>
      <c r="AV462" s="318" t="s">
        <v>2047</v>
      </c>
      <c r="AW462" s="318" t="s">
        <v>2047</v>
      </c>
      <c r="AX462" s="318" t="s">
        <v>2228</v>
      </c>
      <c r="AY462" s="319" t="e">
        <v>#VALUE!</v>
      </c>
    </row>
    <row r="463" spans="1:51" ht="57.6" hidden="1">
      <c r="A463" s="257" t="s">
        <v>2044</v>
      </c>
      <c r="B463" s="258" t="s">
        <v>2045</v>
      </c>
      <c r="C463" s="258">
        <v>10151507</v>
      </c>
      <c r="D463" s="257" t="s">
        <v>846</v>
      </c>
      <c r="F463" s="258" t="s">
        <v>568</v>
      </c>
      <c r="G463" s="262">
        <v>1</v>
      </c>
      <c r="H463" s="262" t="s">
        <v>192</v>
      </c>
      <c r="I463" s="321" t="s">
        <v>1357</v>
      </c>
      <c r="J463" s="322">
        <v>46176</v>
      </c>
      <c r="K463" s="263" t="s">
        <v>2046</v>
      </c>
      <c r="L463" s="264" t="s">
        <v>1188</v>
      </c>
      <c r="M463" s="265" t="s">
        <v>380</v>
      </c>
      <c r="N463" s="266">
        <v>94000</v>
      </c>
      <c r="O463" s="267" t="s">
        <v>1197</v>
      </c>
      <c r="P463" s="268" t="s">
        <v>1217</v>
      </c>
      <c r="Q463" s="269">
        <v>94000</v>
      </c>
      <c r="R463" s="270" t="s">
        <v>2047</v>
      </c>
      <c r="S463" s="271">
        <v>94000</v>
      </c>
      <c r="T463" s="272">
        <v>94000</v>
      </c>
      <c r="U463" s="272">
        <v>94000</v>
      </c>
      <c r="V463" s="273" t="s">
        <v>1357</v>
      </c>
      <c r="W463" s="274">
        <v>46176</v>
      </c>
      <c r="X463" s="263" t="s">
        <v>2048</v>
      </c>
      <c r="Y463" s="276" t="s">
        <v>1188</v>
      </c>
      <c r="Z463" s="277" t="s">
        <v>381</v>
      </c>
      <c r="AA463" s="278">
        <v>92000</v>
      </c>
      <c r="AB463" s="279" t="s">
        <v>1197</v>
      </c>
      <c r="AC463" s="280" t="s">
        <v>1217</v>
      </c>
      <c r="AD463" s="281">
        <v>92000</v>
      </c>
      <c r="AE463" s="282" t="s">
        <v>2047</v>
      </c>
      <c r="AF463" s="283">
        <v>92000</v>
      </c>
      <c r="AG463" s="284">
        <v>92000</v>
      </c>
      <c r="AH463" s="284">
        <v>92000</v>
      </c>
      <c r="AI463" s="285" t="s">
        <v>1357</v>
      </c>
      <c r="AJ463" s="286">
        <v>46176</v>
      </c>
      <c r="AK463" s="263" t="s">
        <v>2108</v>
      </c>
      <c r="AL463" s="288" t="s">
        <v>1188</v>
      </c>
      <c r="AM463" s="298" t="s">
        <v>382</v>
      </c>
      <c r="AN463" s="289">
        <v>89600</v>
      </c>
      <c r="AO463" s="290" t="s">
        <v>1197</v>
      </c>
      <c r="AP463" s="290" t="s">
        <v>1217</v>
      </c>
      <c r="AQ463" s="291">
        <v>89600</v>
      </c>
      <c r="AR463" s="300" t="s">
        <v>2047</v>
      </c>
      <c r="AS463" s="292">
        <v>89600</v>
      </c>
      <c r="AT463" s="293">
        <v>89600</v>
      </c>
      <c r="AU463" s="293">
        <v>89600</v>
      </c>
      <c r="AV463" s="294">
        <v>91866.67</v>
      </c>
      <c r="AW463" s="294">
        <v>91866.67</v>
      </c>
      <c r="AX463" s="294">
        <v>2203.0300000000002</v>
      </c>
      <c r="AY463" s="299">
        <v>2.4E-2</v>
      </c>
    </row>
    <row r="464" spans="1:51" ht="57.6" hidden="1">
      <c r="A464" s="257" t="s">
        <v>2044</v>
      </c>
      <c r="B464" s="258" t="s">
        <v>2045</v>
      </c>
      <c r="C464" s="258">
        <v>40171606</v>
      </c>
      <c r="D464" s="257" t="s">
        <v>883</v>
      </c>
      <c r="F464" s="258" t="s">
        <v>568</v>
      </c>
      <c r="G464" s="262">
        <v>1</v>
      </c>
      <c r="H464" s="262" t="s">
        <v>192</v>
      </c>
      <c r="I464" s="321" t="s">
        <v>1357</v>
      </c>
      <c r="J464" s="322">
        <v>46176</v>
      </c>
      <c r="K464" s="263" t="s">
        <v>2046</v>
      </c>
      <c r="L464" s="264" t="s">
        <v>1188</v>
      </c>
      <c r="M464" s="265" t="s">
        <v>380</v>
      </c>
      <c r="N464" s="266">
        <v>14000</v>
      </c>
      <c r="O464" s="267" t="s">
        <v>1197</v>
      </c>
      <c r="P464" s="268" t="s">
        <v>1191</v>
      </c>
      <c r="Q464" s="269">
        <v>14000</v>
      </c>
      <c r="R464" s="271">
        <v>2660</v>
      </c>
      <c r="S464" s="271">
        <v>16660</v>
      </c>
      <c r="T464" s="272">
        <v>14000</v>
      </c>
      <c r="U464" s="272">
        <v>16660</v>
      </c>
      <c r="V464" s="273" t="s">
        <v>1357</v>
      </c>
      <c r="W464" s="274">
        <v>46176</v>
      </c>
      <c r="X464" s="263" t="s">
        <v>2048</v>
      </c>
      <c r="Y464" s="276" t="s">
        <v>1188</v>
      </c>
      <c r="Z464" s="277" t="s">
        <v>381</v>
      </c>
      <c r="AA464" s="278">
        <v>12000</v>
      </c>
      <c r="AB464" s="279" t="s">
        <v>1197</v>
      </c>
      <c r="AC464" s="280" t="s">
        <v>1191</v>
      </c>
      <c r="AD464" s="281">
        <v>12000</v>
      </c>
      <c r="AE464" s="283">
        <v>2280</v>
      </c>
      <c r="AF464" s="283">
        <v>14280</v>
      </c>
      <c r="AG464" s="284">
        <v>12000</v>
      </c>
      <c r="AH464" s="284">
        <v>14280</v>
      </c>
      <c r="AI464" s="285" t="s">
        <v>1357</v>
      </c>
      <c r="AJ464" s="286">
        <v>46176</v>
      </c>
      <c r="AK464" s="263" t="s">
        <v>2108</v>
      </c>
      <c r="AL464" s="288" t="s">
        <v>1188</v>
      </c>
      <c r="AM464" s="298" t="s">
        <v>382</v>
      </c>
      <c r="AN464" s="289">
        <v>10780</v>
      </c>
      <c r="AO464" s="290" t="s">
        <v>1197</v>
      </c>
      <c r="AP464" s="290" t="s">
        <v>1191</v>
      </c>
      <c r="AQ464" s="291">
        <v>10780</v>
      </c>
      <c r="AR464" s="292">
        <v>2048</v>
      </c>
      <c r="AS464" s="292">
        <v>12828</v>
      </c>
      <c r="AT464" s="293">
        <v>10780</v>
      </c>
      <c r="AU464" s="293">
        <v>12828</v>
      </c>
      <c r="AV464" s="294">
        <v>14589.4</v>
      </c>
      <c r="AW464" s="294">
        <v>14589.4</v>
      </c>
      <c r="AX464" s="294">
        <v>1934.55</v>
      </c>
      <c r="AY464" s="299">
        <v>0.1326</v>
      </c>
    </row>
    <row r="465" spans="1:51" ht="57.6" hidden="1">
      <c r="A465" s="257" t="s">
        <v>2044</v>
      </c>
      <c r="B465" s="258" t="s">
        <v>2045</v>
      </c>
      <c r="C465" s="258">
        <v>40171606</v>
      </c>
      <c r="D465" s="257" t="s">
        <v>877</v>
      </c>
      <c r="F465" s="258" t="s">
        <v>568</v>
      </c>
      <c r="G465" s="262">
        <v>1</v>
      </c>
      <c r="H465" s="262" t="s">
        <v>192</v>
      </c>
      <c r="I465" s="321" t="s">
        <v>1357</v>
      </c>
      <c r="J465" s="322">
        <v>46176</v>
      </c>
      <c r="K465" s="263" t="s">
        <v>2046</v>
      </c>
      <c r="L465" s="264" t="s">
        <v>1188</v>
      </c>
      <c r="M465" s="265" t="s">
        <v>380</v>
      </c>
      <c r="N465" s="266">
        <v>18000</v>
      </c>
      <c r="O465" s="267" t="s">
        <v>1197</v>
      </c>
      <c r="P465" s="268" t="s">
        <v>1191</v>
      </c>
      <c r="Q465" s="269">
        <v>18000</v>
      </c>
      <c r="R465" s="271">
        <v>3420</v>
      </c>
      <c r="S465" s="271">
        <v>21420</v>
      </c>
      <c r="T465" s="272">
        <v>18000</v>
      </c>
      <c r="U465" s="272">
        <v>21420</v>
      </c>
      <c r="V465" s="273" t="s">
        <v>1357</v>
      </c>
      <c r="W465" s="274">
        <v>46176</v>
      </c>
      <c r="X465" s="263" t="s">
        <v>2048</v>
      </c>
      <c r="Y465" s="276" t="s">
        <v>1188</v>
      </c>
      <c r="Z465" s="277" t="s">
        <v>381</v>
      </c>
      <c r="AA465" s="278">
        <v>16600</v>
      </c>
      <c r="AB465" s="279" t="s">
        <v>1197</v>
      </c>
      <c r="AC465" s="280" t="s">
        <v>1191</v>
      </c>
      <c r="AD465" s="281">
        <v>16600</v>
      </c>
      <c r="AE465" s="283">
        <v>3154</v>
      </c>
      <c r="AF465" s="283">
        <v>19754</v>
      </c>
      <c r="AG465" s="284">
        <v>16600</v>
      </c>
      <c r="AH465" s="284">
        <v>19754</v>
      </c>
      <c r="AI465" s="285" t="s">
        <v>1357</v>
      </c>
      <c r="AJ465" s="286">
        <v>46176</v>
      </c>
      <c r="AK465" s="263" t="s">
        <v>2108</v>
      </c>
      <c r="AL465" s="288" t="s">
        <v>1188</v>
      </c>
      <c r="AM465" s="298" t="s">
        <v>382</v>
      </c>
      <c r="AN465" s="289">
        <v>16600</v>
      </c>
      <c r="AO465" s="290" t="s">
        <v>1197</v>
      </c>
      <c r="AP465" s="290" t="s">
        <v>1191</v>
      </c>
      <c r="AQ465" s="291">
        <v>16600</v>
      </c>
      <c r="AR465" s="292">
        <v>3154</v>
      </c>
      <c r="AS465" s="292">
        <v>19754</v>
      </c>
      <c r="AT465" s="293">
        <v>16600</v>
      </c>
      <c r="AU465" s="293">
        <v>19754</v>
      </c>
      <c r="AV465" s="294">
        <v>20309.330000000002</v>
      </c>
      <c r="AW465" s="294">
        <v>20309.330000000002</v>
      </c>
      <c r="AX465" s="294">
        <v>961.87</v>
      </c>
      <c r="AY465" s="299">
        <v>4.7399999999999998E-2</v>
      </c>
    </row>
    <row r="466" spans="1:51" ht="57.6" hidden="1">
      <c r="A466" s="257" t="s">
        <v>2044</v>
      </c>
      <c r="B466" s="258" t="s">
        <v>2045</v>
      </c>
      <c r="C466" s="258">
        <v>40171606</v>
      </c>
      <c r="D466" s="257" t="s">
        <v>880</v>
      </c>
      <c r="F466" s="258" t="s">
        <v>568</v>
      </c>
      <c r="G466" s="262">
        <v>1</v>
      </c>
      <c r="H466" s="262" t="s">
        <v>192</v>
      </c>
      <c r="I466" s="321" t="s">
        <v>1357</v>
      </c>
      <c r="J466" s="322">
        <v>46176</v>
      </c>
      <c r="K466" s="263" t="s">
        <v>2046</v>
      </c>
      <c r="L466" s="264" t="s">
        <v>1188</v>
      </c>
      <c r="M466" s="265" t="s">
        <v>380</v>
      </c>
      <c r="N466" s="266">
        <v>24000</v>
      </c>
      <c r="O466" s="267" t="s">
        <v>1197</v>
      </c>
      <c r="P466" s="268" t="s">
        <v>1191</v>
      </c>
      <c r="Q466" s="269">
        <v>24000</v>
      </c>
      <c r="R466" s="271">
        <v>4560</v>
      </c>
      <c r="S466" s="271">
        <v>28560</v>
      </c>
      <c r="T466" s="272">
        <v>24000</v>
      </c>
      <c r="U466" s="272">
        <v>28560</v>
      </c>
      <c r="V466" s="273" t="s">
        <v>1357</v>
      </c>
      <c r="W466" s="274">
        <v>46176</v>
      </c>
      <c r="X466" s="263" t="s">
        <v>2048</v>
      </c>
      <c r="Y466" s="276" t="s">
        <v>1188</v>
      </c>
      <c r="Z466" s="277" t="s">
        <v>381</v>
      </c>
      <c r="AA466" s="278">
        <v>23000</v>
      </c>
      <c r="AB466" s="279" t="s">
        <v>1197</v>
      </c>
      <c r="AC466" s="280" t="s">
        <v>1191</v>
      </c>
      <c r="AD466" s="281">
        <v>23000</v>
      </c>
      <c r="AE466" s="283">
        <v>4370</v>
      </c>
      <c r="AF466" s="283">
        <v>27370</v>
      </c>
      <c r="AG466" s="284">
        <v>23000</v>
      </c>
      <c r="AH466" s="284">
        <v>27370</v>
      </c>
      <c r="AI466" s="285" t="s">
        <v>1357</v>
      </c>
      <c r="AJ466" s="286">
        <v>46176</v>
      </c>
      <c r="AK466" s="263" t="s">
        <v>2108</v>
      </c>
      <c r="AL466" s="288" t="s">
        <v>1188</v>
      </c>
      <c r="AM466" s="298" t="s">
        <v>382</v>
      </c>
      <c r="AN466" s="289">
        <v>22260</v>
      </c>
      <c r="AO466" s="290" t="s">
        <v>1197</v>
      </c>
      <c r="AP466" s="290" t="s">
        <v>1191</v>
      </c>
      <c r="AQ466" s="291">
        <v>22260</v>
      </c>
      <c r="AR466" s="292">
        <v>4229</v>
      </c>
      <c r="AS466" s="292">
        <v>26489</v>
      </c>
      <c r="AT466" s="293">
        <v>22260</v>
      </c>
      <c r="AU466" s="293">
        <v>26489</v>
      </c>
      <c r="AV466" s="294">
        <v>27473.13</v>
      </c>
      <c r="AW466" s="294">
        <v>27473.13</v>
      </c>
      <c r="AX466" s="294">
        <v>1039.1500000000001</v>
      </c>
      <c r="AY466" s="299">
        <v>3.78E-2</v>
      </c>
    </row>
    <row r="467" spans="1:51" ht="57.6" hidden="1">
      <c r="A467" s="257" t="s">
        <v>2044</v>
      </c>
      <c r="B467" s="258" t="s">
        <v>2045</v>
      </c>
      <c r="C467" s="258">
        <v>40142100</v>
      </c>
      <c r="D467" s="257" t="s">
        <v>221</v>
      </c>
      <c r="F467" s="258" t="s">
        <v>191</v>
      </c>
      <c r="G467" s="262">
        <v>1</v>
      </c>
      <c r="H467" s="262" t="s">
        <v>192</v>
      </c>
      <c r="I467" s="321" t="s">
        <v>1199</v>
      </c>
      <c r="J467" s="322">
        <v>46189</v>
      </c>
      <c r="K467" s="263" t="s">
        <v>2282</v>
      </c>
      <c r="L467" s="264" t="s">
        <v>1193</v>
      </c>
      <c r="M467" s="265" t="s">
        <v>223</v>
      </c>
      <c r="N467" s="266">
        <v>31077</v>
      </c>
      <c r="O467" s="267" t="s">
        <v>1190</v>
      </c>
      <c r="P467" s="268" t="s">
        <v>1191</v>
      </c>
      <c r="Q467" s="269">
        <v>26115.13</v>
      </c>
      <c r="R467" s="271">
        <v>4962</v>
      </c>
      <c r="S467" s="271">
        <v>31077</v>
      </c>
      <c r="T467" s="272">
        <v>26115</v>
      </c>
      <c r="U467" s="272">
        <v>31077</v>
      </c>
      <c r="V467" s="273" t="s">
        <v>1199</v>
      </c>
      <c r="W467" s="274">
        <v>46189</v>
      </c>
      <c r="X467" s="263" t="s">
        <v>2283</v>
      </c>
      <c r="Y467" s="276" t="s">
        <v>1193</v>
      </c>
      <c r="Z467" s="277" t="s">
        <v>224</v>
      </c>
      <c r="AA467" s="278">
        <v>39900</v>
      </c>
      <c r="AB467" s="279" t="s">
        <v>1190</v>
      </c>
      <c r="AC467" s="280" t="s">
        <v>1191</v>
      </c>
      <c r="AD467" s="281">
        <v>33529.410000000003</v>
      </c>
      <c r="AE467" s="283">
        <v>6371</v>
      </c>
      <c r="AF467" s="283">
        <v>39900</v>
      </c>
      <c r="AG467" s="284">
        <v>33529</v>
      </c>
      <c r="AH467" s="284">
        <v>39900</v>
      </c>
      <c r="AI467" s="285" t="s">
        <v>1199</v>
      </c>
      <c r="AJ467" s="286">
        <v>46189</v>
      </c>
      <c r="AK467" s="263" t="s">
        <v>2284</v>
      </c>
      <c r="AL467" s="288" t="s">
        <v>1193</v>
      </c>
      <c r="AM467" s="298" t="s">
        <v>225</v>
      </c>
      <c r="AN467" s="289">
        <v>32900</v>
      </c>
      <c r="AO467" s="290" t="s">
        <v>1190</v>
      </c>
      <c r="AP467" s="290" t="s">
        <v>1191</v>
      </c>
      <c r="AQ467" s="291">
        <v>27647.06</v>
      </c>
      <c r="AR467" s="292">
        <v>5253</v>
      </c>
      <c r="AS467" s="292">
        <v>32900</v>
      </c>
      <c r="AT467" s="293">
        <v>27647</v>
      </c>
      <c r="AU467" s="293">
        <v>32900</v>
      </c>
      <c r="AV467" s="294">
        <v>34625.67</v>
      </c>
      <c r="AW467" s="294">
        <v>34625.67</v>
      </c>
      <c r="AX467" s="294">
        <v>4657.7700000000004</v>
      </c>
      <c r="AY467" s="299">
        <v>0.13450000000000001</v>
      </c>
    </row>
    <row r="468" spans="1:51" ht="57.6" hidden="1">
      <c r="A468" s="257" t="s">
        <v>2044</v>
      </c>
      <c r="B468" s="258" t="s">
        <v>2045</v>
      </c>
      <c r="C468" s="258">
        <v>21101602</v>
      </c>
      <c r="D468" s="257" t="s">
        <v>886</v>
      </c>
      <c r="F468" s="258" t="s">
        <v>568</v>
      </c>
      <c r="G468" s="262">
        <v>1</v>
      </c>
      <c r="H468" s="262" t="s">
        <v>192</v>
      </c>
      <c r="I468" s="321" t="s">
        <v>1357</v>
      </c>
      <c r="J468" s="322">
        <v>46176</v>
      </c>
      <c r="K468" s="263" t="s">
        <v>2046</v>
      </c>
      <c r="L468" s="264" t="s">
        <v>1188</v>
      </c>
      <c r="M468" s="265" t="s">
        <v>380</v>
      </c>
      <c r="N468" s="266">
        <v>20000</v>
      </c>
      <c r="O468" s="267" t="s">
        <v>1197</v>
      </c>
      <c r="P468" s="268" t="s">
        <v>1217</v>
      </c>
      <c r="Q468" s="269">
        <v>20000</v>
      </c>
      <c r="R468" s="270" t="s">
        <v>2047</v>
      </c>
      <c r="S468" s="271">
        <v>20000</v>
      </c>
      <c r="T468" s="272">
        <v>20000</v>
      </c>
      <c r="U468" s="272">
        <v>20000</v>
      </c>
      <c r="V468" s="273" t="s">
        <v>1357</v>
      </c>
      <c r="W468" s="274">
        <v>46176</v>
      </c>
      <c r="X468" s="263" t="s">
        <v>2048</v>
      </c>
      <c r="Y468" s="276" t="s">
        <v>1188</v>
      </c>
      <c r="Z468" s="277" t="s">
        <v>381</v>
      </c>
      <c r="AA468" s="278">
        <v>19300</v>
      </c>
      <c r="AB468" s="279" t="s">
        <v>1197</v>
      </c>
      <c r="AC468" s="280" t="s">
        <v>1217</v>
      </c>
      <c r="AD468" s="281">
        <v>19300</v>
      </c>
      <c r="AE468" s="282" t="s">
        <v>2047</v>
      </c>
      <c r="AF468" s="283">
        <v>19300</v>
      </c>
      <c r="AG468" s="284">
        <v>19300</v>
      </c>
      <c r="AH468" s="284">
        <v>19300</v>
      </c>
      <c r="AI468" s="285" t="s">
        <v>1199</v>
      </c>
      <c r="AJ468" s="286">
        <v>46190</v>
      </c>
      <c r="AK468" s="263" t="s">
        <v>2285</v>
      </c>
      <c r="AL468" s="288" t="s">
        <v>1193</v>
      </c>
      <c r="AM468" s="298" t="s">
        <v>263</v>
      </c>
      <c r="AN468" s="289">
        <v>21900</v>
      </c>
      <c r="AO468" s="290" t="s">
        <v>1190</v>
      </c>
      <c r="AP468" s="290" t="s">
        <v>1191</v>
      </c>
      <c r="AQ468" s="291">
        <v>18403.36</v>
      </c>
      <c r="AR468" s="292">
        <v>3497</v>
      </c>
      <c r="AS468" s="292">
        <v>21900</v>
      </c>
      <c r="AT468" s="293">
        <v>18403</v>
      </c>
      <c r="AU468" s="293">
        <v>21900</v>
      </c>
      <c r="AV468" s="294">
        <v>20400</v>
      </c>
      <c r="AW468" s="294">
        <v>20400</v>
      </c>
      <c r="AX468" s="294">
        <v>1345.36</v>
      </c>
      <c r="AY468" s="299">
        <v>6.59E-2</v>
      </c>
    </row>
    <row r="469" spans="1:51" ht="57.6" hidden="1">
      <c r="A469" s="257" t="s">
        <v>2044</v>
      </c>
      <c r="B469" s="258" t="s">
        <v>2045</v>
      </c>
      <c r="C469" s="258">
        <v>21101806</v>
      </c>
      <c r="D469" s="257" t="s">
        <v>772</v>
      </c>
      <c r="F469" s="258" t="s">
        <v>568</v>
      </c>
      <c r="G469" s="262">
        <v>1</v>
      </c>
      <c r="H469" s="262" t="s">
        <v>192</v>
      </c>
      <c r="I469" s="321" t="s">
        <v>1357</v>
      </c>
      <c r="J469" s="322">
        <v>46176</v>
      </c>
      <c r="K469" s="263" t="s">
        <v>2046</v>
      </c>
      <c r="L469" s="264" t="s">
        <v>1188</v>
      </c>
      <c r="M469" s="265" t="s">
        <v>380</v>
      </c>
      <c r="N469" s="266">
        <v>340000</v>
      </c>
      <c r="O469" s="267" t="s">
        <v>1197</v>
      </c>
      <c r="P469" s="268" t="s">
        <v>1191</v>
      </c>
      <c r="Q469" s="269">
        <v>340000</v>
      </c>
      <c r="R469" s="271">
        <v>64600</v>
      </c>
      <c r="S469" s="271">
        <v>404600</v>
      </c>
      <c r="T469" s="272">
        <v>340000</v>
      </c>
      <c r="U469" s="272">
        <v>404600</v>
      </c>
      <c r="V469" s="273" t="s">
        <v>1357</v>
      </c>
      <c r="W469" s="274">
        <v>46176</v>
      </c>
      <c r="X469" s="263" t="s">
        <v>2048</v>
      </c>
      <c r="Y469" s="276" t="s">
        <v>1188</v>
      </c>
      <c r="Z469" s="277" t="s">
        <v>381</v>
      </c>
      <c r="AA469" s="278">
        <v>350000</v>
      </c>
      <c r="AB469" s="279" t="s">
        <v>1197</v>
      </c>
      <c r="AC469" s="280" t="s">
        <v>1191</v>
      </c>
      <c r="AD469" s="281">
        <v>350000</v>
      </c>
      <c r="AE469" s="283">
        <v>66500</v>
      </c>
      <c r="AF469" s="283">
        <v>416500</v>
      </c>
      <c r="AG469" s="284">
        <v>350000</v>
      </c>
      <c r="AH469" s="284">
        <v>416500</v>
      </c>
      <c r="AI469" s="285" t="s">
        <v>1357</v>
      </c>
      <c r="AJ469" s="286">
        <v>46176</v>
      </c>
      <c r="AK469" s="263" t="s">
        <v>2108</v>
      </c>
      <c r="AL469" s="288" t="s">
        <v>1188</v>
      </c>
      <c r="AM469" s="298" t="s">
        <v>382</v>
      </c>
      <c r="AN469" s="289">
        <v>364000</v>
      </c>
      <c r="AO469" s="290" t="s">
        <v>1197</v>
      </c>
      <c r="AP469" s="290" t="s">
        <v>1191</v>
      </c>
      <c r="AQ469" s="291">
        <v>364000</v>
      </c>
      <c r="AR469" s="292">
        <v>69160</v>
      </c>
      <c r="AS469" s="292">
        <v>433160</v>
      </c>
      <c r="AT469" s="293">
        <v>364000</v>
      </c>
      <c r="AU469" s="293">
        <v>433160</v>
      </c>
      <c r="AV469" s="294">
        <v>418086.67</v>
      </c>
      <c r="AW469" s="294">
        <v>418086.67</v>
      </c>
      <c r="AX469" s="294">
        <v>14345.96</v>
      </c>
      <c r="AY469" s="299">
        <v>3.4299999999999997E-2</v>
      </c>
    </row>
    <row r="470" spans="1:51" ht="57.6" hidden="1">
      <c r="A470" s="257" t="s">
        <v>2044</v>
      </c>
      <c r="B470" s="258" t="s">
        <v>2045</v>
      </c>
      <c r="C470" s="258">
        <v>50171700</v>
      </c>
      <c r="D470" s="257" t="s">
        <v>334</v>
      </c>
      <c r="F470" s="258" t="s">
        <v>191</v>
      </c>
      <c r="G470" s="262">
        <v>5</v>
      </c>
      <c r="H470" s="262" t="s">
        <v>192</v>
      </c>
      <c r="I470" s="313" t="s">
        <v>1357</v>
      </c>
      <c r="J470" s="323">
        <v>46183</v>
      </c>
      <c r="K470" s="263" t="s">
        <v>2286</v>
      </c>
      <c r="L470" s="313" t="s">
        <v>1193</v>
      </c>
      <c r="M470" s="313" t="s">
        <v>336</v>
      </c>
      <c r="N470" s="314">
        <v>5950</v>
      </c>
      <c r="O470" s="313" t="s">
        <v>1190</v>
      </c>
      <c r="P470" s="313" t="s">
        <v>1191</v>
      </c>
      <c r="Q470" s="269">
        <v>5000</v>
      </c>
      <c r="R470" s="271">
        <v>950</v>
      </c>
      <c r="S470" s="271">
        <v>5950</v>
      </c>
      <c r="T470" s="272">
        <v>25000</v>
      </c>
      <c r="U470" s="272">
        <v>29750</v>
      </c>
      <c r="V470" s="273" t="s">
        <v>1357</v>
      </c>
      <c r="W470" s="274">
        <v>46183</v>
      </c>
      <c r="X470" s="263" t="s">
        <v>2287</v>
      </c>
      <c r="Y470" s="273" t="s">
        <v>1193</v>
      </c>
      <c r="Z470" s="320" t="s">
        <v>337</v>
      </c>
      <c r="AA470" s="273">
        <v>5590</v>
      </c>
      <c r="AB470" s="273" t="s">
        <v>1190</v>
      </c>
      <c r="AC470" s="273" t="s">
        <v>1191</v>
      </c>
      <c r="AD470" s="281">
        <v>4697.4799999999996</v>
      </c>
      <c r="AE470" s="283">
        <v>893</v>
      </c>
      <c r="AF470" s="283">
        <v>5590</v>
      </c>
      <c r="AG470" s="284">
        <v>23487</v>
      </c>
      <c r="AH470" s="284">
        <v>27950</v>
      </c>
      <c r="AI470" s="285" t="s">
        <v>1357</v>
      </c>
      <c r="AJ470" s="286">
        <v>46183</v>
      </c>
      <c r="AK470" s="263" t="s">
        <v>2288</v>
      </c>
      <c r="AL470" s="285" t="s">
        <v>1193</v>
      </c>
      <c r="AM470" s="288" t="s">
        <v>338</v>
      </c>
      <c r="AN470" s="285">
        <v>6090</v>
      </c>
      <c r="AO470" s="285" t="s">
        <v>1197</v>
      </c>
      <c r="AP470" s="285" t="s">
        <v>1191</v>
      </c>
      <c r="AQ470" s="291">
        <v>6090</v>
      </c>
      <c r="AR470" s="292">
        <v>1157</v>
      </c>
      <c r="AS470" s="292">
        <v>7247</v>
      </c>
      <c r="AT470" s="293">
        <v>30450</v>
      </c>
      <c r="AU470" s="293">
        <v>36236</v>
      </c>
      <c r="AV470" s="294">
        <v>6262.37</v>
      </c>
      <c r="AW470" s="294">
        <v>31311.83</v>
      </c>
      <c r="AX470" s="294">
        <v>4357.97</v>
      </c>
      <c r="AY470" s="299">
        <v>0.13919999999999999</v>
      </c>
    </row>
    <row r="471" spans="1:51" ht="57.6" hidden="1">
      <c r="A471" s="257" t="s">
        <v>2044</v>
      </c>
      <c r="B471" s="258" t="s">
        <v>2045</v>
      </c>
      <c r="C471" s="258">
        <v>50171707</v>
      </c>
      <c r="D471" s="257" t="s">
        <v>955</v>
      </c>
      <c r="F471" s="258" t="s">
        <v>568</v>
      </c>
      <c r="G471" s="262">
        <v>1</v>
      </c>
      <c r="H471" s="262" t="s">
        <v>192</v>
      </c>
      <c r="I471" s="321" t="s">
        <v>1357</v>
      </c>
      <c r="J471" s="322">
        <v>46176</v>
      </c>
      <c r="K471" s="263" t="s">
        <v>2046</v>
      </c>
      <c r="L471" s="264" t="s">
        <v>1188</v>
      </c>
      <c r="M471" s="265" t="s">
        <v>380</v>
      </c>
      <c r="N471" s="266">
        <v>6000</v>
      </c>
      <c r="O471" s="267" t="s">
        <v>1197</v>
      </c>
      <c r="P471" s="268" t="s">
        <v>1217</v>
      </c>
      <c r="Q471" s="269">
        <v>6000</v>
      </c>
      <c r="R471" s="270" t="s">
        <v>2047</v>
      </c>
      <c r="S471" s="271">
        <v>6000</v>
      </c>
      <c r="T471" s="272">
        <v>6000</v>
      </c>
      <c r="U471" s="272">
        <v>6000</v>
      </c>
      <c r="V471" s="273" t="s">
        <v>1357</v>
      </c>
      <c r="W471" s="274">
        <v>46176</v>
      </c>
      <c r="X471" s="263" t="s">
        <v>2048</v>
      </c>
      <c r="Y471" s="276" t="s">
        <v>1188</v>
      </c>
      <c r="Z471" s="277" t="s">
        <v>381</v>
      </c>
      <c r="AA471" s="278">
        <v>5500</v>
      </c>
      <c r="AB471" s="279" t="s">
        <v>1197</v>
      </c>
      <c r="AC471" s="280" t="s">
        <v>1217</v>
      </c>
      <c r="AD471" s="281">
        <v>5500</v>
      </c>
      <c r="AE471" s="282" t="s">
        <v>2047</v>
      </c>
      <c r="AF471" s="283">
        <v>5500</v>
      </c>
      <c r="AG471" s="284">
        <v>5500</v>
      </c>
      <c r="AH471" s="284">
        <v>5500</v>
      </c>
      <c r="AI471" s="285" t="s">
        <v>1357</v>
      </c>
      <c r="AJ471" s="286">
        <v>46176</v>
      </c>
      <c r="AK471" s="263" t="s">
        <v>2108</v>
      </c>
      <c r="AL471" s="288" t="s">
        <v>1188</v>
      </c>
      <c r="AM471" s="298" t="s">
        <v>382</v>
      </c>
      <c r="AN471" s="289">
        <v>4900</v>
      </c>
      <c r="AO471" s="290" t="s">
        <v>1197</v>
      </c>
      <c r="AP471" s="290" t="s">
        <v>1217</v>
      </c>
      <c r="AQ471" s="291">
        <v>4900</v>
      </c>
      <c r="AR471" s="300" t="s">
        <v>2047</v>
      </c>
      <c r="AS471" s="292">
        <v>4900</v>
      </c>
      <c r="AT471" s="293">
        <v>4900</v>
      </c>
      <c r="AU471" s="293">
        <v>4900</v>
      </c>
      <c r="AV471" s="294">
        <v>5466.67</v>
      </c>
      <c r="AW471" s="294">
        <v>5466.67</v>
      </c>
      <c r="AX471" s="294">
        <v>550.76</v>
      </c>
      <c r="AY471" s="299">
        <v>0.1007</v>
      </c>
    </row>
    <row r="472" spans="1:51" ht="57.6" hidden="1">
      <c r="A472" s="257" t="s">
        <v>2044</v>
      </c>
      <c r="B472" s="258" t="s">
        <v>2045</v>
      </c>
      <c r="C472" s="258">
        <v>51191905</v>
      </c>
      <c r="D472" s="257" t="s">
        <v>958</v>
      </c>
      <c r="F472" s="258" t="s">
        <v>568</v>
      </c>
      <c r="G472" s="262">
        <v>1</v>
      </c>
      <c r="H472" s="262" t="s">
        <v>192</v>
      </c>
      <c r="I472" s="321" t="s">
        <v>1186</v>
      </c>
      <c r="J472" s="322">
        <v>46175</v>
      </c>
      <c r="K472" s="263" t="s">
        <v>2289</v>
      </c>
      <c r="L472" s="264" t="s">
        <v>1193</v>
      </c>
      <c r="M472" s="265" t="s">
        <v>960</v>
      </c>
      <c r="N472" s="266">
        <v>54966.98</v>
      </c>
      <c r="O472" s="267" t="s">
        <v>1190</v>
      </c>
      <c r="P472" s="268" t="s">
        <v>1191</v>
      </c>
      <c r="Q472" s="269">
        <v>46190.74</v>
      </c>
      <c r="R472" s="271">
        <v>8776</v>
      </c>
      <c r="S472" s="271">
        <v>54967</v>
      </c>
      <c r="T472" s="272">
        <v>46191</v>
      </c>
      <c r="U472" s="272">
        <v>54967</v>
      </c>
      <c r="V472" s="273" t="s">
        <v>1186</v>
      </c>
      <c r="W472" s="274">
        <v>46175</v>
      </c>
      <c r="X472" s="263" t="s">
        <v>2290</v>
      </c>
      <c r="Y472" s="276" t="s">
        <v>1193</v>
      </c>
      <c r="Z472" s="277" t="s">
        <v>961</v>
      </c>
      <c r="AA472" s="278">
        <v>43600</v>
      </c>
      <c r="AB472" s="279" t="s">
        <v>1190</v>
      </c>
      <c r="AC472" s="280" t="s">
        <v>1191</v>
      </c>
      <c r="AD472" s="281">
        <v>36638.660000000003</v>
      </c>
      <c r="AE472" s="283">
        <v>6961</v>
      </c>
      <c r="AF472" s="283">
        <v>43600</v>
      </c>
      <c r="AG472" s="284">
        <v>36639</v>
      </c>
      <c r="AH472" s="284">
        <v>43600</v>
      </c>
      <c r="AI472" s="285" t="s">
        <v>1186</v>
      </c>
      <c r="AJ472" s="286">
        <v>46175</v>
      </c>
      <c r="AK472" s="263" t="s">
        <v>2291</v>
      </c>
      <c r="AL472" s="288" t="s">
        <v>1193</v>
      </c>
      <c r="AM472" s="298" t="s">
        <v>962</v>
      </c>
      <c r="AN472" s="289">
        <v>54500</v>
      </c>
      <c r="AO472" s="290" t="s">
        <v>1190</v>
      </c>
      <c r="AP472" s="290" t="s">
        <v>1191</v>
      </c>
      <c r="AQ472" s="291">
        <v>45798.32</v>
      </c>
      <c r="AR472" s="292">
        <v>8702</v>
      </c>
      <c r="AS472" s="292">
        <v>54500</v>
      </c>
      <c r="AT472" s="293">
        <v>45798</v>
      </c>
      <c r="AU472" s="293">
        <v>54500</v>
      </c>
      <c r="AV472" s="294">
        <v>51022.33</v>
      </c>
      <c r="AW472" s="294">
        <v>51022.33</v>
      </c>
      <c r="AX472" s="294">
        <v>6432.16</v>
      </c>
      <c r="AY472" s="299">
        <v>0.12609999999999999</v>
      </c>
    </row>
    <row r="473" spans="1:51" ht="57.6" hidden="1">
      <c r="A473" s="257" t="s">
        <v>2044</v>
      </c>
      <c r="B473" s="258" t="s">
        <v>2045</v>
      </c>
      <c r="C473" s="258">
        <v>31151900</v>
      </c>
      <c r="D473" s="257" t="s">
        <v>250</v>
      </c>
      <c r="F473" s="258" t="s">
        <v>191</v>
      </c>
      <c r="G473" s="262">
        <v>1</v>
      </c>
      <c r="H473" s="262" t="s">
        <v>192</v>
      </c>
      <c r="I473" s="321" t="s">
        <v>1357</v>
      </c>
      <c r="J473" s="322">
        <v>46169</v>
      </c>
      <c r="K473" s="263" t="s">
        <v>2071</v>
      </c>
      <c r="L473" s="264" t="s">
        <v>1188</v>
      </c>
      <c r="M473" s="265" t="s">
        <v>193</v>
      </c>
      <c r="N473" s="266">
        <v>42000</v>
      </c>
      <c r="O473" s="267" t="s">
        <v>1197</v>
      </c>
      <c r="P473" s="268" t="s">
        <v>1191</v>
      </c>
      <c r="Q473" s="269">
        <v>42000</v>
      </c>
      <c r="R473" s="271">
        <v>7980</v>
      </c>
      <c r="S473" s="271">
        <v>49980</v>
      </c>
      <c r="T473" s="272">
        <v>42000</v>
      </c>
      <c r="U473" s="272">
        <v>49980</v>
      </c>
      <c r="V473" s="273" t="s">
        <v>1357</v>
      </c>
      <c r="W473" s="274">
        <v>46169</v>
      </c>
      <c r="X473" s="263" t="s">
        <v>2062</v>
      </c>
      <c r="Y473" s="276" t="s">
        <v>1188</v>
      </c>
      <c r="Z473" s="277" t="s">
        <v>194</v>
      </c>
      <c r="AA473" s="278">
        <v>45000</v>
      </c>
      <c r="AB473" s="279" t="s">
        <v>1197</v>
      </c>
      <c r="AC473" s="280" t="s">
        <v>2292</v>
      </c>
      <c r="AD473" s="281">
        <v>45000</v>
      </c>
      <c r="AE473" s="282" t="s">
        <v>2047</v>
      </c>
      <c r="AF473" s="283">
        <v>45000</v>
      </c>
      <c r="AG473" s="284">
        <v>45000</v>
      </c>
      <c r="AH473" s="284">
        <v>45000</v>
      </c>
      <c r="AI473" s="285" t="s">
        <v>1186</v>
      </c>
      <c r="AJ473" s="286">
        <v>46184</v>
      </c>
      <c r="AK473" s="263" t="s">
        <v>2293</v>
      </c>
      <c r="AL473" s="288" t="s">
        <v>1193</v>
      </c>
      <c r="AM473" s="298" t="s">
        <v>252</v>
      </c>
      <c r="AN473" s="289">
        <v>49150</v>
      </c>
      <c r="AO473" s="290" t="s">
        <v>1190</v>
      </c>
      <c r="AP473" s="290" t="s">
        <v>1191</v>
      </c>
      <c r="AQ473" s="291">
        <v>41302.519999999997</v>
      </c>
      <c r="AR473" s="292">
        <v>7847</v>
      </c>
      <c r="AS473" s="292">
        <v>49150</v>
      </c>
      <c r="AT473" s="293">
        <v>41303</v>
      </c>
      <c r="AU473" s="293">
        <v>49150</v>
      </c>
      <c r="AV473" s="294">
        <v>48043.33</v>
      </c>
      <c r="AW473" s="294">
        <v>48043.33</v>
      </c>
      <c r="AX473" s="294">
        <v>2668.08</v>
      </c>
      <c r="AY473" s="299">
        <v>5.5500000000000001E-2</v>
      </c>
    </row>
  </sheetData>
  <autoFilter ref="A2:BA473" xr:uid="{00000000-0001-0000-0700-000000000000}">
    <filterColumn colId="3">
      <filters>
        <filter val="Alquiler Sonido 1000 w 6 a 8 horas"/>
        <filter val="Alquiler Sonido 1000 w 8 a 12 horas"/>
      </filters>
    </filterColumn>
  </autoFilter>
  <conditionalFormatting sqref="AY3:AY248">
    <cfRule type="cellIs" dxfId="2" priority="2" stopIfTrue="1" operator="greaterThan">
      <formula>0.2</formula>
    </cfRule>
  </conditionalFormatting>
  <conditionalFormatting sqref="D3:D193 D195:D248">
    <cfRule type="duplicateValues" dxfId="1" priority="3"/>
  </conditionalFormatting>
  <conditionalFormatting sqref="D194">
    <cfRule type="duplicateValues" dxfId="0" priority="1"/>
  </conditionalFormatting>
  <dataValidations count="7">
    <dataValidation type="list" allowBlank="1" showInputMessage="1" showErrorMessage="1" sqref="H3:H135 H194" xr:uid="{00000000-0002-0000-0700-000000000000}">
      <formula1>"Compra,Alquiler,PrestaciónServicio"</formula1>
    </dataValidation>
    <dataValidation type="list" allowBlank="1" showInputMessage="1" showErrorMessage="1" sqref="O3:O10 O12:P13 O14:O27 O28:P42 O44:O118 O120 O133:P135 P3:P6 P9:P10 P15 P17:P26 P44:P69 P108 AB3:AB10 AB12 AB13:AC42 AB44:AB62 AB65:AB118 AB120 AB133:AC135 AC3:AC6 AC8 AC10 AC44:AC69 AC102:AC115 AO3:AO10 AO12:AO42 AO44:AO82 AO84:AO115 AO118:AO121 AO123:AO125 AO127:AO128 AO132:AO135 AP4 AP6 AP9 AP13 AP15 AP17:AP21 AP23:AP35 AP37:AP42 AP44:AP69 AP102:AP106 AP108:AP111" xr:uid="{00000000-0002-0000-0700-000001000000}">
      <formula1>"IVA incluido,Precio sin Iva"</formula1>
    </dataValidation>
    <dataValidation type="list" allowBlank="1" showInputMessage="1" showErrorMessage="1" sqref="P11 P16 P27 P43 P80 P82:P83 P85:P92 P95:P98 P102:P107 P109:P132 P194 AC11:AC12 AC43 AC80 AC82:AC83 AC86:AC92 AC95:AC98 AC116:AC132 AC194 AP3 AP5 AP8 AP10:AP12 AP14 AP16 AP22 AP36 AP43 AP82:AP83 AP86:AP92 AP95:AP98 AP107 AP112:AP135 AP194" xr:uid="{00000000-0002-0000-0700-000002000000}">
      <formula1>"Si tiene IVA,No tiene IVA,Si tiene IPOCONSUMO,No tiene IPOCONSUMO"</formula1>
    </dataValidation>
    <dataValidation type="list" allowBlank="1" showInputMessage="1" showErrorMessage="1" sqref="P3:P10 P12:P15 P17:P26 P28:P42 P44:P77 P81 P84 P93:P94 P99:P101 P108 P133:P135 AC3:AC10 AC13:AC42 AC44:AC77 AC81 AC84:AC85 AC93:AC94 AC99:AC115 AC133:AC135 AO27:AP27 AP4 AP6:AP7 AP9 AP13 AP15 AP17:AP21 AP23:AP26 AP28:AP35 AP37:AP42 AP44:AP77 AP81 AP84:AP85 AP93:AP94 AP99:AP106 AP108:AP111" xr:uid="{00000000-0002-0000-0700-000003000000}">
      <formula1>"Si tiene IVA,No tiene IVA"</formula1>
    </dataValidation>
    <dataValidation type="list" allowBlank="1" showInputMessage="1" showErrorMessage="1" sqref="O11 O43 O119 O121:O132 O194 AB11 AB43 AB63:AB64 AB119 AB121:AB132 AB194 AO11 AO43 AO83 AO116:AO117 AO122 AO126 AO129:AO131 AO194" xr:uid="{00000000-0002-0000-0700-000004000000}">
      <formula1>"IVA incluido,Precio sin Iva,Ipoconsumo Incluido,Precio sin Ipoconsumo"</formula1>
    </dataValidation>
    <dataValidation type="list" allowBlank="1" showInputMessage="1" showErrorMessage="1" sqref="L3:L122 L124:L135 L194 Y3:Y120 Y122:Y123 Y125:Y127 Y130:Y131 Y133:Y135 Y194 AL3:AL125 AL127:AL129 AL132:AL135" xr:uid="{00000000-0002-0000-0700-000005000000}">
      <formula1>"Transcripción,Gestión,Validación"</formula1>
    </dataValidation>
    <dataValidation type="list" allowBlank="1" showInputMessage="1" sqref="I3:I10 I12 I63 I71:I80 I82:I83 I86:I89 I91 I95:I97 I103:I106 I109:I111 I125 I133:I135 V71:V80 V82:V83 V86:V89 V91:V92 V95:V97 V103:V106 V109 V111 AI71:AI80 AI82:AI83 AI86:AI89 AI91:AI92 AI95:AI97 AI103:AI106 AI109 AI111" xr:uid="{00000000-0002-0000-0700-000006000000}">
      <formula1>#REF!</formula1>
    </dataValidation>
  </dataValidations>
  <hyperlinks>
    <hyperlink ref="K3" r:id="rId1" xr:uid="{00000000-0004-0000-0700-000000000000}"/>
    <hyperlink ref="X3" r:id="rId2" xr:uid="{00000000-0004-0000-0700-000001000000}"/>
    <hyperlink ref="AK3" r:id="rId3" xr:uid="{00000000-0004-0000-0700-000002000000}"/>
    <hyperlink ref="K4" r:id="rId4" xr:uid="{00000000-0004-0000-0700-000003000000}"/>
    <hyperlink ref="X4" r:id="rId5" xr:uid="{00000000-0004-0000-0700-000004000000}"/>
    <hyperlink ref="AK4" r:id="rId6" xr:uid="{00000000-0004-0000-0700-000005000000}"/>
    <hyperlink ref="K5" r:id="rId7" xr:uid="{00000000-0004-0000-0700-000006000000}"/>
    <hyperlink ref="X5" r:id="rId8" xr:uid="{00000000-0004-0000-0700-000007000000}"/>
    <hyperlink ref="AK5" r:id="rId9" xr:uid="{00000000-0004-0000-0700-000008000000}"/>
    <hyperlink ref="K6" r:id="rId10" xr:uid="{00000000-0004-0000-0700-000009000000}"/>
    <hyperlink ref="X6" r:id="rId11" xr:uid="{00000000-0004-0000-0700-00000A000000}"/>
    <hyperlink ref="AK6" r:id="rId12" xr:uid="{00000000-0004-0000-0700-00000B000000}"/>
    <hyperlink ref="K7" r:id="rId13" xr:uid="{00000000-0004-0000-0700-00000C000000}"/>
    <hyperlink ref="X7" r:id="rId14" xr:uid="{00000000-0004-0000-0700-00000D000000}"/>
    <hyperlink ref="AK7" r:id="rId15" xr:uid="{00000000-0004-0000-0700-00000E000000}"/>
    <hyperlink ref="K8" r:id="rId16" xr:uid="{00000000-0004-0000-0700-00000F000000}"/>
    <hyperlink ref="X8" r:id="rId17" xr:uid="{00000000-0004-0000-0700-000010000000}"/>
    <hyperlink ref="AK8" r:id="rId18" xr:uid="{00000000-0004-0000-0700-000011000000}"/>
    <hyperlink ref="K9" r:id="rId19" xr:uid="{00000000-0004-0000-0700-000012000000}"/>
    <hyperlink ref="X9" r:id="rId20" xr:uid="{00000000-0004-0000-0700-000013000000}"/>
    <hyperlink ref="AK9" r:id="rId21" xr:uid="{00000000-0004-0000-0700-000014000000}"/>
    <hyperlink ref="K10" r:id="rId22" xr:uid="{00000000-0004-0000-0700-000015000000}"/>
    <hyperlink ref="X10" r:id="rId23" xr:uid="{00000000-0004-0000-0700-000016000000}"/>
    <hyperlink ref="AK10" r:id="rId24" xr:uid="{00000000-0004-0000-0700-000017000000}"/>
    <hyperlink ref="K11" r:id="rId25" xr:uid="{00000000-0004-0000-0700-000018000000}"/>
    <hyperlink ref="M11" r:id="rId26" xr:uid="{00000000-0004-0000-0700-000019000000}"/>
    <hyperlink ref="X11" r:id="rId27" xr:uid="{00000000-0004-0000-0700-00001A000000}"/>
    <hyperlink ref="AK11" r:id="rId28" xr:uid="{00000000-0004-0000-0700-00001B000000}"/>
    <hyperlink ref="K12" r:id="rId29" xr:uid="{00000000-0004-0000-0700-00001C000000}"/>
    <hyperlink ref="X12" r:id="rId30" xr:uid="{00000000-0004-0000-0700-00001D000000}"/>
    <hyperlink ref="AK12" r:id="rId31" xr:uid="{00000000-0004-0000-0700-00001E000000}"/>
    <hyperlink ref="K14" r:id="rId32" xr:uid="{00000000-0004-0000-0700-00001F000000}"/>
    <hyperlink ref="X14" r:id="rId33" xr:uid="{00000000-0004-0000-0700-000020000000}"/>
    <hyperlink ref="AK14" r:id="rId34" xr:uid="{00000000-0004-0000-0700-000021000000}"/>
    <hyperlink ref="K15" r:id="rId35" xr:uid="{00000000-0004-0000-0700-000022000000}"/>
    <hyperlink ref="X15" r:id="rId36" xr:uid="{00000000-0004-0000-0700-000023000000}"/>
    <hyperlink ref="AK15" r:id="rId37" xr:uid="{00000000-0004-0000-0700-000024000000}"/>
    <hyperlink ref="K16" r:id="rId38" xr:uid="{00000000-0004-0000-0700-000025000000}"/>
    <hyperlink ref="X16" r:id="rId39" xr:uid="{00000000-0004-0000-0700-000026000000}"/>
    <hyperlink ref="K17" r:id="rId40" xr:uid="{00000000-0004-0000-0700-000027000000}"/>
    <hyperlink ref="X17" r:id="rId41" xr:uid="{00000000-0004-0000-0700-000028000000}"/>
    <hyperlink ref="AK17" r:id="rId42" xr:uid="{00000000-0004-0000-0700-000029000000}"/>
    <hyperlink ref="K18" r:id="rId43" xr:uid="{00000000-0004-0000-0700-00002A000000}"/>
    <hyperlink ref="X18" r:id="rId44" xr:uid="{00000000-0004-0000-0700-00002B000000}"/>
    <hyperlink ref="AK18" r:id="rId45" xr:uid="{00000000-0004-0000-0700-00002C000000}"/>
    <hyperlink ref="K19" r:id="rId46" xr:uid="{00000000-0004-0000-0700-00002D000000}"/>
    <hyperlink ref="X19" r:id="rId47" xr:uid="{00000000-0004-0000-0700-00002E000000}"/>
    <hyperlink ref="AK19" r:id="rId48" xr:uid="{00000000-0004-0000-0700-00002F000000}"/>
    <hyperlink ref="K20" r:id="rId49" xr:uid="{00000000-0004-0000-0700-000030000000}"/>
    <hyperlink ref="X20" r:id="rId50" xr:uid="{00000000-0004-0000-0700-000031000000}"/>
    <hyperlink ref="AK20" r:id="rId51" xr:uid="{00000000-0004-0000-0700-000032000000}"/>
    <hyperlink ref="K27" r:id="rId52" xr:uid="{00000000-0004-0000-0700-000033000000}"/>
    <hyperlink ref="X27" r:id="rId53" xr:uid="{00000000-0004-0000-0700-000034000000}"/>
    <hyperlink ref="AK27" r:id="rId54" xr:uid="{00000000-0004-0000-0700-000035000000}"/>
    <hyperlink ref="AK31" r:id="rId55" display="ANGIE PACHÓN _VARIOS 19-02-2026.pdf" xr:uid="{00000000-0004-0000-0700-000036000000}"/>
    <hyperlink ref="AK32" r:id="rId56" display="ANGIE PACHÓN _VARIOS 19-02-2026.pdf" xr:uid="{00000000-0004-0000-0700-000037000000}"/>
    <hyperlink ref="K46" r:id="rId57" xr:uid="{00000000-0004-0000-0700-000038000000}"/>
    <hyperlink ref="X46" r:id="rId58" xr:uid="{00000000-0004-0000-0700-000039000000}"/>
    <hyperlink ref="AK46" r:id="rId59" xr:uid="{00000000-0004-0000-0700-00003A000000}"/>
    <hyperlink ref="K51" r:id="rId60" xr:uid="{00000000-0004-0000-0700-00003B000000}"/>
    <hyperlink ref="X51" r:id="rId61" xr:uid="{00000000-0004-0000-0700-00003C000000}"/>
    <hyperlink ref="AK51" r:id="rId62" xr:uid="{00000000-0004-0000-0700-00003D000000}"/>
    <hyperlink ref="K54" r:id="rId63" xr:uid="{00000000-0004-0000-0700-00003E000000}"/>
    <hyperlink ref="X54" r:id="rId64" xr:uid="{00000000-0004-0000-0700-00003F000000}"/>
    <hyperlink ref="AK54" r:id="rId65" xr:uid="{00000000-0004-0000-0700-000040000000}"/>
    <hyperlink ref="K55" r:id="rId66" xr:uid="{00000000-0004-0000-0700-000041000000}"/>
    <hyperlink ref="X55" r:id="rId67" xr:uid="{00000000-0004-0000-0700-000042000000}"/>
    <hyperlink ref="AK55" r:id="rId68" xr:uid="{00000000-0004-0000-0700-000043000000}"/>
    <hyperlink ref="K56" r:id="rId69" xr:uid="{00000000-0004-0000-0700-000044000000}"/>
    <hyperlink ref="X56" r:id="rId70" xr:uid="{00000000-0004-0000-0700-000045000000}"/>
    <hyperlink ref="K58" r:id="rId71" xr:uid="{00000000-0004-0000-0700-000046000000}"/>
    <hyperlink ref="X58" r:id="rId72" xr:uid="{00000000-0004-0000-0700-000047000000}"/>
    <hyperlink ref="AK58" r:id="rId73" xr:uid="{00000000-0004-0000-0700-000048000000}"/>
    <hyperlink ref="K59" r:id="rId74" xr:uid="{00000000-0004-0000-0700-000049000000}"/>
    <hyperlink ref="X59" r:id="rId75" xr:uid="{00000000-0004-0000-0700-00004A000000}"/>
    <hyperlink ref="AK59" r:id="rId76" xr:uid="{00000000-0004-0000-0700-00004B000000}"/>
    <hyperlink ref="K60" r:id="rId77" xr:uid="{00000000-0004-0000-0700-00004C000000}"/>
    <hyperlink ref="X60" r:id="rId78" xr:uid="{00000000-0004-0000-0700-00004D000000}"/>
    <hyperlink ref="AK60" r:id="rId79" xr:uid="{00000000-0004-0000-0700-00004E000000}"/>
    <hyperlink ref="AK64" r:id="rId80" display="SGD_ VARIOS 19-02-2026 SAS" xr:uid="{00000000-0004-0000-0700-00004F000000}"/>
    <hyperlink ref="K65" r:id="rId81" xr:uid="{00000000-0004-0000-0700-000050000000}"/>
    <hyperlink ref="X65" r:id="rId82" xr:uid="{00000000-0004-0000-0700-000051000000}"/>
    <hyperlink ref="AK65" r:id="rId83" display="SGD_ VARIOS 19-02-2026 SAS" xr:uid="{00000000-0004-0000-0700-000052000000}"/>
    <hyperlink ref="K66" r:id="rId84" xr:uid="{00000000-0004-0000-0700-000053000000}"/>
    <hyperlink ref="X66" r:id="rId85" xr:uid="{00000000-0004-0000-0700-000054000000}"/>
    <hyperlink ref="K67" r:id="rId86" xr:uid="{00000000-0004-0000-0700-000055000000}"/>
    <hyperlink ref="X67" r:id="rId87" xr:uid="{00000000-0004-0000-0700-000056000000}"/>
    <hyperlink ref="K69" r:id="rId88" xr:uid="{00000000-0004-0000-0700-000057000000}"/>
    <hyperlink ref="X69" r:id="rId89" xr:uid="{00000000-0004-0000-0700-000058000000}"/>
    <hyperlink ref="AK69" r:id="rId90" xr:uid="{00000000-0004-0000-0700-000059000000}"/>
    <hyperlink ref="K73" r:id="rId91" xr:uid="{00000000-0004-0000-0700-00005A000000}"/>
    <hyperlink ref="X73" r:id="rId92" xr:uid="{00000000-0004-0000-0700-00005B000000}"/>
    <hyperlink ref="AK73" r:id="rId93" xr:uid="{00000000-0004-0000-0700-00005C000000}"/>
    <hyperlink ref="K74" r:id="rId94" xr:uid="{00000000-0004-0000-0700-00005D000000}"/>
    <hyperlink ref="X74" r:id="rId95" xr:uid="{00000000-0004-0000-0700-00005E000000}"/>
    <hyperlink ref="K75" r:id="rId96" xr:uid="{00000000-0004-0000-0700-00005F000000}"/>
    <hyperlink ref="X75" r:id="rId97" xr:uid="{00000000-0004-0000-0700-000060000000}"/>
    <hyperlink ref="K76" r:id="rId98" xr:uid="{00000000-0004-0000-0700-000061000000}"/>
    <hyperlink ref="X76" r:id="rId99" xr:uid="{00000000-0004-0000-0700-000062000000}"/>
    <hyperlink ref="K83" r:id="rId100" xr:uid="{00000000-0004-0000-0700-000063000000}"/>
    <hyperlink ref="X83" r:id="rId101" xr:uid="{00000000-0004-0000-0700-000064000000}"/>
    <hyperlink ref="AK83" r:id="rId102" xr:uid="{00000000-0004-0000-0700-000065000000}"/>
    <hyperlink ref="K86" r:id="rId103" xr:uid="{00000000-0004-0000-0700-000066000000}"/>
    <hyperlink ref="X86" r:id="rId104" xr:uid="{00000000-0004-0000-0700-000067000000}"/>
    <hyperlink ref="AK86" r:id="rId105" xr:uid="{00000000-0004-0000-0700-000068000000}"/>
    <hyperlink ref="K88" r:id="rId106" xr:uid="{00000000-0004-0000-0700-000069000000}"/>
    <hyperlink ref="X88" r:id="rId107" xr:uid="{00000000-0004-0000-0700-00006A000000}"/>
    <hyperlink ref="AK88" r:id="rId108" xr:uid="{00000000-0004-0000-0700-00006B000000}"/>
    <hyperlink ref="K89" r:id="rId109" xr:uid="{00000000-0004-0000-0700-00006C000000}"/>
    <hyperlink ref="M89" r:id="rId110" xr:uid="{00000000-0004-0000-0700-00006D000000}"/>
    <hyperlink ref="X89" r:id="rId111" xr:uid="{00000000-0004-0000-0700-00006E000000}"/>
    <hyperlink ref="Z89" r:id="rId112" xr:uid="{00000000-0004-0000-0700-00006F000000}"/>
    <hyperlink ref="AK89" r:id="rId113" xr:uid="{00000000-0004-0000-0700-000070000000}"/>
    <hyperlink ref="K90" r:id="rId114" xr:uid="{00000000-0004-0000-0700-000071000000}"/>
    <hyperlink ref="X90" r:id="rId115" xr:uid="{00000000-0004-0000-0700-000072000000}"/>
    <hyperlink ref="AK90" r:id="rId116" xr:uid="{00000000-0004-0000-0700-000073000000}"/>
    <hyperlink ref="K91" r:id="rId117" xr:uid="{00000000-0004-0000-0700-000074000000}"/>
    <hyperlink ref="X91" r:id="rId118" xr:uid="{00000000-0004-0000-0700-000075000000}"/>
    <hyperlink ref="AK91" r:id="rId119" xr:uid="{00000000-0004-0000-0700-000076000000}"/>
    <hyperlink ref="K92" r:id="rId120" xr:uid="{00000000-0004-0000-0700-000077000000}"/>
    <hyperlink ref="X92" r:id="rId121" xr:uid="{00000000-0004-0000-0700-000078000000}"/>
    <hyperlink ref="AK92" r:id="rId122" xr:uid="{00000000-0004-0000-0700-000079000000}"/>
    <hyperlink ref="K93" r:id="rId123" xr:uid="{00000000-0004-0000-0700-00007A000000}"/>
    <hyperlink ref="X93" r:id="rId124" xr:uid="{00000000-0004-0000-0700-00007B000000}"/>
    <hyperlink ref="AK93" r:id="rId125" xr:uid="{00000000-0004-0000-0700-00007C000000}"/>
    <hyperlink ref="K94" r:id="rId126" xr:uid="{00000000-0004-0000-0700-00007D000000}"/>
    <hyperlink ref="X94" r:id="rId127" xr:uid="{00000000-0004-0000-0700-00007E000000}"/>
    <hyperlink ref="AK94" r:id="rId128" xr:uid="{00000000-0004-0000-0700-00007F000000}"/>
    <hyperlink ref="K95" r:id="rId129" xr:uid="{00000000-0004-0000-0700-000080000000}"/>
    <hyperlink ref="X95" r:id="rId130" xr:uid="{00000000-0004-0000-0700-000081000000}"/>
    <hyperlink ref="AK95" r:id="rId131" xr:uid="{00000000-0004-0000-0700-000082000000}"/>
    <hyperlink ref="K96" r:id="rId132" xr:uid="{00000000-0004-0000-0700-000083000000}"/>
    <hyperlink ref="X96" r:id="rId133" xr:uid="{00000000-0004-0000-0700-000084000000}"/>
    <hyperlink ref="AK96" r:id="rId134" xr:uid="{00000000-0004-0000-0700-000085000000}"/>
    <hyperlink ref="K97" r:id="rId135" xr:uid="{00000000-0004-0000-0700-000086000000}"/>
    <hyperlink ref="X97" r:id="rId136" xr:uid="{00000000-0004-0000-0700-000087000000}"/>
    <hyperlink ref="AK97" r:id="rId137" xr:uid="{00000000-0004-0000-0700-000088000000}"/>
    <hyperlink ref="K98" r:id="rId138" xr:uid="{00000000-0004-0000-0700-000089000000}"/>
    <hyperlink ref="X98" r:id="rId139" xr:uid="{00000000-0004-0000-0700-00008A000000}"/>
    <hyperlink ref="AK98" r:id="rId140" xr:uid="{00000000-0004-0000-0700-00008B000000}"/>
    <hyperlink ref="K99" r:id="rId141" xr:uid="{00000000-0004-0000-0700-00008C000000}"/>
    <hyperlink ref="X99" r:id="rId142" xr:uid="{00000000-0004-0000-0700-00008D000000}"/>
    <hyperlink ref="AK99" r:id="rId143" xr:uid="{00000000-0004-0000-0700-00008E000000}"/>
    <hyperlink ref="K100" r:id="rId144" xr:uid="{00000000-0004-0000-0700-00008F000000}"/>
    <hyperlink ref="X100" r:id="rId145" xr:uid="{00000000-0004-0000-0700-000090000000}"/>
    <hyperlink ref="AK100" r:id="rId146" xr:uid="{00000000-0004-0000-0700-000091000000}"/>
    <hyperlink ref="K101" r:id="rId147" xr:uid="{00000000-0004-0000-0700-000092000000}"/>
    <hyperlink ref="X101" r:id="rId148" xr:uid="{00000000-0004-0000-0700-000093000000}"/>
    <hyperlink ref="AK101" r:id="rId149" xr:uid="{00000000-0004-0000-0700-000094000000}"/>
    <hyperlink ref="K102" r:id="rId150" xr:uid="{00000000-0004-0000-0700-000095000000}"/>
    <hyperlink ref="X102" r:id="rId151" xr:uid="{00000000-0004-0000-0700-000096000000}"/>
    <hyperlink ref="AK102" r:id="rId152" xr:uid="{00000000-0004-0000-0700-000097000000}"/>
    <hyperlink ref="K103" r:id="rId153" xr:uid="{00000000-0004-0000-0700-000098000000}"/>
    <hyperlink ref="X103" r:id="rId154" xr:uid="{00000000-0004-0000-0700-000099000000}"/>
    <hyperlink ref="AK103" r:id="rId155" xr:uid="{00000000-0004-0000-0700-00009A000000}"/>
    <hyperlink ref="K104" r:id="rId156" xr:uid="{00000000-0004-0000-0700-00009B000000}"/>
    <hyperlink ref="X104" r:id="rId157" xr:uid="{00000000-0004-0000-0700-00009C000000}"/>
    <hyperlink ref="K105" r:id="rId158" xr:uid="{00000000-0004-0000-0700-00009D000000}"/>
    <hyperlink ref="X105" r:id="rId159" xr:uid="{00000000-0004-0000-0700-00009E000000}"/>
    <hyperlink ref="AK105" r:id="rId160" xr:uid="{00000000-0004-0000-0700-00009F000000}"/>
    <hyperlink ref="K108" r:id="rId161" xr:uid="{00000000-0004-0000-0700-0000A0000000}"/>
    <hyperlink ref="X108" r:id="rId162" xr:uid="{00000000-0004-0000-0700-0000A1000000}"/>
    <hyperlink ref="AK108" r:id="rId163" xr:uid="{00000000-0004-0000-0700-0000A2000000}"/>
    <hyperlink ref="K109" r:id="rId164" xr:uid="{00000000-0004-0000-0700-0000A3000000}"/>
    <hyperlink ref="X109" r:id="rId165" xr:uid="{00000000-0004-0000-0700-0000A4000000}"/>
    <hyperlink ref="AK109" r:id="rId166" xr:uid="{00000000-0004-0000-0700-0000A5000000}"/>
    <hyperlink ref="K111" r:id="rId167" xr:uid="{00000000-0004-0000-0700-0000A6000000}"/>
    <hyperlink ref="X111" r:id="rId168" xr:uid="{00000000-0004-0000-0700-0000A7000000}"/>
    <hyperlink ref="AK111" r:id="rId169" xr:uid="{00000000-0004-0000-0700-0000A8000000}"/>
    <hyperlink ref="K112" r:id="rId170" xr:uid="{00000000-0004-0000-0700-0000A9000000}"/>
    <hyperlink ref="X112" r:id="rId171" xr:uid="{00000000-0004-0000-0700-0000AA000000}"/>
    <hyperlink ref="AK112" r:id="rId172" xr:uid="{00000000-0004-0000-0700-0000AB000000}"/>
    <hyperlink ref="K113" r:id="rId173" xr:uid="{00000000-0004-0000-0700-0000AC000000}"/>
    <hyperlink ref="X113" r:id="rId174" xr:uid="{00000000-0004-0000-0700-0000AD000000}"/>
    <hyperlink ref="AK113" r:id="rId175" xr:uid="{00000000-0004-0000-0700-0000AE000000}"/>
    <hyperlink ref="K114" r:id="rId176" xr:uid="{00000000-0004-0000-0700-0000AF000000}"/>
    <hyperlink ref="X114" r:id="rId177" xr:uid="{00000000-0004-0000-0700-0000B0000000}"/>
    <hyperlink ref="AK114" r:id="rId178" xr:uid="{00000000-0004-0000-0700-0000B1000000}"/>
    <hyperlink ref="K115" r:id="rId179" xr:uid="{00000000-0004-0000-0700-0000B2000000}"/>
    <hyperlink ref="X115" r:id="rId180" xr:uid="{00000000-0004-0000-0700-0000B3000000}"/>
    <hyperlink ref="AK115" r:id="rId181" xr:uid="{00000000-0004-0000-0700-0000B4000000}"/>
    <hyperlink ref="K116" r:id="rId182" xr:uid="{00000000-0004-0000-0700-0000B5000000}"/>
    <hyperlink ref="X116" r:id="rId183" xr:uid="{00000000-0004-0000-0700-0000B6000000}"/>
    <hyperlink ref="AK116" r:id="rId184" xr:uid="{00000000-0004-0000-0700-0000B7000000}"/>
    <hyperlink ref="K117" r:id="rId185" xr:uid="{00000000-0004-0000-0700-0000B8000000}"/>
    <hyperlink ref="X117" r:id="rId186" xr:uid="{00000000-0004-0000-0700-0000B9000000}"/>
    <hyperlink ref="AK117" r:id="rId187" xr:uid="{00000000-0004-0000-0700-0000BA000000}"/>
    <hyperlink ref="K118" r:id="rId188" xr:uid="{00000000-0004-0000-0700-0000BB000000}"/>
    <hyperlink ref="X118" r:id="rId189" xr:uid="{00000000-0004-0000-0700-0000BC000000}"/>
    <hyperlink ref="AK118" r:id="rId190" xr:uid="{00000000-0004-0000-0700-0000BD000000}"/>
    <hyperlink ref="K119" r:id="rId191" xr:uid="{00000000-0004-0000-0700-0000BE000000}"/>
    <hyperlink ref="X119" r:id="rId192" xr:uid="{00000000-0004-0000-0700-0000BF000000}"/>
    <hyperlink ref="AK119" r:id="rId193" xr:uid="{00000000-0004-0000-0700-0000C0000000}"/>
    <hyperlink ref="K120" r:id="rId194" xr:uid="{00000000-0004-0000-0700-0000C1000000}"/>
    <hyperlink ref="X120" r:id="rId195" xr:uid="{00000000-0004-0000-0700-0000C2000000}"/>
    <hyperlink ref="AK120" r:id="rId196" xr:uid="{00000000-0004-0000-0700-0000C3000000}"/>
    <hyperlink ref="K123" r:id="rId197" xr:uid="{00000000-0004-0000-0700-0000C4000000}"/>
    <hyperlink ref="X123" r:id="rId198" xr:uid="{00000000-0004-0000-0700-0000C5000000}"/>
    <hyperlink ref="AK123" r:id="rId199" xr:uid="{00000000-0004-0000-0700-0000C6000000}"/>
    <hyperlink ref="K124" r:id="rId200" xr:uid="{00000000-0004-0000-0700-0000C7000000}"/>
    <hyperlink ref="X124" r:id="rId201" xr:uid="{00000000-0004-0000-0700-0000C8000000}"/>
    <hyperlink ref="AK124" r:id="rId202" xr:uid="{00000000-0004-0000-0700-0000C9000000}"/>
    <hyperlink ref="K125" r:id="rId203" xr:uid="{00000000-0004-0000-0700-0000CA000000}"/>
    <hyperlink ref="X125" r:id="rId204" xr:uid="{00000000-0004-0000-0700-0000CB000000}"/>
    <hyperlink ref="AK125" r:id="rId205" xr:uid="{00000000-0004-0000-0700-0000CC000000}"/>
    <hyperlink ref="K126" r:id="rId206" xr:uid="{00000000-0004-0000-0700-0000CD000000}"/>
    <hyperlink ref="X126" r:id="rId207" xr:uid="{00000000-0004-0000-0700-0000CE000000}"/>
    <hyperlink ref="AK126" r:id="rId208" xr:uid="{00000000-0004-0000-0700-0000CF000000}"/>
    <hyperlink ref="K127" r:id="rId209" xr:uid="{00000000-0004-0000-0700-0000D0000000}"/>
    <hyperlink ref="X127" r:id="rId210" xr:uid="{00000000-0004-0000-0700-0000D1000000}"/>
    <hyperlink ref="AK127" r:id="rId211" xr:uid="{00000000-0004-0000-0700-0000D2000000}"/>
    <hyperlink ref="K128" r:id="rId212" xr:uid="{00000000-0004-0000-0700-0000D3000000}"/>
    <hyperlink ref="X128" r:id="rId213" xr:uid="{00000000-0004-0000-0700-0000D4000000}"/>
    <hyperlink ref="AK128" r:id="rId214" xr:uid="{00000000-0004-0000-0700-0000D5000000}"/>
    <hyperlink ref="K129" r:id="rId215" xr:uid="{00000000-0004-0000-0700-0000D6000000}"/>
    <hyperlink ref="X129" r:id="rId216" xr:uid="{00000000-0004-0000-0700-0000D7000000}"/>
    <hyperlink ref="AK129" r:id="rId217" xr:uid="{00000000-0004-0000-0700-0000D8000000}"/>
    <hyperlink ref="K134" r:id="rId218" xr:uid="{00000000-0004-0000-0700-0000D9000000}"/>
    <hyperlink ref="X134" r:id="rId219" xr:uid="{00000000-0004-0000-0700-0000DA000000}"/>
    <hyperlink ref="AK134" r:id="rId220" xr:uid="{00000000-0004-0000-0700-0000DB000000}"/>
    <hyperlink ref="K135" r:id="rId221" xr:uid="{00000000-0004-0000-0700-0000DC000000}"/>
    <hyperlink ref="X135" r:id="rId222" xr:uid="{00000000-0004-0000-0700-0000DD000000}"/>
    <hyperlink ref="AK135" r:id="rId223" xr:uid="{00000000-0004-0000-0700-0000DE000000}"/>
    <hyperlink ref="K136" r:id="rId224" xr:uid="{00000000-0004-0000-0700-0000DF000000}"/>
    <hyperlink ref="X136" r:id="rId225" xr:uid="{00000000-0004-0000-0700-0000E0000000}"/>
    <hyperlink ref="AK136" r:id="rId226" xr:uid="{00000000-0004-0000-0700-0000E1000000}"/>
    <hyperlink ref="K137" r:id="rId227" xr:uid="{00000000-0004-0000-0700-0000E2000000}"/>
    <hyperlink ref="X137" r:id="rId228" xr:uid="{00000000-0004-0000-0700-0000E3000000}"/>
    <hyperlink ref="AK137" r:id="rId229" xr:uid="{00000000-0004-0000-0700-0000E4000000}"/>
    <hyperlink ref="X139" r:id="rId230" xr:uid="{00000000-0004-0000-0700-0000E5000000}"/>
    <hyperlink ref="K140" r:id="rId231" xr:uid="{00000000-0004-0000-0700-0000E6000000}"/>
    <hyperlink ref="X140" r:id="rId232" xr:uid="{00000000-0004-0000-0700-0000E7000000}"/>
    <hyperlink ref="K141" r:id="rId233" xr:uid="{00000000-0004-0000-0700-0000E8000000}"/>
    <hyperlink ref="X141" r:id="rId234" xr:uid="{00000000-0004-0000-0700-0000E9000000}"/>
    <hyperlink ref="AK141" r:id="rId235" xr:uid="{00000000-0004-0000-0700-0000EA000000}"/>
    <hyperlink ref="K142" r:id="rId236" xr:uid="{00000000-0004-0000-0700-0000EB000000}"/>
    <hyperlink ref="K143" r:id="rId237" xr:uid="{00000000-0004-0000-0700-0000EC000000}"/>
    <hyperlink ref="K144" r:id="rId238" xr:uid="{00000000-0004-0000-0700-0000ED000000}"/>
    <hyperlink ref="X144" r:id="rId239" xr:uid="{00000000-0004-0000-0700-0000EE000000}"/>
    <hyperlink ref="AK144" r:id="rId240" xr:uid="{00000000-0004-0000-0700-0000EF000000}"/>
    <hyperlink ref="K145" r:id="rId241" xr:uid="{00000000-0004-0000-0700-0000F0000000}"/>
    <hyperlink ref="X145" r:id="rId242" xr:uid="{00000000-0004-0000-0700-0000F1000000}"/>
    <hyperlink ref="AK145" r:id="rId243" xr:uid="{00000000-0004-0000-0700-0000F2000000}"/>
    <hyperlink ref="K146" r:id="rId244" xr:uid="{00000000-0004-0000-0700-0000F3000000}"/>
    <hyperlink ref="X146" r:id="rId245" xr:uid="{00000000-0004-0000-0700-0000F4000000}"/>
    <hyperlink ref="AK146" r:id="rId246" xr:uid="{00000000-0004-0000-0700-0000F5000000}"/>
    <hyperlink ref="K147" r:id="rId247" xr:uid="{00000000-0004-0000-0700-0000F6000000}"/>
    <hyperlink ref="X147" r:id="rId248" xr:uid="{00000000-0004-0000-0700-0000F7000000}"/>
    <hyperlink ref="AK147" r:id="rId249" xr:uid="{00000000-0004-0000-0700-0000F8000000}"/>
    <hyperlink ref="K148" r:id="rId250" xr:uid="{00000000-0004-0000-0700-0000F9000000}"/>
    <hyperlink ref="X148" r:id="rId251" xr:uid="{00000000-0004-0000-0700-0000FA000000}"/>
    <hyperlink ref="AK148" r:id="rId252" xr:uid="{00000000-0004-0000-0700-0000FB000000}"/>
    <hyperlink ref="K149" r:id="rId253" xr:uid="{00000000-0004-0000-0700-0000FC000000}"/>
    <hyperlink ref="X149" r:id="rId254" xr:uid="{00000000-0004-0000-0700-0000FD000000}"/>
    <hyperlink ref="AK149" r:id="rId255" xr:uid="{00000000-0004-0000-0700-0000FE000000}"/>
    <hyperlink ref="K150" r:id="rId256" xr:uid="{00000000-0004-0000-0700-0000FF000000}"/>
    <hyperlink ref="X150" r:id="rId257" xr:uid="{00000000-0004-0000-0700-000000010000}"/>
    <hyperlink ref="AK150" r:id="rId258" xr:uid="{00000000-0004-0000-0700-000001010000}"/>
    <hyperlink ref="K151" r:id="rId259" xr:uid="{00000000-0004-0000-0700-000002010000}"/>
    <hyperlink ref="X151" r:id="rId260" xr:uid="{00000000-0004-0000-0700-000003010000}"/>
    <hyperlink ref="AK151" r:id="rId261" xr:uid="{00000000-0004-0000-0700-000004010000}"/>
    <hyperlink ref="K152" r:id="rId262" xr:uid="{00000000-0004-0000-0700-000005010000}"/>
    <hyperlink ref="X152" r:id="rId263" xr:uid="{00000000-0004-0000-0700-000006010000}"/>
    <hyperlink ref="AK152" r:id="rId264" xr:uid="{00000000-0004-0000-0700-000007010000}"/>
    <hyperlink ref="K153" r:id="rId265" xr:uid="{00000000-0004-0000-0700-000008010000}"/>
    <hyperlink ref="X153" r:id="rId266" xr:uid="{00000000-0004-0000-0700-000009010000}"/>
    <hyperlink ref="AK153" r:id="rId267" xr:uid="{00000000-0004-0000-0700-00000A010000}"/>
    <hyperlink ref="K156" r:id="rId268" xr:uid="{00000000-0004-0000-0700-00000B010000}"/>
    <hyperlink ref="X156" r:id="rId269" xr:uid="{00000000-0004-0000-0700-00000C010000}"/>
    <hyperlink ref="AK156" r:id="rId270" xr:uid="{00000000-0004-0000-0700-00000D010000}"/>
    <hyperlink ref="K157" r:id="rId271" xr:uid="{00000000-0004-0000-0700-00000E010000}"/>
    <hyperlink ref="X157" r:id="rId272" xr:uid="{00000000-0004-0000-0700-00000F010000}"/>
    <hyperlink ref="AK157" r:id="rId273" xr:uid="{00000000-0004-0000-0700-000010010000}"/>
    <hyperlink ref="K158" r:id="rId274" xr:uid="{00000000-0004-0000-0700-000011010000}"/>
    <hyperlink ref="X158" r:id="rId275" xr:uid="{00000000-0004-0000-0700-000012010000}"/>
    <hyperlink ref="AK158" r:id="rId276" xr:uid="{00000000-0004-0000-0700-000013010000}"/>
    <hyperlink ref="K160" r:id="rId277" xr:uid="{00000000-0004-0000-0700-000014010000}"/>
    <hyperlink ref="X160" r:id="rId278" xr:uid="{00000000-0004-0000-0700-000015010000}"/>
    <hyperlink ref="AK160" r:id="rId279" xr:uid="{00000000-0004-0000-0700-000016010000}"/>
    <hyperlink ref="K161" r:id="rId280" xr:uid="{00000000-0004-0000-0700-000017010000}"/>
    <hyperlink ref="X161" r:id="rId281" xr:uid="{00000000-0004-0000-0700-000018010000}"/>
    <hyperlink ref="AK161" r:id="rId282" xr:uid="{00000000-0004-0000-0700-000019010000}"/>
    <hyperlink ref="K163" r:id="rId283" xr:uid="{00000000-0004-0000-0700-00001A010000}"/>
    <hyperlink ref="X163" r:id="rId284" xr:uid="{00000000-0004-0000-0700-00001B010000}"/>
    <hyperlink ref="K166" r:id="rId285" xr:uid="{00000000-0004-0000-0700-00001C010000}"/>
    <hyperlink ref="X166" r:id="rId286" xr:uid="{00000000-0004-0000-0700-00001D010000}"/>
    <hyperlink ref="AK166" r:id="rId287" xr:uid="{00000000-0004-0000-0700-00001E010000}"/>
    <hyperlink ref="K167" r:id="rId288" xr:uid="{00000000-0004-0000-0700-00001F010000}"/>
    <hyperlink ref="X167" r:id="rId289" xr:uid="{00000000-0004-0000-0700-000020010000}"/>
    <hyperlink ref="AK167" r:id="rId290" xr:uid="{00000000-0004-0000-0700-000021010000}"/>
    <hyperlink ref="K168" r:id="rId291" xr:uid="{00000000-0004-0000-0700-000022010000}"/>
    <hyperlink ref="X168" r:id="rId292" xr:uid="{00000000-0004-0000-0700-000023010000}"/>
    <hyperlink ref="AK168" r:id="rId293" xr:uid="{00000000-0004-0000-0700-000024010000}"/>
    <hyperlink ref="K170" r:id="rId294" xr:uid="{00000000-0004-0000-0700-000025010000}"/>
    <hyperlink ref="X170" r:id="rId295" xr:uid="{00000000-0004-0000-0700-000026010000}"/>
    <hyperlink ref="AK170" r:id="rId296" xr:uid="{00000000-0004-0000-0700-000027010000}"/>
    <hyperlink ref="K171" r:id="rId297" xr:uid="{00000000-0004-0000-0700-000028010000}"/>
    <hyperlink ref="X171" r:id="rId298" xr:uid="{00000000-0004-0000-0700-000029010000}"/>
    <hyperlink ref="AK171" r:id="rId299" xr:uid="{00000000-0004-0000-0700-00002A010000}"/>
    <hyperlink ref="K172" r:id="rId300" xr:uid="{00000000-0004-0000-0700-00002B010000}"/>
    <hyperlink ref="X172" r:id="rId301" xr:uid="{00000000-0004-0000-0700-00002C010000}"/>
    <hyperlink ref="AK172" r:id="rId302" xr:uid="{00000000-0004-0000-0700-00002D010000}"/>
    <hyperlink ref="K173" r:id="rId303" xr:uid="{00000000-0004-0000-0700-00002E010000}"/>
    <hyperlink ref="X173" r:id="rId304" xr:uid="{00000000-0004-0000-0700-00002F010000}"/>
    <hyperlink ref="AK173" r:id="rId305" xr:uid="{00000000-0004-0000-0700-000030010000}"/>
    <hyperlink ref="K174" r:id="rId306" xr:uid="{00000000-0004-0000-0700-000031010000}"/>
    <hyperlink ref="X174" r:id="rId307" xr:uid="{00000000-0004-0000-0700-000032010000}"/>
    <hyperlink ref="AK174" r:id="rId308" xr:uid="{00000000-0004-0000-0700-000033010000}"/>
    <hyperlink ref="K175" r:id="rId309" xr:uid="{00000000-0004-0000-0700-000034010000}"/>
    <hyperlink ref="X175" r:id="rId310" xr:uid="{00000000-0004-0000-0700-000035010000}"/>
    <hyperlink ref="AK175" r:id="rId311" xr:uid="{00000000-0004-0000-0700-000036010000}"/>
    <hyperlink ref="K176" r:id="rId312" xr:uid="{00000000-0004-0000-0700-000037010000}"/>
    <hyperlink ref="X176" r:id="rId313" xr:uid="{00000000-0004-0000-0700-000038010000}"/>
    <hyperlink ref="AK176" r:id="rId314" xr:uid="{00000000-0004-0000-0700-000039010000}"/>
    <hyperlink ref="K177" r:id="rId315" xr:uid="{00000000-0004-0000-0700-00003A010000}"/>
    <hyperlink ref="X177" r:id="rId316" xr:uid="{00000000-0004-0000-0700-00003B010000}"/>
    <hyperlink ref="AK177" r:id="rId317" xr:uid="{00000000-0004-0000-0700-00003C010000}"/>
    <hyperlink ref="K178" r:id="rId318" xr:uid="{00000000-0004-0000-0700-00003D010000}"/>
    <hyperlink ref="X178" r:id="rId319" xr:uid="{00000000-0004-0000-0700-00003E010000}"/>
    <hyperlink ref="AK178" r:id="rId320" xr:uid="{00000000-0004-0000-0700-00003F010000}"/>
    <hyperlink ref="K179" r:id="rId321" xr:uid="{00000000-0004-0000-0700-000040010000}"/>
    <hyperlink ref="X179" r:id="rId322" xr:uid="{00000000-0004-0000-0700-000041010000}"/>
    <hyperlink ref="AK179" r:id="rId323" xr:uid="{00000000-0004-0000-0700-000042010000}"/>
    <hyperlink ref="K180" r:id="rId324" xr:uid="{00000000-0004-0000-0700-000043010000}"/>
    <hyperlink ref="X180" r:id="rId325" xr:uid="{00000000-0004-0000-0700-000044010000}"/>
    <hyperlink ref="AK180" r:id="rId326" xr:uid="{00000000-0004-0000-0700-000045010000}"/>
    <hyperlink ref="K181" r:id="rId327" xr:uid="{00000000-0004-0000-0700-000046010000}"/>
    <hyperlink ref="X181" r:id="rId328" xr:uid="{00000000-0004-0000-0700-000047010000}"/>
    <hyperlink ref="AK181" r:id="rId329" xr:uid="{00000000-0004-0000-0700-000048010000}"/>
    <hyperlink ref="K182" r:id="rId330" xr:uid="{00000000-0004-0000-0700-000049010000}"/>
    <hyperlink ref="X182" r:id="rId331" xr:uid="{00000000-0004-0000-0700-00004A010000}"/>
    <hyperlink ref="AK182" r:id="rId332" xr:uid="{00000000-0004-0000-0700-00004B010000}"/>
    <hyperlink ref="K183" r:id="rId333" xr:uid="{00000000-0004-0000-0700-00004C010000}"/>
    <hyperlink ref="X183" r:id="rId334" xr:uid="{00000000-0004-0000-0700-00004D010000}"/>
    <hyperlink ref="AK183" r:id="rId335" xr:uid="{00000000-0004-0000-0700-00004E010000}"/>
    <hyperlink ref="X184" r:id="rId336" xr:uid="{00000000-0004-0000-0700-00004F010000}"/>
    <hyperlink ref="AK184" r:id="rId337" xr:uid="{00000000-0004-0000-0700-000050010000}"/>
    <hyperlink ref="X185" r:id="rId338" xr:uid="{00000000-0004-0000-0700-000051010000}"/>
    <hyperlink ref="X187" r:id="rId339" xr:uid="{00000000-0004-0000-0700-000052010000}"/>
    <hyperlink ref="AK187" r:id="rId340" xr:uid="{00000000-0004-0000-0700-000053010000}"/>
    <hyperlink ref="X188" r:id="rId341" xr:uid="{00000000-0004-0000-0700-000054010000}"/>
    <hyperlink ref="Z188" r:id="rId342" xr:uid="{00000000-0004-0000-0700-000055010000}"/>
    <hyperlink ref="X189" r:id="rId343" xr:uid="{00000000-0004-0000-0700-000056010000}"/>
    <hyperlink ref="Z189" r:id="rId344" xr:uid="{00000000-0004-0000-0700-000057010000}"/>
    <hyperlink ref="K190" r:id="rId345" xr:uid="{00000000-0004-0000-0700-000058010000}"/>
    <hyperlink ref="X190" r:id="rId346" xr:uid="{00000000-0004-0000-0700-000059010000}"/>
    <hyperlink ref="AK190" r:id="rId347" xr:uid="{00000000-0004-0000-0700-00005A010000}"/>
    <hyperlink ref="K191" r:id="rId348" xr:uid="{00000000-0004-0000-0700-00005B010000}"/>
    <hyperlink ref="X191" r:id="rId349" xr:uid="{00000000-0004-0000-0700-00005C010000}"/>
    <hyperlink ref="AK191" r:id="rId350" xr:uid="{00000000-0004-0000-0700-00005D010000}"/>
    <hyperlink ref="K192" r:id="rId351" xr:uid="{00000000-0004-0000-0700-00005E010000}"/>
    <hyperlink ref="X192" r:id="rId352" xr:uid="{00000000-0004-0000-0700-00005F010000}"/>
    <hyperlink ref="AK192" r:id="rId353" xr:uid="{00000000-0004-0000-0700-000060010000}"/>
    <hyperlink ref="AK194" r:id="rId354" xr:uid="{00000000-0004-0000-0700-000061010000}"/>
    <hyperlink ref="K195" r:id="rId355" xr:uid="{00000000-0004-0000-0700-000062010000}"/>
    <hyperlink ref="X195" r:id="rId356" xr:uid="{00000000-0004-0000-0700-000063010000}"/>
    <hyperlink ref="AK195" r:id="rId357" xr:uid="{00000000-0004-0000-0700-000064010000}"/>
    <hyperlink ref="K196" r:id="rId358" xr:uid="{00000000-0004-0000-0700-000065010000}"/>
    <hyperlink ref="X196" r:id="rId359" xr:uid="{00000000-0004-0000-0700-000066010000}"/>
    <hyperlink ref="AK196" r:id="rId360" xr:uid="{00000000-0004-0000-0700-000067010000}"/>
    <hyperlink ref="K199" r:id="rId361" xr:uid="{00000000-0004-0000-0700-000068010000}"/>
    <hyperlink ref="X199" r:id="rId362" xr:uid="{00000000-0004-0000-0700-000069010000}"/>
    <hyperlink ref="AK199" r:id="rId363" xr:uid="{00000000-0004-0000-0700-00006A010000}"/>
    <hyperlink ref="K200" r:id="rId364" xr:uid="{00000000-0004-0000-0700-00006B010000}"/>
    <hyperlink ref="X200" r:id="rId365" xr:uid="{00000000-0004-0000-0700-00006C010000}"/>
    <hyperlink ref="AK200" r:id="rId366" xr:uid="{00000000-0004-0000-0700-00006D010000}"/>
    <hyperlink ref="K201" r:id="rId367" xr:uid="{00000000-0004-0000-0700-00006E010000}"/>
    <hyperlink ref="X201" r:id="rId368" xr:uid="{00000000-0004-0000-0700-00006F010000}"/>
    <hyperlink ref="K202" r:id="rId369" xr:uid="{00000000-0004-0000-0700-000070010000}"/>
    <hyperlink ref="X202" r:id="rId370" xr:uid="{00000000-0004-0000-0700-000071010000}"/>
    <hyperlink ref="AK202" r:id="rId371" xr:uid="{00000000-0004-0000-0700-000072010000}"/>
    <hyperlink ref="K203" r:id="rId372" xr:uid="{00000000-0004-0000-0700-000073010000}"/>
    <hyperlink ref="X203" r:id="rId373" xr:uid="{00000000-0004-0000-0700-000074010000}"/>
    <hyperlink ref="AK203" r:id="rId374" xr:uid="{00000000-0004-0000-0700-000075010000}"/>
    <hyperlink ref="K204" r:id="rId375" xr:uid="{00000000-0004-0000-0700-000076010000}"/>
    <hyperlink ref="X204" r:id="rId376" xr:uid="{00000000-0004-0000-0700-000077010000}"/>
    <hyperlink ref="AK204" r:id="rId377" xr:uid="{00000000-0004-0000-0700-000078010000}"/>
    <hyperlink ref="K205" r:id="rId378" xr:uid="{00000000-0004-0000-0700-000079010000}"/>
    <hyperlink ref="X205" r:id="rId379" xr:uid="{00000000-0004-0000-0700-00007A010000}"/>
    <hyperlink ref="K206" r:id="rId380" xr:uid="{00000000-0004-0000-0700-00007B010000}"/>
    <hyperlink ref="X206" r:id="rId381" xr:uid="{00000000-0004-0000-0700-00007C010000}"/>
    <hyperlink ref="K207" r:id="rId382" xr:uid="{00000000-0004-0000-0700-00007D010000}"/>
    <hyperlink ref="X207" r:id="rId383" xr:uid="{00000000-0004-0000-0700-00007E010000}"/>
    <hyperlink ref="K208" r:id="rId384" xr:uid="{00000000-0004-0000-0700-00007F010000}"/>
    <hyperlink ref="X208" r:id="rId385" xr:uid="{00000000-0004-0000-0700-000080010000}"/>
    <hyperlink ref="K209" r:id="rId386" xr:uid="{00000000-0004-0000-0700-000081010000}"/>
    <hyperlink ref="X209" r:id="rId387" xr:uid="{00000000-0004-0000-0700-000082010000}"/>
    <hyperlink ref="K210" r:id="rId388" xr:uid="{00000000-0004-0000-0700-000083010000}"/>
    <hyperlink ref="X210" r:id="rId389" xr:uid="{00000000-0004-0000-0700-000084010000}"/>
    <hyperlink ref="K211" r:id="rId390" xr:uid="{00000000-0004-0000-0700-000085010000}"/>
    <hyperlink ref="X211" r:id="rId391" xr:uid="{00000000-0004-0000-0700-000086010000}"/>
    <hyperlink ref="K212" r:id="rId392" xr:uid="{00000000-0004-0000-0700-000087010000}"/>
    <hyperlink ref="X212" r:id="rId393" xr:uid="{00000000-0004-0000-0700-000088010000}"/>
    <hyperlink ref="K218" r:id="rId394" xr:uid="{00000000-0004-0000-0700-000089010000}"/>
    <hyperlink ref="X218" r:id="rId395" xr:uid="{00000000-0004-0000-0700-00008A010000}"/>
    <hyperlink ref="AK218" r:id="rId396" xr:uid="{00000000-0004-0000-0700-00008B010000}"/>
    <hyperlink ref="K219" r:id="rId397" xr:uid="{00000000-0004-0000-0700-00008C010000}"/>
    <hyperlink ref="X219" r:id="rId398" xr:uid="{00000000-0004-0000-0700-00008D010000}"/>
    <hyperlink ref="AK219" r:id="rId399" xr:uid="{00000000-0004-0000-0700-00008E010000}"/>
    <hyperlink ref="K220" r:id="rId400" xr:uid="{00000000-0004-0000-0700-00008F010000}"/>
    <hyperlink ref="X220" r:id="rId401" xr:uid="{00000000-0004-0000-0700-000090010000}"/>
    <hyperlink ref="K221" r:id="rId402" xr:uid="{00000000-0004-0000-0700-000091010000}"/>
    <hyperlink ref="X221" r:id="rId403" xr:uid="{00000000-0004-0000-0700-000092010000}"/>
    <hyperlink ref="K222" r:id="rId404" xr:uid="{00000000-0004-0000-0700-000093010000}"/>
    <hyperlink ref="X222" r:id="rId405" xr:uid="{00000000-0004-0000-0700-000094010000}"/>
    <hyperlink ref="K223" r:id="rId406" xr:uid="{00000000-0004-0000-0700-000095010000}"/>
    <hyperlink ref="X223" r:id="rId407" xr:uid="{00000000-0004-0000-0700-000096010000}"/>
    <hyperlink ref="AK223" r:id="rId408" xr:uid="{00000000-0004-0000-0700-000097010000}"/>
    <hyperlink ref="K224" r:id="rId409" xr:uid="{00000000-0004-0000-0700-000098010000}"/>
    <hyperlink ref="X224" r:id="rId410" xr:uid="{00000000-0004-0000-0700-000099010000}"/>
    <hyperlink ref="K225" r:id="rId411" xr:uid="{00000000-0004-0000-0700-00009A010000}"/>
    <hyperlink ref="X225" r:id="rId412" xr:uid="{00000000-0004-0000-0700-00009B010000}"/>
    <hyperlink ref="K226" r:id="rId413" xr:uid="{00000000-0004-0000-0700-00009C010000}"/>
    <hyperlink ref="X226" r:id="rId414" xr:uid="{00000000-0004-0000-0700-00009D010000}"/>
    <hyperlink ref="AK226" r:id="rId415" xr:uid="{00000000-0004-0000-0700-00009E010000}"/>
    <hyperlink ref="K227" r:id="rId416" xr:uid="{00000000-0004-0000-0700-00009F010000}"/>
    <hyperlink ref="X227" r:id="rId417" xr:uid="{00000000-0004-0000-0700-0000A0010000}"/>
    <hyperlink ref="AK227" r:id="rId418" xr:uid="{00000000-0004-0000-0700-0000A1010000}"/>
    <hyperlink ref="K228" r:id="rId419" xr:uid="{00000000-0004-0000-0700-0000A2010000}"/>
    <hyperlink ref="X228" r:id="rId420" xr:uid="{00000000-0004-0000-0700-0000A3010000}"/>
    <hyperlink ref="AK228" r:id="rId421" xr:uid="{00000000-0004-0000-0700-0000A4010000}"/>
    <hyperlink ref="K229" r:id="rId422" xr:uid="{00000000-0004-0000-0700-0000A5010000}"/>
    <hyperlink ref="X229" r:id="rId423" xr:uid="{00000000-0004-0000-0700-0000A6010000}"/>
    <hyperlink ref="K230" r:id="rId424" xr:uid="{00000000-0004-0000-0700-0000A7010000}"/>
    <hyperlink ref="X230" r:id="rId425" xr:uid="{00000000-0004-0000-0700-0000A8010000}"/>
    <hyperlink ref="AK230" r:id="rId426" xr:uid="{00000000-0004-0000-0700-0000A9010000}"/>
    <hyperlink ref="K231" r:id="rId427" xr:uid="{00000000-0004-0000-0700-0000AA010000}"/>
    <hyperlink ref="X231" r:id="rId428" xr:uid="{00000000-0004-0000-0700-0000AB010000}"/>
    <hyperlink ref="AK231" r:id="rId429" xr:uid="{00000000-0004-0000-0700-0000AC010000}"/>
    <hyperlink ref="K233" r:id="rId430" xr:uid="{00000000-0004-0000-0700-0000AD010000}"/>
    <hyperlink ref="X233" r:id="rId431" xr:uid="{00000000-0004-0000-0700-0000AE010000}"/>
    <hyperlink ref="AK233" r:id="rId432" xr:uid="{00000000-0004-0000-0700-0000AF010000}"/>
    <hyperlink ref="K237" r:id="rId433" xr:uid="{00000000-0004-0000-0700-0000B0010000}"/>
    <hyperlink ref="X237" r:id="rId434" xr:uid="{00000000-0004-0000-0700-0000B1010000}"/>
    <hyperlink ref="AK237" r:id="rId435" xr:uid="{00000000-0004-0000-0700-0000B2010000}"/>
    <hyperlink ref="K238" r:id="rId436" xr:uid="{00000000-0004-0000-0700-0000B3010000}"/>
    <hyperlink ref="X238" r:id="rId437" xr:uid="{00000000-0004-0000-0700-0000B4010000}"/>
    <hyperlink ref="AK238" r:id="rId438" xr:uid="{00000000-0004-0000-0700-0000B5010000}"/>
    <hyperlink ref="K239" r:id="rId439" xr:uid="{00000000-0004-0000-0700-0000B6010000}"/>
    <hyperlink ref="X239" r:id="rId440" xr:uid="{00000000-0004-0000-0700-0000B7010000}"/>
    <hyperlink ref="AK239" r:id="rId441" xr:uid="{00000000-0004-0000-0700-0000B8010000}"/>
    <hyperlink ref="K240" r:id="rId442" xr:uid="{00000000-0004-0000-0700-0000B9010000}"/>
    <hyperlink ref="X240" r:id="rId443" xr:uid="{00000000-0004-0000-0700-0000BA010000}"/>
    <hyperlink ref="AK240" r:id="rId444" xr:uid="{00000000-0004-0000-0700-0000BB010000}"/>
    <hyperlink ref="K241" r:id="rId445" xr:uid="{00000000-0004-0000-0700-0000BC010000}"/>
    <hyperlink ref="X241" r:id="rId446" xr:uid="{00000000-0004-0000-0700-0000BD010000}"/>
    <hyperlink ref="K242" r:id="rId447" xr:uid="{00000000-0004-0000-0700-0000BE010000}"/>
    <hyperlink ref="X242" r:id="rId448" xr:uid="{00000000-0004-0000-0700-0000BF010000}"/>
    <hyperlink ref="AK242" r:id="rId449" xr:uid="{00000000-0004-0000-0700-0000C0010000}"/>
    <hyperlink ref="K243" r:id="rId450" xr:uid="{00000000-0004-0000-0700-0000C1010000}"/>
    <hyperlink ref="X243" r:id="rId451" xr:uid="{00000000-0004-0000-0700-0000C2010000}"/>
    <hyperlink ref="AK243" r:id="rId452" xr:uid="{00000000-0004-0000-0700-0000C3010000}"/>
    <hyperlink ref="K244" r:id="rId453" xr:uid="{00000000-0004-0000-0700-0000C4010000}"/>
    <hyperlink ref="X244" r:id="rId454" xr:uid="{00000000-0004-0000-0700-0000C5010000}"/>
    <hyperlink ref="AK244" r:id="rId455" xr:uid="{00000000-0004-0000-0700-0000C6010000}"/>
    <hyperlink ref="K245" r:id="rId456" xr:uid="{00000000-0004-0000-0700-0000C7010000}"/>
    <hyperlink ref="X245" r:id="rId457" xr:uid="{00000000-0004-0000-0700-0000C8010000}"/>
    <hyperlink ref="AK245" r:id="rId458" xr:uid="{00000000-0004-0000-0700-0000C9010000}"/>
    <hyperlink ref="K246" r:id="rId459" xr:uid="{00000000-0004-0000-0700-0000CA010000}"/>
    <hyperlink ref="X246" r:id="rId460" xr:uid="{00000000-0004-0000-0700-0000CB010000}"/>
    <hyperlink ref="K247" r:id="rId461" xr:uid="{00000000-0004-0000-0700-0000CC010000}"/>
    <hyperlink ref="X247" r:id="rId462" xr:uid="{00000000-0004-0000-0700-0000CD010000}"/>
    <hyperlink ref="AK247" r:id="rId463" xr:uid="{00000000-0004-0000-0700-0000CE010000}"/>
    <hyperlink ref="K248" r:id="rId464" xr:uid="{00000000-0004-0000-0700-0000CF010000}"/>
    <hyperlink ref="X248" r:id="rId465" xr:uid="{00000000-0004-0000-0700-0000D0010000}"/>
    <hyperlink ref="AK248" r:id="rId466" xr:uid="{00000000-0004-0000-0700-0000D1010000}"/>
    <hyperlink ref="K250" r:id="rId467" display="https://gobiernobogota-my.sharepoint.com/:b:/g/personal/planeacion_suba_gobiernobogota_gov_co/IQADC9knk6nNRKJljIOhwk2qAdShpXZmNMX3rXF25hMw_UA?e=dsCZMM" xr:uid="{8B1B92A8-E413-430D-8170-4A68A9C0F962}"/>
    <hyperlink ref="X250" r:id="rId468" display="https://gobiernobogota-my.sharepoint.com/:b:/g/personal/planeacion_suba_gobiernobogota_gov_co/IQAQwRzvwyOGRoadzOfEJbYbAZHcIaYsTNJAlIt0BpMGmxY?e=uCEeS6" xr:uid="{6909E1E5-4B91-4184-AA52-52855159946A}"/>
    <hyperlink ref="AK250" r:id="rId469" display="https://gobiernobogota-my.sharepoint.com/:b:/g/personal/planeacion_suba_gobiernobogota_gov_co/IQAYsvjmE-AOQ4pwjoXpaL49AUltfRQrOPjJ_oiGsXxWs8c?e=seZ5NG" xr:uid="{007248B9-9F77-4E9F-8B5C-B79FE8F42C4C}"/>
    <hyperlink ref="K251" r:id="rId470" display="https://gobiernobogota-my.sharepoint.com/:b:/g/personal/planeacion_suba_gobiernobogota_gov_co/IQD2gR1TRoxhT6Vy3rrV9ZlTAYIvKAQ-mngGWq3c69ZyyKU?e=wvMSrf" xr:uid="{652D8739-28E3-49D8-8653-5984F748E536}"/>
    <hyperlink ref="X251" r:id="rId471" display="https://gobiernobogota-my.sharepoint.com/:b:/g/personal/planeacion_suba_gobiernobogota_gov_co/IQAsR1WYnRwzSL9U4pmW7SKrAflHwR_YiLW-dSI9sbx2-eo?e=h3Euzr" xr:uid="{87AF42C5-D9C4-4A2A-9DF3-B296C021DA07}"/>
    <hyperlink ref="AK251" r:id="rId472" display="https://gobiernobogota-my.sharepoint.com/:b:/g/personal/planeacion_suba_gobiernobogota_gov_co/IQAIOSWAEr44R7CaaJbG2hwUAcAq6myfQKaHTW1BXvNLUWg?e=fOahLt" xr:uid="{33012F31-B967-47E8-A77A-EFFF61AA8B66}"/>
    <hyperlink ref="AM251" r:id="rId473" display="https://gobiernobogota-my.sharepoint.com/:b:/g/personal/planeacion_suba_gobiernobogota_gov_co/IQAIOSWAEr44R7CaaJbG2hwUAcAq6myfQKaHTW1BXvNLUWg?e=fOahLt" xr:uid="{1835699B-F622-4792-B73B-4F815E475CCB}"/>
    <hyperlink ref="K252" r:id="rId474" display="https://gobiernobogota-my.sharepoint.com/:b:/g/personal/planeacion_suba_gobiernobogota_gov_co/IQAK8oPZv71bRqa8Zu9ueTZAAfJmd2xNleHIP0ce43niqE8?e=J6yOLz" xr:uid="{E4F33FF4-9060-4125-A342-1D7432EFF00B}"/>
    <hyperlink ref="X252" r:id="rId475" display="https://gobiernobogota-my.sharepoint.com/:b:/g/personal/planeacion_suba_gobiernobogota_gov_co/IQDqOKpgrYrGSq3GJFQIEw_-AcVM9Vpo3yWJCmW65rG5C7Q?e=fioPWL" xr:uid="{EE1AA976-AB00-4139-BCD0-A3BC85F0DBF9}"/>
    <hyperlink ref="AK252" r:id="rId476" display="https://gobiernobogota-my.sharepoint.com/:b:/g/personal/planeacion_suba_gobiernobogota_gov_co/IQAvZRusPdgxQ66KgCt3CaPRAVNajSCq8jsvFpho0W8_NIA?e=SfHiGh" xr:uid="{DE68A8D6-BF48-4814-AA7A-D02515BE367F}"/>
    <hyperlink ref="K253" r:id="rId477" display="https://gobiernobogota-my.sharepoint.com/:b:/g/personal/planeacion_suba_gobiernobogota_gov_co/IQCnPCvk4UozSJT53GrszZJUAXbGAmL2u6g248LkIL5QZdw?e=pwH4mz" xr:uid="{F191FF2E-3B71-4FB2-BD98-BD3AF0D5B2B9}"/>
    <hyperlink ref="X253" r:id="rId478" display="https://gobiernobogota-my.sharepoint.com/:b:/g/personal/planeacion_suba_gobiernobogota_gov_co/IQCwOUCQp32eRoF2CBBRKptSATAzTBFHeKSI2QO_Vam7bo8?e=BxYm4W" xr:uid="{62C6D156-0D05-46EA-9025-F7DE38476F88}"/>
    <hyperlink ref="AK253" r:id="rId479" display="https://gobiernobogota-my.sharepoint.com/:b:/g/personal/planeacion_suba_gobiernobogota_gov_co/IQDMP1N6Ven0RIRjMU0RJ9uMAbzK4cgqKc_nx8nCwp8WBrE?e=Ey9H0H" xr:uid="{DD4CB58F-D6EE-4157-9A5A-B23181079018}"/>
    <hyperlink ref="K254" r:id="rId480" display="https://gobiernobogota-my.sharepoint.com/:b:/g/personal/planeacion_suba_gobiernobogota_gov_co/IQB8dQ5BbzvPSbdN-EFwKvQRARiu7z_crciWRcbVnovpBQs?e=ozcU1D" xr:uid="{5998E05C-7C89-4EAA-93CE-7B470AA7C3AB}"/>
    <hyperlink ref="X254" r:id="rId481" display="https://gobiernobogota-my.sharepoint.com/:b:/g/personal/planeacion_suba_gobiernobogota_gov_co/IQChthCu6jRQRKiBHfkua-WjAe9OIeoe0qNoAAK9KUpQTvI?e=NgDqCZ" xr:uid="{62948C5B-5C84-4E06-8828-21E4452E5C01}"/>
    <hyperlink ref="AK254" r:id="rId482" display="https://gobiernobogota-my.sharepoint.com/:b:/g/personal/planeacion_suba_gobiernobogota_gov_co/IQChthCu6jRQRKiBHfkua-WjAe9OIeoe0qNoAAK9KUpQTvI?e=g8HYBd" xr:uid="{D8AA6DC6-223E-4E83-8448-B8FCC67CAF1B}"/>
    <hyperlink ref="K255" r:id="rId483" display="https://gobiernobogota-my.sharepoint.com/:b:/g/personal/planeacion_suba_gobiernobogota_gov_co/IQBETRqpbhc4RZuUmHjujar5AUfA7tVc8NTpWqjg0QA_nCc?e=wpZy9V" xr:uid="{EF5F7057-9297-44B2-9074-B62AC3D91630}"/>
    <hyperlink ref="X255" r:id="rId484" display="https://gobiernobogota-my.sharepoint.com/:b:/g/personal/planeacion_suba_gobiernobogota_gov_co/IQCX5R01gnI3QLPk49hsK0lpAXaK-OSVtPGApsy1wuJ-x1s?e=voRrXy" xr:uid="{1C70CE0C-8192-4015-BDD5-4A86A22A1D78}"/>
    <hyperlink ref="AK255" r:id="rId485" display="https://gobiernobogota-my.sharepoint.com/:b:/g/personal/planeacion_suba_gobiernobogota_gov_co/IQCN_YdvMHbBSKnagGd96QACAehjck5xNvOtIUR_doWO5QM?e=YrDZiW" xr:uid="{606C0EF2-68E8-45CB-88D7-681B520D5CD7}"/>
    <hyperlink ref="K256" r:id="rId486" display="https://gobiernobogota-my.sharepoint.com/:b:/g/personal/planeacion_suba_gobiernobogota_gov_co/IQANIUxPeDAWS7jGZpxIy4MyAdQ6enYCzA5hc3_xj6rLPuw?e=Y9fS59" xr:uid="{04E7BCC5-4EF9-43E9-A3FE-B0CC66E909E5}"/>
    <hyperlink ref="X256" r:id="rId487" display="https://gobiernobogota-my.sharepoint.com/:b:/g/personal/planeacion_suba_gobiernobogota_gov_co/IQDCZsK7byDkTZZbKdQ2b8eTAY4obpY2KlROIe_e2S9vjGw?e=py4AkJ" xr:uid="{FFE5DAC7-7D8D-409E-A9A7-1227B861DC6A}"/>
    <hyperlink ref="AK256" r:id="rId488" display="https://gobiernobogota-my.sharepoint.com/:b:/g/personal/planeacion_suba_gobiernobogota_gov_co/IQAZPGbjAnv5T7Mb6goCZukbAT7nvvtvbwPLxe0NhW69IkA?e=nPTzOY" xr:uid="{450AEB0C-B35E-401A-BF42-5ACDF668A493}"/>
    <hyperlink ref="K257" r:id="rId489" display="https://gobiernobogota-my.sharepoint.com/:b:/g/personal/planeacion_suba_gobiernobogota_gov_co/IQCT5I6DFD24Spd8CBN8anE_AX-Yyf7grP-NfjkUsq5C-S0?e=BnMnx7" xr:uid="{5D91A987-1847-4F0B-B673-1269584D2C22}"/>
    <hyperlink ref="X257" r:id="rId490" display="https://gobiernobogota-my.sharepoint.com/:b:/g/personal/planeacion_suba_gobiernobogota_gov_co/IQADC9knk6nNRKJljIOhwk2qAdShpXZmNMX3rXF25hMw_UA?e=dsCZMM" xr:uid="{408D88BC-8F2E-4710-9ED1-DBE196D5F75A}"/>
    <hyperlink ref="AK257" r:id="rId491" display="https://gobiernobogota-my.sharepoint.com/:b:/g/personal/planeacion_suba_gobiernobogota_gov_co/IQAQwRzvwyOGRoadzOfEJbYbAZHcIaYsTNJAlIt0BpMGmxY?e=uCEeS6" xr:uid="{A8D03CE7-A2DE-4F3F-83E0-5EF88100722A}"/>
    <hyperlink ref="K258" r:id="rId492" display="https://gobiernobogota-my.sharepoint.com/:b:/g/personal/planeacion_suba_gobiernobogota_gov_co/IQBLOKQZI52RRYzlMc0IDcUfAfaPvHWc84l4wynUf1J19ZA?e=g0rO3c" xr:uid="{78987B52-8928-4D7B-B7E6-B2471A2984DA}"/>
    <hyperlink ref="X258" r:id="rId493" display="https://gobiernobogota-my.sharepoint.com/:b:/g/personal/planeacion_suba_gobiernobogota_gov_co/IQCX5R01gnI3QLPk49hsK0lpAXaK-OSVtPGApsy1wuJ-x1s?e=X6CBQ2" xr:uid="{0C0ED27C-82DC-4603-A376-B43BE8E903BA}"/>
    <hyperlink ref="AK258" r:id="rId494" display="https://gobiernobogota-my.sharepoint.com/:b:/g/personal/planeacion_suba_gobiernobogota_gov_co/IQCok6SIWdA3R5RQoMNCzBIRAetPIxe1IjK9foAFX01Hg1E?e=Oxmd9y" xr:uid="{24E14C54-955B-4CC4-BC96-0613A0AD9F77}"/>
    <hyperlink ref="K259" r:id="rId495" display="https://gobiernobogota-my.sharepoint.com/:b:/g/personal/planeacion_suba_gobiernobogota_gov_co/IQANEf4mrsr-SrAQycodCDvbAY5mkIGZ6UEpZoahrLBg8SU?e=vMho0z" xr:uid="{B0BFB344-B727-4574-A25D-4A104F3E6872}"/>
    <hyperlink ref="X259" r:id="rId496" display="https://gobiernobogota-my.sharepoint.com/:b:/g/personal/planeacion_suba_gobiernobogota_gov_co/IQA4EZz4OwahRZ4EhlnVBw4VAenr7Dc57923trsiZ2RB2YI?e=EwUlJe" xr:uid="{DC4940F7-3D43-414D-AD74-D66D212C8877}"/>
    <hyperlink ref="AK259" r:id="rId497" display="https://gobiernobogota-my.sharepoint.com/:b:/g/personal/planeacion_suba_gobiernobogota_gov_co/IQAxGcROPvYSSYOIFsagJNhQAdsINeCfPX3ZktLrFglGmPI?e=0a7uxb" xr:uid="{7DA7CFF7-751B-4F36-B5B4-2E1B75C35DD7}"/>
    <hyperlink ref="K260" r:id="rId498" display="https://gobiernobogota-my.sharepoint.com/:b:/g/personal/planeacion_suba_gobiernobogota_gov_co/IQBLOKQZI52RRYzlMc0IDcUfAfaPvHWc84l4wynUf1J19ZA?e=g0rO3c" xr:uid="{EAD9CA9B-B245-412E-A291-0CFB5EA74604}"/>
    <hyperlink ref="X260" r:id="rId499" display="https://gobiernobogota-my.sharepoint.com/:b:/g/personal/planeacion_suba_gobiernobogota_gov_co/IQCok6SIWdA3R5RQoMNCzBIRAetPIxe1IjK9foAFX01Hg1E?e=Oxmd9y" xr:uid="{D361500F-C41E-412B-9FFA-34F41CA2357E}"/>
    <hyperlink ref="AK260" r:id="rId500" display="https://gobiernobogota-my.sharepoint.com/:b:/g/personal/planeacion_suba_gobiernobogota_gov_co/IQDa6XoPNYw8S61xN-LVOZTqASr5BEubR5SMJ-1QwCSC4oc?e=fvg7YI" xr:uid="{0AA512AC-9D92-40C3-B3D3-B0A7882828AE}"/>
    <hyperlink ref="K261" r:id="rId501" display="https://gobiernobogota-my.sharepoint.com/:b:/g/personal/planeacion_suba_gobiernobogota_gov_co/IQCfcE7FzhJkSYdflJOifbagAfKKdH5WWUroBfjYwCtq128?e=F0srer" xr:uid="{C30979E2-EC0B-4BB7-A18C-3F6550395F73}"/>
    <hyperlink ref="X261" r:id="rId502" display="https://gobiernobogota-my.sharepoint.com/:b:/g/personal/planeacion_suba_gobiernobogota_gov_co/IQAURbn871ttRruWw8Q_s7hxAaSUs3wk9D7eMzEd_uIeKIk?e=ewZYl4" xr:uid="{17D989DE-AAEE-42A0-A09E-CBF47732FBE1}"/>
    <hyperlink ref="AK261" r:id="rId503" display="https://gobiernobogota-my.sharepoint.com/:b:/g/personal/planeacion_suba_gobiernobogota_gov_co/IQBYSsdLk59DQKFuaoinECXXAUDlrZr3pqSL8jxEMxuPVWU?e=h8daEe" xr:uid="{177100E3-569B-4C7E-88AD-E5A7A642ADAF}"/>
    <hyperlink ref="K262" r:id="rId504" display="https://gobiernobogota-my.sharepoint.com/:b:/g/personal/planeacion_suba_gobiernobogota_gov_co/IQBrtx_eU2X9RLe7elQNtp99AVe7fdFxxQGU3BRoCpPW11s?e=chmzyo" xr:uid="{77B9CA78-9659-487C-932B-E14D77012D2B}"/>
    <hyperlink ref="X262" r:id="rId505" display="https://gobiernobogota-my.sharepoint.com/:b:/g/personal/planeacion_suba_gobiernobogota_gov_co/IQCX5R01gnI3QLPk49hsK0lpAXaK-OSVtPGApsy1wuJ-x1s?e=X6CBQ2" xr:uid="{9E2D2F0F-188F-498D-A683-F884413800DF}"/>
    <hyperlink ref="AK262" r:id="rId506" display="https://gobiernobogota-my.sharepoint.com/:b:/g/personal/planeacion_suba_gobiernobogota_gov_co/IQBP6yHmaA9qTpv_pqjdHytAAW4h6MX95QlYJt-JRvYDfcU?e=pBpfT7" xr:uid="{3FFFCEE7-2968-4923-8550-4B9BF22ED35A}"/>
    <hyperlink ref="K263" r:id="rId507" display="https://gobiernobogota-my.sharepoint.com/:b:/g/personal/planeacion_suba_gobiernobogota_gov_co/IQBSpONVnPNeSoPDll4PD2_2AV1NMWIia4farmkcNCrXI-Q?e=I4m9Bh" xr:uid="{990CA760-EB09-4A29-A0E2-78BF81547EFD}"/>
    <hyperlink ref="X263" r:id="rId508" display="https://gobiernobogota-my.sharepoint.com/:b:/g/personal/planeacion_suba_gobiernobogota_gov_co/IQD9a-RqBWnQT422Riu7BcKlAZ1rbrEy4dHOuklB8R77OxA?e=ckZSaQ" xr:uid="{7461CF7B-182D-4F0D-8773-0E8464A958D0}"/>
    <hyperlink ref="AK263" r:id="rId509" display="https://gobiernobogota-my.sharepoint.com/:b:/g/personal/planeacion_suba_gobiernobogota_gov_co/IQBP6yHmaA9qTpv_pqjdHytAAW4h6MX95QlYJt-JRvYDfcU?e=4qxO3S" xr:uid="{ED3266A6-9DD2-42FC-AFE2-85588C819193}"/>
    <hyperlink ref="K264" r:id="rId510" display="https://gobiernobogota-my.sharepoint.com/:b:/g/personal/planeacion_suba_gobiernobogota_gov_co/IQBLOKQZI52RRYzlMc0IDcUfAfaPvHWc84l4wynUf1J19ZA?e=g0rO3c" xr:uid="{465727E6-0644-4DED-BA7E-DA36B77308BB}"/>
    <hyperlink ref="X264" r:id="rId511" display="https://gobiernobogota-my.sharepoint.com/:b:/g/personal/planeacion_suba_gobiernobogota_gov_co/IQCX5R01gnI3QLPk49hsK0lpAXaK-OSVtPGApsy1wuJ-x1s?e=X6CBQ2" xr:uid="{A246AEA9-95E1-48F3-8FDD-C4E146866119}"/>
    <hyperlink ref="AK264" r:id="rId512" display="https://gobiernobogota-my.sharepoint.com/:b:/g/personal/planeacion_suba_gobiernobogota_gov_co/IQCok6SIWdA3R5RQoMNCzBIRAetPIxe1IjK9foAFX01Hg1E?e=Oxmd9y" xr:uid="{6E686528-DF31-476F-8733-82B33020222C}"/>
    <hyperlink ref="K265" r:id="rId513" display="https://gobiernobogota-my.sharepoint.com/:b:/g/personal/planeacion_suba_gobiernobogota_gov_co/IQBLOKQZI52RRYzlMc0IDcUfAfaPvHWc84l4wynUf1J19ZA?e=g0rO3c" xr:uid="{66C815A2-8BF5-4602-8B7A-34D8378389B8}"/>
    <hyperlink ref="X265" r:id="rId514" display="https://gobiernobogota-my.sharepoint.com/:b:/g/personal/planeacion_suba_gobiernobogota_gov_co/IQCok6SIWdA3R5RQoMNCzBIRAetPIxe1IjK9foAFX01Hg1E?e=Oxmd9y" xr:uid="{7581067B-F6A1-481A-A1CE-9AA94FB3C6B5}"/>
    <hyperlink ref="K266" r:id="rId515" display="https://gobiernobogota-my.sharepoint.com/:b:/g/personal/planeacion_suba_gobiernobogota_gov_co/IQBLOKQZI52RRYzlMc0IDcUfAfaPvHWc84l4wynUf1J19ZA?e=g0rO3c" xr:uid="{8E396524-E6C2-42DF-890D-1ACA7907FE99}"/>
    <hyperlink ref="X266" r:id="rId516" display="https://gobiernobogota-my.sharepoint.com/:b:/g/personal/planeacion_suba_gobiernobogota_gov_co/IQCok6SIWdA3R5RQoMNCzBIRAetPIxe1IjK9foAFX01Hg1E?e=Oxmd9y" xr:uid="{00FDC462-8036-4CE7-BF86-6526DD34BC67}"/>
    <hyperlink ref="AK266" r:id="rId517" display="https://gobiernobogota-my.sharepoint.com/:b:/g/personal/planeacion_suba_gobiernobogota_gov_co/IQAqIVV5pao1Q6rVakcljApJAfqK2OODsEAZqmXq_1rwE0k?e=VEqp2o" xr:uid="{623F4E1B-DC2E-46B5-9F7F-56020FBD2BC0}"/>
    <hyperlink ref="K267" r:id="rId518" display="https://gobiernobogota-my.sharepoint.com/:b:/g/personal/planeacion_suba_gobiernobogota_gov_co/IQDwWsLvHCHGTJUhWmjmQBI5AcrrUkQ47FNBlYt982BYyGw?e=lyB0ee" xr:uid="{28AA6C5D-D219-4F94-9FDA-C73454CB42F0}"/>
    <hyperlink ref="X267" r:id="rId519" display="https://gobiernobogota-my.sharepoint.com/:b:/g/personal/planeacion_suba_gobiernobogota_gov_co/IQBmiWjod-gjSpodNf3Ws38SAYFNU1FjQn0kv8Ff4otCDC0?e=yJIaNq" xr:uid="{346E0996-3DB8-4FC1-9E8B-6604D0300C17}"/>
    <hyperlink ref="AK267" r:id="rId520" display="https://gobiernobogota-my.sharepoint.com/:b:/g/personal/planeacion_suba_gobiernobogota_gov_co/IQDGwAsrSWFST6cyTxyfbMvCAdt0g6P4HfpgnBGrh0q0TtQ?e=GZeUmL" xr:uid="{2E1A36AD-57D2-48ED-9551-977F0AFCFADD}"/>
    <hyperlink ref="K268" r:id="rId521" display="https://gobiernobogota-my.sharepoint.com/:b:/g/personal/planeacion_suba_gobiernobogota_gov_co/IQBLOKQZI52RRYzlMc0IDcUfAfaPvHWc84l4wynUf1J19ZA?e=g0rO3c" xr:uid="{26FA9B8D-D66D-40EE-B9FB-A4DB53F19FCB}"/>
    <hyperlink ref="X268" r:id="rId522" display="https://gobiernobogota-my.sharepoint.com/:b:/g/personal/planeacion_suba_gobiernobogota_gov_co/IQCok6SIWdA3R5RQoMNCzBIRAetPIxe1IjK9foAFX01Hg1E?e=Oxmd9y" xr:uid="{E09C920E-52BD-48CB-A1EF-F51105B2DA04}"/>
    <hyperlink ref="AK268" r:id="rId523" display="https://gobiernobogota-my.sharepoint.com/:b:/g/personal/planeacion_suba_gobiernobogota_gov_co/IQB8FW0_zDxKSbayOg21zlpCASBlU4v55dyd1unaLN6K4GU?e=EZjkpI" xr:uid="{226DBF69-ED5B-46F8-AD27-A534DDD99685}"/>
    <hyperlink ref="K269" r:id="rId524" display="https://gobiernobogota-my.sharepoint.com/:b:/g/personal/planeacion_suba_gobiernobogota_gov_co/IQDKjUQxF7wRT4kplyL6eeB7AWx5BL0T7p__rOK5nnGnlLk?e=2fLA40" xr:uid="{1C245664-FE53-4C93-BFF1-312ACE61784D}"/>
    <hyperlink ref="X269" r:id="rId525" display="https://gobiernobogota-my.sharepoint.com/:b:/g/personal/planeacion_suba_gobiernobogota_gov_co/IQAhI8JjIaNWQ7ix6ilrSOzuAUnUKmFVwW2njOczkkCYhac?e=fW1CuS" xr:uid="{3D9DA308-B07E-40B1-A746-FD525C72510D}"/>
    <hyperlink ref="AK269" r:id="rId526" display="https://gobiernobogota-my.sharepoint.com/:b:/g/personal/planeacion_suba_gobiernobogota_gov_co/IQBaVV_5yfhMQL74plmZn2cKAUN9OjxIt8jOW67WY9E1TkE?e=hdOmr1" xr:uid="{38FBFB1E-9D57-47CE-AC9F-8622832889C6}"/>
    <hyperlink ref="K270" r:id="rId527" display="https://gobiernobogota-my.sharepoint.com/:b:/g/personal/planeacion_suba_gobiernobogota_gov_co/IQCRK2NTdt7STIR4yP3tjK81AfbTWUx9ykB_Ty3qeZcimMM?e=BEUr7Q" xr:uid="{0DD94BE0-C24A-461B-8154-B537278792CC}"/>
    <hyperlink ref="X270" r:id="rId528" display="https://gobiernobogota-my.sharepoint.com/:b:/g/personal/planeacion_suba_gobiernobogota_gov_co/IQDncx0XzykTSIi5GRAcyQu3AS-1hSMvXeWLM2PICSTljyI?e=BPVFDa" xr:uid="{6B829871-7652-419D-AB1C-F3829DF27385}"/>
    <hyperlink ref="AK270" r:id="rId529" display="https://gobiernobogota-my.sharepoint.com/:b:/g/personal/planeacion_suba_gobiernobogota_gov_co/IQBjo9_ahs2_QLj5mwsgnlmNAb5h9MAC0cjl0s22K2xVGE8?e=fRqmcA" xr:uid="{BDD3E6D0-BEB7-4B65-8C51-CE826724C99A}"/>
    <hyperlink ref="K271" r:id="rId530" display="https://gobiernobogota-my.sharepoint.com/:b:/g/personal/planeacion_suba_gobiernobogota_gov_co/IQBNS2JUquMBQK50uPJZYMeiAcO9rFMklkk0NPxtEYzwt6w?e=9ythbo" xr:uid="{D8ED3CA0-BB3E-4469-BD86-F0E53B8E759B}"/>
    <hyperlink ref="X271" r:id="rId531" display="https://gobiernobogota-my.sharepoint.com/:b:/g/personal/planeacion_suba_gobiernobogota_gov_co/IQDxG539NP-9Tr4Rw6SstqcjAfn0hyr2HrQyciGUc3HlOX4?e=fSczXr" xr:uid="{A9F2829D-A4F3-4727-8D3B-91217ACF23B6}"/>
    <hyperlink ref="AK271" r:id="rId532" display="https://gobiernobogota-my.sharepoint.com/:b:/g/personal/planeacion_suba_gobiernobogota_gov_co/IQCns3VelmyTQLOZSudbfyj4AQ6sfwSFhSRcWbA27e8oApg?e=KXGhpL" xr:uid="{16903BE5-68DE-4008-829F-0F3DAA86BAD3}"/>
    <hyperlink ref="K272" r:id="rId533" display="https://gobiernobogota-my.sharepoint.com/:b:/g/personal/planeacion_suba_gobiernobogota_gov_co/IQBOyF6riMVjQJZAJ9lSvn4tAfHCWPPgqw5ArXsNZluljO0?e=pzZvXT" xr:uid="{CD006158-8DD2-40A0-9C77-0AB5A7360B85}"/>
    <hyperlink ref="X272" r:id="rId534" display="https://gobiernobogota-my.sharepoint.com/:b:/g/personal/planeacion_suba_gobiernobogota_gov_co/IQA65tu4OwUbS6zwvzRCetERAU0dmpl_NpSNwecJyulVWkA?e=RAEYXX" xr:uid="{E044F525-DB9D-4E13-8902-815CA93CB3BC}"/>
    <hyperlink ref="AK272" r:id="rId535" display="https://gobiernobogota-my.sharepoint.com/:b:/g/personal/planeacion_suba_gobiernobogota_gov_co/IQDjD7bBieS3SI_CmaX7sIEMAYegoMBRRXy1TLyynCfRsAU?e=pVNUPE" xr:uid="{893F07B3-9A28-49CE-8476-B00F5211838C}"/>
    <hyperlink ref="K273" r:id="rId536" display="https://gobiernobogota-my.sharepoint.com/:b:/g/personal/planeacion_suba_gobiernobogota_gov_co/IQADC9knk6nNRKJljIOhwk2qAdShpXZmNMX3rXF25hMw_UA?e=dsCZMM" xr:uid="{8189D51B-16C4-49D3-AB75-614D8E202996}"/>
    <hyperlink ref="X273" r:id="rId537" display="https://gobiernobogota-my.sharepoint.com/:b:/g/personal/planeacion_suba_gobiernobogota_gov_co/IQAbSLyAFh2xRJr0NhbYbKk2ATKbPTcKyEeZatQ-G_R5UiE?e=uolpOb" xr:uid="{7CF70F57-3E42-4E57-AB39-F72F8F6A1C49}"/>
    <hyperlink ref="AK273" r:id="rId538" display="https://gobiernobogota-my.sharepoint.com/:b:/g/personal/planeacion_suba_gobiernobogota_gov_co/IQAQwRzvwyOGRoadzOfEJbYbAZHcIaYsTNJAlIt0BpMGmxY?e=uCEeS6" xr:uid="{E22141A1-834C-4869-92BF-B02216F093A4}"/>
    <hyperlink ref="K274" r:id="rId539" display="https://gobiernobogota-my.sharepoint.com/:b:/g/personal/planeacion_suba_gobiernobogota_gov_co/IQAbxPjJliSEQLL04aZuAbmeAVXN10vO2MjODvRnD35hSbA?e=GcYwH5" xr:uid="{A302AEE7-37C1-478E-A8F5-5B72123F4620}"/>
    <hyperlink ref="M274" r:id="rId540" display="https://gobiernobogota-my.sharepoint.com/:b:/g/personal/planeacion_suba_gobiernobogota_gov_co/IQAbxPjJliSEQLL04aZuAbmeAVXN10vO2MjODvRnD35hSbA?e=GcYwH5" xr:uid="{89BEB62C-5BD7-4F71-AAF6-E26E7E605168}"/>
    <hyperlink ref="X274" r:id="rId541" display="https://gobiernobogota-my.sharepoint.com/:b:/g/personal/planeacion_suba_gobiernobogota_gov_co/IQB2SLiHx-9tQo-DBl0HXt7sAY2vcuiQByZuhwkOkWRguQE?e=M02dfQ" xr:uid="{2321FD0D-3155-4E91-B81A-77C3EAF74D87}"/>
    <hyperlink ref="AK274" r:id="rId542" display="https://gobiernobogota-my.sharepoint.com/:b:/g/personal/planeacion_suba_gobiernobogota_gov_co/IQBQP5HmS_y7SrlbWlh1Pg_4AZVh27YYn1fC29fncYbWCKo?e=LBRB4b" xr:uid="{99ACE439-F99C-4D60-B6C7-55A8EB177F48}"/>
    <hyperlink ref="K275" r:id="rId543" display="https://gobiernobogota-my.sharepoint.com/:b:/g/personal/planeacion_suba_gobiernobogota_gov_co/IQADC9knk6nNRKJljIOhwk2qAdShpXZmNMX3rXF25hMw_UA?e=dsCZMM" xr:uid="{C7ABA7A5-AA51-4DE7-B3C4-CA8BD28E5691}"/>
    <hyperlink ref="X275" r:id="rId544" display="https://gobiernobogota-my.sharepoint.com/:b:/g/personal/planeacion_suba_gobiernobogota_gov_co/IQAbSLyAFh2xRJr0NhbYbKk2ATKbPTcKyEeZatQ-G_R5UiE?e=uolpOb" xr:uid="{ECCCCECE-081B-464E-9F47-1E663D20C81E}"/>
    <hyperlink ref="AK275" r:id="rId545" display="https://gobiernobogota-my.sharepoint.com/:b:/g/personal/planeacion_suba_gobiernobogota_gov_co/IQAQwRzvwyOGRoadzOfEJbYbAZHcIaYsTNJAlIt0BpMGmxY?e=uCEeS6" xr:uid="{EA0EEEBC-C0BD-45A9-892C-B40F6D4F7213}"/>
    <hyperlink ref="K277" r:id="rId546" display="https://gobiernobogota-my.sharepoint.com/:b:/g/personal/planeacion_suba_gobiernobogota_gov_co/IQDGa2wWkAiyTpg568QaxMpdAS8tS-XnGhKUeOmkYsFMwpY?e=fQhlEp" xr:uid="{5A21A200-1E2D-4BAC-B72A-1DA998E2C11A}"/>
    <hyperlink ref="X277" r:id="rId547" display="https://gobiernobogota-my.sharepoint.com/:b:/g/personal/planeacion_suba_gobiernobogota_gov_co/IQC0sBP3QYrPTbpkPkr2gHiiASsJpQgkQUefhHVSmyxMyGI?e=gggiVB" xr:uid="{AFE85DD0-04C6-45D7-A1F0-885AFE0F38AD}"/>
    <hyperlink ref="AK277" r:id="rId548" display="https://gobiernobogota-my.sharepoint.com/:b:/g/personal/planeacion_suba_gobiernobogota_gov_co/IQAQ4qIf6xwkQq10hR4s9-SvAR3Zdvx4GStT88xbBpMAHXw?e=NZOFTU" xr:uid="{5CBCE931-4BA4-45DD-B9DE-4E0064AFA891}"/>
    <hyperlink ref="K278" r:id="rId549" display="https://gobiernobogota-my.sharepoint.com/:b:/g/personal/planeacion_suba_gobiernobogota_gov_co/IQADC9knk6nNRKJljIOhwk2qAdShpXZmNMX3rXF25hMw_UA?e=dsCZMM" xr:uid="{4D049217-EC0D-400C-A7CA-6CE06DF049E4}"/>
    <hyperlink ref="X278" r:id="rId550" display="https://gobiernobogota-my.sharepoint.com/:b:/g/personal/planeacion_suba_gobiernobogota_gov_co/IQAQwRzvwyOGRoadzOfEJbYbAZHcIaYsTNJAlIt0BpMGmxY?e=uCEeS6" xr:uid="{A54C67E1-D33C-4BCD-8C62-CC2BDEA5438C}"/>
    <hyperlink ref="AK278" r:id="rId551" display="https://gobiernobogota-my.sharepoint.com/:b:/g/personal/planeacion_suba_gobiernobogota_gov_co/IQAbSLyAFh2xRJr0NhbYbKk2ATKbPTcKyEeZatQ-G_R5UiE?e=uolpOb" xr:uid="{B36E4751-E1A5-473F-B259-14E72FC6531E}"/>
    <hyperlink ref="K279" r:id="rId552" display="https://gobiernobogota-my.sharepoint.com/:b:/g/personal/planeacion_suba_gobiernobogota_gov_co/IQADC9knk6nNRKJljIOhwk2qAdShpXZmNMX3rXF25hMw_UA?e=dsCZMM" xr:uid="{3A814F29-E66B-4C88-82A1-02AAB89E6B14}"/>
    <hyperlink ref="X279" r:id="rId553" display="https://gobiernobogota-my.sharepoint.com/:b:/g/personal/planeacion_suba_gobiernobogota_gov_co/IQAQwRzvwyOGRoadzOfEJbYbAZHcIaYsTNJAlIt0BpMGmxY?e=uCEeS6" xr:uid="{8056B2CA-1D38-41A3-99BD-FBBB4AF492E5}"/>
    <hyperlink ref="AK279" r:id="rId554" display="https://gobiernobogota-my.sharepoint.com/:b:/g/personal/planeacion_suba_gobiernobogota_gov_co/IQAbSLyAFh2xRJr0NhbYbKk2ATKbPTcKyEeZatQ-G_R5UiE?e=uolpOb" xr:uid="{20F34A62-5855-47B8-96E5-6025383EDEA9}"/>
    <hyperlink ref="K280" r:id="rId555" display="https://gobiernobogota-my.sharepoint.com/:b:/g/personal/planeacion_suba_gobiernobogota_gov_co/IQADC9knk6nNRKJljIOhwk2qAdShpXZmNMX3rXF25hMw_UA?e=dsCZMM" xr:uid="{E1BE193A-B8DE-421C-A602-0361FF9E3409}"/>
    <hyperlink ref="X280" r:id="rId556" display="https://gobiernobogota-my.sharepoint.com/:b:/g/personal/planeacion_suba_gobiernobogota_gov_co/IQAQwRzvwyOGRoadzOfEJbYbAZHcIaYsTNJAlIt0BpMGmxY?e=uCEeS6" xr:uid="{0A62181C-B7A5-48F5-989F-46948251FA98}"/>
    <hyperlink ref="AK280" r:id="rId557" display="https://gobiernobogota-my.sharepoint.com/:b:/g/personal/planeacion_suba_gobiernobogota_gov_co/IQAbSLyAFh2xRJr0NhbYbKk2ATKbPTcKyEeZatQ-G_R5UiE?e=uolpOb" xr:uid="{D65A81AC-8A14-4979-AE9C-FF3336A81801}"/>
    <hyperlink ref="K281" r:id="rId558" display="https://gobiernobogota-my.sharepoint.com/:b:/g/personal/planeacion_suba_gobiernobogota_gov_co/IQBLOKQZI52RRYzlMc0IDcUfAfaPvHWc84l4wynUf1J19ZA?e=g0rO3c" xr:uid="{1544F284-F5FB-4A2C-9A91-D10C3FA592E5}"/>
    <hyperlink ref="X281" r:id="rId559" display="https://gobiernobogota-my.sharepoint.com/:b:/g/personal/planeacion_suba_gobiernobogota_gov_co/IQCok6SIWdA3R5RQoMNCzBIRAetPIxe1IjK9foAFX01Hg1E?e=Oxmd9y" xr:uid="{74DF4CF9-3F2B-4478-AE5A-E3B2257FF81B}"/>
    <hyperlink ref="AK281" r:id="rId560" display="https://gobiernobogota-my.sharepoint.com/:b:/g/personal/planeacion_suba_gobiernobogota_gov_co/IQANAZuKvN_2S6UlxYJaCYxiAXEoZXX3rPoS4RJXTXNt03U?e=VB6Aj3" xr:uid="{E6575D13-DA09-4215-AA71-7E8E051AB0BD}"/>
    <hyperlink ref="K282" r:id="rId561" display="https://gobiernobogota-my.sharepoint.com/:b:/g/personal/planeacion_suba_gobiernobogota_gov_co/IQD9rRcWR5gTTp2XDFyDfzt4AZ5bSMz-YHG06wk-Y-IhIcw?e=2GZlqZ" xr:uid="{039BE287-F3AB-4FF7-A9A7-E5C7201EE580}"/>
    <hyperlink ref="X282" r:id="rId562" display="https://gobiernobogota-my.sharepoint.com/:b:/g/personal/planeacion_suba_gobiernobogota_gov_co/IQBolZJaUuzaTqLfyaUnhhNcAcpQTRB0QiVeOFv0cL7mhXQ?e=INN128" xr:uid="{E7E73CF1-0947-4682-B16C-B00B94CA5DDF}"/>
    <hyperlink ref="AK282" r:id="rId563" display="https://gobiernobogota-my.sharepoint.com/:b:/g/personal/planeacion_suba_gobiernobogota_gov_co/IQDGKEaWccZ6Q7laAg5m8pVDAZMhKQ3jPoXUoHpyIRHko04?e=4NKbXp" xr:uid="{2B003A93-BFE0-41F1-94C8-7C3791DE7175}"/>
    <hyperlink ref="K283" r:id="rId564" display="https://gobiernobogota-my.sharepoint.com/:b:/g/personal/planeacion_suba_gobiernobogota_gov_co/IQBLOKQZI52RRYzlMc0IDcUfAfaPvHWc84l4wynUf1J19ZA?e=g0rO3c" xr:uid="{4C27BCC7-ECF5-476A-B002-104965635D99}"/>
    <hyperlink ref="X283" r:id="rId565" display="https://gobiernobogota-my.sharepoint.com/:b:/g/personal/planeacion_suba_gobiernobogota_gov_co/IQCok6SIWdA3R5RQoMNCzBIRAetPIxe1IjK9foAFX01Hg1E?e=Oxmd9y" xr:uid="{8EFB83CB-8E73-439C-A59D-4E45D35F2CAC}"/>
    <hyperlink ref="AK283" r:id="rId566" display="https://gobiernobogota-my.sharepoint.com/:b:/g/personal/planeacion_suba_gobiernobogota_gov_co/IQBcvLe_IA7QQJ1pQ5Dnm_f2Abw4KW4Ldk1twacuSgfSGNg?e=yR2geb" xr:uid="{E300577B-55AB-4458-B425-439ADEB157E0}"/>
    <hyperlink ref="K284" r:id="rId567" display="https://gobiernobogota-my.sharepoint.com/:b:/g/personal/planeacion_suba_gobiernobogota_gov_co/IQBLOKQZI52RRYzlMc0IDcUfAfaPvHWc84l4wynUf1J19ZA?e=g0rO3c" xr:uid="{FF15862A-6AB4-4D33-8B40-8AFC0579AF3E}"/>
    <hyperlink ref="X284" r:id="rId568" display="https://gobiernobogota-my.sharepoint.com/:b:/g/personal/planeacion_suba_gobiernobogota_gov_co/IQCok6SIWdA3R5RQoMNCzBIRAetPIxe1IjK9foAFX01Hg1E?e=Oxmd9y" xr:uid="{E578DD0C-2AD2-4F27-BD48-B5105E36613B}"/>
    <hyperlink ref="AK284" r:id="rId569" display="https://gobiernobogota-my.sharepoint.com/:b:/g/personal/planeacion_suba_gobiernobogota_gov_co/IQAdNbHhHoSFRZPl3NAbp1h0AYuZ3Bz7MMTUx8XO33oQzsw?e=WagBXn" xr:uid="{899F080A-5FAF-474A-8235-C42D635785AE}"/>
    <hyperlink ref="K285" r:id="rId570" display="https://gobiernobogota-my.sharepoint.com/:b:/g/personal/planeacion_suba_gobiernobogota_gov_co/IQBLOKQZI52RRYzlMc0IDcUfAfaPvHWc84l4wynUf1J19ZA?e=g0rO3c" xr:uid="{6E5E1BB8-7248-4777-B51E-C465C2047743}"/>
    <hyperlink ref="X285" r:id="rId571" display="https://gobiernobogota-my.sharepoint.com/:b:/g/personal/planeacion_suba_gobiernobogota_gov_co/IQCX5R01gnI3QLPk49hsK0lpAXaK-OSVtPGApsy1wuJ-x1s?e=X6CBQ2" xr:uid="{F41EFD9B-2BA4-49A6-95D2-58E98D018908}"/>
    <hyperlink ref="AK285" r:id="rId572" display="https://gobiernobogota-my.sharepoint.com/:b:/g/personal/planeacion_suba_gobiernobogota_gov_co/IQCok6SIWdA3R5RQoMNCzBIRAetPIxe1IjK9foAFX01Hg1E?e=Oxmd9y" xr:uid="{2E4DD751-58C0-4CC8-A7C3-DB322CC256F9}"/>
    <hyperlink ref="K286" r:id="rId573" display="https://gobiernobogota-my.sharepoint.com/:b:/g/personal/planeacion_suba_gobiernobogota_gov_co/IQBLOKQZI52RRYzlMc0IDcUfAfaPvHWc84l4wynUf1J19ZA?e=g0rO3c" xr:uid="{D58E2E7F-EC56-4FAE-A8AC-930481A70F5C}"/>
    <hyperlink ref="X286" r:id="rId574" display="https://gobiernobogota-my.sharepoint.com/:b:/g/personal/planeacion_suba_gobiernobogota_gov_co/IQCok6SIWdA3R5RQoMNCzBIRAetPIxe1IjK9foAFX01Hg1E?e=Oxmd9y" xr:uid="{2714B919-2957-48B2-AD18-0F8981320A9E}"/>
    <hyperlink ref="K287" r:id="rId575" display="https://gobiernobogota-my.sharepoint.com/:b:/g/personal/planeacion_suba_gobiernobogota_gov_co/IQA3im31Q3AUTazFHgt_EAGHASuLy55EgMDPviGh0YOwXVw?e=mR7D4c" xr:uid="{A454672C-4488-4638-AB01-4DB7DFC55E9F}"/>
    <hyperlink ref="X287" r:id="rId576" display="https://gobiernobogota-my.sharepoint.com/:b:/g/personal/planeacion_suba_gobiernobogota_gov_co/IQBn23o6wpU5SbOjRKImEuDLAc27p6PvYHzzqn6ehFxoKyE?e=5EPIh2" xr:uid="{3F34BC3C-CD1D-44A8-B8C4-F3FD592FCAF9}"/>
    <hyperlink ref="AK287" r:id="rId577" display="https://gobiernobogota-my.sharepoint.com/:b:/g/personal/planeacion_suba_gobiernobogota_gov_co/IQCUIh9yimqRRJWivlfrdXlzAbqfy4pjQWahiULOVv6WzDY?e=tqbPqh" xr:uid="{8D6DC501-671B-4EAD-B38E-3E31E94844C7}"/>
    <hyperlink ref="K288" r:id="rId578" display="https://gobiernobogota-my.sharepoint.com/:b:/g/personal/planeacion_suba_gobiernobogota_gov_co/IQCyY3ZMohzHS7FzJp-ri0fyAQcKYCfpCGokgNlEhga7V5Q?e=Q2Uzzb" xr:uid="{32A08AEA-C276-4EEA-8E74-FF2BEF2CA8E3}"/>
    <hyperlink ref="X288" r:id="rId579" display="https://gobiernobogota-my.sharepoint.com/:b:/g/personal/planeacion_suba_gobiernobogota_gov_co/IQAYaI3jqNj4SqabS_CgJTM-AXdjuJYBMiLOc5h2bqKMmSo?e=pTLwO6" xr:uid="{A4975DCE-3154-4BBA-97DB-7AE85F687A72}"/>
    <hyperlink ref="AK288" r:id="rId580" display="https://gobiernobogota-my.sharepoint.com/:b:/g/personal/planeacion_suba_gobiernobogota_gov_co/IQCFhkWgiUdPTJnyARkIx-i_ASef0pFTWbqMkMNNQAnV9sM?e=9CRZ4d" xr:uid="{373F05D4-3779-49ED-B5D9-C4FBA931958B}"/>
    <hyperlink ref="K289" r:id="rId581" display="https://gobiernobogota-my.sharepoint.com/:b:/g/personal/planeacion_suba_gobiernobogota_gov_co/IQCQ6Lu7DpY5Ra99aEHQs9c6ATJEsxMMMowiFvVdqyG6vf4?e=dKxr0I" xr:uid="{EB24B525-719E-4E85-B3B4-BAA56F573CD2}"/>
    <hyperlink ref="X289" r:id="rId582" display="https://gobiernobogota-my.sharepoint.com/:b:/g/personal/planeacion_suba_gobiernobogota_gov_co/IQCZJ-qF4bucQZeZxXml6rTqAS9myOQWucEEi8fkJJVRsOU?e=Q4LpgX" xr:uid="{786C8D4C-3E2A-433D-B739-088E51A88833}"/>
    <hyperlink ref="AK289" r:id="rId583" display="https://gobiernobogota-my.sharepoint.com/:b:/g/personal/planeacion_suba_gobiernobogota_gov_co/IQD53jySr3jwTptpJ2NxVXgwAUNhjwhnO5Eo96S3ZNuQZ5E?e=CuK8Wc" xr:uid="{27549180-7AB9-4FFE-9DC2-DA8016A12E56}"/>
    <hyperlink ref="K290" r:id="rId584" display="https://gobiernobogota-my.sharepoint.com/:b:/g/personal/planeacion_suba_gobiernobogota_gov_co/IQADC9knk6nNRKJljIOhwk2qAdShpXZmNMX3rXF25hMw_UA?e=dsCZMM" xr:uid="{5A59865B-8FAD-4BF5-ABB6-26CF7C5280DF}"/>
    <hyperlink ref="X290" r:id="rId585" display="https://gobiernobogota-my.sharepoint.com/:b:/g/personal/planeacion_suba_gobiernobogota_gov_co/IQAbSLyAFh2xRJr0NhbYbKk2ATKbPTcKyEeZatQ-G_R5UiE?e=uolpOb" xr:uid="{192338FE-C768-4841-93F8-B58903F6326E}"/>
    <hyperlink ref="AK290" r:id="rId586" display="https://gobiernobogota-my.sharepoint.com/:b:/g/personal/planeacion_suba_gobiernobogota_gov_co/IQAQwRzvwyOGRoadzOfEJbYbAZHcIaYsTNJAlIt0BpMGmxY?e=uCEeS6" xr:uid="{F41583BA-3FD2-4A07-BF8F-D63BD04464C1}"/>
    <hyperlink ref="K291" r:id="rId587" display="https://gobiernobogota-my.sharepoint.com/:b:/g/personal/planeacion_suba_gobiernobogota_gov_co/IQADC9knk6nNRKJljIOhwk2qAdShpXZmNMX3rXF25hMw_UA?e=dsCZMM" xr:uid="{5DE1D7DE-1647-424F-A06C-39B9CE7B04E6}"/>
    <hyperlink ref="X291" r:id="rId588" display="https://gobiernobogota-my.sharepoint.com/:b:/g/personal/planeacion_suba_gobiernobogota_gov_co/IQAQwRzvwyOGRoadzOfEJbYbAZHcIaYsTNJAlIt0BpMGmxY?e=uCEeS6" xr:uid="{C71B3D91-5F6B-423E-A245-4CB037A86609}"/>
    <hyperlink ref="AK291" r:id="rId589" display="https://gobiernobogota-my.sharepoint.com/:b:/g/personal/planeacion_suba_gobiernobogota_gov_co/IQAbSLyAFh2xRJr0NhbYbKk2ATKbPTcKyEeZatQ-G_R5UiE?e=uolpOb" xr:uid="{90286162-F977-4367-9B4C-82840D6C813D}"/>
    <hyperlink ref="K292" r:id="rId590" display="https://gobiernobogota-my.sharepoint.com/:b:/g/personal/planeacion_suba_gobiernobogota_gov_co/IQADC9knk6nNRKJljIOhwk2qAdShpXZmNMX3rXF25hMw_UA?e=dsCZMM" xr:uid="{92049186-F777-41BA-9A06-460D8B3E5139}"/>
    <hyperlink ref="X292" r:id="rId591" display="https://gobiernobogota-my.sharepoint.com/:b:/g/personal/planeacion_suba_gobiernobogota_gov_co/IQAQwRzvwyOGRoadzOfEJbYbAZHcIaYsTNJAlIt0BpMGmxY?e=uCEeS6" xr:uid="{6980E70F-BF5F-43E1-9990-84021BF9A6E2}"/>
    <hyperlink ref="AK292" r:id="rId592" display="https://gobiernobogota-my.sharepoint.com/:b:/g/personal/planeacion_suba_gobiernobogota_gov_co/IQAbSLyAFh2xRJr0NhbYbKk2ATKbPTcKyEeZatQ-G_R5UiE?e=uolpOb" xr:uid="{777E5967-5C84-45AE-9DED-5A52EACC9416}"/>
    <hyperlink ref="K293" r:id="rId593" display="https://gobiernobogota-my.sharepoint.com/:b:/g/personal/planeacion_suba_gobiernobogota_gov_co/IQBdmh4rF6l6QKh8bDCkHVvOAV0P4-uNtT94HCg2kA74oMA?e=MSy2xH" xr:uid="{54CDAC1A-BD6F-4D1C-A420-951716EE181E}"/>
    <hyperlink ref="X293" r:id="rId594" display="https://gobiernobogota-my.sharepoint.com/:b:/g/personal/planeacion_suba_gobiernobogota_gov_co/IQBXgiQgecvyRZc1QzekZcfeAWItkn3KAU1NG0SooBwTrng?e=6cKqW0" xr:uid="{D4166B12-E628-4EE5-9FB0-32F208ED4272}"/>
    <hyperlink ref="AK293" r:id="rId595" display="https://gobiernobogota-my.sharepoint.com/:b:/g/personal/planeacion_suba_gobiernobogota_gov_co/IQCmz0Hw3PvgQ72JNk_z86umAX_gGyrHV7XZPk7vtbjsq1k?e=FcHBCs" xr:uid="{3FA64BE6-2981-4088-9CC3-1D93F3B11DEC}"/>
    <hyperlink ref="K294" r:id="rId596" display="https://gobiernobogota-my.sharepoint.com/:b:/g/personal/planeacion_suba_gobiernobogota_gov_co/IQAbSLyAFh2xRJr0NhbYbKk2ATKbPTcKyEeZatQ-G_R5UiE?e=uolpOb" xr:uid="{D0B8E720-94CB-4E24-85C8-698ECAF5D6DD}"/>
    <hyperlink ref="X294" r:id="rId597" display="https://gobiernobogota-my.sharepoint.com/:b:/g/personal/planeacion_suba_gobiernobogota_gov_co/IQAQwRzvwyOGRoadzOfEJbYbAZHcIaYsTNJAlIt0BpMGmxY?e=uCEeS6" xr:uid="{726FA722-433B-49AD-A404-737ABDF995A4}"/>
    <hyperlink ref="AK294" r:id="rId598" display="https://gobiernobogota-my.sharepoint.com/:b:/g/personal/planeacion_suba_gobiernobogota_gov_co/IQADC9knk6nNRKJljIOhwk2qAdShpXZmNMX3rXF25hMw_UA?e=dsCZMM" xr:uid="{40143B18-826C-456D-BE37-98698EA151E4}"/>
    <hyperlink ref="K295" r:id="rId599" display="https://gobiernobogota-my.sharepoint.com/:b:/g/personal/planeacion_suba_gobiernobogota_gov_co/IQAXmghtTmtfRZLsfOJwW2BdAdfpU0wxvvfHSp4Khoov0iY?e=G8a8hU" xr:uid="{E49A3170-F01D-4FBB-AE8A-D963942000EA}"/>
    <hyperlink ref="X295" r:id="rId600" display="https://gobiernobogota-my.sharepoint.com/:b:/g/personal/planeacion_suba_gobiernobogota_gov_co/IQCok6SIWdA3R5RQoMNCzBIRAetPIxe1IjK9foAFX01Hg1E?e=Oxmd9y" xr:uid="{3EE7146C-CACC-475D-8B56-416569F5C585}"/>
    <hyperlink ref="AK295" r:id="rId601" display="https://gobiernobogota-my.sharepoint.com/:b:/g/personal/planeacion_suba_gobiernobogota_gov_co/IQCjLcmDz8z5TJOAp9FGmeLfAf4B2sW9CIkhdGTO8f80x-Q?e=92J0Ch" xr:uid="{2356C21F-5155-4604-A282-7677995C01D9}"/>
    <hyperlink ref="K296" r:id="rId602" display="https://gobiernobogota-my.sharepoint.com/:b:/g/personal/planeacion_suba_gobiernobogota_gov_co/IQADC9knk6nNRKJljIOhwk2qAdShpXZmNMX3rXF25hMw_UA?e=dsCZMM" xr:uid="{295F010E-3DB9-47A9-907A-049D4F23F5A6}"/>
    <hyperlink ref="X296" r:id="rId603" display="https://gobiernobogota-my.sharepoint.com/:b:/g/personal/planeacion_suba_gobiernobogota_gov_co/IQAQwRzvwyOGRoadzOfEJbYbAZHcIaYsTNJAlIt0BpMGmxY?e=uCEeS6" xr:uid="{85722641-B2F1-4022-B33B-D0B340DB39D1}"/>
    <hyperlink ref="AK296" r:id="rId604" display="https://gobiernobogota-my.sharepoint.com/:b:/g/personal/planeacion_suba_gobiernobogota_gov_co/IQAbSLyAFh2xRJr0NhbYbKk2ATKbPTcKyEeZatQ-G_R5UiE?e=uolpOb" xr:uid="{DD19230D-70C9-4271-8DAE-6E80C32112A0}"/>
    <hyperlink ref="K297" r:id="rId605" display="https://gobiernobogota-my.sharepoint.com/:b:/g/personal/planeacion_suba_gobiernobogota_gov_co/IQADC9knk6nNRKJljIOhwk2qAdShpXZmNMX3rXF25hMw_UA?e=dsCZMM" xr:uid="{2B470A42-F8E9-4954-B159-661CB54D4310}"/>
    <hyperlink ref="X297" r:id="rId606" display="https://gobiernobogota-my.sharepoint.com/:b:/g/personal/planeacion_suba_gobiernobogota_gov_co/IQAQwRzvwyOGRoadzOfEJbYbAZHcIaYsTNJAlIt0BpMGmxY?e=uCEeS6" xr:uid="{2C09FE20-914E-4DF9-B038-2A81D51AEEB2}"/>
    <hyperlink ref="AK297" r:id="rId607" display="https://gobiernobogota-my.sharepoint.com/:b:/g/personal/planeacion_suba_gobiernobogota_gov_co/IQAbSLyAFh2xRJr0NhbYbKk2ATKbPTcKyEeZatQ-G_R5UiE?e=uolpOb" xr:uid="{A10BE012-B832-4529-B162-FD333751B1FE}"/>
    <hyperlink ref="K298" r:id="rId608" display="https://gobiernobogota-my.sharepoint.com/:b:/g/personal/planeacion_suba_gobiernobogota_gov_co/IQADC9knk6nNRKJljIOhwk2qAdShpXZmNMX3rXF25hMw_UA?e=dsCZMM" xr:uid="{BF5B8A07-0F6F-45D8-911B-54269C9C8CCF}"/>
    <hyperlink ref="X298" r:id="rId609" display="https://gobiernobogota-my.sharepoint.com/:b:/g/personal/planeacion_suba_gobiernobogota_gov_co/IQAQwRzvwyOGRoadzOfEJbYbAZHcIaYsTNJAlIt0BpMGmxY?e=uCEeS6" xr:uid="{8E29FB60-836C-4262-AAD1-BCD901FF323A}"/>
    <hyperlink ref="AK298" r:id="rId610" display="https://gobiernobogota-my.sharepoint.com/:b:/g/personal/planeacion_suba_gobiernobogota_gov_co/IQAbSLyAFh2xRJr0NhbYbKk2ATKbPTcKyEeZatQ-G_R5UiE?e=uolpOb" xr:uid="{E09288A3-F511-48B5-8525-BB9112036D36}"/>
    <hyperlink ref="K299" r:id="rId611" display="https://gobiernobogota-my.sharepoint.com/:b:/g/personal/planeacion_suba_gobiernobogota_gov_co/IQADC9knk6nNRKJljIOhwk2qAdShpXZmNMX3rXF25hMw_UA?e=dsCZMM" xr:uid="{97241272-4553-4E7B-8825-5B2900D7A273}"/>
    <hyperlink ref="X299" r:id="rId612" display="https://gobiernobogota-my.sharepoint.com/:b:/g/personal/planeacion_suba_gobiernobogota_gov_co/IQAQwRzvwyOGRoadzOfEJbYbAZHcIaYsTNJAlIt0BpMGmxY?e=uCEeS6" xr:uid="{8B8AF4D4-77EB-4692-9DC0-FA577CF8CB0B}"/>
    <hyperlink ref="AK299" r:id="rId613" display="https://gobiernobogota-my.sharepoint.com/:b:/g/personal/planeacion_suba_gobiernobogota_gov_co/IQAbSLyAFh2xRJr0NhbYbKk2ATKbPTcKyEeZatQ-G_R5UiE?e=uolpOb" xr:uid="{9C73BF71-FCC0-4D8C-8938-A8BF8CC2B616}"/>
    <hyperlink ref="K300" r:id="rId614" display="https://gobiernobogota-my.sharepoint.com/:b:/g/personal/planeacion_suba_gobiernobogota_gov_co/IQADC9knk6nNRKJljIOhwk2qAdShpXZmNMX3rXF25hMw_UA?e=dsCZMM" xr:uid="{F60E8E45-6B46-40F4-8E65-89D7BF88D577}"/>
    <hyperlink ref="X300" r:id="rId615" display="https://gobiernobogota-my.sharepoint.com/:b:/g/personal/planeacion_suba_gobiernobogota_gov_co/IQAQwRzvwyOGRoadzOfEJbYbAZHcIaYsTNJAlIt0BpMGmxY?e=uCEeS6" xr:uid="{402EDC7D-A47D-4D84-90D2-C73BD3531BD4}"/>
    <hyperlink ref="AK300" r:id="rId616" display="https://gobiernobogota-my.sharepoint.com/:b:/g/personal/planeacion_suba_gobiernobogota_gov_co/IQAbSLyAFh2xRJr0NhbYbKk2ATKbPTcKyEeZatQ-G_R5UiE?e=uolpOb" xr:uid="{45B28C7D-729A-41BA-A319-854A7BA88C61}"/>
    <hyperlink ref="K301" r:id="rId617" display="https://gobiernobogota-my.sharepoint.com/:b:/g/personal/planeacion_suba_gobiernobogota_gov_co/IQADC9knk6nNRKJljIOhwk2qAdShpXZmNMX3rXF25hMw_UA?e=dsCZMM" xr:uid="{698E5B56-3F27-414C-8C85-4D440E5FF787}"/>
    <hyperlink ref="X301" r:id="rId618" display="https://gobiernobogota-my.sharepoint.com/:b:/g/personal/planeacion_suba_gobiernobogota_gov_co/IQAQwRzvwyOGRoadzOfEJbYbAZHcIaYsTNJAlIt0BpMGmxY?e=uCEeS6" xr:uid="{B88F069D-E174-41CD-A551-954B1EE4D177}"/>
    <hyperlink ref="AK301" r:id="rId619" display="https://gobiernobogota-my.sharepoint.com/:b:/g/personal/planeacion_suba_gobiernobogota_gov_co/IQAbSLyAFh2xRJr0NhbYbKk2ATKbPTcKyEeZatQ-G_R5UiE?e=uolpOb" xr:uid="{6E92184A-BFB0-4EAC-82B5-A46D06FCF258}"/>
    <hyperlink ref="K302" r:id="rId620" display="https://gobiernobogota-my.sharepoint.com/:b:/g/personal/planeacion_suba_gobiernobogota_gov_co/IQADC9knk6nNRKJljIOhwk2qAdShpXZmNMX3rXF25hMw_UA?e=dsCZMM" xr:uid="{959791B0-60E6-4D39-AEE3-0AEEA9E9DB58}"/>
    <hyperlink ref="X302" r:id="rId621" display="https://gobiernobogota-my.sharepoint.com/:b:/g/personal/planeacion_suba_gobiernobogota_gov_co/IQAQwRzvwyOGRoadzOfEJbYbAZHcIaYsTNJAlIt0BpMGmxY?e=uCEeS6" xr:uid="{24FC17DB-7AF9-46EC-9539-8E6CFA196FA9}"/>
    <hyperlink ref="AK302" r:id="rId622" display="https://gobiernobogota-my.sharepoint.com/:b:/g/personal/planeacion_suba_gobiernobogota_gov_co/IQAbSLyAFh2xRJr0NhbYbKk2ATKbPTcKyEeZatQ-G_R5UiE?e=uolpOb" xr:uid="{2BE0003E-5F00-469F-99B7-290AE75193AA}"/>
    <hyperlink ref="K303" r:id="rId623" display="https://gobiernobogota-my.sharepoint.com/:b:/g/personal/planeacion_suba_gobiernobogota_gov_co/IQADC9knk6nNRKJljIOhwk2qAdShpXZmNMX3rXF25hMw_UA?e=dsCZMM" xr:uid="{BAE5409C-1283-4107-9823-A1687791FEF5}"/>
    <hyperlink ref="X303" r:id="rId624" display="https://gobiernobogota-my.sharepoint.com/:b:/g/personal/planeacion_suba_gobiernobogota_gov_co/IQAQwRzvwyOGRoadzOfEJbYbAZHcIaYsTNJAlIt0BpMGmxY?e=uCEeS6" xr:uid="{B9167C8F-5311-46D3-8E82-10FFFAE3E013}"/>
    <hyperlink ref="AK303" r:id="rId625" display="https://gobiernobogota-my.sharepoint.com/:b:/g/personal/planeacion_suba_gobiernobogota_gov_co/IQAbSLyAFh2xRJr0NhbYbKk2ATKbPTcKyEeZatQ-G_R5UiE?e=uolpOb" xr:uid="{022E7A85-DD63-446F-B899-8E1B98726E07}"/>
    <hyperlink ref="K304" r:id="rId626" display="https://gobiernobogota-my.sharepoint.com/:b:/g/personal/planeacion_suba_gobiernobogota_gov_co/IQAQwRzvwyOGRoadzOfEJbYbAZHcIaYsTNJAlIt0BpMGmxY?e=uCEeS6" xr:uid="{CA6FBD3C-8E6E-462E-B3C9-75A19153556C}"/>
    <hyperlink ref="X304" r:id="rId627" display="https://gobiernobogota-my.sharepoint.com/:b:/g/personal/planeacion_suba_gobiernobogota_gov_co/IQAbSLyAFh2xRJr0NhbYbKk2ATKbPTcKyEeZatQ-G_R5UiE?e=uolpOb" xr:uid="{48E64B7A-EC82-45DA-9875-0E131880160B}"/>
    <hyperlink ref="AK304" r:id="rId628" display="https://gobiernobogota-my.sharepoint.com/:b:/g/personal/planeacion_suba_gobiernobogota_gov_co/IQADC9knk6nNRKJljIOhwk2qAdShpXZmNMX3rXF25hMw_UA?e=dsCZMM" xr:uid="{82F42E70-3104-44B6-AE92-E3E7B044704E}"/>
    <hyperlink ref="K305" r:id="rId629" display="https://gobiernobogota-my.sharepoint.com/:b:/g/personal/planeacion_suba_gobiernobogota_gov_co/IQBLOKQZI52RRYzlMc0IDcUfAfaPvHWc84l4wynUf1J19ZA?e=g0rO3c" xr:uid="{865186EC-624D-4553-BEA8-0513261BA518}"/>
    <hyperlink ref="X305" r:id="rId630" display="https://gobiernobogota-my.sharepoint.com/:b:/g/personal/planeacion_suba_gobiernobogota_gov_co/IQCok6SIWdA3R5RQoMNCzBIRAetPIxe1IjK9foAFX01Hg1E?e=Oxmd9y" xr:uid="{838D5A09-035C-4DE5-9CF3-9C95A897E5E5}"/>
    <hyperlink ref="AK305" r:id="rId631" display="https://gobiernobogota-my.sharepoint.com/:b:/g/personal/planeacion_suba_gobiernobogota_gov_co/IQC2aoS-774JRpPED_zBrnZHAeux-NYlq_Fn6h9fUc4ncPw?e=xUAuxP" xr:uid="{81CBA382-BA42-4BA4-8F16-5E291D585674}"/>
    <hyperlink ref="K306" r:id="rId632" display="https://gobiernobogota-my.sharepoint.com/:b:/g/personal/planeacion_suba_gobiernobogota_gov_co/IQADC9knk6nNRKJljIOhwk2qAdShpXZmNMX3rXF25hMw_UA?e=dsCZMM" xr:uid="{031ABD22-FD1F-42DC-AA4D-FF760250F896}"/>
    <hyperlink ref="X306" r:id="rId633" display="https://gobiernobogota-my.sharepoint.com/:b:/g/personal/planeacion_suba_gobiernobogota_gov_co/IQAQwRzvwyOGRoadzOfEJbYbAZHcIaYsTNJAlIt0BpMGmxY?e=uCEeS6" xr:uid="{5CD1456B-03BE-40C7-9F5C-9081E14DFD7A}"/>
    <hyperlink ref="AK306" r:id="rId634" display="https://gobiernobogota-my.sharepoint.com/:b:/g/personal/planeacion_suba_gobiernobogota_gov_co/IQAbSLyAFh2xRJr0NhbYbKk2ATKbPTcKyEeZatQ-G_R5UiE?e=uolpOb" xr:uid="{8A79EC7A-5B61-4769-A578-523CCD485F62}"/>
    <hyperlink ref="K307" r:id="rId635" display="https://gobiernobogota-my.sharepoint.com/:b:/g/personal/planeacion_suba_gobiernobogota_gov_co/IQBLOKQZI52RRYzlMc0IDcUfAfaPvHWc84l4wynUf1J19ZA?e=g0rO3c" xr:uid="{F095D5F7-95F3-49D1-B795-D9767CD84DC9}"/>
    <hyperlink ref="X307" r:id="rId636" display="https://gobiernobogota-my.sharepoint.com/:b:/g/personal/planeacion_suba_gobiernobogota_gov_co/IQCok6SIWdA3R5RQoMNCzBIRAetPIxe1IjK9foAFX01Hg1E?e=Oxmd9y" xr:uid="{79AA9BCC-AC85-4CBC-9EB3-6A661C03092F}"/>
    <hyperlink ref="AK307" r:id="rId637" display="https://gobiernobogota-my.sharepoint.com/:b:/g/personal/planeacion_suba_gobiernobogota_gov_co/IQC-M4CpEc_7Q7CjRQb3u8rmAbp_GflOj94ZjWYaeudi_jc?e=r6EmJX" xr:uid="{743B41C9-C333-4AE1-BB94-3FA161F21519}"/>
    <hyperlink ref="K308" r:id="rId638" display="https://gobiernobogota-my.sharepoint.com/:b:/g/personal/planeacion_suba_gobiernobogota_gov_co/IQBLOKQZI52RRYzlMc0IDcUfAfaPvHWc84l4wynUf1J19ZA?e=g0rO3c" xr:uid="{4AB9FD4E-BDCD-4203-BE1A-D9EB3499503E}"/>
    <hyperlink ref="X308" r:id="rId639" display="https://gobiernobogota-my.sharepoint.com/:b:/g/personal/planeacion_suba_gobiernobogota_gov_co/IQDJG4E-UfPwT4ttDWhHFiAJAUaUrQx0zWNcfNoVbca0SIY?e=RrzoUc" xr:uid="{F73EA64E-3A0B-4AB6-A1DA-94380906D4FA}"/>
    <hyperlink ref="AK308" r:id="rId640" display="https://gobiernobogota-my.sharepoint.com/:b:/g/personal/planeacion_suba_gobiernobogota_gov_co/IQDRZUD-UXqwQI0aljPapQEHATZceTl-Ovg4DLMLctyokVs?e=HelUZk" xr:uid="{3B845D25-9E02-45A4-94C2-41B7D1CD1EE2}"/>
    <hyperlink ref="K309" r:id="rId641" display="https://gobiernobogota-my.sharepoint.com/:b:/g/personal/planeacion_suba_gobiernobogota_gov_co/IQADC9knk6nNRKJljIOhwk2qAdShpXZmNMX3rXF25hMw_UA?e=dsCZMM" xr:uid="{80FFAD3A-E102-4D0E-903E-8A13A4C30F14}"/>
    <hyperlink ref="X309" r:id="rId642" display="https://gobiernobogota-my.sharepoint.com/:b:/g/personal/planeacion_suba_gobiernobogota_gov_co/IQAQwRzvwyOGRoadzOfEJbYbAZHcIaYsTNJAlIt0BpMGmxY?e=uCEeS6" xr:uid="{9EE4A6D8-940B-4038-BF8E-CA88A47378CF}"/>
    <hyperlink ref="AK309" r:id="rId643" display="https://gobiernobogota-my.sharepoint.com/:b:/g/personal/planeacion_suba_gobiernobogota_gov_co/IQAbSLyAFh2xRJr0NhbYbKk2ATKbPTcKyEeZatQ-G_R5UiE?e=uolpOb" xr:uid="{268E1D72-9320-4365-93A5-E23128489A63}"/>
    <hyperlink ref="K310" r:id="rId644" display="https://gobiernobogota-my.sharepoint.com/:b:/g/personal/planeacion_suba_gobiernobogota_gov_co/IQDEXee0FpFMQKSQU4EvgHj_ATEptTNuQKPPLsT0ragTcHk?e=itjiyc" xr:uid="{B000246B-EDEE-4672-B361-E73FB8FF2B01}"/>
    <hyperlink ref="X310" r:id="rId645" display="https://gobiernobogota-my.sharepoint.com/:b:/g/personal/planeacion_suba_gobiernobogota_gov_co/IQAxgaU7SxW9Rro8Hy7VpJTJAToHKwj4AvsLo3R3IrsWqK0?e=aU5rRD" xr:uid="{D7500A3B-1576-4DF5-A406-22A2522FEC20}"/>
    <hyperlink ref="AK310" r:id="rId646" display="https://gobiernobogota-my.sharepoint.com/:b:/g/personal/planeacion_suba_gobiernobogota_gov_co/IQAJY2I56kJWQLfQr7jENZyJAXvxIhZp6keKJrMXWDWt76o?e=qvMiXa" xr:uid="{C816A8C3-0178-48BA-B5B8-E8156E10004F}"/>
    <hyperlink ref="K311" r:id="rId647" display="https://gobiernobogota-my.sharepoint.com/:b:/g/personal/planeacion_suba_gobiernobogota_gov_co/IQADC9knk6nNRKJljIOhwk2qAdShpXZmNMX3rXF25hMw_UA?e=dsCZMM" xr:uid="{2212F7DD-CD2A-4E3E-B485-73D68DF8D06C}"/>
    <hyperlink ref="X311" r:id="rId648" display="https://gobiernobogota-my.sharepoint.com/:b:/g/personal/planeacion_suba_gobiernobogota_gov_co/IQAQwRzvwyOGRoadzOfEJbYbAZHcIaYsTNJAlIt0BpMGmxY?e=uCEeS6" xr:uid="{87129701-EEDB-480E-8D9B-3607637BC710}"/>
    <hyperlink ref="AK311" r:id="rId649" display="https://gobiernobogota-my.sharepoint.com/:b:/g/personal/planeacion_suba_gobiernobogota_gov_co/IQAbSLyAFh2xRJr0NhbYbKk2ATKbPTcKyEeZatQ-G_R5UiE?e=uolpOb" xr:uid="{CF5070B9-1894-4298-97EF-202C1172FF6F}"/>
    <hyperlink ref="K312" r:id="rId650" display="https://gobiernobogota-my.sharepoint.com/:b:/g/personal/planeacion_suba_gobiernobogota_gov_co/IQBLOKQZI52RRYzlMc0IDcUfAfaPvHWc84l4wynUf1J19ZA?e=g0rO3c" xr:uid="{D7B411EF-A917-4B09-91C2-C8E2AE7012E2}"/>
    <hyperlink ref="X312" r:id="rId651" display="https://gobiernobogota-my.sharepoint.com/:b:/g/personal/planeacion_suba_gobiernobogota_gov_co/IQCok6SIWdA3R5RQoMNCzBIRAetPIxe1IjK9foAFX01Hg1E?e=Oxmd9y" xr:uid="{19E16F3D-36D4-4CD4-8DF2-8951E40FF6D0}"/>
    <hyperlink ref="AK312" r:id="rId652" display="https://gobiernobogota-my.sharepoint.com/:b:/g/personal/planeacion_suba_gobiernobogota_gov_co/IQA9jx7Yay92SZwkIY2qbHUqAXc2z8kRtNCZiSfJQBatRHk?e=HmQejn" xr:uid="{31649584-DDF8-4048-B4A3-7B2DF76AD9DE}"/>
    <hyperlink ref="K313" r:id="rId653" display="https://gobiernobogota-my.sharepoint.com/:b:/g/personal/planeacion_suba_gobiernobogota_gov_co/IQCwdFSHwnHqSLeeK38ofE8rAYD9evJGtU1TpbK6qozOIpM?e=CcVnH3" xr:uid="{CEDE7ABA-0DDB-4DE2-812A-B7128F6709A7}"/>
    <hyperlink ref="X313" r:id="rId654" display="https://gobiernobogota-my.sharepoint.com/:b:/g/personal/planeacion_suba_gobiernobogota_gov_co/IQBpGvfMQod7SqZbRvUziuXKARGEylCxC2jZZwYY1936nQE?e=oF7XTe" xr:uid="{25B705E2-3D5B-4E28-955E-F9BA9B44DC08}"/>
    <hyperlink ref="AK313" r:id="rId655" display="https://gobiernobogota-my.sharepoint.com/:b:/g/personal/planeacion_suba_gobiernobogota_gov_co/IQB1SexwxYkcRoQRYI6ce_VFARpPT1ytGEb3jTVJN6SAkzY?e=T2Pe3t" xr:uid="{76EF5B3C-D080-4BEB-9A8F-09E5AED445F1}"/>
    <hyperlink ref="K314" r:id="rId656" display="https://gobiernobogota-my.sharepoint.com/:b:/g/personal/planeacion_suba_gobiernobogota_gov_co/IQBLOKQZI52RRYzlMc0IDcUfAfaPvHWc84l4wynUf1J19ZA?e=g0rO3c" xr:uid="{F2EFDD05-ECA0-4BFA-BC4C-7DC82C26B4EA}"/>
    <hyperlink ref="X314" r:id="rId657" display="https://gobiernobogota-my.sharepoint.com/:b:/g/personal/planeacion_suba_gobiernobogota_gov_co/IQC8CxV0RN7mTYVk1ymaF1yVAZr9O2JpF-azOIh6cQPSRI8?e=9D1mDk" xr:uid="{C82DEFF4-6240-4B27-96D5-8F64F696EA2B}"/>
    <hyperlink ref="AK314" r:id="rId658" display="https://gobiernobogota-my.sharepoint.com/:b:/g/personal/planeacion_suba_gobiernobogota_gov_co/IQB9Oy6TtDaFQbZE_bLXy3GYAYuwsC0yfNa25dN4sEE5eqI?e=dXA3na" xr:uid="{76E65B8F-E784-46DA-A124-E7B1A78125C9}"/>
    <hyperlink ref="K315" r:id="rId659" display="https://gobiernobogota-my.sharepoint.com/:b:/g/personal/planeacion_suba_gobiernobogota_gov_co/IQBLOKQZI52RRYzlMc0IDcUfAfaPvHWc84l4wynUf1J19ZA?e=g0rO3c" xr:uid="{E1D33DF6-C4AB-4161-9350-BF660D2339FE}"/>
    <hyperlink ref="X315" r:id="rId660" display="https://gobiernobogota-my.sharepoint.com/:b:/g/personal/planeacion_suba_gobiernobogota_gov_co/IQCok6SIWdA3R5RQoMNCzBIRAetPIxe1IjK9foAFX01Hg1E?e=Oxmd9y" xr:uid="{1023C933-FD06-4A1C-970F-EA30B2A4FE59}"/>
    <hyperlink ref="AK315" r:id="rId661" display="https://gobiernobogota-my.sharepoint.com/:b:/g/personal/planeacion_suba_gobiernobogota_gov_co/IQBVWMwrdACHT6aq60nHEW8jAXGmPcWtdSRJUb5rQoOVTUU?e=9IA0lq" xr:uid="{5B936750-D65C-4601-B24B-60CA8B0EF147}"/>
    <hyperlink ref="K316" r:id="rId662" display="https://gobiernobogota-my.sharepoint.com/:b:/g/personal/planeacion_suba_gobiernobogota_gov_co/IQBLOKQZI52RRYzlMc0IDcUfAfaPvHWc84l4wynUf1J19ZA?e=g0rO3c" xr:uid="{77AE986E-D7DE-4AFD-BC5B-38EE62AE2306}"/>
    <hyperlink ref="X316" r:id="rId663" display="https://gobiernobogota-my.sharepoint.com/:b:/g/personal/planeacion_suba_gobiernobogota_gov_co/IQCok6SIWdA3R5RQoMNCzBIRAetPIxe1IjK9foAFX01Hg1E?e=Oxmd9y" xr:uid="{A63B5C5C-D846-4E70-BD0C-AB11E3926AE9}"/>
    <hyperlink ref="AK316" r:id="rId664" display="https://gobiernobogota-my.sharepoint.com/:b:/g/personal/planeacion_suba_gobiernobogota_gov_co/IQChG_pnSBYESbCkTq7ZUQwbAehFS7xvsGP0TZYFRofqEMg?e=qWqZgF" xr:uid="{E34DC6ED-E853-4617-B851-FED140CAA1A0}"/>
    <hyperlink ref="K317" r:id="rId665" display="https://gobiernobogota-my.sharepoint.com/:b:/g/personal/planeacion_suba_gobiernobogota_gov_co/IQADC9knk6nNRKJljIOhwk2qAdShpXZmNMX3rXF25hMw_UA?e=dsCZMM" xr:uid="{A041D73C-3919-48BF-A1FA-47A340E43596}"/>
    <hyperlink ref="X317" r:id="rId666" display="https://gobiernobogota-my.sharepoint.com/:b:/g/personal/planeacion_suba_gobiernobogota_gov_co/IQAQwRzvwyOGRoadzOfEJbYbAZHcIaYsTNJAlIt0BpMGmxY?e=uCEeS6" xr:uid="{14132889-EE09-48C8-AD9E-43FB9B08738C}"/>
    <hyperlink ref="AK317" r:id="rId667" display="https://gobiernobogota-my.sharepoint.com/:b:/g/personal/planeacion_suba_gobiernobogota_gov_co/IQAbSLyAFh2xRJr0NhbYbKk2ATKbPTcKyEeZatQ-G_R5UiE?e=uolpOb" xr:uid="{50751CCC-C3FB-41C0-8F2D-5DCFF75421FA}"/>
    <hyperlink ref="K318" r:id="rId668" display="https://gobiernobogota-my.sharepoint.com/:b:/g/personal/planeacion_suba_gobiernobogota_gov_co/IQADC9knk6nNRKJljIOhwk2qAdShpXZmNMX3rXF25hMw_UA?e=dsCZMM" xr:uid="{93833FEF-D87E-41BF-AC75-E385DC2A06EB}"/>
    <hyperlink ref="X318" r:id="rId669" display="https://gobiernobogota-my.sharepoint.com/:b:/g/personal/planeacion_suba_gobiernobogota_gov_co/IQAQwRzvwyOGRoadzOfEJbYbAZHcIaYsTNJAlIt0BpMGmxY?e=uCEeS6" xr:uid="{96FC0871-C919-4069-9B67-D2F853BE3566}"/>
    <hyperlink ref="AK318" r:id="rId670" display="https://gobiernobogota-my.sharepoint.com/:b:/g/personal/planeacion_suba_gobiernobogota_gov_co/IQAbSLyAFh2xRJr0NhbYbKk2ATKbPTcKyEeZatQ-G_R5UiE?e=uolpOb" xr:uid="{572168F5-B311-47B3-933A-1C47701DC166}"/>
    <hyperlink ref="K319" r:id="rId671" display="https://gobiernobogota-my.sharepoint.com/:b:/g/personal/planeacion_suba_gobiernobogota_gov_co/IQADC9knk6nNRKJljIOhwk2qAdShpXZmNMX3rXF25hMw_UA?e=dsCZMM" xr:uid="{AC450537-D344-4267-8410-27D25E594B74}"/>
    <hyperlink ref="X319" r:id="rId672" display="https://gobiernobogota-my.sharepoint.com/:b:/g/personal/planeacion_suba_gobiernobogota_gov_co/IQAQwRzvwyOGRoadzOfEJbYbAZHcIaYsTNJAlIt0BpMGmxY?e=uCEeS6" xr:uid="{F11FF313-0955-458C-B0EF-C6CB696461A0}"/>
    <hyperlink ref="AK319" r:id="rId673" display="https://gobiernobogota-my.sharepoint.com/:b:/g/personal/planeacion_suba_gobiernobogota_gov_co/IQAbSLyAFh2xRJr0NhbYbKk2ATKbPTcKyEeZatQ-G_R5UiE?e=uolpOb" xr:uid="{D0334FA4-3091-4896-ABAC-EA1588268BBA}"/>
    <hyperlink ref="K320" r:id="rId674" display="https://gobiernobogota-my.sharepoint.com/:b:/g/personal/planeacion_suba_gobiernobogota_gov_co/IQADC9knk6nNRKJljIOhwk2qAdShpXZmNMX3rXF25hMw_UA?e=dsCZMM" xr:uid="{47BABE09-B4BE-4D1B-A0F6-82645D7B97E2}"/>
    <hyperlink ref="X320" r:id="rId675" display="https://gobiernobogota-my.sharepoint.com/:b:/g/personal/planeacion_suba_gobiernobogota_gov_co/IQAQwRzvwyOGRoadzOfEJbYbAZHcIaYsTNJAlIt0BpMGmxY?e=uCEeS6" xr:uid="{60307B2D-0162-43D2-BFC9-E514EA37A6C6}"/>
    <hyperlink ref="AK320" r:id="rId676" display="https://gobiernobogota-my.sharepoint.com/:b:/g/personal/planeacion_suba_gobiernobogota_gov_co/IQAbSLyAFh2xRJr0NhbYbKk2ATKbPTcKyEeZatQ-G_R5UiE?e=uolpOb" xr:uid="{3585DD88-A67C-42B7-B822-794CF47B68CD}"/>
    <hyperlink ref="K321" r:id="rId677" display="https://gobiernobogota-my.sharepoint.com/:b:/g/personal/planeacion_suba_gobiernobogota_gov_co/IQAZFC9EQhyhSpX_sFHZ9hY7AUFQwK6uE1jxzliiygCwiBs?e=uFyISb" xr:uid="{625B97F2-6F43-4D16-8A26-029B88792CD3}"/>
    <hyperlink ref="X321" r:id="rId678" display="https://gobiernobogota-my.sharepoint.com/:b:/g/personal/planeacion_suba_gobiernobogota_gov_co/IQAFIyOouQ6tR7AKy9s43lnWAUB6aQ-6IHz9Kqgf1Y8vzCE?e=y6Jktp" xr:uid="{8200B66F-2634-4351-A070-AFECE64BEEFD}"/>
    <hyperlink ref="AK321" r:id="rId679" display="https://gobiernobogota-my.sharepoint.com/:b:/g/personal/planeacion_suba_gobiernobogota_gov_co/IQCyDcYwOd5_RKf-vjsa3Bd5AeAiAtLtSVc3GjQfDeKyh_M?e=KfJYjZ" xr:uid="{B0F44B54-4299-455F-97F6-D24FDDBC8748}"/>
    <hyperlink ref="K322" r:id="rId680" display="https://gobiernobogota-my.sharepoint.com/:b:/g/personal/planeacion_suba_gobiernobogota_gov_co/IQADC9knk6nNRKJljIOhwk2qAdShpXZmNMX3rXF25hMw_UA?e=dsCZMM" xr:uid="{AD933304-D85E-4149-9992-A3ABC8A8131B}"/>
    <hyperlink ref="X322" r:id="rId681" display="https://gobiernobogota-my.sharepoint.com/:b:/g/personal/planeacion_suba_gobiernobogota_gov_co/IQAQwRzvwyOGRoadzOfEJbYbAZHcIaYsTNJAlIt0BpMGmxY?e=uCEeS6" xr:uid="{6E895545-AD17-4B22-9A16-9A90BB32022C}"/>
    <hyperlink ref="AK322" r:id="rId682" display="https://gobiernobogota-my.sharepoint.com/:b:/g/personal/planeacion_suba_gobiernobogota_gov_co/IQAbSLyAFh2xRJr0NhbYbKk2ATKbPTcKyEeZatQ-G_R5UiE?e=uolpOb" xr:uid="{A510E048-E2D7-49A0-AE3E-4672B3D84769}"/>
    <hyperlink ref="K323" r:id="rId683" display="https://gobiernobogota-my.sharepoint.com/:b:/g/personal/planeacion_suba_gobiernobogota_gov_co/IQADC9knk6nNRKJljIOhwk2qAdShpXZmNMX3rXF25hMw_UA?e=dsCZMM" xr:uid="{73921196-BEC8-4BBD-A9DE-33B8627DF14C}"/>
    <hyperlink ref="X323" r:id="rId684" display="https://gobiernobogota-my.sharepoint.com/:b:/g/personal/planeacion_suba_gobiernobogota_gov_co/IQAQwRzvwyOGRoadzOfEJbYbAZHcIaYsTNJAlIt0BpMGmxY?e=uCEeS6" xr:uid="{B16CAD64-97EE-404B-BEA0-DCDBB6E5197F}"/>
    <hyperlink ref="AK323" r:id="rId685" display="https://gobiernobogota-my.sharepoint.com/:b:/g/personal/planeacion_suba_gobiernobogota_gov_co/IQAbSLyAFh2xRJr0NhbYbKk2ATKbPTcKyEeZatQ-G_R5UiE?e=uolpOb" xr:uid="{BF7FF9E5-8AC9-43C2-8C1E-9A7CD49D54F0}"/>
    <hyperlink ref="K324" r:id="rId686" display="https://gobiernobogota-my.sharepoint.com/:b:/g/personal/planeacion_suba_gobiernobogota_gov_co/IQADC9knk6nNRKJljIOhwk2qAdShpXZmNMX3rXF25hMw_UA?e=dsCZMM" xr:uid="{50578A72-120A-43C4-9E87-F7473E33C3AC}"/>
    <hyperlink ref="X324" r:id="rId687" display="https://gobiernobogota-my.sharepoint.com/:b:/g/personal/planeacion_suba_gobiernobogota_gov_co/IQAQwRzvwyOGRoadzOfEJbYbAZHcIaYsTNJAlIt0BpMGmxY?e=uCEeS6" xr:uid="{20CF0DEE-6C92-43AC-BC17-30A28607520E}"/>
    <hyperlink ref="AK324" r:id="rId688" display="https://gobiernobogota-my.sharepoint.com/:b:/g/personal/planeacion_suba_gobiernobogota_gov_co/IQAbSLyAFh2xRJr0NhbYbKk2ATKbPTcKyEeZatQ-G_R5UiE?e=uolpOb" xr:uid="{82D21027-B6DF-4780-9953-B12A10429760}"/>
    <hyperlink ref="K325" r:id="rId689" display="https://gobiernobogota-my.sharepoint.com/:b:/g/personal/planeacion_suba_gobiernobogota_gov_co/IQADC9knk6nNRKJljIOhwk2qAdShpXZmNMX3rXF25hMw_UA?e=dsCZMM" xr:uid="{4CE80F0D-790B-42B3-AA8A-0B9CF3C78EA0}"/>
    <hyperlink ref="X325" r:id="rId690" display="https://gobiernobogota-my.sharepoint.com/:b:/g/personal/planeacion_suba_gobiernobogota_gov_co/IQAQwRzvwyOGRoadzOfEJbYbAZHcIaYsTNJAlIt0BpMGmxY?e=uCEeS6" xr:uid="{1ECD8162-85C0-466F-98C3-548FF14D3950}"/>
    <hyperlink ref="AK325" r:id="rId691" display="https://gobiernobogota-my.sharepoint.com/:b:/g/personal/planeacion_suba_gobiernobogota_gov_co/IQAbSLyAFh2xRJr0NhbYbKk2ATKbPTcKyEeZatQ-G_R5UiE?e=uolpOb" xr:uid="{EA52DD86-7714-4B27-8F2D-1DEFC269B5ED}"/>
    <hyperlink ref="K326" r:id="rId692" display="https://gobiernobogota-my.sharepoint.com/:b:/g/personal/planeacion_suba_gobiernobogota_gov_co/IQADC9knk6nNRKJljIOhwk2qAdShpXZmNMX3rXF25hMw_UA?e=dsCZMM" xr:uid="{317CD750-1A2A-4651-92A1-28CE20D9B706}"/>
    <hyperlink ref="X326" r:id="rId693" display="https://gobiernobogota-my.sharepoint.com/:b:/g/personal/planeacion_suba_gobiernobogota_gov_co/IQAQwRzvwyOGRoadzOfEJbYbAZHcIaYsTNJAlIt0BpMGmxY?e=uCEeS6" xr:uid="{381447DC-1118-4308-B76B-855437DAE6CF}"/>
    <hyperlink ref="AK326" r:id="rId694" display="https://gobiernobogota-my.sharepoint.com/:b:/g/personal/planeacion_suba_gobiernobogota_gov_co/IQAbSLyAFh2xRJr0NhbYbKk2ATKbPTcKyEeZatQ-G_R5UiE?e=uolpOb" xr:uid="{7D9564BC-C588-43F7-A182-E99BF894A1DE}"/>
    <hyperlink ref="K327" r:id="rId695" display="https://gobiernobogota-my.sharepoint.com/:b:/g/personal/planeacion_suba_gobiernobogota_gov_co/IQADC9knk6nNRKJljIOhwk2qAdShpXZmNMX3rXF25hMw_UA?e=dsCZMM" xr:uid="{F560FC6E-5A7E-4B0D-AE4F-D3372649D015}"/>
    <hyperlink ref="X327" r:id="rId696" display="https://gobiernobogota-my.sharepoint.com/:b:/g/personal/planeacion_suba_gobiernobogota_gov_co/IQAQwRzvwyOGRoadzOfEJbYbAZHcIaYsTNJAlIt0BpMGmxY?e=uCEeS6" xr:uid="{E60BBA70-1EBD-4AA0-AD4D-8017D77FBABC}"/>
    <hyperlink ref="AK327" r:id="rId697" display="https://gobiernobogota-my.sharepoint.com/:b:/g/personal/planeacion_suba_gobiernobogota_gov_co/IQAbSLyAFh2xRJr0NhbYbKk2ATKbPTcKyEeZatQ-G_R5UiE?e=uolpOb" xr:uid="{27D9AF07-FC76-4D4F-9F5D-9A1FB34650B9}"/>
    <hyperlink ref="K328" r:id="rId698" display="https://gobiernobogota-my.sharepoint.com/:b:/g/personal/planeacion_suba_gobiernobogota_gov_co/IQADC9knk6nNRKJljIOhwk2qAdShpXZmNMX3rXF25hMw_UA?e=dsCZMM" xr:uid="{FD126A5C-6CB9-486A-A6A5-9A9488245407}"/>
    <hyperlink ref="X328" r:id="rId699" display="https://gobiernobogota-my.sharepoint.com/:b:/g/personal/planeacion_suba_gobiernobogota_gov_co/IQAQwRzvwyOGRoadzOfEJbYbAZHcIaYsTNJAlIt0BpMGmxY?e=uCEeS6" xr:uid="{08561F28-8E60-4A01-99FB-00AAB8139A18}"/>
    <hyperlink ref="AK328" r:id="rId700" display="https://gobiernobogota-my.sharepoint.com/:b:/g/personal/planeacion_suba_gobiernobogota_gov_co/IQAbSLyAFh2xRJr0NhbYbKk2ATKbPTcKyEeZatQ-G_R5UiE?e=uolpOb" xr:uid="{CE15C50E-B5A2-4DE8-94E5-C60A181EDC24}"/>
    <hyperlink ref="K329" r:id="rId701" display="https://gobiernobogota-my.sharepoint.com/:b:/g/personal/planeacion_suba_gobiernobogota_gov_co/IQADC9knk6nNRKJljIOhwk2qAdShpXZmNMX3rXF25hMw_UA?e=dsCZMM" xr:uid="{C073CBDC-43B4-4EDC-BB2E-3E6C02B39CAB}"/>
    <hyperlink ref="X329" r:id="rId702" display="https://gobiernobogota-my.sharepoint.com/:b:/g/personal/planeacion_suba_gobiernobogota_gov_co/IQAQwRzvwyOGRoadzOfEJbYbAZHcIaYsTNJAlIt0BpMGmxY?e=uCEeS6" xr:uid="{5602B1ED-FF1C-4E82-8BD1-63B28D1BD221}"/>
    <hyperlink ref="AK329" r:id="rId703" display="https://gobiernobogota-my.sharepoint.com/:b:/g/personal/planeacion_suba_gobiernobogota_gov_co/IQAbSLyAFh2xRJr0NhbYbKk2ATKbPTcKyEeZatQ-G_R5UiE?e=uolpOb" xr:uid="{15E3C488-6FE1-422D-A983-A2AB92F01247}"/>
    <hyperlink ref="K330" r:id="rId704" display="https://gobiernobogota-my.sharepoint.com/:b:/g/personal/planeacion_suba_gobiernobogota_gov_co/IQADC9knk6nNRKJljIOhwk2qAdShpXZmNMX3rXF25hMw_UA?e=dsCZMM" xr:uid="{3E414E13-F18A-4363-A159-96247EE1FE30}"/>
    <hyperlink ref="X330" r:id="rId705" display="https://gobiernobogota-my.sharepoint.com/:b:/g/personal/planeacion_suba_gobiernobogota_gov_co/IQAQwRzvwyOGRoadzOfEJbYbAZHcIaYsTNJAlIt0BpMGmxY?e=uCEeS6" xr:uid="{8A59E234-09AD-4F8D-994B-8792A3692CED}"/>
    <hyperlink ref="AK330" r:id="rId706" display="https://gobiernobogota-my.sharepoint.com/:b:/g/personal/planeacion_suba_gobiernobogota_gov_co/IQAbSLyAFh2xRJr0NhbYbKk2ATKbPTcKyEeZatQ-G_R5UiE?e=uolpOb" xr:uid="{A960665D-D8D6-446A-AC09-43F9D42FE3EB}"/>
    <hyperlink ref="K331" r:id="rId707" display="https://gobiernobogota-my.sharepoint.com/:b:/g/personal/planeacion_suba_gobiernobogota_gov_co/IQBLOKQZI52RRYzlMc0IDcUfAfaPvHWc84l4wynUf1J19ZA?e=g0rO3c" xr:uid="{6ABC5FAF-D67A-48C4-951B-190265EA2001}"/>
    <hyperlink ref="X331" r:id="rId708" display="https://gobiernobogota-my.sharepoint.com/:b:/g/personal/planeacion_suba_gobiernobogota_gov_co/IQCX5R01gnI3QLPk49hsK0lpAXaK-OSVtPGApsy1wuJ-x1s?e=X6CBQ2" xr:uid="{D7BFA0BF-375C-4615-9F64-5FEEC4B307B2}"/>
    <hyperlink ref="AK331" r:id="rId709" display="https://gobiernobogota-my.sharepoint.com/:b:/g/personal/planeacion_suba_gobiernobogota_gov_co/IQCok6SIWdA3R5RQoMNCzBIRAetPIxe1IjK9foAFX01Hg1E?e=Oxmd9y" xr:uid="{32F1CE05-C2F2-4692-AD66-CB2FEC89586F}"/>
    <hyperlink ref="K332" r:id="rId710" display="https://gobiernobogota-my.sharepoint.com/:b:/g/personal/planeacion_suba_gobiernobogota_gov_co/IQBLOKQZI52RRYzlMc0IDcUfAfaPvHWc84l4wynUf1J19ZA?e=g0rO3c" xr:uid="{57E5D566-04A8-4280-923A-7F9E880725AC}"/>
    <hyperlink ref="X332" r:id="rId711" display="https://gobiernobogota-my.sharepoint.com/:b:/g/personal/planeacion_suba_gobiernobogota_gov_co/IQDqupQ--IzJRpFmdOTR8AaSAZxrBWJNb6V6nKS53MrkSq0?e=t9qv9V" xr:uid="{0A3F18D3-6F73-471F-B8B7-94C91D63A57C}"/>
    <hyperlink ref="AK332" r:id="rId712" display="https://gobiernobogota-my.sharepoint.com/:b:/g/personal/planeacion_suba_gobiernobogota_gov_co/IQBiSF_o8zcxTL5ArZEJJyajARFSwvZPuym3WN1imwXhAXI?e=up9f48" xr:uid="{FEC603E6-DFBD-4E3F-885D-E797099EC089}"/>
    <hyperlink ref="K333" r:id="rId713" display="https://gobiernobogota-my.sharepoint.com/:b:/g/personal/planeacion_suba_gobiernobogota_gov_co/IQBLOKQZI52RRYzlMc0IDcUfAfaPvHWc84l4wynUf1J19ZA?e=g0rO3c" xr:uid="{58446282-E87A-49D6-9A98-D42B314CB492}"/>
    <hyperlink ref="X333" r:id="rId714" display="https://gobiernobogota-my.sharepoint.com/:b:/g/personal/planeacion_suba_gobiernobogota_gov_co/IQCok6SIWdA3R5RQoMNCzBIRAetPIxe1IjK9foAFX01Hg1E?e=Oxmd9y" xr:uid="{6CBCD59E-3574-448D-B6B1-CF235D572466}"/>
    <hyperlink ref="AK333" r:id="rId715" display="https://gobiernobogota-my.sharepoint.com/:b:/g/personal/planeacion_suba_gobiernobogota_gov_co/IQB404XlmRJgR6qklP4P1LWjAX47VGLpSCetGgQmg8L025g?e=3mjWZY" xr:uid="{2CB0BA01-841D-497F-8E96-2AB9F7E5636C}"/>
    <hyperlink ref="K334" r:id="rId716" display="https://gobiernobogota-my.sharepoint.com/:b:/g/personal/planeacion_suba_gobiernobogota_gov_co/IQBLOKQZI52RRYzlMc0IDcUfAfaPvHWc84l4wynUf1J19ZA?e=g0rO3c" xr:uid="{5B33E6A4-099E-4412-9363-94905EF0C00C}"/>
    <hyperlink ref="X334" r:id="rId717" display="https://gobiernobogota-my.sharepoint.com/:b:/g/personal/planeacion_suba_gobiernobogota_gov_co/IQCok6SIWdA3R5RQoMNCzBIRAetPIxe1IjK9foAFX01Hg1E?e=Oxmd9y" xr:uid="{EB555F9B-964B-49D4-B618-B513522F3DDC}"/>
    <hyperlink ref="K335" r:id="rId718" display="https://gobiernobogota-my.sharepoint.com/:b:/g/personal/planeacion_suba_gobiernobogota_gov_co/IQBLOKQZI52RRYzlMc0IDcUfAfaPvHWc84l4wynUf1J19ZA?e=g0rO3c" xr:uid="{D7933D9B-A7B4-48C5-9AEF-5172A28A405D}"/>
    <hyperlink ref="X335" r:id="rId719" display="https://gobiernobogota-my.sharepoint.com/:b:/g/personal/planeacion_suba_gobiernobogota_gov_co/IQCok6SIWdA3R5RQoMNCzBIRAetPIxe1IjK9foAFX01Hg1E?e=Oxmd9y" xr:uid="{0A597AB6-11C9-4623-ACA8-E2D39BFC1082}"/>
    <hyperlink ref="AK335" r:id="rId720" display="https://gobiernobogota-my.sharepoint.com/:b:/g/personal/planeacion_suba_gobiernobogota_gov_co/IQB-rTxPUC5_RqPU_7Bza3h1AWBKX6r-q_JwlzKgq6jY9o8?e=94UQHt" xr:uid="{802E2D64-B15C-471F-8B55-BED10BA001C0}"/>
    <hyperlink ref="K336" r:id="rId721" display="https://gobiernobogota-my.sharepoint.com/:b:/g/personal/planeacion_suba_gobiernobogota_gov_co/IQADC9knk6nNRKJljIOhwk2qAdShpXZmNMX3rXF25hMw_UA?e=dsCZMM" xr:uid="{78D778DB-3C17-4666-977B-A35EC6903092}"/>
    <hyperlink ref="X336" r:id="rId722" display="https://gobiernobogota-my.sharepoint.com/:b:/g/personal/planeacion_suba_gobiernobogota_gov_co/IQAQwRzvwyOGRoadzOfEJbYbAZHcIaYsTNJAlIt0BpMGmxY?e=uCEeS6" xr:uid="{139C32DB-3E35-46E8-A673-0D7723EDF7EE}"/>
    <hyperlink ref="AK336" r:id="rId723" display="https://gobiernobogota-my.sharepoint.com/:b:/g/personal/planeacion_suba_gobiernobogota_gov_co/IQAbSLyAFh2xRJr0NhbYbKk2ATKbPTcKyEeZatQ-G_R5UiE?e=uolpOb" xr:uid="{D373AE0D-4C79-42E9-8BAB-F3465EE8EE1C}"/>
    <hyperlink ref="K337" r:id="rId724" display="https://gobiernobogota-my.sharepoint.com/:b:/g/personal/planeacion_suba_gobiernobogota_gov_co/IQADC9knk6nNRKJljIOhwk2qAdShpXZmNMX3rXF25hMw_UA?e=dsCZMM" xr:uid="{91F6A4B8-F8F8-44DE-9015-398A7C0F92A0}"/>
    <hyperlink ref="X337" r:id="rId725" display="https://gobiernobogota-my.sharepoint.com/:b:/g/personal/planeacion_suba_gobiernobogota_gov_co/IQAQwRzvwyOGRoadzOfEJbYbAZHcIaYsTNJAlIt0BpMGmxY?e=uCEeS6" xr:uid="{A2E8AE1F-0F94-4F20-9603-4D85C77000CD}"/>
    <hyperlink ref="AK337" r:id="rId726" display="https://gobiernobogota-my.sharepoint.com/:b:/g/personal/planeacion_suba_gobiernobogota_gov_co/IQAbSLyAFh2xRJr0NhbYbKk2ATKbPTcKyEeZatQ-G_R5UiE?e=uolpOb" xr:uid="{6657BD43-365B-45CC-A7F2-0A98C8C2D337}"/>
    <hyperlink ref="K338" r:id="rId727" display="https://gobiernobogota-my.sharepoint.com/:b:/g/personal/planeacion_suba_gobiernobogota_gov_co/IQADC9knk6nNRKJljIOhwk2qAdShpXZmNMX3rXF25hMw_UA?e=dsCZMM" xr:uid="{1AF97449-3F91-42DF-B1A4-B557BEFA63C8}"/>
    <hyperlink ref="X338" r:id="rId728" display="https://gobiernobogota-my.sharepoint.com/:b:/g/personal/planeacion_suba_gobiernobogota_gov_co/IQAQwRzvwyOGRoadzOfEJbYbAZHcIaYsTNJAlIt0BpMGmxY?e=uCEeS6" xr:uid="{92254B25-FB61-44CF-8D4E-0C7DD3C01C11}"/>
    <hyperlink ref="AK338" r:id="rId729" display="https://gobiernobogota-my.sharepoint.com/:b:/g/personal/planeacion_suba_gobiernobogota_gov_co/IQAbSLyAFh2xRJr0NhbYbKk2ATKbPTcKyEeZatQ-G_R5UiE?e=uolpOb" xr:uid="{54824EF0-681B-4A72-8D04-64787F8D441A}"/>
    <hyperlink ref="K339" r:id="rId730" display="https://gobiernobogota-my.sharepoint.com/:b:/g/personal/planeacion_suba_gobiernobogota_gov_co/IQADC9knk6nNRKJljIOhwk2qAdShpXZmNMX3rXF25hMw_UA?e=dsCZMM" xr:uid="{ECA94610-BA2E-4FC0-A64D-B500F4C549A1}"/>
    <hyperlink ref="X339" r:id="rId731" display="https://gobiernobogota-my.sharepoint.com/:b:/g/personal/planeacion_suba_gobiernobogota_gov_co/IQAbSLyAFh2xRJr0NhbYbKk2ATKbPTcKyEeZatQ-G_R5UiE?e=uolpOb" xr:uid="{A7F48C31-9805-40A7-B3E4-2825BACA9772}"/>
    <hyperlink ref="AK339" r:id="rId732" display="https://gobiernobogota-my.sharepoint.com/:b:/g/personal/planeacion_suba_gobiernobogota_gov_co/IQAQwRzvwyOGRoadzOfEJbYbAZHcIaYsTNJAlIt0BpMGmxY?e=uCEeS6" xr:uid="{F1280687-2E2C-4AFC-8ABA-EF6645285ED6}"/>
    <hyperlink ref="K340" r:id="rId733" display="https://gobiernobogota-my.sharepoint.com/:b:/g/personal/planeacion_suba_gobiernobogota_gov_co/IQADC9knk6nNRKJljIOhwk2qAdShpXZmNMX3rXF25hMw_UA?e=dsCZMM" xr:uid="{80E25FA7-9568-41BC-AE67-D714D7072FE0}"/>
    <hyperlink ref="X340" r:id="rId734" display="https://gobiernobogota-my.sharepoint.com/:b:/g/personal/planeacion_suba_gobiernobogota_gov_co/IQAQwRzvwyOGRoadzOfEJbYbAZHcIaYsTNJAlIt0BpMGmxY?e=uCEeS6" xr:uid="{8E75E93B-3147-4E3D-A75E-58002CBE0A06}"/>
    <hyperlink ref="AK340" r:id="rId735" display="https://gobiernobogota-my.sharepoint.com/:b:/g/personal/planeacion_suba_gobiernobogota_gov_co/IQAbSLyAFh2xRJr0NhbYbKk2ATKbPTcKyEeZatQ-G_R5UiE?e=uolpOb" xr:uid="{4BA50F9D-D54D-41B7-9A91-0AD4A12A4920}"/>
    <hyperlink ref="K341" r:id="rId736" display="https://gobiernobogota-my.sharepoint.com/:b:/g/personal/planeacion_suba_gobiernobogota_gov_co/IQBLOKQZI52RRYzlMc0IDcUfAfaPvHWc84l4wynUf1J19ZA?e=g0rO3c" xr:uid="{406C6484-61F4-4825-B937-BB1D0F94940F}"/>
    <hyperlink ref="X341" r:id="rId737" display="https://gobiernobogota-my.sharepoint.com/:b:/g/personal/planeacion_suba_gobiernobogota_gov_co/IQCok6SIWdA3R5RQoMNCzBIRAetPIxe1IjK9foAFX01Hg1E?e=Oxmd9y" xr:uid="{7C186513-8428-404A-A9F0-012A4EDB8D24}"/>
    <hyperlink ref="AK341" r:id="rId738" display="https://gobiernobogota-my.sharepoint.com/:b:/g/personal/planeacion_suba_gobiernobogota_gov_co/IQCOvJGFqcl-RJVHUMbUdfbsAValGWXjy1xZdrCdjIzQm-4?e=gK4hCI" xr:uid="{2DFA586E-5867-4787-AC68-BD9042754E87}"/>
    <hyperlink ref="K342" r:id="rId739" display="https://gobiernobogota-my.sharepoint.com/:b:/g/personal/planeacion_suba_gobiernobogota_gov_co/IQAE5d6a77_NQIMYhCjaxwHsARnlhb-nHncG2gZ-xqKh3ZU?e=zZ5gXI" xr:uid="{EA8CD224-50A1-4220-A049-6AF32E055EFF}"/>
    <hyperlink ref="X342" r:id="rId740" display="https://gobiernobogota-my.sharepoint.com/:b:/g/personal/planeacion_suba_gobiernobogota_gov_co/IQBIkjZj1KjRTKxH5GtJk2O6AetJTqy5XgcwtFnnHqx4tT4?e=BdzLqq" xr:uid="{5411C102-0A4E-4FC5-BED5-A46BDD5DCC75}"/>
    <hyperlink ref="AK342" r:id="rId741" display="https://gobiernobogota-my.sharepoint.com/:b:/g/personal/planeacion_suba_gobiernobogota_gov_co/IQAgIF-QpAnaQLUhlIyprBpKAequVyoOjww_BTalNgCgnwE?e=ihkApT" xr:uid="{207D92F9-D259-4321-9EE5-CFAEF96367A6}"/>
    <hyperlink ref="K343" r:id="rId742" display="https://gobiernobogota-my.sharepoint.com/:b:/g/personal/planeacion_suba_gobiernobogota_gov_co/IQADC9knk6nNRKJljIOhwk2qAdShpXZmNMX3rXF25hMw_UA?e=dsCZMM" xr:uid="{823941F6-CCEC-49E6-A0C1-A452468942F9}"/>
    <hyperlink ref="X343" r:id="rId743" display="https://gobiernobogota-my.sharepoint.com/:b:/g/personal/planeacion_suba_gobiernobogota_gov_co/IQAQwRzvwyOGRoadzOfEJbYbAZHcIaYsTNJAlIt0BpMGmxY?e=uCEeS6" xr:uid="{3DF0E6C6-67F8-47E7-8086-E38955777F15}"/>
    <hyperlink ref="AK343" r:id="rId744" display="https://gobiernobogota-my.sharepoint.com/:b:/g/personal/planeacion_suba_gobiernobogota_gov_co/IQAbSLyAFh2xRJr0NhbYbKk2ATKbPTcKyEeZatQ-G_R5UiE?e=uolpOb" xr:uid="{ED07FCDC-718C-4B2D-BDBD-A222739675F2}"/>
    <hyperlink ref="K344" r:id="rId745" display="https://gobiernobogota-my.sharepoint.com/:b:/g/personal/planeacion_suba_gobiernobogota_gov_co/IQA8bR1PUuIKSK3qOpXhm5niAVg-xiY_Yvtp9ok3V9-V1ho?e=uZ4Plh" xr:uid="{95820A3F-E65C-40FA-88F1-1450D7CE19A0}"/>
    <hyperlink ref="X344" r:id="rId746" display="https://gobiernobogota-my.sharepoint.com/:b:/g/personal/planeacion_suba_gobiernobogota_gov_co/IQDR7F2eHMr1RL3XnQd--C2gAVGIOJDeph3AalNjuQPBQAA?e=1eULUI" xr:uid="{B70C25A3-0C16-4155-97BB-1107BF96A358}"/>
    <hyperlink ref="AK344" r:id="rId747" display="https://gobiernobogota-my.sharepoint.com/:b:/g/personal/planeacion_suba_gobiernobogota_gov_co/IQC6gqeBUUiYSYZu2smrPvNPATRKKL4VrcjrimiDKEsX_sY?e=aU0juA" xr:uid="{AD813B62-2659-4380-A302-7186679129B0}"/>
    <hyperlink ref="K345" r:id="rId748" display="https://gobiernobogota-my.sharepoint.com/:b:/g/personal/planeacion_suba_gobiernobogota_gov_co/IQBLOKQZI52RRYzlMc0IDcUfAfaPvHWc84l4wynUf1J19ZA?e=g0rO3c" xr:uid="{4A5980B2-E2E8-4E1F-BF52-A5C2AA31A872}"/>
    <hyperlink ref="X345" r:id="rId749" display="https://gobiernobogota-my.sharepoint.com/:b:/g/personal/planeacion_suba_gobiernobogota_gov_co/IQCX5R01gnI3QLPk49hsK0lpAXaK-OSVtPGApsy1wuJ-x1s?e=X6CBQ2" xr:uid="{78572147-FA3F-424D-BF50-77B18DEE3E0B}"/>
    <hyperlink ref="AK345" r:id="rId750" display="https://gobiernobogota-my.sharepoint.com/:b:/g/personal/planeacion_suba_gobiernobogota_gov_co/IQCok6SIWdA3R5RQoMNCzBIRAetPIxe1IjK9foAFX01Hg1E?e=Oxmd9y" xr:uid="{1AFADAA0-660D-473B-9829-EC155B7DD7EE}"/>
    <hyperlink ref="K346" r:id="rId751" display="https://gobiernobogota-my.sharepoint.com/:b:/g/personal/planeacion_suba_gobiernobogota_gov_co/IQADC9knk6nNRKJljIOhwk2qAdShpXZmNMX3rXF25hMw_UA?e=dsCZMM" xr:uid="{56141065-5F6F-48BC-A5DF-1F7A3FF6EB92}"/>
    <hyperlink ref="X346" r:id="rId752" display="https://gobiernobogota-my.sharepoint.com/:b:/g/personal/planeacion_suba_gobiernobogota_gov_co/IQAQwRzvwyOGRoadzOfEJbYbAZHcIaYsTNJAlIt0BpMGmxY?e=uCEeS6" xr:uid="{6C0BC3DC-B5BA-4718-B926-D670E6D8B86A}"/>
    <hyperlink ref="AK346" r:id="rId753" display="https://gobiernobogota-my.sharepoint.com/:b:/g/personal/planeacion_suba_gobiernobogota_gov_co/IQAbSLyAFh2xRJr0NhbYbKk2ATKbPTcKyEeZatQ-G_R5UiE?e=uolpOb" xr:uid="{E8FF2717-B2AA-411D-888D-E0A611A722AB}"/>
    <hyperlink ref="K347" r:id="rId754" display="https://gobiernobogota-my.sharepoint.com/:b:/g/personal/planeacion_suba_gobiernobogota_gov_co/IQD-A7LsnsM5SKCECAS3pQrQAeznPA5nZS9K_jpppz9-ax4?e=2C2VdL" xr:uid="{00946AC4-382B-45BF-9ADA-8CE8384C65E7}"/>
    <hyperlink ref="X347" r:id="rId755" display="https://gobiernobogota-my.sharepoint.com/:b:/g/personal/planeacion_suba_gobiernobogota_gov_co/IQDfsmP60fdZT4UmkOn1Y-HOAc76LkEpPVOTT1omED6aVBo?e=hBztkQ" xr:uid="{DC245D05-7D85-4EC8-8335-A15DEB293262}"/>
    <hyperlink ref="AK347" r:id="rId756" display="https://gobiernobogota-my.sharepoint.com/:b:/g/personal/planeacion_suba_gobiernobogota_gov_co/IQBGAIftjl27S7GVdbVc0h6ZAVBNFH7PPTLm3jSrrMOyg1s?e=MvDfVy" xr:uid="{28F522A4-96F7-4C3C-BB9F-6D511C9B01F2}"/>
    <hyperlink ref="K348" r:id="rId757" display="https://gobiernobogota-my.sharepoint.com/:b:/g/personal/planeacion_suba_gobiernobogota_gov_co/IQADC9knk6nNRKJljIOhwk2qAdShpXZmNMX3rXF25hMw_UA?e=dsCZMM" xr:uid="{E030B872-E30F-4D9A-BBE2-E266C202B586}"/>
    <hyperlink ref="X348" r:id="rId758" display="https://gobiernobogota-my.sharepoint.com/:b:/g/personal/planeacion_suba_gobiernobogota_gov_co/IQAQwRzvwyOGRoadzOfEJbYbAZHcIaYsTNJAlIt0BpMGmxY?e=uCEeS6" xr:uid="{A4D19C48-0224-48B5-82A2-7080ECA2B5E8}"/>
    <hyperlink ref="AK348" r:id="rId759" display="https://gobiernobogota-my.sharepoint.com/:b:/g/personal/planeacion_suba_gobiernobogota_gov_co/IQAbSLyAFh2xRJr0NhbYbKk2ATKbPTcKyEeZatQ-G_R5UiE?e=uolpOb" xr:uid="{C82EDD17-34ED-4552-A190-B5AB83E9B4F8}"/>
    <hyperlink ref="K349" r:id="rId760" display="https://gobiernobogota-my.sharepoint.com/:b:/g/personal/planeacion_suba_gobiernobogota_gov_co/IQDClu2GR0o4SqcQZiEiFO4zAcNgNezEC9ZjJOx-a4mXbl8?e=2PyOMP" xr:uid="{601F66C9-80BB-4815-B825-FA5A773A3A75}"/>
    <hyperlink ref="X349" r:id="rId761" display="https://gobiernobogota-my.sharepoint.com/:b:/g/personal/planeacion_suba_gobiernobogota_gov_co/IQCDPw1k7KwlRacML3TGygtcAXF23y6Vv9Bs4JjIOtbX4Ac?e=roe7d7" xr:uid="{2E5A98A5-9D24-42D0-9753-4E790C8D43F2}"/>
    <hyperlink ref="AK349" r:id="rId762" display="https://gobiernobogota-my.sharepoint.com/:b:/g/personal/planeacion_suba_gobiernobogota_gov_co/IQD0KjNGQzKiSrrZvHiPdhu4AerMV_j_S9Js3iSJfc_nYLw?e=hgITHC" xr:uid="{7AE120F3-F14F-4B73-8DE5-99FF6C0F2008}"/>
    <hyperlink ref="K350" r:id="rId763" display="https://gobiernobogota-my.sharepoint.com/:b:/g/personal/planeacion_suba_gobiernobogota_gov_co/IQADC9knk6nNRKJljIOhwk2qAdShpXZmNMX3rXF25hMw_UA?e=dsCZMM" xr:uid="{6916DB40-FF16-459F-9E3C-F086357C0DCE}"/>
    <hyperlink ref="X350" r:id="rId764" display="https://gobiernobogota-my.sharepoint.com/:b:/g/personal/planeacion_suba_gobiernobogota_gov_co/IQAQwRzvwyOGRoadzOfEJbYbAZHcIaYsTNJAlIt0BpMGmxY?e=uCEeS6" xr:uid="{C9208866-7BA5-4EC0-ACCA-E21FF2909E67}"/>
    <hyperlink ref="AK350" r:id="rId765" display="https://gobiernobogota-my.sharepoint.com/:b:/g/personal/planeacion_suba_gobiernobogota_gov_co/IQAbSLyAFh2xRJr0NhbYbKk2ATKbPTcKyEeZatQ-G_R5UiE?e=uolpOb" xr:uid="{6DF9E7B9-3276-4140-9F7F-DD53947251B9}"/>
    <hyperlink ref="K351" r:id="rId766" display="https://gobiernobogota-my.sharepoint.com/:b:/g/personal/planeacion_suba_gobiernobogota_gov_co/IQADC9knk6nNRKJljIOhwk2qAdShpXZmNMX3rXF25hMw_UA?e=dsCZMM" xr:uid="{213A675D-8EB2-4F99-8582-6D598525E18D}"/>
    <hyperlink ref="X351" r:id="rId767" display="https://gobiernobogota-my.sharepoint.com/:b:/g/personal/planeacion_suba_gobiernobogota_gov_co/IQAQwRzvwyOGRoadzOfEJbYbAZHcIaYsTNJAlIt0BpMGmxY?e=uCEeS6" xr:uid="{CF09D385-801E-454C-AD5C-591B2F277595}"/>
    <hyperlink ref="AK351" r:id="rId768" display="https://gobiernobogota-my.sharepoint.com/:b:/g/personal/planeacion_suba_gobiernobogota_gov_co/IQAbSLyAFh2xRJr0NhbYbKk2ATKbPTcKyEeZatQ-G_R5UiE?e=uolpOb" xr:uid="{F3CFE080-658E-481E-ABDD-40F7C727ABEB}"/>
    <hyperlink ref="K352" r:id="rId769" display="https://gobiernobogota-my.sharepoint.com/:b:/g/personal/planeacion_suba_gobiernobogota_gov_co/IQBLOKQZI52RRYzlMc0IDcUfAfaPvHWc84l4wynUf1J19ZA?e=g0rO3c" xr:uid="{F03391B6-AA4B-4B80-9E51-F0B7CE6B52A4}"/>
    <hyperlink ref="X352" r:id="rId770" display="https://gobiernobogota-my.sharepoint.com/:b:/g/personal/planeacion_suba_gobiernobogota_gov_co/IQCX5R01gnI3QLPk49hsK0lpAXaK-OSVtPGApsy1wuJ-x1s?e=X6CBQ2" xr:uid="{FE6FBAB2-1402-4B3A-BF4B-4967A34FEB05}"/>
    <hyperlink ref="AK352" r:id="rId771" display="https://gobiernobogota-my.sharepoint.com/:b:/g/personal/planeacion_suba_gobiernobogota_gov_co/IQDH1WpR3Q8nSbgIi7mnFWnmAXrtDhNyUNs5hxrPWhPaNic?e=EaXpVq" xr:uid="{78400A34-33EC-44CC-9A41-546F8C1581D0}"/>
    <hyperlink ref="K353" r:id="rId772" display="https://gobiernobogota-my.sharepoint.com/:b:/g/personal/planeacion_suba_gobiernobogota_gov_co/IQCX5R01gnI3QLPk49hsK0lpAXaK-OSVtPGApsy1wuJ-x1s?e=X6CBQ2" xr:uid="{33F9390F-95AA-4008-BF49-CDA32C02155B}"/>
    <hyperlink ref="X353" r:id="rId773" display="https://gobiernobogota-my.sharepoint.com/:b:/g/personal/planeacion_suba_gobiernobogota_gov_co/IQCok6SIWdA3R5RQoMNCzBIRAetPIxe1IjK9foAFX01Hg1E?e=Oxmd9y" xr:uid="{F1A52EF2-1728-43E6-BF36-6BEEC8034305}"/>
    <hyperlink ref="AK353" r:id="rId774" display="https://gobiernobogota-my.sharepoint.com/:b:/g/personal/planeacion_suba_gobiernobogota_gov_co/IQD_Vx4C-EHhS6cRqy0mAazUAUQCw7Z6lom4ktNaeAQMFd8?e=IA1amm" xr:uid="{766889C5-898E-42E2-9C0A-EF70DC0656B5}"/>
    <hyperlink ref="K354" r:id="rId775" display="https://gobiernobogota-my.sharepoint.com/:b:/g/personal/planeacion_suba_gobiernobogota_gov_co/IQBLOKQZI52RRYzlMc0IDcUfAfaPvHWc84l4wynUf1J19ZA?e=g0rO3c" xr:uid="{03F2714E-534D-4434-93EC-4A58AB82B4B2}"/>
    <hyperlink ref="X354" r:id="rId776" display="https://gobiernobogota-my.sharepoint.com/:b:/g/personal/planeacion_suba_gobiernobogota_gov_co/IQCok6SIWdA3R5RQoMNCzBIRAetPIxe1IjK9foAFX01Hg1E?e=Oxmd9y" xr:uid="{04E795C4-1B81-487B-A9A7-4C5711BA76C7}"/>
    <hyperlink ref="AK354" r:id="rId777" display="https://gobiernobogota-my.sharepoint.com/:b:/g/personal/planeacion_suba_gobiernobogota_gov_co/IQDfvjcFipGCTrKbXRn3EaJnAfCip4_2raT-HWXk9MMtlic?e=aji9WA" xr:uid="{8FB77158-9187-440A-AAE9-6B324E7881D3}"/>
    <hyperlink ref="K355" r:id="rId778" display="https://gobiernobogota-my.sharepoint.com/:b:/g/personal/planeacion_suba_gobiernobogota_gov_co/IQADC9knk6nNRKJljIOhwk2qAdShpXZmNMX3rXF25hMw_UA?e=dsCZMM" xr:uid="{62986D9F-F0F9-43DE-BA1F-BF4BB8886C2B}"/>
    <hyperlink ref="X355" r:id="rId779" display="https://gobiernobogota-my.sharepoint.com/:b:/g/personal/planeacion_suba_gobiernobogota_gov_co/IQAQwRzvwyOGRoadzOfEJbYbAZHcIaYsTNJAlIt0BpMGmxY?e=uCEeS6" xr:uid="{0AB9D0C5-971F-4A71-B571-988E075F95FC}"/>
    <hyperlink ref="AK355" r:id="rId780" display="https://gobiernobogota-my.sharepoint.com/:b:/g/personal/planeacion_suba_gobiernobogota_gov_co/IQAbSLyAFh2xRJr0NhbYbKk2ATKbPTcKyEeZatQ-G_R5UiE?e=uolpOb" xr:uid="{E22880F9-B313-4222-BA95-10C75D65FFF7}"/>
    <hyperlink ref="K356" r:id="rId781" display="https://gobiernobogota-my.sharepoint.com/:b:/g/personal/planeacion_suba_gobiernobogota_gov_co/IQADC9knk6nNRKJljIOhwk2qAdShpXZmNMX3rXF25hMw_UA?e=dsCZMM" xr:uid="{A8DCA3BD-49E3-4305-A635-B901CCB49EC8}"/>
    <hyperlink ref="X356" r:id="rId782" display="https://gobiernobogota-my.sharepoint.com/:b:/g/personal/planeacion_suba_gobiernobogota_gov_co/IQAQwRzvwyOGRoadzOfEJbYbAZHcIaYsTNJAlIt0BpMGmxY?e=uCEeS6" xr:uid="{993B6AEF-B6DA-450F-8314-9181B6118CEA}"/>
    <hyperlink ref="AK356" r:id="rId783" display="https://gobiernobogota-my.sharepoint.com/:b:/g/personal/planeacion_suba_gobiernobogota_gov_co/IQAbSLyAFh2xRJr0NhbYbKk2ATKbPTcKyEeZatQ-G_R5UiE?e=uolpOb" xr:uid="{91646812-A093-472B-912B-7E10E5810E89}"/>
    <hyperlink ref="K357" r:id="rId784" display="https://gobiernobogota-my.sharepoint.com/:b:/g/personal/planeacion_suba_gobiernobogota_gov_co/IQCX5R01gnI3QLPk49hsK0lpAXaK-OSVtPGApsy1wuJ-x1s?e=X6CBQ2" xr:uid="{F3ECC20C-70A4-4383-A108-B6DCB3C366F9}"/>
    <hyperlink ref="X357" r:id="rId785" display="https://gobiernobogota-my.sharepoint.com/:b:/g/personal/planeacion_suba_gobiernobogota_gov_co/IQCok6SIWdA3R5RQoMNCzBIRAetPIxe1IjK9foAFX01Hg1E?e=Oxmd9y" xr:uid="{7722AE75-3F1E-4E53-8FA6-102BED7D70C8}"/>
    <hyperlink ref="AK357" r:id="rId786" display="https://gobiernobogota-my.sharepoint.com/:b:/g/personal/planeacion_suba_gobiernobogota_gov_co/IQCBKMJeIPh4QIwY7ZRCqdJZAZr-Dfe2L-gvMk0haiqWMBo?e=lFNTTp" xr:uid="{E342BC09-E6DD-4FDD-B994-3698E5580D46}"/>
    <hyperlink ref="K358" r:id="rId787" display="https://gobiernobogota-my.sharepoint.com/:b:/g/personal/planeacion_suba_gobiernobogota_gov_co/IQBLOKQZI52RRYzlMc0IDcUfAfaPvHWc84l4wynUf1J19ZA?e=g0rO3c" xr:uid="{EF5778AF-BC5C-4BEF-A244-92E82BF2AE83}"/>
    <hyperlink ref="X358" r:id="rId788" display="https://gobiernobogota-my.sharepoint.com/:b:/g/personal/planeacion_suba_gobiernobogota_gov_co/IQCX5R01gnI3QLPk49hsK0lpAXaK-OSVtPGApsy1wuJ-x1s?e=oYEbdg" xr:uid="{4BAEAE1A-B449-4AEE-9B07-0215970E3898}"/>
    <hyperlink ref="AK358" r:id="rId789" display="https://gobiernobogota-my.sharepoint.com/:b:/g/personal/planeacion_suba_gobiernobogota_gov_co/IQDwXWOOhw65Q7c8JDUtutORAYNl6uB-D32l9kTad4YKVU4?e=MPMM5G" xr:uid="{EA77B4CC-8EB3-4050-8EA3-351298CF7183}"/>
    <hyperlink ref="K359" r:id="rId790" display="https://gobiernobogota-my.sharepoint.com/:b:/g/personal/planeacion_suba_gobiernobogota_gov_co/IQADC9knk6nNRKJljIOhwk2qAdShpXZmNMX3rXF25hMw_UA?e=dsCZMM" xr:uid="{F0B0CF1F-C1DC-4D4C-B1FA-A3387F84C84A}"/>
    <hyperlink ref="X359" r:id="rId791" display="https://gobiernobogota-my.sharepoint.com/:b:/g/personal/planeacion_suba_gobiernobogota_gov_co/IQAQwRzvwyOGRoadzOfEJbYbAZHcIaYsTNJAlIt0BpMGmxY?e=uCEeS6" xr:uid="{B21907AB-C72A-4E8B-9536-0C8307186A9C}"/>
    <hyperlink ref="AK359" r:id="rId792" display="https://gobiernobogota-my.sharepoint.com/:b:/g/personal/planeacion_suba_gobiernobogota_gov_co/IQAbSLyAFh2xRJr0NhbYbKk2ATKbPTcKyEeZatQ-G_R5UiE?e=uolpOb" xr:uid="{70266772-D1BC-4C33-8E40-565B578B6956}"/>
    <hyperlink ref="K360" r:id="rId793" display="https://gobiernobogota-my.sharepoint.com/:b:/g/personal/planeacion_suba_gobiernobogota_gov_co/IQADC9knk6nNRKJljIOhwk2qAdShpXZmNMX3rXF25hMw_UA?e=dsCZMM" xr:uid="{AE898617-7D7E-4198-AE2E-FC41DCC33F75}"/>
    <hyperlink ref="X360" r:id="rId794" display="https://gobiernobogota-my.sharepoint.com/:b:/g/personal/planeacion_suba_gobiernobogota_gov_co/IQAQwRzvwyOGRoadzOfEJbYbAZHcIaYsTNJAlIt0BpMGmxY?e=uCEeS6" xr:uid="{E21D2769-ADCB-448D-B774-CA2BD1194925}"/>
    <hyperlink ref="AK360" r:id="rId795" display="https://gobiernobogota-my.sharepoint.com/:b:/g/personal/planeacion_suba_gobiernobogota_gov_co/IQAbSLyAFh2xRJr0NhbYbKk2ATKbPTcKyEeZatQ-G_R5UiE?e=uolpOb" xr:uid="{F8B72F8A-5D86-4F13-9A35-7ACD302E1C67}"/>
    <hyperlink ref="K361" r:id="rId796" display="https://gobiernobogota-my.sharepoint.com/:b:/g/personal/planeacion_suba_gobiernobogota_gov_co/IQADC9knk6nNRKJljIOhwk2qAdShpXZmNMX3rXF25hMw_UA?e=dsCZMM" xr:uid="{6663C85A-98A8-434B-A1BF-F7C852820434}"/>
    <hyperlink ref="X361" r:id="rId797" display="https://gobiernobogota-my.sharepoint.com/:b:/g/personal/planeacion_suba_gobiernobogota_gov_co/IQAQwRzvwyOGRoadzOfEJbYbAZHcIaYsTNJAlIt0BpMGmxY?e=uCEeS6" xr:uid="{8530A1C8-F324-4175-B4B9-805743168F4E}"/>
    <hyperlink ref="AK361" r:id="rId798" display="https://gobiernobogota-my.sharepoint.com/:b:/g/personal/planeacion_suba_gobiernobogota_gov_co/IQAbSLyAFh2xRJr0NhbYbKk2ATKbPTcKyEeZatQ-G_R5UiE?e=uolpOb" xr:uid="{E2A0B6E7-12BE-4779-AF8A-B36E2F15BC03}"/>
    <hyperlink ref="K362" r:id="rId799" display="https://gobiernobogota-my.sharepoint.com/:b:/g/personal/planeacion_suba_gobiernobogota_gov_co/IQADC9knk6nNRKJljIOhwk2qAdShpXZmNMX3rXF25hMw_UA?e=dsCZMM" xr:uid="{9F4344D6-2795-4303-857A-4B22EB2DC9B0}"/>
    <hyperlink ref="X362" r:id="rId800" display="https://gobiernobogota-my.sharepoint.com/:b:/g/personal/planeacion_suba_gobiernobogota_gov_co/IQAQwRzvwyOGRoadzOfEJbYbAZHcIaYsTNJAlIt0BpMGmxY?e=uCEeS6" xr:uid="{A11C6529-0ACA-4B5E-9EE7-EE6ADFEC4640}"/>
    <hyperlink ref="AK362" r:id="rId801" display="https://gobiernobogota-my.sharepoint.com/:b:/g/personal/planeacion_suba_gobiernobogota_gov_co/IQDgt8LzOVg5RLYpizM2qKekAXP0zCbSCCYyTOfUD2bK3W0?e=4sULYm" xr:uid="{7A4A314E-EB62-4433-B117-117A2BE4F76C}"/>
    <hyperlink ref="K363" r:id="rId802" display="https://gobiernobogota-my.sharepoint.com/:b:/g/personal/planeacion_suba_gobiernobogota_gov_co/IQADC9knk6nNRKJljIOhwk2qAdShpXZmNMX3rXF25hMw_UA?e=dsCZMM" xr:uid="{1E6C4438-92AD-488F-A5C3-4A259D52903E}"/>
    <hyperlink ref="X363" r:id="rId803" display="https://gobiernobogota-my.sharepoint.com/:b:/g/personal/planeacion_suba_gobiernobogota_gov_co/IQAQwRzvwyOGRoadzOfEJbYbAZHcIaYsTNJAlIt0BpMGmxY?e=uCEeS6" xr:uid="{B2FF200C-FBEC-4EEF-AC63-870A3E9DC52A}"/>
    <hyperlink ref="AK363" r:id="rId804" display="https://gobiernobogota-my.sharepoint.com/:b:/g/personal/planeacion_suba_gobiernobogota_gov_co/IQAbSLyAFh2xRJr0NhbYbKk2ATKbPTcKyEeZatQ-G_R5UiE?e=uolpOb" xr:uid="{4712D901-1D6E-4C56-9C99-801727BE4F86}"/>
    <hyperlink ref="K364" r:id="rId805" display="https://gobiernobogota-my.sharepoint.com/:b:/g/personal/planeacion_suba_gobiernobogota_gov_co/IQA7VqllgZNNTqVMepK5198CAVfBjzUGcK0Cw-FGc2v2uAY?e=cgPy1R" xr:uid="{B0AB7CF3-EA52-4435-BB12-220BF6D903A1}"/>
    <hyperlink ref="X364" r:id="rId806" display="https://gobiernobogota-my.sharepoint.com/:b:/g/personal/planeacion_suba_gobiernobogota_gov_co/IQDr4js5_FEOQqU2PPA0ptheAcUlcmBzq5exh-W-dfZGuD0?e=qydTKM" xr:uid="{C1E3674D-A25C-4184-B201-2D8413E4EA2D}"/>
    <hyperlink ref="AK364" r:id="rId807" display="https://gobiernobogota-my.sharepoint.com/:b:/g/personal/planeacion_suba_gobiernobogota_gov_co/IQCKZzXV-Lg9RpOhpjjhBXRJATkXbcKc8iZ8qAx3HAGZIvg?e=jAQQNP" xr:uid="{384AFFDD-0083-4AB9-8226-8CCA3F7B79E1}"/>
    <hyperlink ref="K365" r:id="rId808" display="https://gobiernobogota-my.sharepoint.com/:b:/g/personal/planeacion_suba_gobiernobogota_gov_co/IQADC9knk6nNRKJljIOhwk2qAdShpXZmNMX3rXF25hMw_UA?e=dsCZMM" xr:uid="{4AFE6279-5C80-4B92-B6DB-4D0F4EB94E2C}"/>
    <hyperlink ref="X365" r:id="rId809" display="https://gobiernobogota-my.sharepoint.com/:b:/g/personal/planeacion_suba_gobiernobogota_gov_co/IQAQwRzvwyOGRoadzOfEJbYbAZHcIaYsTNJAlIt0BpMGmxY?e=uCEeS6" xr:uid="{9521232A-AA84-4B24-B264-458D4CD2454E}"/>
    <hyperlink ref="AK365" r:id="rId810" display="https://gobiernobogota-my.sharepoint.com/:b:/g/personal/planeacion_suba_gobiernobogota_gov_co/IQAbSLyAFh2xRJr0NhbYbKk2ATKbPTcKyEeZatQ-G_R5UiE?e=uolpOb" xr:uid="{A4F07D13-95EA-43E5-A94B-CEB5334795C0}"/>
    <hyperlink ref="K366" r:id="rId811" display="https://gobiernobogota-my.sharepoint.com/:b:/g/personal/planeacion_suba_gobiernobogota_gov_co/IQADC9knk6nNRKJljIOhwk2qAdShpXZmNMX3rXF25hMw_UA?e=dsCZMM" xr:uid="{ECBDFD96-B71B-40A5-9EE6-7D139FDB1ACC}"/>
    <hyperlink ref="X366" r:id="rId812" display="https://gobiernobogota-my.sharepoint.com/:b:/g/personal/planeacion_suba_gobiernobogota_gov_co/IQAQwRzvwyOGRoadzOfEJbYbAZHcIaYsTNJAlIt0BpMGmxY?e=uCEeS6" xr:uid="{5584FAEC-AF0F-4149-92E6-D4A43E30C916}"/>
    <hyperlink ref="AK366" r:id="rId813" display="https://gobiernobogota-my.sharepoint.com/:b:/g/personal/planeacion_suba_gobiernobogota_gov_co/IQAbSLyAFh2xRJr0NhbYbKk2ATKbPTcKyEeZatQ-G_R5UiE?e=uolpOb" xr:uid="{8B878EBE-DA19-495C-9655-712611392694}"/>
    <hyperlink ref="K367" r:id="rId814" display="https://gobiernobogota-my.sharepoint.com/:b:/g/personal/planeacion_suba_gobiernobogota_gov_co/IQBLOKQZI52RRYzlMc0IDcUfAfaPvHWc84l4wynUf1J19ZA?e=g0rO3c" xr:uid="{A516A6C9-A50B-4EBC-92FC-6C8B4F0C7D51}"/>
    <hyperlink ref="X367" r:id="rId815" display="https://gobiernobogota-my.sharepoint.com/:b:/g/personal/planeacion_suba_gobiernobogota_gov_co/IQCok6SIWdA3R5RQoMNCzBIRAetPIxe1IjK9foAFX01Hg1E?e=Oxmd9y" xr:uid="{DF618A5F-21D0-46CA-A88E-399BB0CA836F}"/>
    <hyperlink ref="AK367" r:id="rId816" display="https://gobiernobogota-my.sharepoint.com/:b:/g/personal/planeacion_suba_gobiernobogota_gov_co/IQAiUdTA8xruSbrPTUkoRfaXAUYJ7RoPMyl5qB7z3hcdhZo?e=o5S0Sm" xr:uid="{FC57AD60-D189-4CFF-90C5-4407AF334198}"/>
    <hyperlink ref="K368" r:id="rId817" display="https://gobiernobogota-my.sharepoint.com/:b:/g/personal/planeacion_suba_gobiernobogota_gov_co/IQADC9knk6nNRKJljIOhwk2qAdShpXZmNMX3rXF25hMw_UA?e=dsCZMM" xr:uid="{50F1D4FA-CC76-4437-BD98-B11F7203B9D9}"/>
    <hyperlink ref="X368" r:id="rId818" display="https://gobiernobogota-my.sharepoint.com/:b:/g/personal/planeacion_suba_gobiernobogota_gov_co/IQAQwRzvwyOGRoadzOfEJbYbAZHcIaYsTNJAlIt0BpMGmxY?e=uCEeS6" xr:uid="{783D3385-A4DA-44E7-80FC-59FCC0050663}"/>
    <hyperlink ref="AK368" r:id="rId819" display="https://gobiernobogota-my.sharepoint.com/:b:/g/personal/planeacion_suba_gobiernobogota_gov_co/IQAbSLyAFh2xRJr0NhbYbKk2ATKbPTcKyEeZatQ-G_R5UiE?e=uolpOb" xr:uid="{64ADE6D6-8024-43A6-9D7F-3446A9C0FA34}"/>
    <hyperlink ref="K369" r:id="rId820" display="https://gobiernobogota-my.sharepoint.com/:b:/g/personal/planeacion_suba_gobiernobogota_gov_co/IQADC9knk6nNRKJljIOhwk2qAdShpXZmNMX3rXF25hMw_UA?e=dsCZMM" xr:uid="{15482FC5-8B9C-4956-8D3C-3749FA6DC204}"/>
    <hyperlink ref="X369" r:id="rId821" display="https://gobiernobogota-my.sharepoint.com/:b:/g/personal/planeacion_suba_gobiernobogota_gov_co/IQAQwRzvwyOGRoadzOfEJbYbAZHcIaYsTNJAlIt0BpMGmxY?e=uCEeS6" xr:uid="{7DDD0D33-5638-4123-BBB4-5876C63D3B50}"/>
    <hyperlink ref="AK369" r:id="rId822" display="https://gobiernobogota-my.sharepoint.com/:b:/g/personal/planeacion_suba_gobiernobogota_gov_co/IQAbSLyAFh2xRJr0NhbYbKk2ATKbPTcKyEeZatQ-G_R5UiE?e=uolpOb" xr:uid="{62E6110B-B57B-43C0-9713-EA254D8F6B17}"/>
    <hyperlink ref="K370" r:id="rId823" display="https://gobiernobogota-my.sharepoint.com/:b:/g/personal/planeacion_suba_gobiernobogota_gov_co/IQBfLTTWgG7MS7FkaJGonFOTATyeVV6QJ5_vrZDKHLlwFjc?e=Schauj" xr:uid="{65BCAD8D-CB48-4791-BA6F-8863E05B02AA}"/>
    <hyperlink ref="X370" r:id="rId824" display="https://gobiernobogota-my.sharepoint.com/:b:/g/personal/planeacion_suba_gobiernobogota_gov_co/IQAOCAl_WAfYSKpXy1n0HPCnAb9Z04q1j96N-kojuTnNgVU?e=dRdqF9" xr:uid="{D71E418F-AEEB-4470-B1CB-F44E4664C56C}"/>
    <hyperlink ref="AK370" r:id="rId825" display="https://gobiernobogota-my.sharepoint.com/:b:/g/personal/planeacion_suba_gobiernobogota_gov_co/IQDYs8NWOOP3SJvWchMPrk04AZOie4tAtft4iWRu3QSTjzg?e=nybAk0" xr:uid="{99B2C828-32A9-4385-84A1-3598D98991C2}"/>
    <hyperlink ref="K371" r:id="rId826" display="https://gobiernobogota-my.sharepoint.com/:b:/g/personal/planeacion_suba_gobiernobogota_gov_co/IQADC9knk6nNRKJljIOhwk2qAdShpXZmNMX3rXF25hMw_UA?e=dsCZMM" xr:uid="{88383F80-683F-4B4F-9116-3B1372C5D6E7}"/>
    <hyperlink ref="X371" r:id="rId827" display="https://gobiernobogota-my.sharepoint.com/:b:/g/personal/planeacion_suba_gobiernobogota_gov_co/IQAQwRzvwyOGRoadzOfEJbYbAZHcIaYsTNJAlIt0BpMGmxY?e=uCEeS6" xr:uid="{DB34BE2D-8821-47AC-ABCA-9A77278445E2}"/>
    <hyperlink ref="AK371" r:id="rId828" display="https://gobiernobogota-my.sharepoint.com/:b:/g/personal/planeacion_suba_gobiernobogota_gov_co/IQAbSLyAFh2xRJr0NhbYbKk2ATKbPTcKyEeZatQ-G_R5UiE?e=uolpOb" xr:uid="{ED8EC3F9-7046-4AC0-B42C-50BA8E0CF809}"/>
    <hyperlink ref="K372" r:id="rId829" display="https://gobiernobogota-my.sharepoint.com/:b:/g/personal/planeacion_suba_gobiernobogota_gov_co/IQCX5R01gnI3QLPk49hsK0lpAXaK-OSVtPGApsy1wuJ-x1s?e=X6CBQ2" xr:uid="{B3500992-CAFB-4F1B-80E9-6C141A3BBABB}"/>
    <hyperlink ref="X372" r:id="rId830" display="https://gobiernobogota-my.sharepoint.com/:b:/g/personal/planeacion_suba_gobiernobogota_gov_co/IQCok6SIWdA3R5RQoMNCzBIRAetPIxe1IjK9foAFX01Hg1E?e=Oxmd9y" xr:uid="{FF034A12-F55A-4F8A-A540-4834396B3F9D}"/>
    <hyperlink ref="AK372" r:id="rId831" display="https://gobiernobogota-my.sharepoint.com/:b:/g/personal/planeacion_suba_gobiernobogota_gov_co/IQCEpvS4o5b7TJoF6dRFCbmQAUxq-_zkfqchxC_cm0z7ayI?e=MxztFD" xr:uid="{AB9DC8DA-2B3B-4D7D-82AF-79947F022F26}"/>
    <hyperlink ref="K373" r:id="rId832" display="https://gobiernobogota-my.sharepoint.com/:b:/g/personal/planeacion_suba_gobiernobogota_gov_co/IQADC9knk6nNRKJljIOhwk2qAdShpXZmNMX3rXF25hMw_UA?e=dsCZMM" xr:uid="{79978515-AC2A-4179-A5DA-06E2009C5CEB}"/>
    <hyperlink ref="X373" r:id="rId833" display="https://gobiernobogota-my.sharepoint.com/:b:/g/personal/planeacion_suba_gobiernobogota_gov_co/IQAQwRzvwyOGRoadzOfEJbYbAZHcIaYsTNJAlIt0BpMGmxY?e=uCEeS6" xr:uid="{E91CA095-85B9-4927-AF5A-1CA79CE6DD07}"/>
    <hyperlink ref="AK373" r:id="rId834" display="https://gobiernobogota-my.sharepoint.com/:b:/g/personal/planeacion_suba_gobiernobogota_gov_co/IQAbSLyAFh2xRJr0NhbYbKk2ATKbPTcKyEeZatQ-G_R5UiE?e=uolpOb" xr:uid="{FFF6C0A4-CAF8-47DC-B51A-F8A0092C079C}"/>
    <hyperlink ref="K374" r:id="rId835" display="https://gobiernobogota-my.sharepoint.com/:b:/g/personal/planeacion_suba_gobiernobogota_gov_co/IQBLOKQZI52RRYzlMc0IDcUfAfaPvHWc84l4wynUf1J19ZA?e=g0rO3c" xr:uid="{2927D38A-2D51-4214-A05A-D2FC7C3DD8AC}"/>
    <hyperlink ref="X374" r:id="rId836" display="https://gobiernobogota-my.sharepoint.com/:b:/g/personal/planeacion_suba_gobiernobogota_gov_co/IQCX5R01gnI3QLPk49hsK0lpAXaK-OSVtPGApsy1wuJ-x1s?e=X6CBQ2" xr:uid="{C48E964A-2190-416E-A9DF-500008DD9F36}"/>
    <hyperlink ref="AK374" r:id="rId837" display="https://gobiernobogota-my.sharepoint.com/:b:/g/personal/planeacion_suba_gobiernobogota_gov_co/IQCok6SIWdA3R5RQoMNCzBIRAetPIxe1IjK9foAFX01Hg1E?e=Oxmd9y" xr:uid="{83D2ABA1-66C9-450C-BA57-F94AE6DE70D5}"/>
    <hyperlink ref="K375" r:id="rId838" display="https://gobiernobogota-my.sharepoint.com/:b:/g/personal/planeacion_suba_gobiernobogota_gov_co/IQBg5-ltg1DbR7OvlapQYEIkASHBeNVh7RKRKde6qvzpTNo?e=KsY9Xi" xr:uid="{46CDC014-2483-41B9-B4B1-8AA8863CF323}"/>
    <hyperlink ref="X375" r:id="rId839" display="https://gobiernobogota-my.sharepoint.com/:b:/g/personal/planeacion_suba_gobiernobogota_gov_co/IQBg5-ltg1DbR7OvlapQYEIkASHBeNVh7RKRKde6qvzpTNo?e=KsY9Xi" xr:uid="{7F7DC7F1-9326-4B4E-9720-89B6590A0EC7}"/>
    <hyperlink ref="AK375" r:id="rId840" display="https://gobiernobogota-my.sharepoint.com/:b:/g/personal/planeacion_suba_gobiernobogota_gov_co/IQCViHucF0siTqFe-KKB6eYVATpQCmK-6oZ8nDdKBl1ZZhU?e=ag93ou" xr:uid="{21A6332E-F3A3-4E2B-B906-4135D97DBD4D}"/>
    <hyperlink ref="K376" r:id="rId841" display="https://gobiernobogota-my.sharepoint.com/:b:/g/personal/planeacion_suba_gobiernobogota_gov_co/IQADC9knk6nNRKJljIOhwk2qAdShpXZmNMX3rXF25hMw_UA?e=dsCZMM" xr:uid="{8EDFFCFE-1E71-4A64-9442-8B402DFA5CDE}"/>
    <hyperlink ref="X376" r:id="rId842" display="https://gobiernobogota-my.sharepoint.com/:b:/g/personal/planeacion_suba_gobiernobogota_gov_co/IQAQwRzvwyOGRoadzOfEJbYbAZHcIaYsTNJAlIt0BpMGmxY?e=uCEeS6" xr:uid="{85EA4765-A8BF-4D47-85C1-0BDD48C5A60B}"/>
    <hyperlink ref="AK376" r:id="rId843" display="https://gobiernobogota-my.sharepoint.com/:b:/g/personal/planeacion_suba_gobiernobogota_gov_co/IQDbt3deLk8nSZQ_LjauPbnDAaDjznHH81TYf-4nVcdE6As?e=mdKLQC" xr:uid="{285CB521-48B2-4C02-8D8C-BF3BC57D9CA5}"/>
    <hyperlink ref="K377" r:id="rId844" display="https://gobiernobogota-my.sharepoint.com/:b:/g/personal/planeacion_suba_gobiernobogota_gov_co/IQB6TV6gUnBpT6KTMhKXL3I1AcNXNSo5KeKwbdt9rI113-w?e=BgF9LE" xr:uid="{A825651C-F775-4B1C-8B3E-011E7ADFBDB9}"/>
    <hyperlink ref="X377" r:id="rId845" display="https://gobiernobogota-my.sharepoint.com/:b:/g/personal/planeacion_suba_gobiernobogota_gov_co/IQCKYeWfxpUVTbHMSKsXqWIwAanNksrHd8nSE6ZXZEauuUk?e=kMWPpq" xr:uid="{E83EAD4A-22CA-4134-AD22-B634E874FEC9}"/>
    <hyperlink ref="AK377" r:id="rId846" display="https://gobiernobogota-my.sharepoint.com/:b:/g/personal/planeacion_suba_gobiernobogota_gov_co/IQBwV-syZLzpSI8JFM3rWDm_AfKDN_rZVYhiip5SChaGHQU?e=KgycHb" xr:uid="{0F277E0E-B251-46A3-8BB5-21770E27C996}"/>
    <hyperlink ref="K378" r:id="rId847" display="https://gobiernobogota-my.sharepoint.com/:b:/g/personal/planeacion_suba_gobiernobogota_gov_co/IQBIL4G_UgZgQJDcH_3zFLWwAX7CJDd1xXlPy2ZGThX_EqU?e=xsFw1k" xr:uid="{3FB11250-9110-42C0-99A7-C292FBAA4D88}"/>
    <hyperlink ref="X378" r:id="rId848" display="https://gobiernobogota-my.sharepoint.com/:b:/g/personal/planeacion_suba_gobiernobogota_gov_co/IQCDCe-bej3DQpb8EglTw1F5AV_Bs-h0k9HMLJreG-W5l3M?e=0Zd26I" xr:uid="{B687ADBE-988B-4FFC-A083-D4F2DDA57D8F}"/>
    <hyperlink ref="AK378" r:id="rId849" display="https://gobiernobogota-my.sharepoint.com/:b:/g/personal/planeacion_suba_gobiernobogota_gov_co/IQAlC_zhYxTfS6UWhPog4OgaAc_4jKYeS_GLFE2bBvrvDTs?e=JbLj4f" xr:uid="{3313F4B5-F484-43A0-A9A9-5544A539C479}"/>
    <hyperlink ref="K379" r:id="rId850" display="https://gobiernobogota-my.sharepoint.com/:b:/g/personal/planeacion_suba_gobiernobogota_gov_co/IQDVbkkrsbMuQajqzy4XT0_rAQD0NFHVeiSHGE5LBaaZTcw?e=bFh6re" xr:uid="{D46E0E7B-650C-42A0-8B5C-A239A9BB49D9}"/>
    <hyperlink ref="X379" r:id="rId851" display="https://gobiernobogota-my.sharepoint.com/:b:/g/personal/planeacion_suba_gobiernobogota_gov_co/IQByQ76Ua7eERZ19cniIRAdjAZFptT5ULVaVnwdpq9lVbkE?e=XkbfAn" xr:uid="{4DDB7250-6B06-4912-928A-0251AB941A33}"/>
    <hyperlink ref="AK379" r:id="rId852" display="https://gobiernobogota-my.sharepoint.com/:b:/g/personal/planeacion_suba_gobiernobogota_gov_co/IQCVr12wt0-XQ4D_zYx6guBwAU0UyW1Fas7E3fU0YeWzQXg?e=ZMLLWJ" xr:uid="{095DD1B2-E24A-4536-8671-51AECBE2C720}"/>
    <hyperlink ref="K380" r:id="rId853" display="https://gobiernobogota-my.sharepoint.com/:b:/g/personal/planeacion_suba_gobiernobogota_gov_co/IQADC9knk6nNRKJljIOhwk2qAdShpXZmNMX3rXF25hMw_UA?e=dsCZMM" xr:uid="{3E3704BF-2C53-4AD4-AC22-5F991665085B}"/>
    <hyperlink ref="X380" r:id="rId854" display="https://gobiernobogota-my.sharepoint.com/:b:/g/personal/planeacion_suba_gobiernobogota_gov_co/IQAQwRzvwyOGRoadzOfEJbYbAZHcIaYsTNJAlIt0BpMGmxY?e=uCEeS6" xr:uid="{0EE58893-4907-4B84-A42F-849419AE1447}"/>
    <hyperlink ref="AK380" r:id="rId855" display="https://gobiernobogota-my.sharepoint.com/:b:/g/personal/planeacion_suba_gobiernobogota_gov_co/IQAbSLyAFh2xRJr0NhbYbKk2ATKbPTcKyEeZatQ-G_R5UiE?e=uolpOb" xr:uid="{F10262D6-6B45-4103-BBF9-27916F0DD010}"/>
    <hyperlink ref="K381" r:id="rId856" display="https://gobiernobogota-my.sharepoint.com/:b:/g/personal/planeacion_suba_gobiernobogota_gov_co/IQBLOKQZI52RRYzlMc0IDcUfAfaPvHWc84l4wynUf1J19ZA?e=g0rO3c" xr:uid="{71575940-AE8B-4CEA-89CE-68335E375DA1}"/>
    <hyperlink ref="X381" r:id="rId857" display="https://gobiernobogota-my.sharepoint.com/:b:/g/personal/planeacion_suba_gobiernobogota_gov_co/IQCX5R01gnI3QLPk49hsK0lpAXaK-OSVtPGApsy1wuJ-x1s?e=X6CBQ2" xr:uid="{127CE28E-1E61-40D3-87C4-EAC5A356740B}"/>
    <hyperlink ref="AK381" r:id="rId858" display="https://gobiernobogota-my.sharepoint.com/:b:/g/personal/planeacion_suba_gobiernobogota_gov_co/IQCok6SIWdA3R5RQoMNCzBIRAetPIxe1IjK9foAFX01Hg1E?e=Oxmd9y" xr:uid="{06B04F08-AC09-4CB6-A244-4D36A248D15A}"/>
    <hyperlink ref="K382" r:id="rId859" display="https://gobiernobogota-my.sharepoint.com/:b:/g/personal/planeacion_suba_gobiernobogota_gov_co/IQBLOKQZI52RRYzlMc0IDcUfAfaPvHWc84l4wynUf1J19ZA?e=g0rO3c" xr:uid="{00033A5E-9304-426A-93C9-73BDBFD4C120}"/>
    <hyperlink ref="X382" r:id="rId860" display="https://gobiernobogota-my.sharepoint.com/:b:/g/personal/planeacion_suba_gobiernobogota_gov_co/IQCX5R01gnI3QLPk49hsK0lpAXaK-OSVtPGApsy1wuJ-x1s?e=X6CBQ2" xr:uid="{7AB29B82-F289-48BD-9354-456967A225BD}"/>
    <hyperlink ref="AK382" r:id="rId861" display="https://gobiernobogota-my.sharepoint.com/:b:/g/personal/planeacion_suba_gobiernobogota_gov_co/IQCok6SIWdA3R5RQoMNCzBIRAetPIxe1IjK9foAFX01Hg1E?e=Oxmd9y" xr:uid="{29DC461D-D9D5-43D4-BE78-9991B32BA431}"/>
    <hyperlink ref="K383" r:id="rId862" display="https://gobiernobogota-my.sharepoint.com/:b:/g/personal/planeacion_suba_gobiernobogota_gov_co/IQBLOKQZI52RRYzlMc0IDcUfAfaPvHWc84l4wynUf1J19ZA?e=g0rO3c" xr:uid="{EA3F0122-EF0F-46B5-886A-BE2554DFF0F2}"/>
    <hyperlink ref="X383" r:id="rId863" display="https://gobiernobogota-my.sharepoint.com/:b:/g/personal/planeacion_suba_gobiernobogota_gov_co/IQCok6SIWdA3R5RQoMNCzBIRAetPIxe1IjK9foAFX01Hg1E?e=Oxmd9y" xr:uid="{531AE050-9C7C-43A3-8E53-0F69FCF598A6}"/>
    <hyperlink ref="AK383" r:id="rId864" display="https://gobiernobogota-my.sharepoint.com/:b:/g/personal/planeacion_suba_gobiernobogota_gov_co/IQC7nmJDVIWjQJ810KF9AsOpAReaWEIH_ti1nj-EoHsdWVU?e=gmtagm" xr:uid="{CBFA509F-C2CF-413A-84B6-CE18AAB2FA8F}"/>
    <hyperlink ref="K384" r:id="rId865" display="https://gobiernobogota-my.sharepoint.com/:b:/g/personal/planeacion_suba_gobiernobogota_gov_co/IQBLOKQZI52RRYzlMc0IDcUfAfaPvHWc84l4wynUf1J19ZA?e=g0rO3c" xr:uid="{8D236D86-2A73-4FC0-9C18-553FDDDFC335}"/>
    <hyperlink ref="X384" r:id="rId866" display="https://gobiernobogota-my.sharepoint.com/:b:/g/personal/planeacion_suba_gobiernobogota_gov_co/IQCX5R01gnI3QLPk49hsK0lpAXaK-OSVtPGApsy1wuJ-x1s?e=X6CBQ2" xr:uid="{2F269F73-DC6A-4FF2-9963-8F73DF3FE9DE}"/>
    <hyperlink ref="AK384" r:id="rId867" display="https://gobiernobogota-my.sharepoint.com/:b:/g/personal/planeacion_suba_gobiernobogota_gov_co/IQCok6SIWdA3R5RQoMNCzBIRAetPIxe1IjK9foAFX01Hg1E?e=Oxmd9y" xr:uid="{310CCDAE-E468-4A33-8A39-3D0E74834963}"/>
    <hyperlink ref="K385" r:id="rId868" display="https://gobiernobogota-my.sharepoint.com/:b:/g/personal/planeacion_suba_gobiernobogota_gov_co/IQBLOKQZI52RRYzlMc0IDcUfAfaPvHWc84l4wynUf1J19ZA?e=g0rO3c" xr:uid="{17BC1406-2DEC-4221-866A-446AA249A0AB}"/>
    <hyperlink ref="X385" r:id="rId869" display="https://gobiernobogota-my.sharepoint.com/:b:/g/personal/planeacion_suba_gobiernobogota_gov_co/IQCX5R01gnI3QLPk49hsK0lpAXaK-OSVtPGApsy1wuJ-x1s?e=X6CBQ2" xr:uid="{EB399630-60F9-4DE0-A046-684A65034AE7}"/>
    <hyperlink ref="AK385" r:id="rId870" display="https://gobiernobogota-my.sharepoint.com/:b:/g/personal/planeacion_suba_gobiernobogota_gov_co/IQCok6SIWdA3R5RQoMNCzBIRAetPIxe1IjK9foAFX01Hg1E?e=Oxmd9y" xr:uid="{403915DC-D2A0-4C44-B322-778D15AAB586}"/>
    <hyperlink ref="K386" r:id="rId871" display="https://gobiernobogota-my.sharepoint.com/:b:/g/personal/planeacion_suba_gobiernobogota_gov_co/IQADC9knk6nNRKJljIOhwk2qAdShpXZmNMX3rXF25hMw_UA?e=dsCZMM" xr:uid="{9CFBD44C-859C-4CD4-B855-82749E30DA39}"/>
    <hyperlink ref="X386" r:id="rId872" display="https://gobiernobogota-my.sharepoint.com/:b:/g/personal/planeacion_suba_gobiernobogota_gov_co/IQAQwRzvwyOGRoadzOfEJbYbAZHcIaYsTNJAlIt0BpMGmxY?e=uCEeS6" xr:uid="{94069EF8-B301-4015-BEE7-F1CD82ECE94B}"/>
    <hyperlink ref="AK386" r:id="rId873" display="https://gobiernobogota-my.sharepoint.com/:b:/g/personal/planeacion_suba_gobiernobogota_gov_co/IQAbSLyAFh2xRJr0NhbYbKk2ATKbPTcKyEeZatQ-G_R5UiE?e=uolpOb" xr:uid="{3952B22D-22A6-4B88-8053-D919D9CF6153}"/>
    <hyperlink ref="K388" r:id="rId874" display="https://gobiernobogota-my.sharepoint.com/:b:/g/personal/planeacion_suba_gobiernobogota_gov_co/IQCjdjmMuuaGRqyl1GD63gxfAXetD0gPlYfxvdJF6jy1hgs?e=BArnSX" xr:uid="{0F56E501-36EC-4DEF-8BEC-3EBA8AFD1618}"/>
    <hyperlink ref="X388" r:id="rId875" display="https://gobiernobogota-my.sharepoint.com/:b:/g/personal/planeacion_suba_gobiernobogota_gov_co/IQBSQhRERsTORY6pE1BfV9ERAY3cy2mnv54Kg-pdU4NzBao?e=rIlcb3" xr:uid="{BB3BE7E0-84CB-487C-8A98-56E44174B17D}"/>
    <hyperlink ref="AK388" r:id="rId876" display="https://gobiernobogota-my.sharepoint.com/:b:/g/personal/planeacion_suba_gobiernobogota_gov_co/IQB4hctyLRNlQZgotyYSZAsiAQjo_cPqtgY9DyT4ZfGF1jE?e=gRjqXS" xr:uid="{E4C5C14A-3227-4B55-84B9-F91CB079AA38}"/>
    <hyperlink ref="K389" r:id="rId877" display="https://gobiernobogota-my.sharepoint.com/:b:/g/personal/planeacion_suba_gobiernobogota_gov_co/IQApp1JHMlK5Rps6m3EljI-NARevX55YVfE28Zsyj3h0Yy0?e=b9ftjf" xr:uid="{CBD68F6D-744D-4B4F-A86D-DB0C1117D879}"/>
    <hyperlink ref="X389" r:id="rId878" display="https://gobiernobogota-my.sharepoint.com/:b:/g/personal/planeacion_suba_gobiernobogota_gov_co/IQAS7srwl2vyRYV8Bky-c8mbAe_iDdTkPPFWUGSbBPkgSBo?e=2Gr1K8" xr:uid="{AC96D4D5-7835-482E-ABCE-6B27E59958A3}"/>
    <hyperlink ref="AK389" r:id="rId879" display="https://gobiernobogota-my.sharepoint.com/:b:/g/personal/planeacion_suba_gobiernobogota_gov_co/IQAqNk9OH4YqRYrGpQFTz-mQAUJEcH9bcRIaZjAS9CMXGqQ?e=gqzBOS" xr:uid="{AA36D47C-786D-428C-B07D-F4F21BB5A34E}"/>
    <hyperlink ref="K390" r:id="rId880" display="https://gobiernobogota-my.sharepoint.com/:b:/g/personal/planeacion_suba_gobiernobogota_gov_co/IQADC9knk6nNRKJljIOhwk2qAdShpXZmNMX3rXF25hMw_UA?e=dsCZMM" xr:uid="{A0AABCA2-86BE-49BD-8F2E-B3A91DD3509B}"/>
    <hyperlink ref="X390" r:id="rId881" display="https://gobiernobogota-my.sharepoint.com/:b:/g/personal/planeacion_suba_gobiernobogota_gov_co/IQAQwRzvwyOGRoadzOfEJbYbAZHcIaYsTNJAlIt0BpMGmxY?e=uCEeS6" xr:uid="{CB51DF14-7017-451A-B548-5489CDCBEA2F}"/>
    <hyperlink ref="AK390" r:id="rId882" display="https://gobiernobogota-my.sharepoint.com/:b:/g/personal/planeacion_suba_gobiernobogota_gov_co/IQAbSLyAFh2xRJr0NhbYbKk2ATKbPTcKyEeZatQ-G_R5UiE?e=uolpOb" xr:uid="{1ACE828E-C127-419F-9117-D1700F79BC02}"/>
    <hyperlink ref="K391" r:id="rId883" display="https://gobiernobogota-my.sharepoint.com/:b:/g/personal/planeacion_suba_gobiernobogota_gov_co/IQDYTk8yIYXqSrK7aBvwLZVpAUirmKYtz4DRK9ZvYe2A-G8?e=vCAMwn" xr:uid="{F7B0E690-86CE-4070-8DCD-331DCAF6A80F}"/>
    <hyperlink ref="X391" r:id="rId884" display="https://gobiernobogota-my.sharepoint.com/:b:/g/personal/planeacion_suba_gobiernobogota_gov_co/IQDrRkS-jZJIS6wYt0ivXFsKAQkI4HGbaEUHNM5l1GjnVX8?e=EZpzsI" xr:uid="{3A474EB0-2948-472E-BD98-E055F7CC2DED}"/>
    <hyperlink ref="AK391" r:id="rId885" display="https://gobiernobogota-my.sharepoint.com/:b:/g/personal/planeacion_suba_gobiernobogota_gov_co/IQA7K-c7ho-gSL8rW2WJHSwgAbSaGdB1X6E-RzP8psxPrCQ?e=N1yzVY" xr:uid="{DC4EA5A1-8B0B-4693-AB1F-32DD552981C7}"/>
    <hyperlink ref="K392" r:id="rId886" display="https://gobiernobogota-my.sharepoint.com/:b:/g/personal/planeacion_suba_gobiernobogota_gov_co/IQApp1JHMlK5Rps6m3EljI-NARevX55YVfE28Zsyj3h0Yy0?e=vdQnGN" xr:uid="{F7B85324-D847-4BEF-9A35-68027D083767}"/>
    <hyperlink ref="X392" r:id="rId887" display="https://gobiernobogota-my.sharepoint.com/:b:/g/personal/planeacion_suba_gobiernobogota_gov_co/IQAS7srwl2vyRYV8Bky-c8mbAe_iDdTkPPFWUGSbBPkgSBo?e=Mg9bWT" xr:uid="{4E6D8E7D-E7C9-4537-BC78-7568E0BA7CF1}"/>
    <hyperlink ref="AK392" r:id="rId888" display="https://gobiernobogota-my.sharepoint.com/:b:/g/personal/planeacion_suba_gobiernobogota_gov_co/IQAqNk9OH4YqRYrGpQFTz-mQAUJEcH9bcRIaZjAS9CMXGqQ?e=atqHG4" xr:uid="{C672326A-CD63-4F87-B000-8784DCBB93CF}"/>
    <hyperlink ref="K393" r:id="rId889" display="https://gobiernobogota-my.sharepoint.com/:b:/g/personal/planeacion_suba_gobiernobogota_gov_co/IQADC9knk6nNRKJljIOhwk2qAdShpXZmNMX3rXF25hMw_UA?e=dsCZMM" xr:uid="{6DE6A5DA-CAD4-47F3-8E64-EDFD77FC9B20}"/>
    <hyperlink ref="X393" r:id="rId890" display="https://gobiernobogota-my.sharepoint.com/:b:/g/personal/planeacion_suba_gobiernobogota_gov_co/IQAQwRzvwyOGRoadzOfEJbYbAZHcIaYsTNJAlIt0BpMGmxY?e=uCEeS6" xr:uid="{F37B7D3E-933B-4BCC-9B4E-0AA2ED5FED73}"/>
    <hyperlink ref="AK393" r:id="rId891" display="https://gobiernobogota-my.sharepoint.com/:b:/g/personal/planeacion_suba_gobiernobogota_gov_co/IQAbSLyAFh2xRJr0NhbYbKk2ATKbPTcKyEeZatQ-G_R5UiE?e=uolpOb" xr:uid="{995ECECE-FB06-490D-9D46-E4E787D2F4F5}"/>
    <hyperlink ref="K394" r:id="rId892" display="https://gobiernobogota-my.sharepoint.com/:b:/g/personal/planeacion_suba_gobiernobogota_gov_co/IQApp1JHMlK5Rps6m3EljI-NARevX55YVfE28Zsyj3h0Yy0?e=vdQnGN" xr:uid="{D1521118-625A-4E53-ADE7-C13E0EA8A9E6}"/>
    <hyperlink ref="X394" r:id="rId893" display="https://gobiernobogota-my.sharepoint.com/:b:/g/personal/planeacion_suba_gobiernobogota_gov_co/IQAS7srwl2vyRYV8Bky-c8mbAe_iDdTkPPFWUGSbBPkgSBo?e=Mg9bWT" xr:uid="{C2AFD27C-7D1D-4A8A-8052-3A6F8190C0FD}"/>
    <hyperlink ref="AK394" r:id="rId894" display="https://gobiernobogota-my.sharepoint.com/:b:/g/personal/planeacion_suba_gobiernobogota_gov_co/IQAqNk9OH4YqRYrGpQFTz-mQAUJEcH9bcRIaZjAS9CMXGqQ?e=atqHG4" xr:uid="{530E86C4-3E67-4EDC-BFDA-F70B4A83DE15}"/>
    <hyperlink ref="K395" r:id="rId895" display="https://gobiernobogota-my.sharepoint.com/:b:/g/personal/planeacion_suba_gobiernobogota_gov_co/IQADC9knk6nNRKJljIOhwk2qAdShpXZmNMX3rXF25hMw_UA?e=dsCZMM" xr:uid="{7410AF83-DAE3-4107-8C27-CFC6DD4070D0}"/>
    <hyperlink ref="X395" r:id="rId896" display="https://gobiernobogota-my.sharepoint.com/:b:/g/personal/planeacion_suba_gobiernobogota_gov_co/IQAQwRzvwyOGRoadzOfEJbYbAZHcIaYsTNJAlIt0BpMGmxY?e=uCEeS6" xr:uid="{AD3DE643-E23D-453A-AF12-2ACFC3F951F0}"/>
    <hyperlink ref="AK395" r:id="rId897" display="https://gobiernobogota-my.sharepoint.com/:b:/g/personal/planeacion_suba_gobiernobogota_gov_co/IQAbSLyAFh2xRJr0NhbYbKk2ATKbPTcKyEeZatQ-G_R5UiE?e=uolpOb" xr:uid="{CD275A30-B0C2-470F-891F-7BF17D05333B}"/>
    <hyperlink ref="K396" r:id="rId898" display="https://gobiernobogota-my.sharepoint.com/:b:/g/personal/planeacion_suba_gobiernobogota_gov_co/IQADC9knk6nNRKJljIOhwk2qAdShpXZmNMX3rXF25hMw_UA?e=dsCZMM" xr:uid="{DBF13625-FD1C-424F-A96A-7F5496805F62}"/>
    <hyperlink ref="X396" r:id="rId899" display="https://gobiernobogota-my.sharepoint.com/:b:/g/personal/planeacion_suba_gobiernobogota_gov_co/IQAQwRzvwyOGRoadzOfEJbYbAZHcIaYsTNJAlIt0BpMGmxY?e=uCEeS6" xr:uid="{E9AB8FDB-E673-41C8-8861-BD283E99B993}"/>
    <hyperlink ref="AK396" r:id="rId900" display="https://gobiernobogota-my.sharepoint.com/:b:/g/personal/planeacion_suba_gobiernobogota_gov_co/IQAbSLyAFh2xRJr0NhbYbKk2ATKbPTcKyEeZatQ-G_R5UiE?e=uolpOb" xr:uid="{2DB8C60C-4F40-443D-BACC-E620C7A5E4EA}"/>
    <hyperlink ref="K397" r:id="rId901" display="https://gobiernobogota-my.sharepoint.com/:b:/g/personal/planeacion_suba_gobiernobogota_gov_co/IQADC9knk6nNRKJljIOhwk2qAdShpXZmNMX3rXF25hMw_UA?e=dsCZMM" xr:uid="{07C91C81-B236-4C90-8921-37DF8770CB1C}"/>
    <hyperlink ref="X397" r:id="rId902" display="https://gobiernobogota-my.sharepoint.com/:b:/g/personal/planeacion_suba_gobiernobogota_gov_co/IQAQwRzvwyOGRoadzOfEJbYbAZHcIaYsTNJAlIt0BpMGmxY?e=uCEeS6" xr:uid="{5C67D646-6317-48BF-BF87-FCC784FF9CCA}"/>
    <hyperlink ref="AK397" r:id="rId903" display="https://gobiernobogota-my.sharepoint.com/:b:/g/personal/planeacion_suba_gobiernobogota_gov_co/IQAbSLyAFh2xRJr0NhbYbKk2ATKbPTcKyEeZatQ-G_R5UiE?e=uolpOb" xr:uid="{0149F9C6-929F-4049-B1C9-7AE183B2F0CC}"/>
    <hyperlink ref="K398" r:id="rId904" display="https://gobiernobogota-my.sharepoint.com/:b:/g/personal/planeacion_suba_gobiernobogota_gov_co/IQApp1JHMlK5Rps6m3EljI-NARevX55YVfE28Zsyj3h0Yy0?e=oVd3S6" xr:uid="{FAEE4878-E425-49DC-AA75-4CC2C159C8F4}"/>
    <hyperlink ref="X398" r:id="rId905" display="https://gobiernobogota-my.sharepoint.com/:b:/g/personal/planeacion_suba_gobiernobogota_gov_co/IQAS7srwl2vyRYV8Bky-c8mbAe_iDdTkPPFWUGSbBPkgSBo?e=Mg9bWT" xr:uid="{72318F3C-91DA-4EA3-A406-D59DF7A4A698}"/>
    <hyperlink ref="AK398" r:id="rId906" display="https://gobiernobogota-my.sharepoint.com/:b:/g/personal/planeacion_suba_gobiernobogota_gov_co/IQAqNk9OH4YqRYrGpQFTz-mQAUJEcH9bcRIaZjAS9CMXGqQ?e=atqHG4" xr:uid="{63ABEC65-1609-4AAC-A6A7-4010E2BE1E2C}"/>
    <hyperlink ref="K399" r:id="rId907" display="https://gobiernobogota-my.sharepoint.com/:b:/g/personal/planeacion_suba_gobiernobogota_gov_co/IQDlqzdXfQeLTa5Xuy0CUzWcAQQEqWX4MS3xw2Xp3y6XGA4?e=1cztVx" xr:uid="{0378E983-8D8E-4961-90EE-FB1E80042F43}"/>
    <hyperlink ref="X399" r:id="rId908" display="https://gobiernobogota-my.sharepoint.com/:b:/g/personal/planeacion_suba_gobiernobogota_gov_co/IQC-vvwZ8HAaSJ8YBkjCYFCcAU8H6d5p_ft5x3s6ThZx73U?e=2gXaaZ" xr:uid="{C291BEC9-BC66-43FC-BA8D-AE7AC6F67B9A}"/>
    <hyperlink ref="AK399" r:id="rId909" display="https://gobiernobogota-my.sharepoint.com/:b:/g/personal/planeacion_suba_gobiernobogota_gov_co/IQDFiQJyYPj1RodL6tJdI6PcAWRRJ5zh1dq4Almr6VHqjd4?e=fUG1kd" xr:uid="{6B117E44-D90E-470C-816E-B21F3F1C76C9}"/>
    <hyperlink ref="K400" r:id="rId910" display="https://gobiernobogota-my.sharepoint.com/:b:/g/personal/planeacion_suba_gobiernobogota_gov_co/IQApp1JHMlK5Rps6m3EljI-NARevX55YVfE28Zsyj3h0Yy0?e=sJhR77" xr:uid="{6200E16B-2598-414A-8C49-BBE4D5AC4052}"/>
    <hyperlink ref="X400" r:id="rId911" display="https://gobiernobogota-my.sharepoint.com/:b:/g/personal/planeacion_suba_gobiernobogota_gov_co/IQAS7srwl2vyRYV8Bky-c8mbAe_iDdTkPPFWUGSbBPkgSBo?e=Mg9bWT" xr:uid="{AF5E01AD-CF43-4217-ADA1-AC85E7BB388A}"/>
    <hyperlink ref="AK400" r:id="rId912" display="https://gobiernobogota-my.sharepoint.com/:b:/g/personal/planeacion_suba_gobiernobogota_gov_co/IQAqNk9OH4YqRYrGpQFTz-mQAUJEcH9bcRIaZjAS9CMXGqQ?e=atqHG4" xr:uid="{4DF9FF6B-461E-42E3-BF19-1D3F2645AB2C}"/>
    <hyperlink ref="K401" r:id="rId913" display="https://gobiernobogota-my.sharepoint.com/:b:/g/personal/planeacion_suba_gobiernobogota_gov_co/IQApp1JHMlK5Rps6m3EljI-NARevX55YVfE28Zsyj3h0Yy0?e=FUhEB7" xr:uid="{9E7477C0-7AF3-4DE6-A442-7670955E65FE}"/>
    <hyperlink ref="X401" r:id="rId914" display="https://gobiernobogota-my.sharepoint.com/:b:/g/personal/planeacion_suba_gobiernobogota_gov_co/IQAS7srwl2vyRYV8Bky-c8mbAe_iDdTkPPFWUGSbBPkgSBo?e=Mg9bWT" xr:uid="{C4C0DF7A-CD4E-4447-B940-E6C652034A76}"/>
    <hyperlink ref="AK401" r:id="rId915" display="https://gobiernobogota-my.sharepoint.com/:b:/g/personal/planeacion_suba_gobiernobogota_gov_co/IQAqNk9OH4YqRYrGpQFTz-mQAUJEcH9bcRIaZjAS9CMXGqQ?e=atqHG4" xr:uid="{E38DF67F-A2F1-4EC5-A583-E4A69C0F50E1}"/>
    <hyperlink ref="X402" r:id="rId916" display="https://gobiernobogota-my.sharepoint.com/:b:/g/personal/planeacion_suba_gobiernobogota_gov_co/IQAS7srwl2vyRYV8Bky-c8mbAe_iDdTkPPFWUGSbBPkgSBo?e=Mg9bWT" xr:uid="{6B871796-D927-44F5-A94F-9746C7DAF526}"/>
    <hyperlink ref="AK402" r:id="rId917" display="https://gobiernobogota-my.sharepoint.com/:b:/g/personal/planeacion_suba_gobiernobogota_gov_co/IQAqNk9OH4YqRYrGpQFTz-mQAUJEcH9bcRIaZjAS9CMXGqQ?e=atqHG4" xr:uid="{FFFC3C1C-6A4A-431E-A159-7335E855439E}"/>
    <hyperlink ref="K403" r:id="rId918" display="https://gobiernobogota-my.sharepoint.com/:b:/g/personal/planeacion_suba_gobiernobogota_gov_co/IQADC9knk6nNRKJljIOhwk2qAdShpXZmNMX3rXF25hMw_UA?e=dsCZMM" xr:uid="{6A11C007-B213-4E65-951E-BCD7381F4D47}"/>
    <hyperlink ref="X403" r:id="rId919" display="https://gobiernobogota-my.sharepoint.com/:b:/g/personal/planeacion_suba_gobiernobogota_gov_co/IQAbSLyAFh2xRJr0NhbYbKk2ATKbPTcKyEeZatQ-G_R5UiE?e=uolpOb" xr:uid="{EC65AA98-22C4-45F3-924B-6245FCBE46E5}"/>
    <hyperlink ref="AK403" r:id="rId920" display="https://gobiernobogota-my.sharepoint.com/:b:/g/personal/planeacion_suba_gobiernobogota_gov_co/IQAQwRzvwyOGRoadzOfEJbYbAZHcIaYsTNJAlIt0BpMGmxY?e=uCEeS6" xr:uid="{58E6591E-2236-42B1-93EF-1370BCA599EE}"/>
    <hyperlink ref="K404" r:id="rId921" display="https://gobiernobogota-my.sharepoint.com/:b:/g/personal/planeacion_suba_gobiernobogota_gov_co/IQADC9knk6nNRKJljIOhwk2qAdShpXZmNMX3rXF25hMw_UA?e=dsCZMM" xr:uid="{31C4934E-26EB-4E54-80B6-09151E901A31}"/>
    <hyperlink ref="X404" r:id="rId922" display="https://gobiernobogota-my.sharepoint.com/:b:/g/personal/planeacion_suba_gobiernobogota_gov_co/IQAQwRzvwyOGRoadzOfEJbYbAZHcIaYsTNJAlIt0BpMGmxY?e=uCEeS6" xr:uid="{71A49819-E2A1-4BC2-84BC-BF64B8921F33}"/>
    <hyperlink ref="AK404" r:id="rId923" display="https://gobiernobogota-my.sharepoint.com/:b:/g/personal/planeacion_suba_gobiernobogota_gov_co/IQAbSLyAFh2xRJr0NhbYbKk2ATKbPTcKyEeZatQ-G_R5UiE?e=uolpOb" xr:uid="{690692A5-8227-4D6A-9ECA-1A2AF0B5E3A5}"/>
    <hyperlink ref="K405" r:id="rId924" display="https://gobiernobogota-my.sharepoint.com/:b:/g/personal/planeacion_suba_gobiernobogota_gov_co/IQADC9knk6nNRKJljIOhwk2qAdShpXZmNMX3rXF25hMw_UA?e=dsCZMM" xr:uid="{5CC0CB31-40E7-40D4-85D0-EB9930B4A0FC}"/>
    <hyperlink ref="X405" r:id="rId925" display="https://gobiernobogota-my.sharepoint.com/:b:/g/personal/planeacion_suba_gobiernobogota_gov_co/IQAQwRzvwyOGRoadzOfEJbYbAZHcIaYsTNJAlIt0BpMGmxY?e=uCEeS6" xr:uid="{2E7743B0-6C34-4D31-A671-8A4AA95B777D}"/>
    <hyperlink ref="AK405" r:id="rId926" display="https://gobiernobogota-my.sharepoint.com/:b:/g/personal/planeacion_suba_gobiernobogota_gov_co/IQAbSLyAFh2xRJr0NhbYbKk2ATKbPTcKyEeZatQ-G_R5UiE?e=uolpOb" xr:uid="{61A79D6B-E17E-4CE8-BD2D-809511DA7288}"/>
    <hyperlink ref="K406" r:id="rId927" display="https://gobiernobogota-my.sharepoint.com/:b:/g/personal/planeacion_suba_gobiernobogota_gov_co/IQADC9knk6nNRKJljIOhwk2qAdShpXZmNMX3rXF25hMw_UA?e=dsCZMM" xr:uid="{76C6B3A1-471B-4199-B204-625ACE799C70}"/>
    <hyperlink ref="X406" r:id="rId928" display="https://gobiernobogota-my.sharepoint.com/:b:/g/personal/planeacion_suba_gobiernobogota_gov_co/IQAQwRzvwyOGRoadzOfEJbYbAZHcIaYsTNJAlIt0BpMGmxY?e=uCEeS6" xr:uid="{DA6BF1F0-0FC3-4BE8-AAAD-FB63C5FAE6C4}"/>
    <hyperlink ref="AK406" r:id="rId929" display="https://gobiernobogota-my.sharepoint.com/:b:/g/personal/planeacion_suba_gobiernobogota_gov_co/IQAbSLyAFh2xRJr0NhbYbKk2ATKbPTcKyEeZatQ-G_R5UiE?e=uolpOb" xr:uid="{E05FF4F2-AB14-4875-BB45-014C06A1E3DD}"/>
    <hyperlink ref="K407" r:id="rId930" display="https://gobiernobogota-my.sharepoint.com/:b:/g/personal/planeacion_suba_gobiernobogota_gov_co/IQADC9knk6nNRKJljIOhwk2qAdShpXZmNMX3rXF25hMw_UA?e=dsCZMM" xr:uid="{55B4E369-B58C-4765-A8DA-EF1AABEAD58D}"/>
    <hyperlink ref="X407" r:id="rId931" display="https://gobiernobogota-my.sharepoint.com/:b:/g/personal/planeacion_suba_gobiernobogota_gov_co/IQAQwRzvwyOGRoadzOfEJbYbAZHcIaYsTNJAlIt0BpMGmxY?e=uCEeS6" xr:uid="{7A9F5E49-4A1E-4469-B89B-170EE3FDFF63}"/>
    <hyperlink ref="AK407" r:id="rId932" display="https://gobiernobogota-my.sharepoint.com/:b:/g/personal/planeacion_suba_gobiernobogota_gov_co/IQAbSLyAFh2xRJr0NhbYbKk2ATKbPTcKyEeZatQ-G_R5UiE?e=uolpOb" xr:uid="{66CACEFB-D68A-4882-B531-AF2CD43A313F}"/>
    <hyperlink ref="K408" r:id="rId933" display="https://gobiernobogota-my.sharepoint.com/:b:/g/personal/planeacion_suba_gobiernobogota_gov_co/IQApp1JHMlK5Rps6m3EljI-NARevX55YVfE28Zsyj3h0Yy0?e=IEESow" xr:uid="{89E896CE-C5DD-4ADE-AC56-63E222E34212}"/>
    <hyperlink ref="X408" r:id="rId934" display="https://gobiernobogota-my.sharepoint.com/:b:/g/personal/planeacion_suba_gobiernobogota_gov_co/IQAS7srwl2vyRYV8Bky-c8mbAe_iDdTkPPFWUGSbBPkgSBo?e=DACjNK" xr:uid="{B6D005AA-9F3E-4CE4-A91B-6314BB0E35B5}"/>
    <hyperlink ref="AK408" r:id="rId935" display="https://gobiernobogota-my.sharepoint.com/:b:/g/personal/planeacion_suba_gobiernobogota_gov_co/IQAqNk9OH4YqRYrGpQFTz-mQAUJEcH9bcRIaZjAS9CMXGqQ?e=atqHG4" xr:uid="{D4FE4EBD-32DE-42BA-85FA-455001B4CD19}"/>
    <hyperlink ref="K409" r:id="rId936" display="https://gobiernobogota-my.sharepoint.com/:b:/g/personal/planeacion_suba_gobiernobogota_gov_co/IQADC9knk6nNRKJljIOhwk2qAdShpXZmNMX3rXF25hMw_UA?e=dsCZMM" xr:uid="{FA416C4A-8A6B-4A87-B9F7-2A29F48D1B6E}"/>
    <hyperlink ref="X409" r:id="rId937" display="https://gobiernobogota-my.sharepoint.com/:b:/g/personal/planeacion_suba_gobiernobogota_gov_co/IQAQwRzvwyOGRoadzOfEJbYbAZHcIaYsTNJAlIt0BpMGmxY?e=uCEeS6" xr:uid="{8F3C68CE-1F48-4647-B5FE-D89AD72F203A}"/>
    <hyperlink ref="AK409" r:id="rId938" display="https://gobiernobogota-my.sharepoint.com/:b:/g/personal/planeacion_suba_gobiernobogota_gov_co/IQAZ8TQIkw-sTqEUsBZrdZo2AStSmUx7N8Mv9Z9z84jmrnU?e=SXnyWm" xr:uid="{4A198D60-B7B5-4EB0-82A9-971D3122CC32}"/>
    <hyperlink ref="K410" r:id="rId939" display="https://gobiernobogota-my.sharepoint.com/:b:/g/personal/planeacion_suba_gobiernobogota_gov_co/IQADC9knk6nNRKJljIOhwk2qAdShpXZmNMX3rXF25hMw_UA?e=dsCZMM" xr:uid="{55DF7782-9AF3-4A11-9F8A-ED7B29D66E15}"/>
    <hyperlink ref="X410" r:id="rId940" display="https://gobiernobogota-my.sharepoint.com/:b:/g/personal/planeacion_suba_gobiernobogota_gov_co/IQAQwRzvwyOGRoadzOfEJbYbAZHcIaYsTNJAlIt0BpMGmxY?e=uCEeS6" xr:uid="{34B4D00A-3346-41D3-9458-557702DC1EE1}"/>
    <hyperlink ref="AK410" r:id="rId941" display="https://gobiernobogota-my.sharepoint.com/:b:/g/personal/planeacion_suba_gobiernobogota_gov_co/IQAgF3gdua3vS6hxDfGAXPKoAV1KN8u-7uKEpI8LBBEwa3s?e=BZSBef" xr:uid="{548EFCE2-4C6A-4278-BCE9-4CAE33778406}"/>
    <hyperlink ref="K411" r:id="rId942" display="https://gobiernobogota-my.sharepoint.com/:b:/g/personal/planeacion_suba_gobiernobogota_gov_co/IQADC9knk6nNRKJljIOhwk2qAdShpXZmNMX3rXF25hMw_UA?e=dsCZMM" xr:uid="{8FF4659C-F6FA-4D2E-86A9-513274C0731C}"/>
    <hyperlink ref="X411" r:id="rId943" display="https://gobiernobogota-my.sharepoint.com/:b:/g/personal/planeacion_suba_gobiernobogota_gov_co/IQAQwRzvwyOGRoadzOfEJbYbAZHcIaYsTNJAlIt0BpMGmxY?e=uCEeS6" xr:uid="{537EF2E6-1DA9-4D07-AE22-AA49A010E803}"/>
    <hyperlink ref="AK411" r:id="rId944" display="https://gobiernobogota-my.sharepoint.com/:b:/g/personal/planeacion_suba_gobiernobogota_gov_co/IQAbSLyAFh2xRJr0NhbYbKk2ATKbPTcKyEeZatQ-G_R5UiE?e=uolpOb" xr:uid="{F327C697-2D56-43FD-88E3-20D7480ED7E5}"/>
    <hyperlink ref="K412" r:id="rId945" display="https://gobiernobogota-my.sharepoint.com/:b:/g/personal/planeacion_suba_gobiernobogota_gov_co/IQADC9knk6nNRKJljIOhwk2qAdShpXZmNMX3rXF25hMw_UA?e=dsCZMM" xr:uid="{97E28989-60F3-4667-8078-15BDA4523272}"/>
    <hyperlink ref="X412" r:id="rId946" display="https://gobiernobogota-my.sharepoint.com/:b:/g/personal/planeacion_suba_gobiernobogota_gov_co/IQAQwRzvwyOGRoadzOfEJbYbAZHcIaYsTNJAlIt0BpMGmxY?e=uCEeS6" xr:uid="{6302A46D-DBD1-44A7-8E3E-F4D921515A97}"/>
    <hyperlink ref="AK412" r:id="rId947" display="https://gobiernobogota-my.sharepoint.com/:b:/g/personal/planeacion_suba_gobiernobogota_gov_co/IQAbSLyAFh2xRJr0NhbYbKk2ATKbPTcKyEeZatQ-G_R5UiE?e=uolpOb" xr:uid="{802634DC-2490-4E58-957B-C944E9B1606C}"/>
    <hyperlink ref="K413" r:id="rId948" display="https://gobiernobogota-my.sharepoint.com/:b:/g/personal/planeacion_suba_gobiernobogota_gov_co/IQADC9knk6nNRKJljIOhwk2qAdShpXZmNMX3rXF25hMw_UA?e=dsCZMM" xr:uid="{4D8FDDD0-15A9-413A-AFF1-AE6498477D32}"/>
    <hyperlink ref="X413" r:id="rId949" display="https://gobiernobogota-my.sharepoint.com/:b:/g/personal/planeacion_suba_gobiernobogota_gov_co/IQAQwRzvwyOGRoadzOfEJbYbAZHcIaYsTNJAlIt0BpMGmxY?e=uCEeS6" xr:uid="{0B7A6344-519C-4B43-B2A4-6CCE1A76F728}"/>
    <hyperlink ref="AK413" r:id="rId950" display="https://gobiernobogota-my.sharepoint.com/:b:/g/personal/planeacion_suba_gobiernobogota_gov_co/IQAbSLyAFh2xRJr0NhbYbKk2ATKbPTcKyEeZatQ-G_R5UiE?e=uolpOb" xr:uid="{ACF23C1B-C102-4D6C-91C5-2729C970CFD8}"/>
    <hyperlink ref="K414" r:id="rId951" display="https://gobiernobogota-my.sharepoint.com/:b:/g/personal/planeacion_suba_gobiernobogota_gov_co/IQADC9knk6nNRKJljIOhwk2qAdShpXZmNMX3rXF25hMw_UA?e=dsCZMM" xr:uid="{DB99DECF-0485-4A29-B06F-E141AC710932}"/>
    <hyperlink ref="X414" r:id="rId952" display="https://gobiernobogota-my.sharepoint.com/:b:/g/personal/planeacion_suba_gobiernobogota_gov_co/IQAQwRzvwyOGRoadzOfEJbYbAZHcIaYsTNJAlIt0BpMGmxY?e=uCEeS6" xr:uid="{5DF8EF34-9B10-4547-BEA1-56E05087B230}"/>
    <hyperlink ref="AK414" r:id="rId953" display="https://gobiernobogota-my.sharepoint.com/:b:/g/personal/planeacion_suba_gobiernobogota_gov_co/IQAbSLyAFh2xRJr0NhbYbKk2ATKbPTcKyEeZatQ-G_R5UiE?e=uolpOb" xr:uid="{3967AEAE-6DA4-4CAC-9CC3-7E7D323892B5}"/>
    <hyperlink ref="K415" r:id="rId954" display="https://gobiernobogota-my.sharepoint.com/:b:/g/personal/planeacion_suba_gobiernobogota_gov_co/IQADC9knk6nNRKJljIOhwk2qAdShpXZmNMX3rXF25hMw_UA?e=dsCZMM" xr:uid="{754050BF-F1AF-4857-851F-24F7BDAF0E99}"/>
    <hyperlink ref="X415" r:id="rId955" display="https://gobiernobogota-my.sharepoint.com/:b:/g/personal/planeacion_suba_gobiernobogota_gov_co/IQAQwRzvwyOGRoadzOfEJbYbAZHcIaYsTNJAlIt0BpMGmxY?e=uCEeS6" xr:uid="{5A1F0AA9-564C-4450-9B71-F7A238D73633}"/>
    <hyperlink ref="AK415" r:id="rId956" display="https://gobiernobogota-my.sharepoint.com/:b:/g/personal/planeacion_suba_gobiernobogota_gov_co/IQAbSLyAFh2xRJr0NhbYbKk2ATKbPTcKyEeZatQ-G_R5UiE?e=uolpOb" xr:uid="{9DCC3787-7F0C-469A-8A4C-8ADD3A4577D4}"/>
    <hyperlink ref="K416" r:id="rId957" display="https://gobiernobogota-my.sharepoint.com/:b:/g/personal/planeacion_suba_gobiernobogota_gov_co/IQADC9knk6nNRKJljIOhwk2qAdShpXZmNMX3rXF25hMw_UA?e=dsCZMM" xr:uid="{FA86B05A-3C77-46C7-BBA7-E144333AD8D1}"/>
    <hyperlink ref="X416" r:id="rId958" display="https://gobiernobogota-my.sharepoint.com/:b:/g/personal/planeacion_suba_gobiernobogota_gov_co/IQAQwRzvwyOGRoadzOfEJbYbAZHcIaYsTNJAlIt0BpMGmxY?e=uCEeS6" xr:uid="{078B072D-6BA4-44F0-B307-20F7004FD919}"/>
    <hyperlink ref="AK416" r:id="rId959" display="https://gobiernobogota-my.sharepoint.com/:b:/g/personal/planeacion_suba_gobiernobogota_gov_co/IQAbSLyAFh2xRJr0NhbYbKk2ATKbPTcKyEeZatQ-G_R5UiE?e=uolpOb" xr:uid="{9270DFA0-5DC9-4EA9-8687-C051D5F74796}"/>
    <hyperlink ref="K417" r:id="rId960" display="https://gobiernobogota-my.sharepoint.com/:b:/g/personal/planeacion_suba_gobiernobogota_gov_co/IQADC9knk6nNRKJljIOhwk2qAdShpXZmNMX3rXF25hMw_UA?e=dsCZMM" xr:uid="{F59C415B-E87A-41DF-8D4C-C633B62066D4}"/>
    <hyperlink ref="X417" r:id="rId961" display="https://gobiernobogota-my.sharepoint.com/:b:/g/personal/planeacion_suba_gobiernobogota_gov_co/IQAQwRzvwyOGRoadzOfEJbYbAZHcIaYsTNJAlIt0BpMGmxY?e=uCEeS6" xr:uid="{DB670C66-B4E2-4A00-8598-196964328AD2}"/>
    <hyperlink ref="AK417" r:id="rId962" display="https://gobiernobogota-my.sharepoint.com/:b:/g/personal/planeacion_suba_gobiernobogota_gov_co/IQAbSLyAFh2xRJr0NhbYbKk2ATKbPTcKyEeZatQ-G_R5UiE?e=uolpOb" xr:uid="{927B6AD1-690F-475E-B03E-CDCC46797F5F}"/>
    <hyperlink ref="K418" r:id="rId963" display="https://gobiernobogota-my.sharepoint.com/:b:/g/personal/planeacion_suba_gobiernobogota_gov_co/IQADC9knk6nNRKJljIOhwk2qAdShpXZmNMX3rXF25hMw_UA?e=dsCZMM" xr:uid="{50D2442B-49AC-4571-88DE-03273F18ABFE}"/>
    <hyperlink ref="X418" r:id="rId964" display="https://gobiernobogota-my.sharepoint.com/:b:/g/personal/planeacion_suba_gobiernobogota_gov_co/IQAQwRzvwyOGRoadzOfEJbYbAZHcIaYsTNJAlIt0BpMGmxY?e=uCEeS6" xr:uid="{075A85F0-40CD-4947-ACDF-DEDCD597B47F}"/>
    <hyperlink ref="AK418" r:id="rId965" display="https://gobiernobogota-my.sharepoint.com/:b:/g/personal/planeacion_suba_gobiernobogota_gov_co/IQAJOJZDPzBNQ41SvqyM-JTuAcqox7uUjRdaoy54qwudEYw?e=D6ltuA" xr:uid="{70D372D1-B953-4E57-AC19-0A3CCEEA29A8}"/>
    <hyperlink ref="K419" r:id="rId966" display="https://gobiernobogota-my.sharepoint.com/:b:/g/personal/planeacion_suba_gobiernobogota_gov_co/IQADC9knk6nNRKJljIOhwk2qAdShpXZmNMX3rXF25hMw_UA?e=dsCZMM" xr:uid="{5B70F8F7-3484-4BD8-B57C-A69D31546E1B}"/>
    <hyperlink ref="X419" r:id="rId967" display="https://gobiernobogota-my.sharepoint.com/:b:/g/personal/planeacion_suba_gobiernobogota_gov_co/IQAQwRzvwyOGRoadzOfEJbYbAZHcIaYsTNJAlIt0BpMGmxY?e=uCEeS6" xr:uid="{E22D1653-2A46-4C99-8CF1-89702606A17D}"/>
    <hyperlink ref="AK419" r:id="rId968" display="https://gobiernobogota-my.sharepoint.com/:b:/g/personal/planeacion_suba_gobiernobogota_gov_co/IQAbSLyAFh2xRJr0NhbYbKk2ATKbPTcKyEeZatQ-G_R5UiE?e=uolpOb" xr:uid="{67EC65F1-BEA3-4A26-8B51-EEB2DD208E52}"/>
    <hyperlink ref="K420" r:id="rId969" display="https://gobiernobogota-my.sharepoint.com/:b:/g/personal/planeacion_suba_gobiernobogota_gov_co/IQADC9knk6nNRKJljIOhwk2qAdShpXZmNMX3rXF25hMw_UA?e=dsCZMM" xr:uid="{916EBAB7-F71B-4A21-9FD6-F4A6E8A4D78B}"/>
    <hyperlink ref="X420" r:id="rId970" display="https://gobiernobogota-my.sharepoint.com/:b:/g/personal/planeacion_suba_gobiernobogota_gov_co/IQAbSLyAFh2xRJr0NhbYbKk2ATKbPTcKyEeZatQ-G_R5UiE?e=uolpOb" xr:uid="{6D46A549-6A75-4979-9F1D-93FC8B549CB0}"/>
    <hyperlink ref="AK420" r:id="rId971" display="https://gobiernobogota-my.sharepoint.com/:b:/g/personal/planeacion_suba_gobiernobogota_gov_co/IQAQwRzvwyOGRoadzOfEJbYbAZHcIaYsTNJAlIt0BpMGmxY?e=uCEeS6" xr:uid="{47E2ECC4-FE4F-4A30-A429-69F4E980824B}"/>
    <hyperlink ref="K421" r:id="rId972" display="https://gobiernobogota-my.sharepoint.com/:b:/g/personal/planeacion_suba_gobiernobogota_gov_co/IQADC9knk6nNRKJljIOhwk2qAdShpXZmNMX3rXF25hMw_UA?e=dsCZMM" xr:uid="{1D8E683F-BAFB-4E81-A2B6-43682F5E0F4C}"/>
    <hyperlink ref="X421" r:id="rId973" display="https://gobiernobogota-my.sharepoint.com/:b:/g/personal/planeacion_suba_gobiernobogota_gov_co/IQAQwRzvwyOGRoadzOfEJbYbAZHcIaYsTNJAlIt0BpMGmxY?e=uCEeS6" xr:uid="{EDC9BC76-181B-4F3D-B4DA-A93E176233B7}"/>
    <hyperlink ref="AK421" r:id="rId974" display="https://gobiernobogota-my.sharepoint.com/:b:/g/personal/planeacion_suba_gobiernobogota_gov_co/IQAbSLyAFh2xRJr0NhbYbKk2ATKbPTcKyEeZatQ-G_R5UiE?e=uolpOb" xr:uid="{2BC01225-F4DE-405D-B4C1-982113FC117F}"/>
    <hyperlink ref="K422" r:id="rId975" display="https://gobiernobogota-my.sharepoint.com/:b:/g/personal/planeacion_suba_gobiernobogota_gov_co/IQADC9knk6nNRKJljIOhwk2qAdShpXZmNMX3rXF25hMw_UA?e=dsCZMM" xr:uid="{CEB822B0-615D-4CC1-9953-B4A14ECCC9F7}"/>
    <hyperlink ref="X422" r:id="rId976" display="https://gobiernobogota-my.sharepoint.com/:b:/g/personal/planeacion_suba_gobiernobogota_gov_co/IQAQwRzvwyOGRoadzOfEJbYbAZHcIaYsTNJAlIt0BpMGmxY?e=uCEeS6" xr:uid="{C9C8F041-7924-4B3B-8EA4-1C0BAE0EAB48}"/>
    <hyperlink ref="AK422" r:id="rId977" display="https://gobiernobogota-my.sharepoint.com/:b:/g/personal/planeacion_suba_gobiernobogota_gov_co/IQAbSLyAFh2xRJr0NhbYbKk2ATKbPTcKyEeZatQ-G_R5UiE?e=uolpOb" xr:uid="{362D2DE4-8CF0-41C8-B7A6-C7655D7BED27}"/>
    <hyperlink ref="K423" r:id="rId978" display="https://gobiernobogota-my.sharepoint.com/:b:/g/personal/planeacion_suba_gobiernobogota_gov_co/IQAfXzMA_4XnTa1B6xj-Aus0Aa3qNM2zo_wbgPdupwGCrss?e=fdoxSg" xr:uid="{C526615A-EC07-47C7-88EB-8BB2A5C944F3}"/>
    <hyperlink ref="X423" r:id="rId979" display="https://gobiernobogota-my.sharepoint.com/:b:/g/personal/planeacion_suba_gobiernobogota_gov_co/IQBHXpb8-WmcQqwdZbmyNsmWAZHzXvVQOJgu37uahqcNFXY?e=TcztNa" xr:uid="{1605E5F9-A057-4B8F-8CFF-E942E2326DF6}"/>
    <hyperlink ref="AK423" r:id="rId980" display="https://gobiernobogota-my.sharepoint.com/:b:/g/personal/planeacion_suba_gobiernobogota_gov_co/IQBeOwotiS4cS5L6sLj_SRsdAdT96zfU3QUOM7uXkNXRJJc?e=2q8ADp" xr:uid="{5D2EFC55-4074-4440-A0AD-AA1EC9D1EB6D}"/>
    <hyperlink ref="K424" r:id="rId981" display="https://gobiernobogota-my.sharepoint.com/:b:/g/personal/planeacion_suba_gobiernobogota_gov_co/IQBLOKQZI52RRYzlMc0IDcUfAfaPvHWc84l4wynUf1J19ZA?e=g0rO3c" xr:uid="{6A44B4F2-E754-4E0F-A89D-1478DA764469}"/>
    <hyperlink ref="X424" r:id="rId982" display="https://gobiernobogota-my.sharepoint.com/:b:/g/personal/planeacion_suba_gobiernobogota_gov_co/IQCZlc-VbsgXR4Rn8EID1ofSAXAWIc31ZsrOm33MRJUP3fc?e=Ggv7af" xr:uid="{8C50B3B7-7712-47DE-93E7-7B7324DA24E7}"/>
    <hyperlink ref="AK424" r:id="rId983" display="https://gobiernobogota-my.sharepoint.com/:b:/g/personal/planeacion_suba_gobiernobogota_gov_co/IQDmXPOW9uenSJ7vn33T6rZDAfTQfDAonniU_2H-KJf5Xlc?e=zPkylU" xr:uid="{505E409E-4850-4541-8CBF-4DB0AE427391}"/>
    <hyperlink ref="K426" r:id="rId984" display="https://gobiernobogota-my.sharepoint.com/:b:/g/personal/planeacion_suba_gobiernobogota_gov_co/IQBLOKQZI52RRYzlMc0IDcUfAfaPvHWc84l4wynUf1J19ZA?e=g0rO3c" xr:uid="{11734718-9318-47A6-9EC9-DCA327789223}"/>
    <hyperlink ref="X426" r:id="rId985" display="https://gobiernobogota-my.sharepoint.com/:b:/g/personal/planeacion_suba_gobiernobogota_gov_co/IQCX5R01gnI3QLPk49hsK0lpAXaK-OSVtPGApsy1wuJ-x1s?e=X6CBQ2" xr:uid="{F443439B-CDAD-4D5C-BBD5-11F46952E8D5}"/>
    <hyperlink ref="AK426" r:id="rId986" display="https://gobiernobogota-my.sharepoint.com/:b:/g/personal/planeacion_suba_gobiernobogota_gov_co/IQCok6SIWdA3R5RQoMNCzBIRAetPIxe1IjK9foAFX01Hg1E?e=Oxmd9y" xr:uid="{DEF92A6D-8367-4E5E-A0B9-3A62F46AF30C}"/>
    <hyperlink ref="K427" r:id="rId987" display="https://gobiernobogota-my.sharepoint.com/:b:/g/personal/planeacion_suba_gobiernobogota_gov_co/IQCX5R01gnI3QLPk49hsK0lpAXaK-OSVtPGApsy1wuJ-x1s?e=X6CBQ2" xr:uid="{99A6A0E3-5284-4A49-B206-11BD0BF97474}"/>
    <hyperlink ref="X427" r:id="rId988" display="https://gobiernobogota-my.sharepoint.com/:b:/g/personal/planeacion_suba_gobiernobogota_gov_co/IQCok6SIWdA3R5RQoMNCzBIRAetPIxe1IjK9foAFX01Hg1E?e=Oxmd9y" xr:uid="{E0C9D074-3A18-453E-9E8C-9D68FBFA71EC}"/>
    <hyperlink ref="K428" r:id="rId989" display="https://gobiernobogota-my.sharepoint.com/:b:/g/personal/planeacion_suba_gobiernobogota_gov_co/IQADC9knk6nNRKJljIOhwk2qAdShpXZmNMX3rXF25hMw_UA?e=dsCZMM" xr:uid="{C1553F36-44B8-448A-908D-D618FC487FD3}"/>
    <hyperlink ref="X428" r:id="rId990" display="https://gobiernobogota-my.sharepoint.com/:b:/g/personal/planeacion_suba_gobiernobogota_gov_co/IQAQwRzvwyOGRoadzOfEJbYbAZHcIaYsTNJAlIt0BpMGmxY?e=uCEeS6" xr:uid="{9870CCE2-A620-406C-A731-247F33DFDB44}"/>
    <hyperlink ref="AK428" r:id="rId991" display="https://gobiernobogota-my.sharepoint.com/:b:/g/personal/planeacion_suba_gobiernobogota_gov_co/IQAbSLyAFh2xRJr0NhbYbKk2ATKbPTcKyEeZatQ-G_R5UiE?e=uolpOb" xr:uid="{DD003FEC-D713-4E23-810A-89A8961F8C9A}"/>
    <hyperlink ref="K429" r:id="rId992" display="https://gobiernobogota-my.sharepoint.com/:b:/g/personal/planeacion_suba_gobiernobogota_gov_co/IQADC9knk6nNRKJljIOhwk2qAdShpXZmNMX3rXF25hMw_UA?e=dsCZMM" xr:uid="{7388111E-2C27-464B-87AB-918F63721448}"/>
    <hyperlink ref="X429" r:id="rId993" display="https://gobiernobogota-my.sharepoint.com/:b:/g/personal/planeacion_suba_gobiernobogota_gov_co/IQAQwRzvwyOGRoadzOfEJbYbAZHcIaYsTNJAlIt0BpMGmxY?e=uCEeS6" xr:uid="{5E5BCB3B-809D-4267-80C4-1F70E61FF100}"/>
    <hyperlink ref="AK429" r:id="rId994" display="https://gobiernobogota-my.sharepoint.com/:b:/g/personal/planeacion_suba_gobiernobogota_gov_co/IQAbSLyAFh2xRJr0NhbYbKk2ATKbPTcKyEeZatQ-G_R5UiE?e=uolpOb" xr:uid="{1D98C7D5-D8EA-4516-B96C-BB59696215C6}"/>
    <hyperlink ref="K430" r:id="rId995" display="https://gobiernobogota-my.sharepoint.com/:b:/g/personal/planeacion_suba_gobiernobogota_gov_co/IQADC9knk6nNRKJljIOhwk2qAdShpXZmNMX3rXF25hMw_UA?e=dsCZMM" xr:uid="{F4424AD9-48CF-4338-AB0C-FCFF66889230}"/>
    <hyperlink ref="X430" r:id="rId996" display="https://gobiernobogota-my.sharepoint.com/:b:/g/personal/planeacion_suba_gobiernobogota_gov_co/IQAQwRzvwyOGRoadzOfEJbYbAZHcIaYsTNJAlIt0BpMGmxY?e=uCEeS6" xr:uid="{43CF04EE-99D8-4E24-80AB-ECB208685E7B}"/>
    <hyperlink ref="AK430" r:id="rId997" display="https://gobiernobogota-my.sharepoint.com/:b:/g/personal/planeacion_suba_gobiernobogota_gov_co/IQAbSLyAFh2xRJr0NhbYbKk2ATKbPTcKyEeZatQ-G_R5UiE?e=uolpOb" xr:uid="{C500D8DE-8A1F-4218-9643-36A793AB8EEE}"/>
    <hyperlink ref="K431" r:id="rId998" display="https://gobiernobogota-my.sharepoint.com/:b:/g/personal/planeacion_suba_gobiernobogota_gov_co/IQADC9knk6nNRKJljIOhwk2qAdShpXZmNMX3rXF25hMw_UA?e=dsCZMM" xr:uid="{B9BC4AA5-EF0B-4DE5-A03C-CFAA2FE27DCB}"/>
    <hyperlink ref="X431" r:id="rId999" display="https://gobiernobogota-my.sharepoint.com/:b:/g/personal/planeacion_suba_gobiernobogota_gov_co/IQAQwRzvwyOGRoadzOfEJbYbAZHcIaYsTNJAlIt0BpMGmxY?e=uCEeS6" xr:uid="{74316839-6DD5-4EA6-83E4-46E3E43827D0}"/>
    <hyperlink ref="AK431" r:id="rId1000" display="https://gobiernobogota-my.sharepoint.com/:b:/g/personal/planeacion_suba_gobiernobogota_gov_co/IQAbSLyAFh2xRJr0NhbYbKk2ATKbPTcKyEeZatQ-G_R5UiE?e=uolpOb" xr:uid="{12F80743-D86C-4AA5-8CE8-86744A206A77}"/>
    <hyperlink ref="K432" r:id="rId1001" display="https://gobiernobogota-my.sharepoint.com/:b:/g/personal/planeacion_suba_gobiernobogota_gov_co/IQADC9knk6nNRKJljIOhwk2qAdShpXZmNMX3rXF25hMw_UA?e=dsCZMM" xr:uid="{FDAD7F77-2EF2-4D76-877D-99F7407C0510}"/>
    <hyperlink ref="X432" r:id="rId1002" display="https://gobiernobogota-my.sharepoint.com/:b:/g/personal/planeacion_suba_gobiernobogota_gov_co/IQAQwRzvwyOGRoadzOfEJbYbAZHcIaYsTNJAlIt0BpMGmxY?e=uCEeS6" xr:uid="{4D838F84-4E1C-40FE-888A-E1A5588BA6BA}"/>
    <hyperlink ref="AK432" r:id="rId1003" display="https://gobiernobogota-my.sharepoint.com/:b:/g/personal/planeacion_suba_gobiernobogota_gov_co/IQAbSLyAFh2xRJr0NhbYbKk2ATKbPTcKyEeZatQ-G_R5UiE?e=uolpOb" xr:uid="{1C1F37BB-9317-4976-8755-3AF50065E261}"/>
    <hyperlink ref="K433" r:id="rId1004" display="https://gobiernobogota-my.sharepoint.com/:b:/g/personal/planeacion_suba_gobiernobogota_gov_co/IQBLOKQZI52RRYzlMc0IDcUfAfaPvHWc84l4wynUf1J19ZA?e=g0rO3c" xr:uid="{0FDFCFDD-757F-477C-8A48-96B6C4D78C42}"/>
    <hyperlink ref="X433" r:id="rId1005" display="https://gobiernobogota-my.sharepoint.com/:b:/g/personal/planeacion_suba_gobiernobogota_gov_co/IQCok6SIWdA3R5RQoMNCzBIRAetPIxe1IjK9foAFX01Hg1E?e=Oxmd9y" xr:uid="{5A8FD734-1E75-4169-8105-0E514B115260}"/>
    <hyperlink ref="AK433" r:id="rId1006" display="https://gobiernobogota-my.sharepoint.com/:b:/g/personal/planeacion_suba_gobiernobogota_gov_co/IQBI3JyPjpUwTISjCJIooeQWARn5mkqcmqOFvi-pO5e4f_s?e=V1ypoX" xr:uid="{A1CA4312-23BA-4314-A951-E237722E68C4}"/>
    <hyperlink ref="K434" r:id="rId1007" display="https://gobiernobogota-my.sharepoint.com/:b:/g/personal/planeacion_suba_gobiernobogota_gov_co/IQBLOKQZI52RRYzlMc0IDcUfAfaPvHWc84l4wynUf1J19ZA?e=g0rO3c" xr:uid="{7458FB51-80EE-43FA-A881-A1B9333F4F08}"/>
    <hyperlink ref="X434" r:id="rId1008" display="https://gobiernobogota-my.sharepoint.com/:b:/g/personal/planeacion_suba_gobiernobogota_gov_co/IQCX5R01gnI3QLPk49hsK0lpAXaK-OSVtPGApsy1wuJ-x1s?e=X6CBQ2" xr:uid="{42CA7877-B733-4B63-AA83-3374CD0F588E}"/>
    <hyperlink ref="AK434" r:id="rId1009" display="https://gobiernobogota-my.sharepoint.com/:b:/g/personal/planeacion_suba_gobiernobogota_gov_co/IQCok6SIWdA3R5RQoMNCzBIRAetPIxe1IjK9foAFX01Hg1E?e=Oxmd9y" xr:uid="{24E3A454-0544-4A4E-9698-7484221DB602}"/>
    <hyperlink ref="K435" r:id="rId1010" display="https://gobiernobogota-my.sharepoint.com/:b:/g/personal/planeacion_suba_gobiernobogota_gov_co/IQDdENf19XmzRYrHjRyTzYS7AcW-WYHfvx0R6LEXrQmtIGw?e=VqBKHo" xr:uid="{2E6ACEF7-B6BA-412D-A3FB-4759393275E5}"/>
    <hyperlink ref="X435" r:id="rId1011" display="https://gobiernobogota-my.sharepoint.com/:b:/g/personal/planeacion_suba_gobiernobogota_gov_co/IQBARb3GdKp5SJiYU7yiCWCRAZu_2QZoYDIYuaxlryA_94A?e=iM8nZF" xr:uid="{92214BE1-8191-47E4-87CA-E91954EC6622}"/>
    <hyperlink ref="AK435" r:id="rId1012" display="https://gobiernobogota-my.sharepoint.com/:b:/g/personal/planeacion_suba_gobiernobogota_gov_co/IQDQ0P06vQEWTIOf20c3X9m1ASCGCvAOimofYKs8LerKKDY?e=YpKcO2" xr:uid="{20C830D4-A451-4344-B850-24BC298BD244}"/>
    <hyperlink ref="K436" r:id="rId1013" display="https://gobiernobogota-my.sharepoint.com/:b:/g/personal/planeacion_suba_gobiernobogota_gov_co/IQBLOKQZI52RRYzlMc0IDcUfAfaPvHWc84l4wynUf1J19ZA?e=g0rO3c" xr:uid="{B34274DA-3BA6-443A-8F10-339B7C38F618}"/>
    <hyperlink ref="X436" r:id="rId1014" display="https://gobiernobogota-my.sharepoint.com/:b:/g/personal/planeacion_suba_gobiernobogota_gov_co/IQCok6SIWdA3R5RQoMNCzBIRAetPIxe1IjK9foAFX01Hg1E?e=Oxmd9y" xr:uid="{B3CDDE58-7766-4FC2-B08B-A576A67A2C3E}"/>
    <hyperlink ref="AK436" r:id="rId1015" display="https://gobiernobogota-my.sharepoint.com/:b:/g/personal/planeacion_suba_gobiernobogota_gov_co/IQCj7dDkXcuGQrcY6h9i0eU1AQRpdV_Ws183JzECLwdcFPY?e=O4Bj8N" xr:uid="{06F0763F-387C-4E84-BB59-20B2F6F0052A}"/>
    <hyperlink ref="K437" r:id="rId1016" display="https://gobiernobogota-my.sharepoint.com/:b:/g/personal/planeacion_suba_gobiernobogota_gov_co/IQADC9knk6nNRKJljIOhwk2qAdShpXZmNMX3rXF25hMw_UA?e=dsCZMM" xr:uid="{CAE12EE2-6614-4F07-BCE5-55896BF308B5}"/>
    <hyperlink ref="X437" r:id="rId1017" display="https://gobiernobogota-my.sharepoint.com/:b:/g/personal/planeacion_suba_gobiernobogota_gov_co/IQAQwRzvwyOGRoadzOfEJbYbAZHcIaYsTNJAlIt0BpMGmxY?e=uCEeS6" xr:uid="{2A6790E4-5464-4962-A33D-7881BB23681C}"/>
    <hyperlink ref="AK437" r:id="rId1018" display="https://gobiernobogota-my.sharepoint.com/:b:/g/personal/planeacion_suba_gobiernobogota_gov_co/IQAbSLyAFh2xRJr0NhbYbKk2ATKbPTcKyEeZatQ-G_R5UiE?e=uolpOb" xr:uid="{CA07B932-5031-4708-96FE-2A83ECE3A10A}"/>
    <hyperlink ref="K438" r:id="rId1019" display="https://gobiernobogota-my.sharepoint.com/:b:/g/personal/planeacion_suba_gobiernobogota_gov_co/IQADC9knk6nNRKJljIOhwk2qAdShpXZmNMX3rXF25hMw_UA?e=dsCZMM" xr:uid="{9421FB59-2E75-4757-B7C1-C47467A25BDD}"/>
    <hyperlink ref="X438" r:id="rId1020" display="https://gobiernobogota-my.sharepoint.com/:b:/g/personal/planeacion_suba_gobiernobogota_gov_co/IQAQwRzvwyOGRoadzOfEJbYbAZHcIaYsTNJAlIt0BpMGmxY?e=uCEeS6" xr:uid="{8A0CDD4C-362F-4730-82EC-AF0FDF7D30BB}"/>
    <hyperlink ref="AK438" r:id="rId1021" display="https://gobiernobogota-my.sharepoint.com/:b:/g/personal/planeacion_suba_gobiernobogota_gov_co/IQB6Qc7qX_z-QKBrQfhBXeXRAQjFQhXNeP7Am2IKqTmuJF8?e=riq1RT" xr:uid="{A94A9F69-3ECC-482A-B142-C6CAEFDCFE0A}"/>
    <hyperlink ref="K439" r:id="rId1022" display="https://gobiernobogota-my.sharepoint.com/:b:/g/personal/planeacion_suba_gobiernobogota_gov_co/IQADC9knk6nNRKJljIOhwk2qAdShpXZmNMX3rXF25hMw_UA?e=dsCZMM" xr:uid="{D34A4918-8D55-447F-98B9-28FCF06E06BD}"/>
    <hyperlink ref="X439" r:id="rId1023" display="https://gobiernobogota-my.sharepoint.com/:b:/g/personal/planeacion_suba_gobiernobogota_gov_co/IQAQwRzvwyOGRoadzOfEJbYbAZHcIaYsTNJAlIt0BpMGmxY?e=uCEeS6" xr:uid="{68972979-4EB8-4C16-8BEA-A566490312B3}"/>
    <hyperlink ref="AK439" r:id="rId1024" display="https://gobiernobogota-my.sharepoint.com/:b:/g/personal/planeacion_suba_gobiernobogota_gov_co/IQAbSLyAFh2xRJr0NhbYbKk2ATKbPTcKyEeZatQ-G_R5UiE?e=uolpOb" xr:uid="{1ED8C946-A535-4F93-A1B9-1A78908F4FC1}"/>
    <hyperlink ref="K440" r:id="rId1025" display="https://gobiernobogota-my.sharepoint.com/:b:/g/personal/planeacion_suba_gobiernobogota_gov_co/IQADC9knk6nNRKJljIOhwk2qAdShpXZmNMX3rXF25hMw_UA?e=dsCZMM" xr:uid="{F516E6C1-2E97-4AD9-8301-E5C54F8591B8}"/>
    <hyperlink ref="X440" r:id="rId1026" display="https://gobiernobogota-my.sharepoint.com/:b:/g/personal/planeacion_suba_gobiernobogota_gov_co/IQAQwRzvwyOGRoadzOfEJbYbAZHcIaYsTNJAlIt0BpMGmxY?e=uCEeS6" xr:uid="{BF3E4D66-E65E-4A98-96EA-BDD2142AF013}"/>
    <hyperlink ref="AK440" r:id="rId1027" display="https://gobiernobogota-my.sharepoint.com/:b:/g/personal/planeacion_suba_gobiernobogota_gov_co/IQAbSLyAFh2xRJr0NhbYbKk2ATKbPTcKyEeZatQ-G_R5UiE?e=uolpOb" xr:uid="{EC895508-A8BC-4A1B-A7C3-8F40E1F3BAB4}"/>
    <hyperlink ref="K441" r:id="rId1028" display="https://gobiernobogota-my.sharepoint.com/:b:/g/personal/planeacion_suba_gobiernobogota_gov_co/IQADC9knk6nNRKJljIOhwk2qAdShpXZmNMX3rXF25hMw_UA?e=dsCZMM" xr:uid="{AF178A97-E319-45D4-A0A8-146A6724585B}"/>
    <hyperlink ref="X441" r:id="rId1029" display="https://gobiernobogota-my.sharepoint.com/:b:/g/personal/planeacion_suba_gobiernobogota_gov_co/IQAQwRzvwyOGRoadzOfEJbYbAZHcIaYsTNJAlIt0BpMGmxY?e=uCEeS6" xr:uid="{644528A9-2E8E-435E-BC55-C890F73DBA3A}"/>
    <hyperlink ref="AK441" r:id="rId1030" display="https://gobiernobogota-my.sharepoint.com/:b:/g/personal/planeacion_suba_gobiernobogota_gov_co/IQAbSLyAFh2xRJr0NhbYbKk2ATKbPTcKyEeZatQ-G_R5UiE?e=uolpOb" xr:uid="{2DED1FF8-E6D5-4BCC-AF71-C87CA4A1FA24}"/>
    <hyperlink ref="K442" r:id="rId1031" display="https://gobiernobogota-my.sharepoint.com/:b:/g/personal/planeacion_suba_gobiernobogota_gov_co/IQADC9knk6nNRKJljIOhwk2qAdShpXZmNMX3rXF25hMw_UA?e=dsCZMM" xr:uid="{EC96938D-FC7D-41AE-A3C6-FAB30937B5EA}"/>
    <hyperlink ref="X442" r:id="rId1032" display="https://gobiernobogota-my.sharepoint.com/:b:/g/personal/planeacion_suba_gobiernobogota_gov_co/IQAQwRzvwyOGRoadzOfEJbYbAZHcIaYsTNJAlIt0BpMGmxY?e=uCEeS6" xr:uid="{740DDE35-ADDB-49E8-8BF4-28BA6D039DD6}"/>
    <hyperlink ref="AK442" r:id="rId1033" display="https://gobiernobogota-my.sharepoint.com/:b:/g/personal/planeacion_suba_gobiernobogota_gov_co/IQAbSLyAFh2xRJr0NhbYbKk2ATKbPTcKyEeZatQ-G_R5UiE?e=uolpOb" xr:uid="{A88B037B-9378-4761-9B81-BDF2DD8E53B4}"/>
    <hyperlink ref="K443" r:id="rId1034" display="https://gobiernobogota-my.sharepoint.com/:b:/g/personal/planeacion_suba_gobiernobogota_gov_co/IQADC9knk6nNRKJljIOhwk2qAdShpXZmNMX3rXF25hMw_UA?e=dsCZMM" xr:uid="{123BB87A-DCB3-4CD6-B037-0D8C8C4F9A8E}"/>
    <hyperlink ref="AK443" r:id="rId1035" display="https://gobiernobogota-my.sharepoint.com/:b:/g/personal/planeacion_suba_gobiernobogota_gov_co/IQA1iiv153o2Q6l5_usXyFsCAYHt_LS9dfXBjnQwF6LoSvM?e=ihMccB" xr:uid="{526E7FB4-7DB1-4253-90F0-01F51441FEFA}"/>
    <hyperlink ref="K444" r:id="rId1036" display="https://gobiernobogota-my.sharepoint.com/:b:/g/personal/planeacion_suba_gobiernobogota_gov_co/IQADC9knk6nNRKJljIOhwk2qAdShpXZmNMX3rXF25hMw_UA?e=dsCZMM" xr:uid="{EE77CE92-9707-4C37-B287-81DD1146E88A}"/>
    <hyperlink ref="X444" r:id="rId1037" display="https://gobiernobogota-my.sharepoint.com/:b:/g/personal/planeacion_suba_gobiernobogota_gov_co/IQAQwRzvwyOGRoadzOfEJbYbAZHcIaYsTNJAlIt0BpMGmxY?e=uCEeS6" xr:uid="{3CA935B9-6927-4CFA-ABD1-99DA359605A7}"/>
    <hyperlink ref="AK444" r:id="rId1038" display="https://gobiernobogota-my.sharepoint.com/:b:/g/personal/planeacion_suba_gobiernobogota_gov_co/IQAbSLyAFh2xRJr0NhbYbKk2ATKbPTcKyEeZatQ-G_R5UiE?e=uolpOb" xr:uid="{EC6D361B-CC65-4FCF-BCF1-DA94A48A137F}"/>
    <hyperlink ref="K445" r:id="rId1039" display="https://gobiernobogota-my.sharepoint.com/:b:/g/personal/planeacion_suba_gobiernobogota_gov_co/IQADC9knk6nNRKJljIOhwk2qAdShpXZmNMX3rXF25hMw_UA?e=dsCZMM" xr:uid="{CAE303A5-346D-4E01-BB51-DD98D8159AE7}"/>
    <hyperlink ref="X445" r:id="rId1040" display="https://gobiernobogota-my.sharepoint.com/:b:/g/personal/planeacion_suba_gobiernobogota_gov_co/IQAQwRzvwyOGRoadzOfEJbYbAZHcIaYsTNJAlIt0BpMGmxY?e=uCEeS6" xr:uid="{86A7D22F-D176-4919-9D5C-C96F280BDE29}"/>
    <hyperlink ref="AK445" r:id="rId1041" display="https://gobiernobogota-my.sharepoint.com/:b:/g/personal/planeacion_suba_gobiernobogota_gov_co/IQAbSLyAFh2xRJr0NhbYbKk2ATKbPTcKyEeZatQ-G_R5UiE?e=uolpOb" xr:uid="{265B0279-2ED1-4F74-BF72-5EC41D493DF6}"/>
    <hyperlink ref="K446" r:id="rId1042" display="https://gobiernobogota-my.sharepoint.com/:b:/g/personal/planeacion_suba_gobiernobogota_gov_co/IQBLOKQZI52RRYzlMc0IDcUfAfaPvHWc84l4wynUf1J19ZA?e=g0rO3c" xr:uid="{224F8EFE-CD15-4683-AA2E-2239BEB567DA}"/>
    <hyperlink ref="X446" r:id="rId1043" display="https://gobiernobogota-my.sharepoint.com/:b:/g/personal/planeacion_suba_gobiernobogota_gov_co/IQCX5R01gnI3QLPk49hsK0lpAXaK-OSVtPGApsy1wuJ-x1s?e=X6CBQ2" xr:uid="{F8FAB108-8092-457D-8FA6-29D4337C3D91}"/>
    <hyperlink ref="AK446" r:id="rId1044" display="https://gobiernobogota-my.sharepoint.com/:b:/g/personal/planeacion_suba_gobiernobogota_gov_co/IQCok6SIWdA3R5RQoMNCzBIRAetPIxe1IjK9foAFX01Hg1E?e=Oxmd9y" xr:uid="{FFED433A-0B9C-401F-A5D3-C162C86F33B1}"/>
    <hyperlink ref="K447" r:id="rId1045" display="https://gobiernobogota-my.sharepoint.com/:b:/g/personal/planeacion_suba_gobiernobogota_gov_co/IQBLOKQZI52RRYzlMc0IDcUfAfaPvHWc84l4wynUf1J19ZA?e=g0rO3c" xr:uid="{A2B4D61B-5893-47B4-809A-A5C91F50D9F2}"/>
    <hyperlink ref="X447" r:id="rId1046" display="https://gobiernobogota-my.sharepoint.com/:b:/g/personal/planeacion_suba_gobiernobogota_gov_co/IQCX5R01gnI3QLPk49hsK0lpAXaK-OSVtPGApsy1wuJ-x1s?e=X6CBQ2" xr:uid="{740218F9-51D3-404D-B52D-FD43EA9BE3B0}"/>
    <hyperlink ref="AK447" r:id="rId1047" display="https://gobiernobogota-my.sharepoint.com/:b:/g/personal/planeacion_suba_gobiernobogota_gov_co/IQCok6SIWdA3R5RQoMNCzBIRAetPIxe1IjK9foAFX01Hg1E?e=Oxmd9y" xr:uid="{CEC6E50E-87EC-4FF1-A6ED-F7B47E16C419}"/>
    <hyperlink ref="K448" r:id="rId1048" display="https://gobiernobogota-my.sharepoint.com/:b:/g/personal/planeacion_suba_gobiernobogota_gov_co/IQBLOKQZI52RRYzlMc0IDcUfAfaPvHWc84l4wynUf1J19ZA?e=g0rO3c" xr:uid="{1B4ED412-C5CF-4530-9D17-29FA41E3DF4A}"/>
    <hyperlink ref="X448" r:id="rId1049" display="https://gobiernobogota-my.sharepoint.com/:b:/g/personal/planeacion_suba_gobiernobogota_gov_co/IQC01LH6ACoNSaIYqcAj34-KAZEfWfm5aThLnQr_VSE-Ank?e=PZouZG" xr:uid="{C9D069B1-67E2-4D6D-BFE9-F72EA34184D6}"/>
    <hyperlink ref="AK448" r:id="rId1050" display="https://gobiernobogota-my.sharepoint.com/:b:/g/personal/planeacion_suba_gobiernobogota_gov_co/IQCok6SIWdA3R5RQoMNCzBIRAetPIxe1IjK9foAFX01Hg1E?e=Oxmd9y" xr:uid="{30FD8DDB-8E1C-4D4F-8795-2170CA453882}"/>
    <hyperlink ref="K449" r:id="rId1051" display="https://gobiernobogota-my.sharepoint.com/:b:/g/personal/planeacion_suba_gobiernobogota_gov_co/IQADC9knk6nNRKJljIOhwk2qAdShpXZmNMX3rXF25hMw_UA?e=dsCZMM" xr:uid="{36F7BA3C-8F5C-473E-8FF7-DAD52C1A3976}"/>
    <hyperlink ref="X449" r:id="rId1052" display="https://gobiernobogota-my.sharepoint.com/:b:/g/personal/planeacion_suba_gobiernobogota_gov_co/IQAQwRzvwyOGRoadzOfEJbYbAZHcIaYsTNJAlIt0BpMGmxY?e=uCEeS6" xr:uid="{CEF1A93C-E07D-4A1A-9B60-0CF562EC0549}"/>
    <hyperlink ref="AK449" r:id="rId1053" display="https://gobiernobogota-my.sharepoint.com/:b:/g/personal/planeacion_suba_gobiernobogota_gov_co/IQAbSLyAFh2xRJr0NhbYbKk2ATKbPTcKyEeZatQ-G_R5UiE?e=uolpOb" xr:uid="{C510C9B1-41F1-4750-B3E3-D3B69E6FDDB8}"/>
    <hyperlink ref="K450" r:id="rId1054" display="https://gobiernobogota-my.sharepoint.com/:b:/g/personal/planeacion_suba_gobiernobogota_gov_co/IQCok6SIWdA3R5RQoMNCzBIRAetPIxe1IjK9foAFX01Hg1E?e=Oxmd9y" xr:uid="{2EE3B9F3-972F-4494-B64C-C5FC5BE393BC}"/>
    <hyperlink ref="X450" r:id="rId1055" display="https://gobiernobogota-my.sharepoint.com/:b:/g/personal/planeacion_suba_gobiernobogota_gov_co/IQBLOKQZI52RRYzlMc0IDcUfAfaPvHWc84l4wynUf1J19ZA?e=g0rO3c" xr:uid="{C143020D-87E8-4A0C-A3BA-32479C941268}"/>
    <hyperlink ref="AK450" r:id="rId1056" display="https://gobiernobogota-my.sharepoint.com/:b:/g/personal/planeacion_suba_gobiernobogota_gov_co/IQB26X71rbFGQasBfzRSyYZjAQWY2aUsbJDgsOAiiuKyS9Y?e=8nJZHa" xr:uid="{3A7060F0-0387-4056-A7CB-DB34C65D853B}"/>
    <hyperlink ref="K451" r:id="rId1057" display="https://gobiernobogota-my.sharepoint.com/:b:/g/personal/planeacion_suba_gobiernobogota_gov_co/IQDHlS4wjBsyTonf6eQEkHw5AaWVV8b7TrBlkVjAdyY4Dy0?e=9a6vOW" xr:uid="{8BC2E06B-E53D-47C9-96B0-140512F79DFA}"/>
    <hyperlink ref="X451" r:id="rId1058" display="https://gobiernobogota-my.sharepoint.com/:b:/g/personal/planeacion_suba_gobiernobogota_gov_co/IQBEZ3cUTYE-Qq8lvonSdbkfAU3X2X_gpNuXWSlY5mZwrcg?e=0JC0aj" xr:uid="{42D34373-E75C-4FF0-8D89-8041BC31F10D}"/>
    <hyperlink ref="AK451" r:id="rId1059" display="https://gobiernobogota-my.sharepoint.com/:b:/g/personal/planeacion_suba_gobiernobogota_gov_co/IQA-9_E8dvELRqqtWDPH6PBrARFeaZ9OfDK_viqSX85HIuM?e=ZKJVSF" xr:uid="{A01EDCA6-CA8F-4E9B-B22B-289909BB6A0A}"/>
    <hyperlink ref="K452" r:id="rId1060" display="https://gobiernobogota-my.sharepoint.com/:b:/g/personal/planeacion_suba_gobiernobogota_gov_co/IQAA1EJqhmdKRqfk1q9QGXNoAco6igvsKOuuuDTdujpVL1I?e=rq1wOt" xr:uid="{B1F139D7-1930-4441-B19D-BF025CFC76FB}"/>
    <hyperlink ref="X452" r:id="rId1061" display="https://gobiernobogota-my.sharepoint.com/:b:/g/personal/planeacion_suba_gobiernobogota_gov_co/IQC3CtXhH3ZmQYshROrzLrP3ARys1xLKJjgjttR-S0vfZks?e=S0EX8q" xr:uid="{99615E0A-67B5-4A75-8C3C-64EA40488024}"/>
    <hyperlink ref="K453" r:id="rId1062" display="https://gobiernobogota-my.sharepoint.com/:b:/g/personal/planeacion_suba_gobiernobogota_gov_co/IQBLOKQZI52RRYzlMc0IDcUfAfaPvHWc84l4wynUf1J19ZA?e=g0rO3c" xr:uid="{F9040AA2-B38C-402F-9DD5-08D10D92579B}"/>
    <hyperlink ref="X453" r:id="rId1063" display="https://gobiernobogota-my.sharepoint.com/:b:/g/personal/planeacion_suba_gobiernobogota_gov_co/IQCok6SIWdA3R5RQoMNCzBIRAetPIxe1IjK9foAFX01Hg1E?e=Oxmd9y" xr:uid="{25B03C95-EEF2-497B-A7AF-D4D1DC94C8C1}"/>
    <hyperlink ref="AK453" r:id="rId1064" display="https://gobiernobogota-my.sharepoint.com/:b:/g/personal/planeacion_suba_gobiernobogota_gov_co/IQC-S_3wQcLvSpqFZ4W45ecpAepz5CxhePHE4SdPiee1bDk?e=HBOjxI" xr:uid="{97FC72F0-7F38-48FA-A3B1-FA8811A89990}"/>
    <hyperlink ref="K454" r:id="rId1065" display="https://gobiernobogota-my.sharepoint.com/:b:/g/personal/planeacion_suba_gobiernobogota_gov_co/IQADC9knk6nNRKJljIOhwk2qAdShpXZmNMX3rXF25hMw_UA?e=dsCZMM" xr:uid="{FC91157D-D3C2-496D-A5B5-BBEAC2EC0464}"/>
    <hyperlink ref="X454" r:id="rId1066" display="https://gobiernobogota-my.sharepoint.com/:b:/g/personal/planeacion_suba_gobiernobogota_gov_co/IQAQwRzvwyOGRoadzOfEJbYbAZHcIaYsTNJAlIt0BpMGmxY?e=uCEeS6" xr:uid="{9F252B55-5A8D-4457-B7EC-91560FF6363E}"/>
    <hyperlink ref="AK454" r:id="rId1067" display="https://gobiernobogota-my.sharepoint.com/:b:/g/personal/planeacion_suba_gobiernobogota_gov_co/IQAbSLyAFh2xRJr0NhbYbKk2ATKbPTcKyEeZatQ-G_R5UiE?e=uolpOb" xr:uid="{C7A7BB1A-DDD7-4490-A53F-F54B574B4EB4}"/>
    <hyperlink ref="K455" r:id="rId1068" display="https://gobiernobogota-my.sharepoint.com/:b:/g/personal/planeacion_suba_gobiernobogota_gov_co/IQBLOKQZI52RRYzlMc0IDcUfAfaPvHWc84l4wynUf1J19ZA?e=g0rO3c" xr:uid="{709C6403-4B24-4EA7-ABD2-AD4461A33E60}"/>
    <hyperlink ref="X455" r:id="rId1069" display="https://gobiernobogota-my.sharepoint.com/:b:/g/personal/planeacion_suba_gobiernobogota_gov_co/IQCok6SIWdA3R5RQoMNCzBIRAetPIxe1IjK9foAFX01Hg1E?e=Oxmd9y" xr:uid="{94BF4252-F732-4ACD-9547-84196A713261}"/>
    <hyperlink ref="AK455" r:id="rId1070" display="https://gobiernobogota-my.sharepoint.com/:b:/g/personal/planeacion_suba_gobiernobogota_gov_co/IQBL1twoYgkNSqUeS2Ub8S8MAc6UU0mtDPNZjlJPHH1f-_A?e=DXVeOi" xr:uid="{59B97D6A-C362-4C16-9018-3EA6C566E9F1}"/>
    <hyperlink ref="K456" r:id="rId1071" display="https://gobiernobogota-my.sharepoint.com/:b:/g/personal/planeacion_suba_gobiernobogota_gov_co/IQBLOKQZI52RRYzlMc0IDcUfAfaPvHWc84l4wynUf1J19ZA?e=g0rO3c" xr:uid="{EFB71437-12CD-4033-B77D-267B64DCF505}"/>
    <hyperlink ref="X456" r:id="rId1072" display="https://gobiernobogota-my.sharepoint.com/:b:/g/personal/planeacion_suba_gobiernobogota_gov_co/IQCok6SIWdA3R5RQoMNCzBIRAetPIxe1IjK9foAFX01Hg1E?e=Oxmd9y" xr:uid="{45CAAE1E-1D14-4876-A3F2-4204CAFFF938}"/>
    <hyperlink ref="AK456" r:id="rId1073" display="https://gobiernobogota-my.sharepoint.com/:b:/g/personal/planeacion_suba_gobiernobogota_gov_co/IQDMK7mK32zuQ5erIgzaURDpAefoknbM4l-XFfkkOInXsuc?e=ZZL7d8" xr:uid="{328F683C-35CD-4934-BCBC-F73C5FE39802}"/>
    <hyperlink ref="K457" r:id="rId1074" display="https://gobiernobogota-my.sharepoint.com/:b:/g/personal/planeacion_suba_gobiernobogota_gov_co/IQADC9knk6nNRKJljIOhwk2qAdShpXZmNMX3rXF25hMw_UA?e=dsCZMM" xr:uid="{551BD2DA-F4C6-4B55-A08B-816695A00ACB}"/>
    <hyperlink ref="X457" r:id="rId1075" display="https://gobiernobogota-my.sharepoint.com/:b:/g/personal/planeacion_suba_gobiernobogota_gov_co/IQAQwRzvwyOGRoadzOfEJbYbAZHcIaYsTNJAlIt0BpMGmxY?e=uCEeS6" xr:uid="{21672449-2201-4CD5-8643-413E879D79E3}"/>
    <hyperlink ref="AK457" r:id="rId1076" display="https://gobiernobogota-my.sharepoint.com/:b:/g/personal/planeacion_suba_gobiernobogota_gov_co/IQAbSLyAFh2xRJr0NhbYbKk2ATKbPTcKyEeZatQ-G_R5UiE?e=uolpOb" xr:uid="{1574D1A0-00F0-47E2-A207-8C0F71FB59B5}"/>
    <hyperlink ref="K458" r:id="rId1077" display="https://gobiernobogota-my.sharepoint.com/:b:/g/personal/planeacion_suba_gobiernobogota_gov_co/IQADC9knk6nNRKJljIOhwk2qAdShpXZmNMX3rXF25hMw_UA?e=dsCZMM" xr:uid="{77071428-18F5-4A5F-8716-7C6667B24611}"/>
    <hyperlink ref="X458" r:id="rId1078" display="https://gobiernobogota-my.sharepoint.com/:b:/g/personal/planeacion_suba_gobiernobogota_gov_co/IQAQwRzvwyOGRoadzOfEJbYbAZHcIaYsTNJAlIt0BpMGmxY?e=uCEeS6" xr:uid="{3C8AD5ED-A600-478D-BBFB-1A8567ACF134}"/>
    <hyperlink ref="AK458" r:id="rId1079" display="https://gobiernobogota-my.sharepoint.com/:b:/g/personal/planeacion_suba_gobiernobogota_gov_co/IQAbSLyAFh2xRJr0NhbYbKk2ATKbPTcKyEeZatQ-G_R5UiE?e=uolpOb" xr:uid="{7CD74069-9E23-4E1B-9843-5D5EB056C2D3}"/>
    <hyperlink ref="K459" r:id="rId1080" display="https://gobiernobogota-my.sharepoint.com/:b:/g/personal/planeacion_suba_gobiernobogota_gov_co/IQADC9knk6nNRKJljIOhwk2qAdShpXZmNMX3rXF25hMw_UA?e=dsCZMM" xr:uid="{860720D0-A7B4-4AA6-A765-36CF54617DB8}"/>
    <hyperlink ref="X459" r:id="rId1081" display="https://gobiernobogota-my.sharepoint.com/:b:/g/personal/planeacion_suba_gobiernobogota_gov_co/IQAQwRzvwyOGRoadzOfEJbYbAZHcIaYsTNJAlIt0BpMGmxY?e=uCEeS6" xr:uid="{E72CDFC5-EA92-4F40-8119-18B39452DE82}"/>
    <hyperlink ref="AK459" r:id="rId1082" display="https://gobiernobogota-my.sharepoint.com/:b:/g/personal/planeacion_suba_gobiernobogota_gov_co/IQAbSLyAFh2xRJr0NhbYbKk2ATKbPTcKyEeZatQ-G_R5UiE?e=uolpOb" xr:uid="{87307656-9BD6-4632-A786-0F945EC1BA34}"/>
    <hyperlink ref="K460" r:id="rId1083" display="https://gobiernobogota-my.sharepoint.com/:b:/g/personal/planeacion_suba_gobiernobogota_gov_co/IQADC9knk6nNRKJljIOhwk2qAdShpXZmNMX3rXF25hMw_UA?e=dsCZMM" xr:uid="{F51E080D-04F2-4F76-8C30-B59C381DEBEF}"/>
    <hyperlink ref="X460" r:id="rId1084" display="https://gobiernobogota-my.sharepoint.com/:b:/g/personal/planeacion_suba_gobiernobogota_gov_co/IQAQwRzvwyOGRoadzOfEJbYbAZHcIaYsTNJAlIt0BpMGmxY?e=uCEeS6" xr:uid="{F92A33DC-FEC6-4E62-BC3C-DCE528E08024}"/>
    <hyperlink ref="AK460" r:id="rId1085" display="https://gobiernobogota-my.sharepoint.com/:b:/g/personal/planeacion_suba_gobiernobogota_gov_co/IQAbSLyAFh2xRJr0NhbYbKk2ATKbPTcKyEeZatQ-G_R5UiE?e=uolpOb" xr:uid="{80459165-7BAE-473A-8E63-6D7A75640890}"/>
    <hyperlink ref="K461" r:id="rId1086" display="https://gobiernobogota-my.sharepoint.com/:b:/g/personal/planeacion_suba_gobiernobogota_gov_co/IQBLOKQZI52RRYzlMc0IDcUfAfaPvHWc84l4wynUf1J19ZA?e=g0rO3c" xr:uid="{86AF4733-C87C-4D5F-AE08-F597804E7A88}"/>
    <hyperlink ref="X461" r:id="rId1087" display="https://gobiernobogota-my.sharepoint.com/:b:/g/personal/planeacion_suba_gobiernobogota_gov_co/IQCok6SIWdA3R5RQoMNCzBIRAetPIxe1IjK9foAFX01Hg1E?e=Oxmd9y" xr:uid="{13701B40-ED2C-4F8E-B660-C34927D26296}"/>
    <hyperlink ref="AK461" r:id="rId1088" display="https://gobiernobogota-my.sharepoint.com/:b:/g/personal/planeacion_suba_gobiernobogota_gov_co/IQBtehyDbF-2RLTFFCbncsx2ARBi4zf0sV0no1R-CgBbdM8?e=d2jKDv" xr:uid="{43A2F276-786F-415B-88B5-8620B5BFE131}"/>
    <hyperlink ref="K463" r:id="rId1089" display="https://gobiernobogota-my.sharepoint.com/:b:/g/personal/planeacion_suba_gobiernobogota_gov_co/IQADC9knk6nNRKJljIOhwk2qAdShpXZmNMX3rXF25hMw_UA?e=dsCZMM" xr:uid="{EA7D9FF3-35A1-4C88-9E91-AC5EDE5D0DBF}"/>
    <hyperlink ref="X463" r:id="rId1090" display="https://gobiernobogota-my.sharepoint.com/:b:/g/personal/planeacion_suba_gobiernobogota_gov_co/IQAQwRzvwyOGRoadzOfEJbYbAZHcIaYsTNJAlIt0BpMGmxY?e=uCEeS6" xr:uid="{B2786C4B-FB6D-4300-BAAD-DE498A158F0C}"/>
    <hyperlink ref="AK463" r:id="rId1091" display="https://gobiernobogota-my.sharepoint.com/:b:/g/personal/planeacion_suba_gobiernobogota_gov_co/IQAbSLyAFh2xRJr0NhbYbKk2ATKbPTcKyEeZatQ-G_R5UiE?e=uolpOb" xr:uid="{F6D95307-B441-43DA-8E79-D9A56BDA450D}"/>
    <hyperlink ref="K464" r:id="rId1092" display="https://gobiernobogota-my.sharepoint.com/:b:/g/personal/planeacion_suba_gobiernobogota_gov_co/IQADC9knk6nNRKJljIOhwk2qAdShpXZmNMX3rXF25hMw_UA?e=dsCZMM" xr:uid="{1029DB75-C761-4122-8C4E-C5496375B8CB}"/>
    <hyperlink ref="X464" r:id="rId1093" display="https://gobiernobogota-my.sharepoint.com/:b:/g/personal/planeacion_suba_gobiernobogota_gov_co/IQAQwRzvwyOGRoadzOfEJbYbAZHcIaYsTNJAlIt0BpMGmxY?e=uCEeS6" xr:uid="{946DDE7D-C7D5-4AFD-A76C-AB4EF07C943F}"/>
    <hyperlink ref="AK464" r:id="rId1094" display="https://gobiernobogota-my.sharepoint.com/:b:/g/personal/planeacion_suba_gobiernobogota_gov_co/IQAbSLyAFh2xRJr0NhbYbKk2ATKbPTcKyEeZatQ-G_R5UiE?e=uolpOb" xr:uid="{7A183A23-0092-4D99-8563-7604A98C2566}"/>
    <hyperlink ref="K465" r:id="rId1095" display="https://gobiernobogota-my.sharepoint.com/:b:/g/personal/planeacion_suba_gobiernobogota_gov_co/IQADC9knk6nNRKJljIOhwk2qAdShpXZmNMX3rXF25hMw_UA?e=dsCZMM" xr:uid="{1C5CE568-23B9-46D3-B6E7-042019E5EEAC}"/>
    <hyperlink ref="X465" r:id="rId1096" display="https://gobiernobogota-my.sharepoint.com/:b:/g/personal/planeacion_suba_gobiernobogota_gov_co/IQAQwRzvwyOGRoadzOfEJbYbAZHcIaYsTNJAlIt0BpMGmxY?e=uCEeS6" xr:uid="{CC8BAECA-0809-47A4-8CEE-3CF78BA2AFF1}"/>
    <hyperlink ref="AK465" r:id="rId1097" display="https://gobiernobogota-my.sharepoint.com/:b:/g/personal/planeacion_suba_gobiernobogota_gov_co/IQAbSLyAFh2xRJr0NhbYbKk2ATKbPTcKyEeZatQ-G_R5UiE?e=uolpOb" xr:uid="{DAB634CB-037F-4AC5-B9F1-9DF405C39621}"/>
    <hyperlink ref="K466" r:id="rId1098" display="https://gobiernobogota-my.sharepoint.com/:b:/g/personal/planeacion_suba_gobiernobogota_gov_co/IQADC9knk6nNRKJljIOhwk2qAdShpXZmNMX3rXF25hMw_UA?e=dsCZMM" xr:uid="{41F917AB-2726-4F9C-AAB0-29341B6DA10E}"/>
    <hyperlink ref="X466" r:id="rId1099" display="https://gobiernobogota-my.sharepoint.com/:b:/g/personal/planeacion_suba_gobiernobogota_gov_co/IQAQwRzvwyOGRoadzOfEJbYbAZHcIaYsTNJAlIt0BpMGmxY?e=uCEeS6" xr:uid="{A8CDFB8B-F6C1-454A-8D6B-497E6D4B4E3A}"/>
    <hyperlink ref="AK466" r:id="rId1100" display="https://gobiernobogota-my.sharepoint.com/:b:/g/personal/planeacion_suba_gobiernobogota_gov_co/IQAbSLyAFh2xRJr0NhbYbKk2ATKbPTcKyEeZatQ-G_R5UiE?e=uolpOb" xr:uid="{4F43D6A6-45E0-4A13-87EF-577DCFB3FF09}"/>
    <hyperlink ref="K467" r:id="rId1101" display="https://gobiernobogota-my.sharepoint.com/:b:/g/personal/planeacion_suba_gobiernobogota_gov_co/IQBIFBXFoRj0Rom2A6vCubHbAZ774GE1zqq_sWcbSpDqQpA?e=879f50" xr:uid="{8F9F533A-F6D0-4589-A47D-310AB7B01424}"/>
    <hyperlink ref="X467" r:id="rId1102" display="https://gobiernobogota-my.sharepoint.com/:b:/g/personal/planeacion_suba_gobiernobogota_gov_co/IQAhYJOtVszjQ6T4hFU81DsoAY5h2E0E--X4sLpiMBLzopE?e=XsBKdE" xr:uid="{84435379-6C2C-4D7D-9CFD-408773BC007A}"/>
    <hyperlink ref="AK467" r:id="rId1103" display="https://gobiernobogota-my.sharepoint.com/:b:/g/personal/planeacion_suba_gobiernobogota_gov_co/IQDjuJ06lmR1QKZnhmt36vv5AbmmT8Ig9glLEnx-FaqAswc?e=WNfcqx" xr:uid="{49BC2E44-EE43-4AAC-BFBF-E9F323517C26}"/>
    <hyperlink ref="K468" r:id="rId1104" display="https://gobiernobogota-my.sharepoint.com/:b:/g/personal/planeacion_suba_gobiernobogota_gov_co/IQADC9knk6nNRKJljIOhwk2qAdShpXZmNMX3rXF25hMw_UA?e=dsCZMM" xr:uid="{3B479742-B0BA-43F5-ACB7-D303E15D41AD}"/>
    <hyperlink ref="X468" r:id="rId1105" display="https://gobiernobogota-my.sharepoint.com/:b:/g/personal/planeacion_suba_gobiernobogota_gov_co/IQAQwRzvwyOGRoadzOfEJbYbAZHcIaYsTNJAlIt0BpMGmxY?e=uCEeS6" xr:uid="{666185A6-EB64-4B95-8C3B-B19261E4195B}"/>
    <hyperlink ref="AK468" r:id="rId1106" display="https://gobiernobogota-my.sharepoint.com/:b:/g/personal/planeacion_suba_gobiernobogota_gov_co/IQBtJ9LGsTApRbY4LsKiB80NAZCa3v_txaA5IakW4HQ-Db4?e=Vlp1Tq" xr:uid="{65F7B95E-48B6-4AE9-B01F-BAAE930BF1DB}"/>
    <hyperlink ref="K469" r:id="rId1107" display="https://gobiernobogota-my.sharepoint.com/:b:/g/personal/planeacion_suba_gobiernobogota_gov_co/IQADC9knk6nNRKJljIOhwk2qAdShpXZmNMX3rXF25hMw_UA?e=dsCZMM" xr:uid="{3E0F2C9E-3939-4E05-BEA7-BDDE57CE5022}"/>
    <hyperlink ref="X469" r:id="rId1108" display="https://gobiernobogota-my.sharepoint.com/:b:/g/personal/planeacion_suba_gobiernobogota_gov_co/IQAQwRzvwyOGRoadzOfEJbYbAZHcIaYsTNJAlIt0BpMGmxY?e=uCEeS6" xr:uid="{0D62C68A-9703-42D1-8A0D-AF0E81187765}"/>
    <hyperlink ref="AK469" r:id="rId1109" display="https://gobiernobogota-my.sharepoint.com/:b:/g/personal/planeacion_suba_gobiernobogota_gov_co/IQAbSLyAFh2xRJr0NhbYbKk2ATKbPTcKyEeZatQ-G_R5UiE?e=uolpOb" xr:uid="{8C8BCD1B-414E-480D-9DCF-C3639E223FBF}"/>
    <hyperlink ref="K470" r:id="rId1110" display="https://gobiernobogota-my.sharepoint.com/:b:/g/personal/planeacion_suba_gobiernobogota_gov_co/IQBDSgzRKP56S5-WDbNM1U23AQ1sY-5CC4KC7cWIdWs6-hc?e=KbXf2W" xr:uid="{B2D05254-28DB-462F-B609-10919810BD31}"/>
    <hyperlink ref="X470" r:id="rId1111" display="https://gobiernobogota-my.sharepoint.com/:b:/g/personal/planeacion_suba_gobiernobogota_gov_co/IQCZqXMzHnswTZJH8FWkGsJBAeKJXEV7nSWFzBM-f-s2AxA?e=qMgmDd" xr:uid="{9CE14B90-88A0-463C-B639-B2DA3F2C395B}"/>
    <hyperlink ref="AK470" r:id="rId1112" display="https://gobiernobogota-my.sharepoint.com/:b:/g/personal/planeacion_suba_gobiernobogota_gov_co/IQCz_OWjeHi3T4Dr6A5PHNb2AXjjX0-5s6WFBRuhjAsPfyw?e=h5opLZ" xr:uid="{226C20FA-468A-4D37-B014-64762A5AC7FF}"/>
    <hyperlink ref="K471" r:id="rId1113" display="https://gobiernobogota-my.sharepoint.com/:b:/g/personal/planeacion_suba_gobiernobogota_gov_co/IQADC9knk6nNRKJljIOhwk2qAdShpXZmNMX3rXF25hMw_UA?e=dsCZMM" xr:uid="{F1327D9E-D3FA-4761-AF9F-0FD067AEDEF2}"/>
    <hyperlink ref="X471" r:id="rId1114" display="https://gobiernobogota-my.sharepoint.com/:b:/g/personal/planeacion_suba_gobiernobogota_gov_co/IQAQwRzvwyOGRoadzOfEJbYbAZHcIaYsTNJAlIt0BpMGmxY?e=uCEeS6" xr:uid="{6C30164B-05B1-46CD-AF0C-F8D578616F0E}"/>
    <hyperlink ref="AK471" r:id="rId1115" display="https://gobiernobogota-my.sharepoint.com/:b:/g/personal/planeacion_suba_gobiernobogota_gov_co/IQAbSLyAFh2xRJr0NhbYbKk2ATKbPTcKyEeZatQ-G_R5UiE?e=uolpOb" xr:uid="{6E86B56B-3034-4493-9F7D-D3BE4CEEC0EC}"/>
    <hyperlink ref="K472" r:id="rId1116" display="https://gobiernobogota-my.sharepoint.com/:b:/g/personal/planeacion_suba_gobiernobogota_gov_co/IQDGhsAjp6YeRLF1-7ejatAtAcjsqMUYidwN4uXFU_u2tSA?e=yqdQA4" xr:uid="{3B0431DA-CD92-420F-97AD-FB481CD438E6}"/>
    <hyperlink ref="X472" r:id="rId1117" display="https://gobiernobogota-my.sharepoint.com/:b:/g/personal/planeacion_suba_gobiernobogota_gov_co/IQAV59uaIYqVT6QPqWoNgSO4AdhGeTaqgHa20I7Ug1k-2tw?e=L2MhPP" xr:uid="{6212F1E0-9F67-494E-A9F6-726E8DE65230}"/>
    <hyperlink ref="AK472" r:id="rId1118" display="https://gobiernobogota-my.sharepoint.com/:b:/g/personal/planeacion_suba_gobiernobogota_gov_co/IQD8AXUm2Qg7Sb9VFOW-_OAoAerWbz9Y5P0EmclX9dVb6Xo?e=IaIwyz" xr:uid="{83333596-45D5-4804-A1E6-90579010EC80}"/>
    <hyperlink ref="K473" r:id="rId1119" display="https://gobiernobogota-my.sharepoint.com/:b:/g/personal/planeacion_suba_gobiernobogota_gov_co/IQBLOKQZI52RRYzlMc0IDcUfAfaPvHWc84l4wynUf1J19ZA?e=g0rO3c" xr:uid="{BD17D7BF-8DFC-4D00-9044-FF5E4133665D}"/>
    <hyperlink ref="X473" r:id="rId1120" display="https://gobiernobogota-my.sharepoint.com/:b:/g/personal/planeacion_suba_gobiernobogota_gov_co/IQCok6SIWdA3R5RQoMNCzBIRAetPIxe1IjK9foAFX01Hg1E?e=Oxmd9y" xr:uid="{14C6BC95-BB91-431F-AB68-B457064BC609}"/>
    <hyperlink ref="AK473" r:id="rId1121" display="https://gobiernobogota-my.sharepoint.com/:b:/g/personal/planeacion_suba_gobiernobogota_gov_co/IQDNXVO_gpYlSL_t44zNb1ewAeVvPcDLk2VlL0EkSTf1I7s?e=EbEtX6" xr:uid="{32EE92F7-4AB5-43B2-8113-5311029C29D2}"/>
  </hyperlinks>
  <pageMargins left="0.7" right="0.7" top="0.75" bottom="0.75" header="0.3" footer="0.3"/>
  <drawing r:id="rId112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Carolina Valencia Bautista</cp:lastModifiedBy>
  <cp:revision/>
  <dcterms:created xsi:type="dcterms:W3CDTF">2025-03-14T01:33:22Z</dcterms:created>
  <dcterms:modified xsi:type="dcterms:W3CDTF">2026-07-31T17:12:21Z</dcterms:modified>
  <cp:category/>
  <cp:contentStatus/>
</cp:coreProperties>
</file>