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1"/>
  <workbookPr/>
  <mc:AlternateContent xmlns:mc="http://schemas.openxmlformats.org/markup-compatibility/2006">
    <mc:Choice Requires="x15">
      <x15ac:absPath xmlns:x15ac="http://schemas.microsoft.com/office/spreadsheetml/2010/11/ac" url="C:\Users\fdo_m\Downloads\"/>
    </mc:Choice>
  </mc:AlternateContent>
  <xr:revisionPtr revIDLastSave="0" documentId="8_{84AB661D-48C8-4A99-AF6B-2A42F8B01E45}" xr6:coauthVersionLast="47" xr6:coauthVersionMax="47" xr10:uidLastSave="{00000000-0000-0000-0000-000000000000}"/>
  <bookViews>
    <workbookView xWindow="-110" yWindow="-110" windowWidth="19420" windowHeight="10300" xr2:uid="{DCA0E7B7-7DC5-4CC6-B422-7FD0E949B2FC}"/>
  </bookViews>
  <sheets>
    <sheet name="Resumen" sheetId="16" r:id="rId1"/>
    <sheet name="2026." sheetId="18" r:id="rId2"/>
    <sheet name="2026" sheetId="3" state="hidden" r:id="rId3"/>
    <sheet name="2027" sheetId="12" r:id="rId4"/>
    <sheet name="2028" sheetId="13" r:id="rId5"/>
    <sheet name="2029" sheetId="14" r:id="rId6"/>
    <sheet name="2030" sheetId="15" r:id="rId7"/>
    <sheet name="Hoja1" sheetId="17" r:id="rId8"/>
  </sheets>
  <externalReferences>
    <externalReference r:id="rId9"/>
  </externalReferences>
  <definedNames>
    <definedName name="_xlnm._FilterDatabase" localSheetId="2" hidden="1">'2026'!$A$28:$J$89</definedName>
    <definedName name="_xlnm._FilterDatabase" localSheetId="1" hidden="1">'2026.'!$A$28:$J$89</definedName>
    <definedName name="_xlnm._FilterDatabase" localSheetId="3" hidden="1">'2027'!$A$28:$N$89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D64" i="16" l="1"/>
  <c r="D4" i="16"/>
  <c r="D5" i="16"/>
  <c r="D6" i="16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5" i="16"/>
  <c r="D56" i="16"/>
  <c r="D57" i="16"/>
  <c r="D58" i="16"/>
  <c r="D59" i="16"/>
  <c r="D60" i="16"/>
  <c r="D61" i="16"/>
  <c r="D62" i="16"/>
  <c r="D63" i="16"/>
  <c r="S29" i="12"/>
  <c r="AN29" i="12" s="1"/>
  <c r="T29" i="18"/>
  <c r="R29" i="18"/>
  <c r="M29" i="18"/>
  <c r="V30" i="15"/>
  <c r="V31" i="15"/>
  <c r="V32" i="15"/>
  <c r="V33" i="15"/>
  <c r="V34" i="15"/>
  <c r="V35" i="15"/>
  <c r="V36" i="15"/>
  <c r="V37" i="15"/>
  <c r="V38" i="15"/>
  <c r="V39" i="15"/>
  <c r="V40" i="15"/>
  <c r="V41" i="15"/>
  <c r="V42" i="15"/>
  <c r="V43" i="15"/>
  <c r="V44" i="15"/>
  <c r="V45" i="15"/>
  <c r="V46" i="15"/>
  <c r="V47" i="15"/>
  <c r="V48" i="15"/>
  <c r="V49" i="15"/>
  <c r="V50" i="15"/>
  <c r="V51" i="15"/>
  <c r="V52" i="15"/>
  <c r="V53" i="15"/>
  <c r="V54" i="15"/>
  <c r="V55" i="15"/>
  <c r="V56" i="15"/>
  <c r="V57" i="15"/>
  <c r="V58" i="15"/>
  <c r="V59" i="15"/>
  <c r="V60" i="15"/>
  <c r="V61" i="15"/>
  <c r="V62" i="15"/>
  <c r="V63" i="15"/>
  <c r="V64" i="15"/>
  <c r="V65" i="15"/>
  <c r="V66" i="15"/>
  <c r="V67" i="15"/>
  <c r="V68" i="15"/>
  <c r="V69" i="15"/>
  <c r="V70" i="15"/>
  <c r="V71" i="15"/>
  <c r="V72" i="15"/>
  <c r="V73" i="15"/>
  <c r="V74" i="15"/>
  <c r="V75" i="15"/>
  <c r="V76" i="15"/>
  <c r="V77" i="15"/>
  <c r="V78" i="15"/>
  <c r="V79" i="15"/>
  <c r="V80" i="15"/>
  <c r="V81" i="15"/>
  <c r="V82" i="15"/>
  <c r="V83" i="15"/>
  <c r="V84" i="15"/>
  <c r="V85" i="15"/>
  <c r="V86" i="15"/>
  <c r="V87" i="15"/>
  <c r="V88" i="15"/>
  <c r="U30" i="15"/>
  <c r="U31" i="15"/>
  <c r="U32" i="15"/>
  <c r="U33" i="15"/>
  <c r="U34" i="15"/>
  <c r="U35" i="15"/>
  <c r="U36" i="15"/>
  <c r="U37" i="15"/>
  <c r="U38" i="15"/>
  <c r="U39" i="15"/>
  <c r="U40" i="15"/>
  <c r="U41" i="15"/>
  <c r="U42" i="15"/>
  <c r="U43" i="15"/>
  <c r="U44" i="15"/>
  <c r="U45" i="15"/>
  <c r="U46" i="15"/>
  <c r="U47" i="15"/>
  <c r="U48" i="15"/>
  <c r="U49" i="15"/>
  <c r="U50" i="15"/>
  <c r="U51" i="15"/>
  <c r="U52" i="15"/>
  <c r="U53" i="15"/>
  <c r="U54" i="15"/>
  <c r="U55" i="15"/>
  <c r="U56" i="15"/>
  <c r="U57" i="15"/>
  <c r="U58" i="15"/>
  <c r="U59" i="15"/>
  <c r="U60" i="15"/>
  <c r="U61" i="15"/>
  <c r="U62" i="15"/>
  <c r="U63" i="15"/>
  <c r="U64" i="15"/>
  <c r="U65" i="15"/>
  <c r="U66" i="15"/>
  <c r="U67" i="15"/>
  <c r="U68" i="15"/>
  <c r="U69" i="15"/>
  <c r="U70" i="15"/>
  <c r="U71" i="15"/>
  <c r="U72" i="15"/>
  <c r="U73" i="15"/>
  <c r="U74" i="15"/>
  <c r="U75" i="15"/>
  <c r="U76" i="15"/>
  <c r="U77" i="15"/>
  <c r="U78" i="15"/>
  <c r="U79" i="15"/>
  <c r="U80" i="15"/>
  <c r="U81" i="15"/>
  <c r="U82" i="15"/>
  <c r="U83" i="15"/>
  <c r="U84" i="15"/>
  <c r="U85" i="15"/>
  <c r="U86" i="15"/>
  <c r="U87" i="15"/>
  <c r="U88" i="15"/>
  <c r="U29" i="15"/>
  <c r="T29" i="15"/>
  <c r="V29" i="15"/>
  <c r="N88" i="15"/>
  <c r="N87" i="15"/>
  <c r="N85" i="15"/>
  <c r="N81" i="15"/>
  <c r="N82" i="15"/>
  <c r="N83" i="15"/>
  <c r="N84" i="15"/>
  <c r="N70" i="15"/>
  <c r="N71" i="15"/>
  <c r="N72" i="15"/>
  <c r="N73" i="15"/>
  <c r="N74" i="15"/>
  <c r="N75" i="15"/>
  <c r="N76" i="15"/>
  <c r="N77" i="15"/>
  <c r="N78" i="15"/>
  <c r="N79" i="15"/>
  <c r="N80" i="15"/>
  <c r="N65" i="15"/>
  <c r="N66" i="15"/>
  <c r="N67" i="15"/>
  <c r="N68" i="15"/>
  <c r="N69" i="15"/>
  <c r="N58" i="15"/>
  <c r="N59" i="15"/>
  <c r="N60" i="15"/>
  <c r="N61" i="15"/>
  <c r="N63" i="15"/>
  <c r="N64" i="15"/>
  <c r="N57" i="15"/>
  <c r="N53" i="15"/>
  <c r="N54" i="15"/>
  <c r="N55" i="15"/>
  <c r="N48" i="15"/>
  <c r="N49" i="15"/>
  <c r="N50" i="15"/>
  <c r="N51" i="15"/>
  <c r="N52" i="15"/>
  <c r="N44" i="15"/>
  <c r="N45" i="15"/>
  <c r="N46" i="15"/>
  <c r="N47" i="15"/>
  <c r="N37" i="15"/>
  <c r="N38" i="15"/>
  <c r="N39" i="15"/>
  <c r="N40" i="15"/>
  <c r="N41" i="15"/>
  <c r="N42" i="15"/>
  <c r="N43" i="15"/>
  <c r="N30" i="15"/>
  <c r="N31" i="15"/>
  <c r="N32" i="15"/>
  <c r="N33" i="15"/>
  <c r="N34" i="15"/>
  <c r="N35" i="15"/>
  <c r="N36" i="15"/>
  <c r="N29" i="15"/>
  <c r="N56" i="15"/>
  <c r="N88" i="14"/>
  <c r="U88" i="14" s="1"/>
  <c r="N87" i="14"/>
  <c r="U87" i="14" s="1"/>
  <c r="N82" i="14"/>
  <c r="U82" i="14" s="1"/>
  <c r="N83" i="14"/>
  <c r="U83" i="14" s="1"/>
  <c r="N84" i="14"/>
  <c r="U84" i="14" s="1"/>
  <c r="N85" i="14"/>
  <c r="U85" i="14" s="1"/>
  <c r="N73" i="14"/>
  <c r="U73" i="14" s="1"/>
  <c r="N74" i="14"/>
  <c r="U74" i="14" s="1"/>
  <c r="N75" i="14"/>
  <c r="U75" i="14" s="1"/>
  <c r="N76" i="14"/>
  <c r="U76" i="14" s="1"/>
  <c r="N77" i="14"/>
  <c r="U77" i="14" s="1"/>
  <c r="N78" i="14"/>
  <c r="U78" i="14" s="1"/>
  <c r="N79" i="14"/>
  <c r="U79" i="14" s="1"/>
  <c r="N80" i="14"/>
  <c r="U80" i="14" s="1"/>
  <c r="N81" i="14"/>
  <c r="U81" i="14" s="1"/>
  <c r="N70" i="14"/>
  <c r="N71" i="14"/>
  <c r="N72" i="14"/>
  <c r="N64" i="14"/>
  <c r="N65" i="14"/>
  <c r="N66" i="14"/>
  <c r="N67" i="14"/>
  <c r="N68" i="14"/>
  <c r="N69" i="14"/>
  <c r="N63" i="14"/>
  <c r="U64" i="14"/>
  <c r="N54" i="14"/>
  <c r="U54" i="14" s="1"/>
  <c r="N55" i="14"/>
  <c r="U55" i="14" s="1"/>
  <c r="U56" i="14"/>
  <c r="N57" i="14"/>
  <c r="U57" i="14" s="1"/>
  <c r="N58" i="14"/>
  <c r="U58" i="14" s="1"/>
  <c r="N59" i="14"/>
  <c r="U59" i="14" s="1"/>
  <c r="N60" i="14"/>
  <c r="U60" i="14" s="1"/>
  <c r="N61" i="14"/>
  <c r="U61" i="14" s="1"/>
  <c r="U62" i="14"/>
  <c r="N47" i="14"/>
  <c r="U47" i="14" s="1"/>
  <c r="N48" i="14"/>
  <c r="U48" i="14" s="1"/>
  <c r="N49" i="14"/>
  <c r="U49" i="14" s="1"/>
  <c r="N50" i="14"/>
  <c r="U50" i="14" s="1"/>
  <c r="N51" i="14"/>
  <c r="U51" i="14" s="1"/>
  <c r="N52" i="14"/>
  <c r="U52" i="14" s="1"/>
  <c r="N53" i="14"/>
  <c r="U53" i="14" s="1"/>
  <c r="N39" i="14"/>
  <c r="U39" i="14" s="1"/>
  <c r="N40" i="14"/>
  <c r="U40" i="14" s="1"/>
  <c r="N41" i="14"/>
  <c r="U41" i="14" s="1"/>
  <c r="N42" i="14"/>
  <c r="U42" i="14" s="1"/>
  <c r="N43" i="14"/>
  <c r="U43" i="14" s="1"/>
  <c r="N44" i="14"/>
  <c r="U44" i="14" s="1"/>
  <c r="N45" i="14"/>
  <c r="U45" i="14" s="1"/>
  <c r="N46" i="14"/>
  <c r="U46" i="14" s="1"/>
  <c r="N35" i="14"/>
  <c r="N36" i="14"/>
  <c r="N37" i="14"/>
  <c r="U37" i="14" s="1"/>
  <c r="N38" i="14"/>
  <c r="U38" i="14" s="1"/>
  <c r="N30" i="14"/>
  <c r="U30" i="14" s="1"/>
  <c r="N31" i="14"/>
  <c r="U31" i="14" s="1"/>
  <c r="N32" i="14"/>
  <c r="U32" i="14" s="1"/>
  <c r="N33" i="14"/>
  <c r="U33" i="14" s="1"/>
  <c r="N34" i="14"/>
  <c r="U34" i="14" s="1"/>
  <c r="N29" i="14"/>
  <c r="U29" i="14" s="1"/>
  <c r="P30" i="14"/>
  <c r="P31" i="14"/>
  <c r="P32" i="14"/>
  <c r="P33" i="14"/>
  <c r="P34" i="14"/>
  <c r="P35" i="14"/>
  <c r="P36" i="14"/>
  <c r="P37" i="14"/>
  <c r="P38" i="14"/>
  <c r="P39" i="14"/>
  <c r="P40" i="14"/>
  <c r="P41" i="14"/>
  <c r="P42" i="14"/>
  <c r="P43" i="14"/>
  <c r="P44" i="14"/>
  <c r="P45" i="14"/>
  <c r="P46" i="14"/>
  <c r="P47" i="14"/>
  <c r="P48" i="14"/>
  <c r="P49" i="14"/>
  <c r="P50" i="14"/>
  <c r="P51" i="14"/>
  <c r="P52" i="14"/>
  <c r="P53" i="14"/>
  <c r="P54" i="14"/>
  <c r="P55" i="14"/>
  <c r="P56" i="14"/>
  <c r="P57" i="14"/>
  <c r="P58" i="14"/>
  <c r="P59" i="14"/>
  <c r="P60" i="14"/>
  <c r="P61" i="14"/>
  <c r="P62" i="14"/>
  <c r="P63" i="14"/>
  <c r="P64" i="14"/>
  <c r="P65" i="14"/>
  <c r="P66" i="14"/>
  <c r="P67" i="14"/>
  <c r="P68" i="14"/>
  <c r="P69" i="14"/>
  <c r="P70" i="14"/>
  <c r="P71" i="14"/>
  <c r="P72" i="14"/>
  <c r="P73" i="14"/>
  <c r="P74" i="14"/>
  <c r="P75" i="14"/>
  <c r="P76" i="14"/>
  <c r="P77" i="14"/>
  <c r="P78" i="14"/>
  <c r="P79" i="14"/>
  <c r="P80" i="14"/>
  <c r="P81" i="14"/>
  <c r="P82" i="14"/>
  <c r="P83" i="14"/>
  <c r="P84" i="14"/>
  <c r="P85" i="14"/>
  <c r="P86" i="14"/>
  <c r="P87" i="14"/>
  <c r="P88" i="14"/>
  <c r="P29" i="14"/>
  <c r="M88" i="14"/>
  <c r="M87" i="14"/>
  <c r="M82" i="14"/>
  <c r="M83" i="14"/>
  <c r="M84" i="14"/>
  <c r="M85" i="14"/>
  <c r="M77" i="14"/>
  <c r="M78" i="14"/>
  <c r="M79" i="14"/>
  <c r="M80" i="14"/>
  <c r="M81" i="14"/>
  <c r="M70" i="14"/>
  <c r="M71" i="14"/>
  <c r="M72" i="14"/>
  <c r="M73" i="14"/>
  <c r="M74" i="14"/>
  <c r="M75" i="14"/>
  <c r="M76" i="14"/>
  <c r="M64" i="14"/>
  <c r="M65" i="14"/>
  <c r="M66" i="14"/>
  <c r="M67" i="14"/>
  <c r="M68" i="14"/>
  <c r="M69" i="14"/>
  <c r="M63" i="14"/>
  <c r="M53" i="14"/>
  <c r="M54" i="14"/>
  <c r="M55" i="14"/>
  <c r="M56" i="14"/>
  <c r="M57" i="14"/>
  <c r="M58" i="14"/>
  <c r="M59" i="14"/>
  <c r="M60" i="14"/>
  <c r="M61" i="14"/>
  <c r="M46" i="14"/>
  <c r="M47" i="14"/>
  <c r="M48" i="14"/>
  <c r="M49" i="14"/>
  <c r="M50" i="14"/>
  <c r="M51" i="14"/>
  <c r="M52" i="14"/>
  <c r="M38" i="14"/>
  <c r="M39" i="14"/>
  <c r="M40" i="14"/>
  <c r="M41" i="14"/>
  <c r="M42" i="14"/>
  <c r="M43" i="14"/>
  <c r="M44" i="14"/>
  <c r="M45" i="14"/>
  <c r="M31" i="14"/>
  <c r="M32" i="14"/>
  <c r="M33" i="14"/>
  <c r="M34" i="14"/>
  <c r="M35" i="14"/>
  <c r="M36" i="14"/>
  <c r="M37" i="14"/>
  <c r="M30" i="14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29" i="13"/>
  <c r="M88" i="13"/>
  <c r="AD88" i="13" s="1"/>
  <c r="M87" i="13"/>
  <c r="M85" i="13"/>
  <c r="M84" i="13"/>
  <c r="AD84" i="13" s="1"/>
  <c r="M79" i="13"/>
  <c r="AD79" i="13" s="1"/>
  <c r="M80" i="13"/>
  <c r="AD80" i="13" s="1"/>
  <c r="M81" i="13"/>
  <c r="AD81" i="13" s="1"/>
  <c r="M82" i="13"/>
  <c r="M83" i="13"/>
  <c r="M73" i="13"/>
  <c r="M74" i="13"/>
  <c r="M75" i="13"/>
  <c r="M76" i="13"/>
  <c r="M77" i="13"/>
  <c r="M78" i="13"/>
  <c r="AD78" i="13" s="1"/>
  <c r="M69" i="13"/>
  <c r="AD69" i="13" s="1"/>
  <c r="M70" i="13"/>
  <c r="AD70" i="13" s="1"/>
  <c r="M71" i="13"/>
  <c r="M72" i="13"/>
  <c r="M64" i="13"/>
  <c r="M65" i="13"/>
  <c r="AD65" i="13" s="1"/>
  <c r="M66" i="13"/>
  <c r="AD66" i="13" s="1"/>
  <c r="M67" i="13"/>
  <c r="M68" i="13"/>
  <c r="M63" i="13"/>
  <c r="AD63" i="13" s="1"/>
  <c r="M61" i="13"/>
  <c r="AD61" i="13" s="1"/>
  <c r="AD67" i="13"/>
  <c r="M54" i="13"/>
  <c r="M55" i="13"/>
  <c r="M56" i="13"/>
  <c r="M57" i="13"/>
  <c r="M58" i="13"/>
  <c r="M59" i="13"/>
  <c r="M60" i="13"/>
  <c r="M49" i="13"/>
  <c r="M50" i="13"/>
  <c r="M51" i="13"/>
  <c r="M52" i="13"/>
  <c r="M53" i="13"/>
  <c r="M45" i="13"/>
  <c r="AD45" i="13" s="1"/>
  <c r="M46" i="13"/>
  <c r="AD46" i="13" s="1"/>
  <c r="M47" i="13"/>
  <c r="AD47" i="13" s="1"/>
  <c r="M48" i="13"/>
  <c r="AD48" i="13" s="1"/>
  <c r="M40" i="13"/>
  <c r="AD40" i="13" s="1"/>
  <c r="M41" i="13"/>
  <c r="M42" i="13"/>
  <c r="M43" i="13"/>
  <c r="M44" i="13"/>
  <c r="M37" i="13"/>
  <c r="AD37" i="13" s="1"/>
  <c r="M38" i="13"/>
  <c r="AD38" i="13" s="1"/>
  <c r="M39" i="13"/>
  <c r="AD39" i="13" s="1"/>
  <c r="M34" i="13"/>
  <c r="M35" i="13"/>
  <c r="AD35" i="13" s="1"/>
  <c r="M36" i="13"/>
  <c r="AD36" i="13" s="1"/>
  <c r="M31" i="13"/>
  <c r="AD31" i="13" s="1"/>
  <c r="M32" i="13"/>
  <c r="AD32" i="13" s="1"/>
  <c r="M33" i="13"/>
  <c r="AD33" i="13" s="1"/>
  <c r="M30" i="13"/>
  <c r="AD30" i="13" s="1"/>
  <c r="AD41" i="13"/>
  <c r="AD42" i="13"/>
  <c r="AD43" i="13"/>
  <c r="AD44" i="13"/>
  <c r="AD49" i="13"/>
  <c r="AD50" i="13"/>
  <c r="AD51" i="13"/>
  <c r="AD52" i="13"/>
  <c r="AD53" i="13"/>
  <c r="AD54" i="13"/>
  <c r="AD55" i="13"/>
  <c r="AD56" i="13"/>
  <c r="AD57" i="13"/>
  <c r="AD59" i="13"/>
  <c r="AD60" i="13"/>
  <c r="AD64" i="13"/>
  <c r="AD68" i="13"/>
  <c r="AD71" i="13"/>
  <c r="AD72" i="13"/>
  <c r="AD73" i="13"/>
  <c r="AD74" i="13"/>
  <c r="AD75" i="13"/>
  <c r="AD76" i="13"/>
  <c r="AD77" i="13"/>
  <c r="AD82" i="13"/>
  <c r="AD83" i="13"/>
  <c r="AD85" i="13"/>
  <c r="AD87" i="13"/>
  <c r="N56" i="13"/>
  <c r="V56" i="13" s="1"/>
  <c r="N30" i="13"/>
  <c r="N31" i="13"/>
  <c r="N32" i="13"/>
  <c r="N33" i="13"/>
  <c r="N34" i="13"/>
  <c r="N35" i="13"/>
  <c r="N36" i="13"/>
  <c r="N37" i="13"/>
  <c r="N38" i="13"/>
  <c r="N39" i="13"/>
  <c r="N40" i="13"/>
  <c r="N41" i="13"/>
  <c r="N42" i="13"/>
  <c r="N43" i="13"/>
  <c r="N44" i="13"/>
  <c r="N45" i="13"/>
  <c r="N46" i="13"/>
  <c r="N47" i="13"/>
  <c r="N48" i="13"/>
  <c r="N49" i="13"/>
  <c r="N50" i="13"/>
  <c r="N51" i="13"/>
  <c r="N52" i="13"/>
  <c r="N53" i="13"/>
  <c r="N54" i="13"/>
  <c r="N55" i="13"/>
  <c r="N57" i="13"/>
  <c r="N58" i="13"/>
  <c r="N59" i="13"/>
  <c r="N60" i="13"/>
  <c r="N61" i="13"/>
  <c r="N63" i="13"/>
  <c r="N64" i="13"/>
  <c r="N65" i="13"/>
  <c r="N66" i="13"/>
  <c r="N67" i="13"/>
  <c r="N68" i="13"/>
  <c r="N69" i="13"/>
  <c r="N70" i="13"/>
  <c r="N71" i="13"/>
  <c r="N72" i="13"/>
  <c r="N73" i="13"/>
  <c r="N74" i="13"/>
  <c r="N75" i="13"/>
  <c r="N76" i="13"/>
  <c r="N77" i="13"/>
  <c r="N78" i="13"/>
  <c r="N79" i="13"/>
  <c r="N80" i="13"/>
  <c r="N81" i="13"/>
  <c r="N82" i="13"/>
  <c r="N83" i="13"/>
  <c r="N84" i="13"/>
  <c r="N85" i="13"/>
  <c r="N87" i="13"/>
  <c r="N88" i="13"/>
  <c r="N29" i="13"/>
  <c r="V29" i="13" s="1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2" i="13"/>
  <c r="V53" i="13"/>
  <c r="V54" i="13"/>
  <c r="V55" i="13"/>
  <c r="V57" i="13"/>
  <c r="V58" i="13"/>
  <c r="V59" i="13"/>
  <c r="V60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U86" i="13"/>
  <c r="V86" i="13"/>
  <c r="V87" i="13"/>
  <c r="V88" i="13"/>
  <c r="U29" i="13"/>
  <c r="T29" i="13"/>
  <c r="U29" i="12"/>
  <c r="P30" i="12"/>
  <c r="P31" i="12"/>
  <c r="P32" i="12"/>
  <c r="P33" i="12"/>
  <c r="P34" i="12"/>
  <c r="P35" i="12"/>
  <c r="P36" i="12"/>
  <c r="P37" i="12"/>
  <c r="P38" i="12"/>
  <c r="P39" i="12"/>
  <c r="P40" i="12"/>
  <c r="P41" i="12"/>
  <c r="P42" i="12"/>
  <c r="P43" i="12"/>
  <c r="P44" i="12"/>
  <c r="P45" i="12"/>
  <c r="P46" i="12"/>
  <c r="P47" i="12"/>
  <c r="P48" i="12"/>
  <c r="P49" i="12"/>
  <c r="P50" i="12"/>
  <c r="P51" i="12"/>
  <c r="P52" i="12"/>
  <c r="P53" i="12"/>
  <c r="P54" i="12"/>
  <c r="P55" i="12"/>
  <c r="P56" i="12"/>
  <c r="P57" i="12"/>
  <c r="P58" i="12"/>
  <c r="P59" i="12"/>
  <c r="P60" i="12"/>
  <c r="P61" i="12"/>
  <c r="P62" i="12"/>
  <c r="T62" i="12" s="1"/>
  <c r="P63" i="12"/>
  <c r="P64" i="12"/>
  <c r="P65" i="12"/>
  <c r="P66" i="12"/>
  <c r="P67" i="12"/>
  <c r="P68" i="12"/>
  <c r="P69" i="12"/>
  <c r="P70" i="12"/>
  <c r="P71" i="12"/>
  <c r="P72" i="12"/>
  <c r="P73" i="12"/>
  <c r="P74" i="12"/>
  <c r="P75" i="12"/>
  <c r="P76" i="12"/>
  <c r="P77" i="12"/>
  <c r="P78" i="12"/>
  <c r="P79" i="12"/>
  <c r="P80" i="12"/>
  <c r="P81" i="12"/>
  <c r="P82" i="12"/>
  <c r="P83" i="12"/>
  <c r="P84" i="12"/>
  <c r="P85" i="12"/>
  <c r="P86" i="12"/>
  <c r="T86" i="12" s="1"/>
  <c r="P87" i="12"/>
  <c r="P88" i="12"/>
  <c r="P29" i="12"/>
  <c r="T32" i="12"/>
  <c r="AN30" i="12"/>
  <c r="AN31" i="12"/>
  <c r="AN32" i="12"/>
  <c r="AN33" i="12"/>
  <c r="AN34" i="12"/>
  <c r="AN35" i="12"/>
  <c r="AN36" i="12"/>
  <c r="AN37" i="12"/>
  <c r="AN38" i="12"/>
  <c r="AN39" i="12"/>
  <c r="AN40" i="12"/>
  <c r="AN41" i="12"/>
  <c r="AN42" i="12"/>
  <c r="AN43" i="12"/>
  <c r="AN44" i="12"/>
  <c r="AN45" i="12"/>
  <c r="AN46" i="12"/>
  <c r="AN47" i="12"/>
  <c r="AN48" i="12"/>
  <c r="AN49" i="12"/>
  <c r="AN50" i="12"/>
  <c r="AN51" i="12"/>
  <c r="AN52" i="12"/>
  <c r="AN53" i="12"/>
  <c r="AN54" i="12"/>
  <c r="AN55" i="12"/>
  <c r="AN56" i="12"/>
  <c r="AN57" i="12"/>
  <c r="AN58" i="12"/>
  <c r="AN59" i="12"/>
  <c r="AN60" i="12"/>
  <c r="AN61" i="12"/>
  <c r="AN62" i="12"/>
  <c r="AN63" i="12"/>
  <c r="AN64" i="12"/>
  <c r="AN65" i="12"/>
  <c r="AN66" i="12"/>
  <c r="AN67" i="12"/>
  <c r="AN68" i="12"/>
  <c r="AN69" i="12"/>
  <c r="AN70" i="12"/>
  <c r="AN71" i="12"/>
  <c r="AN72" i="12"/>
  <c r="AN73" i="12"/>
  <c r="AN74" i="12"/>
  <c r="AN75" i="12"/>
  <c r="AN76" i="12"/>
  <c r="AN77" i="12"/>
  <c r="AN78" i="12"/>
  <c r="AN79" i="12"/>
  <c r="AN80" i="12"/>
  <c r="AN81" i="12"/>
  <c r="AN82" i="12"/>
  <c r="AN83" i="12"/>
  <c r="AN84" i="12"/>
  <c r="AN85" i="12"/>
  <c r="AN86" i="12"/>
  <c r="AN87" i="12"/>
  <c r="AN88" i="12"/>
  <c r="M31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4" i="12"/>
  <c r="M45" i="12"/>
  <c r="M46" i="12"/>
  <c r="M47" i="12"/>
  <c r="M48" i="12"/>
  <c r="M49" i="12"/>
  <c r="M50" i="12"/>
  <c r="M51" i="12"/>
  <c r="M52" i="12"/>
  <c r="M53" i="12"/>
  <c r="M54" i="12"/>
  <c r="M55" i="12"/>
  <c r="M56" i="12"/>
  <c r="M57" i="12"/>
  <c r="M58" i="12"/>
  <c r="M59" i="12"/>
  <c r="M60" i="12"/>
  <c r="M61" i="12"/>
  <c r="M63" i="12"/>
  <c r="M64" i="12"/>
  <c r="M65" i="12"/>
  <c r="M66" i="12"/>
  <c r="M67" i="12"/>
  <c r="M68" i="12"/>
  <c r="M69" i="12"/>
  <c r="M70" i="12"/>
  <c r="M71" i="12"/>
  <c r="M72" i="12"/>
  <c r="M73" i="12"/>
  <c r="M74" i="12"/>
  <c r="M75" i="12"/>
  <c r="M76" i="12"/>
  <c r="M77" i="12"/>
  <c r="M78" i="12"/>
  <c r="M79" i="12"/>
  <c r="M80" i="12"/>
  <c r="M81" i="12"/>
  <c r="M82" i="12"/>
  <c r="M83" i="12"/>
  <c r="M84" i="12"/>
  <c r="M85" i="12"/>
  <c r="AD86" i="12"/>
  <c r="M87" i="12"/>
  <c r="M88" i="12"/>
  <c r="M30" i="12"/>
  <c r="AD91" i="15"/>
  <c r="I89" i="15"/>
  <c r="H89" i="15"/>
  <c r="G89" i="15"/>
  <c r="AC88" i="15"/>
  <c r="O88" i="15"/>
  <c r="M88" i="15"/>
  <c r="AC87" i="15"/>
  <c r="O87" i="15"/>
  <c r="M87" i="15"/>
  <c r="AC86" i="15"/>
  <c r="AG86" i="15"/>
  <c r="AC85" i="15"/>
  <c r="O85" i="15"/>
  <c r="M85" i="15"/>
  <c r="AC84" i="15"/>
  <c r="O84" i="15"/>
  <c r="M84" i="15"/>
  <c r="AC83" i="15"/>
  <c r="O83" i="15"/>
  <c r="M83" i="15"/>
  <c r="AC82" i="15"/>
  <c r="O82" i="15"/>
  <c r="M82" i="15"/>
  <c r="AC81" i="15"/>
  <c r="O81" i="15"/>
  <c r="M81" i="15"/>
  <c r="AC80" i="15"/>
  <c r="O80" i="15"/>
  <c r="M80" i="15"/>
  <c r="AC79" i="15"/>
  <c r="O79" i="15"/>
  <c r="M79" i="15"/>
  <c r="AC78" i="15"/>
  <c r="O78" i="15"/>
  <c r="M78" i="15"/>
  <c r="AC77" i="15"/>
  <c r="O77" i="15"/>
  <c r="M77" i="15"/>
  <c r="AC76" i="15"/>
  <c r="O76" i="15"/>
  <c r="M76" i="15"/>
  <c r="AC75" i="15"/>
  <c r="O75" i="15"/>
  <c r="M75" i="15"/>
  <c r="AC74" i="15"/>
  <c r="O74" i="15"/>
  <c r="M74" i="15"/>
  <c r="AC73" i="15"/>
  <c r="O73" i="15"/>
  <c r="M73" i="15"/>
  <c r="AC72" i="15"/>
  <c r="O72" i="15"/>
  <c r="M72" i="15"/>
  <c r="AC71" i="15"/>
  <c r="O71" i="15"/>
  <c r="M71" i="15"/>
  <c r="AC70" i="15"/>
  <c r="O70" i="15"/>
  <c r="M70" i="15"/>
  <c r="AC69" i="15"/>
  <c r="O69" i="15"/>
  <c r="M69" i="15"/>
  <c r="AC68" i="15"/>
  <c r="O68" i="15"/>
  <c r="M68" i="15"/>
  <c r="AC67" i="15"/>
  <c r="O67" i="15"/>
  <c r="M67" i="15"/>
  <c r="AC66" i="15"/>
  <c r="O66" i="15"/>
  <c r="M66" i="15"/>
  <c r="AC65" i="15"/>
  <c r="O65" i="15"/>
  <c r="M65" i="15"/>
  <c r="P65" i="15" s="1"/>
  <c r="AC64" i="15"/>
  <c r="O64" i="15"/>
  <c r="M64" i="15"/>
  <c r="AC63" i="15"/>
  <c r="O63" i="15"/>
  <c r="M63" i="15"/>
  <c r="AC62" i="15"/>
  <c r="P62" i="15"/>
  <c r="AC61" i="15"/>
  <c r="O61" i="15"/>
  <c r="M61" i="15"/>
  <c r="AC60" i="15"/>
  <c r="O60" i="15"/>
  <c r="M60" i="15"/>
  <c r="AC59" i="15"/>
  <c r="O59" i="15"/>
  <c r="M59" i="15"/>
  <c r="AC58" i="15"/>
  <c r="O58" i="15"/>
  <c r="M58" i="15"/>
  <c r="AC57" i="15"/>
  <c r="O57" i="15"/>
  <c r="M57" i="15"/>
  <c r="AC56" i="15"/>
  <c r="O56" i="15"/>
  <c r="M56" i="15"/>
  <c r="AC55" i="15"/>
  <c r="O55" i="15"/>
  <c r="M55" i="15"/>
  <c r="AC54" i="15"/>
  <c r="O54" i="15"/>
  <c r="M54" i="15"/>
  <c r="AC53" i="15"/>
  <c r="O53" i="15"/>
  <c r="M53" i="15"/>
  <c r="AC52" i="15"/>
  <c r="O52" i="15"/>
  <c r="M52" i="15"/>
  <c r="AC51" i="15"/>
  <c r="O51" i="15"/>
  <c r="M51" i="15"/>
  <c r="AC50" i="15"/>
  <c r="O50" i="15"/>
  <c r="M50" i="15"/>
  <c r="AC49" i="15"/>
  <c r="O49" i="15"/>
  <c r="M49" i="15"/>
  <c r="AC48" i="15"/>
  <c r="O48" i="15"/>
  <c r="M48" i="15"/>
  <c r="AC47" i="15"/>
  <c r="O47" i="15"/>
  <c r="M47" i="15"/>
  <c r="AC46" i="15"/>
  <c r="O46" i="15"/>
  <c r="M46" i="15"/>
  <c r="AC45" i="15"/>
  <c r="O45" i="15"/>
  <c r="M45" i="15"/>
  <c r="AC44" i="15"/>
  <c r="O44" i="15"/>
  <c r="M44" i="15"/>
  <c r="AC43" i="15"/>
  <c r="O43" i="15"/>
  <c r="M43" i="15"/>
  <c r="AC42" i="15"/>
  <c r="O42" i="15"/>
  <c r="M42" i="15"/>
  <c r="AC41" i="15"/>
  <c r="O41" i="15"/>
  <c r="M41" i="15"/>
  <c r="AC40" i="15"/>
  <c r="O40" i="15"/>
  <c r="M40" i="15"/>
  <c r="AC39" i="15"/>
  <c r="O39" i="15"/>
  <c r="M39" i="15"/>
  <c r="AC38" i="15"/>
  <c r="O38" i="15"/>
  <c r="M38" i="15"/>
  <c r="AC37" i="15"/>
  <c r="O37" i="15"/>
  <c r="M37" i="15"/>
  <c r="AC36" i="15"/>
  <c r="O36" i="15"/>
  <c r="M36" i="15"/>
  <c r="AC35" i="15"/>
  <c r="O35" i="15"/>
  <c r="M35" i="15"/>
  <c r="AC34" i="15"/>
  <c r="O34" i="15"/>
  <c r="M34" i="15"/>
  <c r="AC33" i="15"/>
  <c r="O33" i="15"/>
  <c r="M33" i="15"/>
  <c r="AC32" i="15"/>
  <c r="O32" i="15"/>
  <c r="M32" i="15"/>
  <c r="AC31" i="15"/>
  <c r="O31" i="15"/>
  <c r="M31" i="15"/>
  <c r="AC30" i="15"/>
  <c r="O30" i="15"/>
  <c r="M30" i="15"/>
  <c r="AC29" i="15"/>
  <c r="P29" i="15"/>
  <c r="O29" i="15"/>
  <c r="AI91" i="14"/>
  <c r="I89" i="14"/>
  <c r="H89" i="14"/>
  <c r="G89" i="14"/>
  <c r="AH88" i="14"/>
  <c r="O88" i="14"/>
  <c r="S88" i="14" s="1"/>
  <c r="AH87" i="14"/>
  <c r="O87" i="14"/>
  <c r="S87" i="14" s="1"/>
  <c r="AH86" i="14"/>
  <c r="AD86" i="14"/>
  <c r="U86" i="14"/>
  <c r="S86" i="14"/>
  <c r="AH85" i="14"/>
  <c r="O85" i="14"/>
  <c r="S85" i="14" s="1"/>
  <c r="AH84" i="14"/>
  <c r="O84" i="14"/>
  <c r="S84" i="14" s="1"/>
  <c r="AH83" i="14"/>
  <c r="O83" i="14"/>
  <c r="S83" i="14" s="1"/>
  <c r="AH82" i="14"/>
  <c r="O82" i="14"/>
  <c r="S82" i="14" s="1"/>
  <c r="AH81" i="14"/>
  <c r="O81" i="14"/>
  <c r="S81" i="14" s="1"/>
  <c r="AH80" i="14"/>
  <c r="O80" i="14"/>
  <c r="S80" i="14" s="1"/>
  <c r="AH79" i="14"/>
  <c r="O79" i="14"/>
  <c r="S79" i="14" s="1"/>
  <c r="AH78" i="14"/>
  <c r="O78" i="14"/>
  <c r="S78" i="14" s="1"/>
  <c r="AH77" i="14"/>
  <c r="O77" i="14"/>
  <c r="S77" i="14" s="1"/>
  <c r="AH76" i="14"/>
  <c r="O76" i="14"/>
  <c r="S76" i="14" s="1"/>
  <c r="AH75" i="14"/>
  <c r="O75" i="14"/>
  <c r="S75" i="14" s="1"/>
  <c r="AH74" i="14"/>
  <c r="O74" i="14"/>
  <c r="S74" i="14" s="1"/>
  <c r="AH73" i="14"/>
  <c r="O73" i="14"/>
  <c r="S73" i="14" s="1"/>
  <c r="AH72" i="14"/>
  <c r="O72" i="14"/>
  <c r="S72" i="14" s="1"/>
  <c r="U72" i="14"/>
  <c r="AH71" i="14"/>
  <c r="O71" i="14"/>
  <c r="S71" i="14" s="1"/>
  <c r="U71" i="14"/>
  <c r="AH70" i="14"/>
  <c r="O70" i="14"/>
  <c r="S70" i="14" s="1"/>
  <c r="U70" i="14"/>
  <c r="AH69" i="14"/>
  <c r="O69" i="14"/>
  <c r="S69" i="14" s="1"/>
  <c r="U69" i="14"/>
  <c r="AH68" i="14"/>
  <c r="O68" i="14"/>
  <c r="S68" i="14" s="1"/>
  <c r="U68" i="14"/>
  <c r="AH67" i="14"/>
  <c r="O67" i="14"/>
  <c r="S67" i="14" s="1"/>
  <c r="U67" i="14"/>
  <c r="AH66" i="14"/>
  <c r="O66" i="14"/>
  <c r="S66" i="14" s="1"/>
  <c r="U66" i="14"/>
  <c r="AH65" i="14"/>
  <c r="O65" i="14"/>
  <c r="S65" i="14" s="1"/>
  <c r="U65" i="14"/>
  <c r="AH64" i="14"/>
  <c r="O64" i="14"/>
  <c r="S64" i="14" s="1"/>
  <c r="AH63" i="14"/>
  <c r="O63" i="14"/>
  <c r="S63" i="14" s="1"/>
  <c r="U63" i="14"/>
  <c r="AH62" i="14"/>
  <c r="AD62" i="14"/>
  <c r="S62" i="14"/>
  <c r="AH61" i="14"/>
  <c r="O61" i="14"/>
  <c r="S61" i="14" s="1"/>
  <c r="AH60" i="14"/>
  <c r="O60" i="14"/>
  <c r="S60" i="14" s="1"/>
  <c r="AH59" i="14"/>
  <c r="O59" i="14"/>
  <c r="S59" i="14" s="1"/>
  <c r="AH58" i="14"/>
  <c r="O58" i="14"/>
  <c r="S58" i="14" s="1"/>
  <c r="AH57" i="14"/>
  <c r="O57" i="14"/>
  <c r="S57" i="14" s="1"/>
  <c r="AH56" i="14"/>
  <c r="O56" i="14"/>
  <c r="S56" i="14" s="1"/>
  <c r="AH55" i="14"/>
  <c r="O55" i="14"/>
  <c r="S55" i="14" s="1"/>
  <c r="AH54" i="14"/>
  <c r="O54" i="14"/>
  <c r="S54" i="14" s="1"/>
  <c r="AH53" i="14"/>
  <c r="O53" i="14"/>
  <c r="S53" i="14" s="1"/>
  <c r="AH52" i="14"/>
  <c r="O52" i="14"/>
  <c r="S52" i="14" s="1"/>
  <c r="AH51" i="14"/>
  <c r="O51" i="14"/>
  <c r="S51" i="14" s="1"/>
  <c r="AH50" i="14"/>
  <c r="O50" i="14"/>
  <c r="S50" i="14" s="1"/>
  <c r="AH49" i="14"/>
  <c r="O49" i="14"/>
  <c r="S49" i="14" s="1"/>
  <c r="AH48" i="14"/>
  <c r="O48" i="14"/>
  <c r="S48" i="14" s="1"/>
  <c r="AH47" i="14"/>
  <c r="O47" i="14"/>
  <c r="S47" i="14" s="1"/>
  <c r="AH46" i="14"/>
  <c r="O46" i="14"/>
  <c r="S46" i="14" s="1"/>
  <c r="AH45" i="14"/>
  <c r="O45" i="14"/>
  <c r="S45" i="14" s="1"/>
  <c r="AH44" i="14"/>
  <c r="O44" i="14"/>
  <c r="S44" i="14" s="1"/>
  <c r="AH43" i="14"/>
  <c r="O43" i="14"/>
  <c r="S43" i="14" s="1"/>
  <c r="AH42" i="14"/>
  <c r="O42" i="14"/>
  <c r="S42" i="14" s="1"/>
  <c r="AH41" i="14"/>
  <c r="O41" i="14"/>
  <c r="S41" i="14" s="1"/>
  <c r="AH40" i="14"/>
  <c r="O40" i="14"/>
  <c r="S40" i="14" s="1"/>
  <c r="AH39" i="14"/>
  <c r="O39" i="14"/>
  <c r="S39" i="14" s="1"/>
  <c r="AH38" i="14"/>
  <c r="O38" i="14"/>
  <c r="S38" i="14" s="1"/>
  <c r="AH37" i="14"/>
  <c r="O37" i="14"/>
  <c r="S37" i="14" s="1"/>
  <c r="AH36" i="14"/>
  <c r="O36" i="14"/>
  <c r="S36" i="14" s="1"/>
  <c r="U36" i="14"/>
  <c r="AH35" i="14"/>
  <c r="O35" i="14"/>
  <c r="S35" i="14" s="1"/>
  <c r="U35" i="14"/>
  <c r="AH34" i="14"/>
  <c r="O34" i="14"/>
  <c r="S34" i="14" s="1"/>
  <c r="AH33" i="14"/>
  <c r="O33" i="14"/>
  <c r="S33" i="14" s="1"/>
  <c r="AH32" i="14"/>
  <c r="O32" i="14"/>
  <c r="S32" i="14" s="1"/>
  <c r="AH31" i="14"/>
  <c r="O31" i="14"/>
  <c r="S31" i="14" s="1"/>
  <c r="AH30" i="14"/>
  <c r="O30" i="14"/>
  <c r="S30" i="14" s="1"/>
  <c r="AH29" i="14"/>
  <c r="AD29" i="14"/>
  <c r="O29" i="14"/>
  <c r="S29" i="14" s="1"/>
  <c r="S30" i="13"/>
  <c r="S31" i="13"/>
  <c r="S32" i="13"/>
  <c r="S33" i="13"/>
  <c r="S34" i="13"/>
  <c r="S35" i="13"/>
  <c r="S36" i="13"/>
  <c r="S37" i="13"/>
  <c r="S38" i="13"/>
  <c r="S39" i="13"/>
  <c r="S40" i="13"/>
  <c r="S41" i="13"/>
  <c r="S42" i="13"/>
  <c r="S43" i="13"/>
  <c r="S44" i="13"/>
  <c r="S45" i="13"/>
  <c r="S46" i="13"/>
  <c r="S47" i="13"/>
  <c r="S48" i="13"/>
  <c r="S49" i="13"/>
  <c r="S50" i="13"/>
  <c r="S51" i="13"/>
  <c r="S52" i="13"/>
  <c r="S53" i="13"/>
  <c r="S54" i="13"/>
  <c r="S55" i="13"/>
  <c r="S56" i="13"/>
  <c r="S57" i="13"/>
  <c r="S58" i="13"/>
  <c r="S59" i="13"/>
  <c r="S60" i="13"/>
  <c r="S61" i="13"/>
  <c r="S62" i="13"/>
  <c r="S63" i="13"/>
  <c r="S64" i="13"/>
  <c r="S65" i="13"/>
  <c r="S66" i="13"/>
  <c r="S67" i="13"/>
  <c r="S68" i="13"/>
  <c r="S69" i="13"/>
  <c r="S70" i="13"/>
  <c r="S71" i="13"/>
  <c r="S72" i="13"/>
  <c r="S73" i="13"/>
  <c r="S74" i="13"/>
  <c r="S75" i="13"/>
  <c r="S76" i="13"/>
  <c r="S77" i="13"/>
  <c r="S78" i="13"/>
  <c r="S79" i="13"/>
  <c r="S80" i="13"/>
  <c r="S81" i="13"/>
  <c r="S82" i="13"/>
  <c r="S83" i="13"/>
  <c r="S84" i="13"/>
  <c r="S85" i="13"/>
  <c r="S86" i="13"/>
  <c r="AD86" i="13"/>
  <c r="S87" i="13"/>
  <c r="S88" i="13"/>
  <c r="AD29" i="13"/>
  <c r="AA29" i="13"/>
  <c r="AB29" i="13"/>
  <c r="AC29" i="13"/>
  <c r="Y29" i="13"/>
  <c r="Z29" i="13"/>
  <c r="X29" i="13"/>
  <c r="S29" i="13"/>
  <c r="AI91" i="13"/>
  <c r="I89" i="13"/>
  <c r="H89" i="13"/>
  <c r="G89" i="13"/>
  <c r="AH88" i="13"/>
  <c r="O88" i="13"/>
  <c r="AH87" i="13"/>
  <c r="O87" i="13"/>
  <c r="AH86" i="13"/>
  <c r="AH85" i="13"/>
  <c r="O85" i="13"/>
  <c r="AH84" i="13"/>
  <c r="O84" i="13"/>
  <c r="AH83" i="13"/>
  <c r="O83" i="13"/>
  <c r="AH82" i="13"/>
  <c r="O82" i="13"/>
  <c r="AH81" i="13"/>
  <c r="O81" i="13"/>
  <c r="AH80" i="13"/>
  <c r="O80" i="13"/>
  <c r="AH79" i="13"/>
  <c r="O79" i="13"/>
  <c r="AH78" i="13"/>
  <c r="O78" i="13"/>
  <c r="AH77" i="13"/>
  <c r="O77" i="13"/>
  <c r="AH76" i="13"/>
  <c r="O76" i="13"/>
  <c r="AH75" i="13"/>
  <c r="O75" i="13"/>
  <c r="AH74" i="13"/>
  <c r="O74" i="13"/>
  <c r="AH73" i="13"/>
  <c r="O73" i="13"/>
  <c r="AH72" i="13"/>
  <c r="O72" i="13"/>
  <c r="AH71" i="13"/>
  <c r="O71" i="13"/>
  <c r="AH70" i="13"/>
  <c r="O70" i="13"/>
  <c r="AH69" i="13"/>
  <c r="O69" i="13"/>
  <c r="AH68" i="13"/>
  <c r="O68" i="13"/>
  <c r="AH67" i="13"/>
  <c r="O67" i="13"/>
  <c r="AH66" i="13"/>
  <c r="O66" i="13"/>
  <c r="AH65" i="13"/>
  <c r="O65" i="13"/>
  <c r="AH64" i="13"/>
  <c r="O64" i="13"/>
  <c r="AH63" i="13"/>
  <c r="O63" i="13"/>
  <c r="AH62" i="13"/>
  <c r="AH61" i="13"/>
  <c r="O61" i="13"/>
  <c r="AH60" i="13"/>
  <c r="O60" i="13"/>
  <c r="AH59" i="13"/>
  <c r="O59" i="13"/>
  <c r="AH58" i="13"/>
  <c r="O58" i="13"/>
  <c r="AH57" i="13"/>
  <c r="O57" i="13"/>
  <c r="AH56" i="13"/>
  <c r="O56" i="13"/>
  <c r="AH55" i="13"/>
  <c r="O55" i="13"/>
  <c r="AH54" i="13"/>
  <c r="O54" i="13"/>
  <c r="AH53" i="13"/>
  <c r="O53" i="13"/>
  <c r="AH52" i="13"/>
  <c r="O52" i="13"/>
  <c r="AH51" i="13"/>
  <c r="O51" i="13"/>
  <c r="AH50" i="13"/>
  <c r="O50" i="13"/>
  <c r="AH49" i="13"/>
  <c r="O49" i="13"/>
  <c r="AH48" i="13"/>
  <c r="O48" i="13"/>
  <c r="AH47" i="13"/>
  <c r="O47" i="13"/>
  <c r="AH46" i="13"/>
  <c r="O46" i="13"/>
  <c r="AH45" i="13"/>
  <c r="O45" i="13"/>
  <c r="AH44" i="13"/>
  <c r="O44" i="13"/>
  <c r="AH43" i="13"/>
  <c r="O43" i="13"/>
  <c r="AH42" i="13"/>
  <c r="O42" i="13"/>
  <c r="AH41" i="13"/>
  <c r="O41" i="13"/>
  <c r="AH40" i="13"/>
  <c r="O40" i="13"/>
  <c r="AH39" i="13"/>
  <c r="O39" i="13"/>
  <c r="AH38" i="13"/>
  <c r="O38" i="13"/>
  <c r="AH37" i="13"/>
  <c r="O37" i="13"/>
  <c r="AH36" i="13"/>
  <c r="O36" i="13"/>
  <c r="AH35" i="13"/>
  <c r="O35" i="13"/>
  <c r="AH34" i="13"/>
  <c r="O34" i="13"/>
  <c r="AH33" i="13"/>
  <c r="O33" i="13"/>
  <c r="AH32" i="13"/>
  <c r="O32" i="13"/>
  <c r="AH31" i="13"/>
  <c r="O31" i="13"/>
  <c r="AH30" i="13"/>
  <c r="O30" i="13"/>
  <c r="AH29" i="13"/>
  <c r="O29" i="13"/>
  <c r="S62" i="12"/>
  <c r="P91" i="3"/>
  <c r="AI91" i="12"/>
  <c r="N29" i="12"/>
  <c r="N30" i="12"/>
  <c r="N31" i="12"/>
  <c r="N32" i="12"/>
  <c r="N33" i="12"/>
  <c r="N34" i="12"/>
  <c r="N35" i="12"/>
  <c r="N36" i="12"/>
  <c r="N37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0" i="12"/>
  <c r="N51" i="12"/>
  <c r="N52" i="12"/>
  <c r="N53" i="12"/>
  <c r="N54" i="12"/>
  <c r="N55" i="12"/>
  <c r="N57" i="12"/>
  <c r="N58" i="12"/>
  <c r="N59" i="12"/>
  <c r="N60" i="12"/>
  <c r="N61" i="12"/>
  <c r="N63" i="12"/>
  <c r="N64" i="12"/>
  <c r="N65" i="12"/>
  <c r="N66" i="12"/>
  <c r="N67" i="12"/>
  <c r="N68" i="12"/>
  <c r="N69" i="12"/>
  <c r="N70" i="12"/>
  <c r="N71" i="12"/>
  <c r="N72" i="12"/>
  <c r="N73" i="12"/>
  <c r="N74" i="12"/>
  <c r="N75" i="12"/>
  <c r="N76" i="12"/>
  <c r="N77" i="12"/>
  <c r="N78" i="12"/>
  <c r="N79" i="12"/>
  <c r="N80" i="12"/>
  <c r="N81" i="12"/>
  <c r="N82" i="12"/>
  <c r="N83" i="12"/>
  <c r="N84" i="12"/>
  <c r="N85" i="12"/>
  <c r="N87" i="12"/>
  <c r="N88" i="12"/>
  <c r="E121" i="17"/>
  <c r="AH30" i="12"/>
  <c r="AH31" i="12"/>
  <c r="AH32" i="12"/>
  <c r="AH33" i="12"/>
  <c r="AH34" i="12"/>
  <c r="AH35" i="12"/>
  <c r="AH36" i="12"/>
  <c r="AH37" i="12"/>
  <c r="AH38" i="12"/>
  <c r="AH39" i="12"/>
  <c r="AH40" i="12"/>
  <c r="AH41" i="12"/>
  <c r="AH42" i="12"/>
  <c r="AH43" i="12"/>
  <c r="AH44" i="12"/>
  <c r="AH45" i="12"/>
  <c r="AH46" i="12"/>
  <c r="AH47" i="12"/>
  <c r="AH48" i="12"/>
  <c r="AH49" i="12"/>
  <c r="AH50" i="12"/>
  <c r="AH51" i="12"/>
  <c r="AH52" i="12"/>
  <c r="AH53" i="12"/>
  <c r="AH54" i="12"/>
  <c r="AH55" i="12"/>
  <c r="AH56" i="12"/>
  <c r="AH57" i="12"/>
  <c r="AH58" i="12"/>
  <c r="AH59" i="12"/>
  <c r="AH60" i="12"/>
  <c r="AH61" i="12"/>
  <c r="AH62" i="12"/>
  <c r="AH63" i="12"/>
  <c r="AH64" i="12"/>
  <c r="AH65" i="12"/>
  <c r="AH66" i="12"/>
  <c r="AH67" i="12"/>
  <c r="AH68" i="12"/>
  <c r="AH69" i="12"/>
  <c r="AH70" i="12"/>
  <c r="AH71" i="12"/>
  <c r="AH72" i="12"/>
  <c r="AH73" i="12"/>
  <c r="AH74" i="12"/>
  <c r="AH75" i="12"/>
  <c r="AH76" i="12"/>
  <c r="AH77" i="12"/>
  <c r="AH78" i="12"/>
  <c r="AH79" i="12"/>
  <c r="AH80" i="12"/>
  <c r="AH81" i="12"/>
  <c r="AH82" i="12"/>
  <c r="AH83" i="12"/>
  <c r="AH84" i="12"/>
  <c r="AH85" i="12"/>
  <c r="AH86" i="12"/>
  <c r="AH87" i="12"/>
  <c r="AH88" i="12"/>
  <c r="AH29" i="12"/>
  <c r="S86" i="12"/>
  <c r="AD29" i="12"/>
  <c r="S35" i="12"/>
  <c r="S36" i="12"/>
  <c r="S37" i="12"/>
  <c r="S38" i="12"/>
  <c r="S39" i="12"/>
  <c r="S40" i="12"/>
  <c r="S41" i="12"/>
  <c r="S42" i="12"/>
  <c r="S43" i="12"/>
  <c r="S44" i="12"/>
  <c r="S45" i="12"/>
  <c r="S46" i="12"/>
  <c r="S47" i="12"/>
  <c r="S48" i="12"/>
  <c r="S49" i="12"/>
  <c r="S50" i="12"/>
  <c r="S51" i="12"/>
  <c r="S52" i="12"/>
  <c r="S53" i="12"/>
  <c r="S54" i="12"/>
  <c r="S55" i="12"/>
  <c r="S56" i="12"/>
  <c r="S57" i="12"/>
  <c r="S58" i="12"/>
  <c r="S59" i="12"/>
  <c r="S60" i="12"/>
  <c r="S61" i="12"/>
  <c r="S63" i="12"/>
  <c r="S64" i="12"/>
  <c r="S65" i="12"/>
  <c r="S66" i="12"/>
  <c r="S67" i="12"/>
  <c r="S68" i="12"/>
  <c r="S69" i="12"/>
  <c r="S70" i="12"/>
  <c r="S71" i="12"/>
  <c r="S72" i="12"/>
  <c r="S73" i="12"/>
  <c r="S74" i="12"/>
  <c r="S75" i="12"/>
  <c r="S76" i="12"/>
  <c r="S77" i="12"/>
  <c r="S78" i="12"/>
  <c r="S79" i="12"/>
  <c r="S80" i="12"/>
  <c r="S81" i="12"/>
  <c r="S82" i="12"/>
  <c r="S83" i="12"/>
  <c r="S84" i="12"/>
  <c r="S85" i="12"/>
  <c r="S87" i="12"/>
  <c r="S88" i="12"/>
  <c r="S30" i="12"/>
  <c r="S31" i="12"/>
  <c r="S32" i="12"/>
  <c r="S33" i="12"/>
  <c r="S34" i="12"/>
  <c r="O45" i="12"/>
  <c r="O46" i="12"/>
  <c r="O47" i="12"/>
  <c r="O48" i="12"/>
  <c r="O49" i="12"/>
  <c r="O50" i="12"/>
  <c r="O51" i="12"/>
  <c r="O52" i="12"/>
  <c r="O53" i="12"/>
  <c r="O54" i="12"/>
  <c r="O55" i="12"/>
  <c r="O56" i="12"/>
  <c r="O57" i="12"/>
  <c r="O58" i="12"/>
  <c r="O59" i="12"/>
  <c r="O60" i="12"/>
  <c r="O61" i="12"/>
  <c r="O63" i="12"/>
  <c r="O64" i="12"/>
  <c r="O65" i="12"/>
  <c r="O66" i="12"/>
  <c r="O67" i="12"/>
  <c r="O68" i="12"/>
  <c r="O69" i="12"/>
  <c r="O70" i="12"/>
  <c r="O71" i="12"/>
  <c r="O72" i="12"/>
  <c r="O73" i="12"/>
  <c r="O74" i="12"/>
  <c r="O75" i="12"/>
  <c r="O76" i="12"/>
  <c r="O77" i="12"/>
  <c r="O78" i="12"/>
  <c r="O79" i="12"/>
  <c r="O80" i="12"/>
  <c r="O81" i="12"/>
  <c r="O82" i="12"/>
  <c r="O83" i="12"/>
  <c r="O84" i="12"/>
  <c r="O85" i="12"/>
  <c r="O87" i="12"/>
  <c r="O88" i="12"/>
  <c r="O37" i="12"/>
  <c r="O38" i="12"/>
  <c r="O39" i="12"/>
  <c r="O40" i="12"/>
  <c r="O41" i="12"/>
  <c r="O42" i="12"/>
  <c r="O43" i="12"/>
  <c r="O44" i="12"/>
  <c r="O30" i="12"/>
  <c r="O31" i="12"/>
  <c r="O32" i="12"/>
  <c r="O33" i="12"/>
  <c r="O34" i="12"/>
  <c r="O35" i="12"/>
  <c r="O36" i="12"/>
  <c r="O29" i="12"/>
  <c r="S29" i="18"/>
  <c r="I89" i="12"/>
  <c r="H89" i="12"/>
  <c r="G89" i="12"/>
  <c r="R54" i="18"/>
  <c r="S62" i="18"/>
  <c r="T62" i="18" s="1"/>
  <c r="R86" i="18"/>
  <c r="R34" i="18"/>
  <c r="R35" i="18"/>
  <c r="R36" i="18"/>
  <c r="R37" i="18"/>
  <c r="R38" i="18"/>
  <c r="R39" i="18"/>
  <c r="R40" i="18"/>
  <c r="R41" i="18"/>
  <c r="R42" i="18"/>
  <c r="R43" i="18"/>
  <c r="R44" i="18"/>
  <c r="R45" i="18"/>
  <c r="R46" i="18"/>
  <c r="R47" i="18"/>
  <c r="R48" i="18"/>
  <c r="R49" i="18"/>
  <c r="R50" i="18"/>
  <c r="R51" i="18"/>
  <c r="R52" i="18"/>
  <c r="R53" i="18"/>
  <c r="R55" i="18"/>
  <c r="R56" i="18"/>
  <c r="R57" i="18"/>
  <c r="R58" i="18"/>
  <c r="R59" i="18"/>
  <c r="R60" i="18"/>
  <c r="R61" i="18"/>
  <c r="R62" i="18"/>
  <c r="R63" i="18"/>
  <c r="R64" i="18"/>
  <c r="R65" i="18"/>
  <c r="R66" i="18"/>
  <c r="R67" i="18"/>
  <c r="R68" i="18"/>
  <c r="R69" i="18"/>
  <c r="R70" i="18"/>
  <c r="R71" i="18"/>
  <c r="R72" i="18"/>
  <c r="R73" i="18"/>
  <c r="R74" i="18"/>
  <c r="R75" i="18"/>
  <c r="R76" i="18"/>
  <c r="R77" i="18"/>
  <c r="R78" i="18"/>
  <c r="R79" i="18"/>
  <c r="R80" i="18"/>
  <c r="R81" i="18"/>
  <c r="R82" i="18"/>
  <c r="R83" i="18"/>
  <c r="R84" i="18"/>
  <c r="R85" i="18"/>
  <c r="R87" i="18"/>
  <c r="R88" i="18"/>
  <c r="R30" i="18"/>
  <c r="R31" i="18"/>
  <c r="R32" i="18"/>
  <c r="R33" i="18"/>
  <c r="AA34" i="18"/>
  <c r="AA35" i="18"/>
  <c r="AA36" i="18"/>
  <c r="AA37" i="18"/>
  <c r="AA38" i="18"/>
  <c r="AA39" i="18"/>
  <c r="AA40" i="18"/>
  <c r="AA41" i="18"/>
  <c r="AA42" i="18"/>
  <c r="AA43" i="18"/>
  <c r="AA44" i="18"/>
  <c r="AA45" i="18"/>
  <c r="AA46" i="18"/>
  <c r="AA47" i="18"/>
  <c r="AA48" i="18"/>
  <c r="AA49" i="18"/>
  <c r="AA50" i="18"/>
  <c r="AA51" i="18"/>
  <c r="AA52" i="18"/>
  <c r="AA53" i="18"/>
  <c r="AA54" i="18"/>
  <c r="AA55" i="18"/>
  <c r="AA56" i="18"/>
  <c r="AA57" i="18"/>
  <c r="AA58" i="18"/>
  <c r="AA59" i="18"/>
  <c r="AA60" i="18"/>
  <c r="AA61" i="18"/>
  <c r="AA62" i="18"/>
  <c r="AA63" i="18"/>
  <c r="AA64" i="18"/>
  <c r="AA65" i="18"/>
  <c r="AA66" i="18"/>
  <c r="AA67" i="18"/>
  <c r="AA68" i="18"/>
  <c r="AA69" i="18"/>
  <c r="AA70" i="18"/>
  <c r="AA71" i="18"/>
  <c r="AA72" i="18"/>
  <c r="AA73" i="18"/>
  <c r="AA74" i="18"/>
  <c r="AA75" i="18"/>
  <c r="AA76" i="18"/>
  <c r="AA77" i="18"/>
  <c r="AA78" i="18"/>
  <c r="AA79" i="18"/>
  <c r="AA80" i="18"/>
  <c r="AA81" i="18"/>
  <c r="AA82" i="18"/>
  <c r="AA83" i="18"/>
  <c r="AA84" i="18"/>
  <c r="AA85" i="18"/>
  <c r="AA86" i="18"/>
  <c r="AA87" i="18"/>
  <c r="AA88" i="18"/>
  <c r="AA30" i="18"/>
  <c r="AA31" i="18"/>
  <c r="AA32" i="18"/>
  <c r="AA33" i="18"/>
  <c r="AA29" i="18"/>
  <c r="M30" i="18"/>
  <c r="M31" i="18"/>
  <c r="M32" i="18"/>
  <c r="M33" i="18"/>
  <c r="M34" i="18"/>
  <c r="M35" i="18"/>
  <c r="M36" i="18"/>
  <c r="M37" i="18"/>
  <c r="M38" i="18"/>
  <c r="M39" i="18"/>
  <c r="M40" i="18"/>
  <c r="M41" i="18"/>
  <c r="M42" i="18"/>
  <c r="M43" i="18"/>
  <c r="M44" i="18"/>
  <c r="M45" i="18"/>
  <c r="M46" i="18"/>
  <c r="M47" i="18"/>
  <c r="M48" i="18"/>
  <c r="M49" i="18"/>
  <c r="M50" i="18"/>
  <c r="M51" i="18"/>
  <c r="M52" i="18"/>
  <c r="M53" i="18"/>
  <c r="M54" i="18"/>
  <c r="M55" i="18"/>
  <c r="M56" i="18"/>
  <c r="M57" i="18"/>
  <c r="M58" i="18"/>
  <c r="M59" i="18"/>
  <c r="M60" i="18"/>
  <c r="M61" i="18"/>
  <c r="M63" i="18"/>
  <c r="M64" i="18"/>
  <c r="M65" i="18"/>
  <c r="M66" i="18"/>
  <c r="M67" i="18"/>
  <c r="M68" i="18"/>
  <c r="M69" i="18"/>
  <c r="M70" i="18"/>
  <c r="M71" i="18"/>
  <c r="M72" i="18"/>
  <c r="M73" i="18"/>
  <c r="M74" i="18"/>
  <c r="M75" i="18"/>
  <c r="M76" i="18"/>
  <c r="M77" i="18"/>
  <c r="M78" i="18"/>
  <c r="M79" i="18"/>
  <c r="M80" i="18"/>
  <c r="M81" i="18"/>
  <c r="M82" i="18"/>
  <c r="M83" i="18"/>
  <c r="M84" i="18"/>
  <c r="M85" i="18"/>
  <c r="M87" i="18"/>
  <c r="M88" i="18"/>
  <c r="T60" i="18"/>
  <c r="T65" i="18"/>
  <c r="X57" i="18"/>
  <c r="S57" i="18" s="1"/>
  <c r="X58" i="18"/>
  <c r="S58" i="18" s="1"/>
  <c r="X59" i="18"/>
  <c r="S59" i="18" s="1"/>
  <c r="X60" i="18"/>
  <c r="X61" i="18"/>
  <c r="S61" i="18" s="1"/>
  <c r="X63" i="18"/>
  <c r="S63" i="18" s="1"/>
  <c r="X64" i="18"/>
  <c r="S64" i="18" s="1"/>
  <c r="X65" i="18"/>
  <c r="X66" i="18"/>
  <c r="S66" i="18" s="1"/>
  <c r="X67" i="18"/>
  <c r="S67" i="18" s="1"/>
  <c r="X68" i="18"/>
  <c r="S68" i="18" s="1"/>
  <c r="X69" i="18"/>
  <c r="S69" i="18" s="1"/>
  <c r="X70" i="18"/>
  <c r="S70" i="18" s="1"/>
  <c r="X71" i="18"/>
  <c r="S71" i="18" s="1"/>
  <c r="X72" i="18"/>
  <c r="S72" i="18" s="1"/>
  <c r="X73" i="18"/>
  <c r="S73" i="18" s="1"/>
  <c r="X74" i="18"/>
  <c r="S74" i="18" s="1"/>
  <c r="X75" i="18"/>
  <c r="S75" i="18" s="1"/>
  <c r="X76" i="18"/>
  <c r="S76" i="18" s="1"/>
  <c r="X77" i="18"/>
  <c r="S77" i="18" s="1"/>
  <c r="X78" i="18"/>
  <c r="S78" i="18" s="1"/>
  <c r="X79" i="18"/>
  <c r="S79" i="18" s="1"/>
  <c r="X80" i="18"/>
  <c r="S80" i="18" s="1"/>
  <c r="X81" i="18"/>
  <c r="S81" i="18" s="1"/>
  <c r="X82" i="18"/>
  <c r="S82" i="18" s="1"/>
  <c r="X83" i="18"/>
  <c r="S83" i="18" s="1"/>
  <c r="X84" i="18"/>
  <c r="S84" i="18" s="1"/>
  <c r="X85" i="18"/>
  <c r="S85" i="18" s="1"/>
  <c r="X86" i="18"/>
  <c r="S86" i="18" s="1"/>
  <c r="X87" i="18"/>
  <c r="S87" i="18" s="1"/>
  <c r="X88" i="18"/>
  <c r="S88" i="18" s="1"/>
  <c r="X89" i="18"/>
  <c r="X30" i="18"/>
  <c r="S30" i="18" s="1"/>
  <c r="X31" i="18"/>
  <c r="S31" i="18" s="1"/>
  <c r="X32" i="18"/>
  <c r="S32" i="18" s="1"/>
  <c r="X33" i="18"/>
  <c r="S33" i="18" s="1"/>
  <c r="X34" i="18"/>
  <c r="S34" i="18" s="1"/>
  <c r="X35" i="18"/>
  <c r="S35" i="18" s="1"/>
  <c r="X36" i="18"/>
  <c r="S36" i="18" s="1"/>
  <c r="X37" i="18"/>
  <c r="S37" i="18" s="1"/>
  <c r="X38" i="18"/>
  <c r="S38" i="18" s="1"/>
  <c r="X39" i="18"/>
  <c r="S39" i="18" s="1"/>
  <c r="X40" i="18"/>
  <c r="S40" i="18" s="1"/>
  <c r="X41" i="18"/>
  <c r="S41" i="18" s="1"/>
  <c r="X42" i="18"/>
  <c r="S42" i="18" s="1"/>
  <c r="X43" i="18"/>
  <c r="S43" i="18" s="1"/>
  <c r="X44" i="18"/>
  <c r="S44" i="18" s="1"/>
  <c r="X45" i="18"/>
  <c r="S45" i="18" s="1"/>
  <c r="X46" i="18"/>
  <c r="S46" i="18" s="1"/>
  <c r="X47" i="18"/>
  <c r="S47" i="18" s="1"/>
  <c r="X48" i="18"/>
  <c r="S48" i="18" s="1"/>
  <c r="X49" i="18"/>
  <c r="S49" i="18" s="1"/>
  <c r="X50" i="18"/>
  <c r="S50" i="18" s="1"/>
  <c r="X51" i="18"/>
  <c r="S51" i="18" s="1"/>
  <c r="X52" i="18"/>
  <c r="S52" i="18" s="1"/>
  <c r="X53" i="18"/>
  <c r="S53" i="18" s="1"/>
  <c r="X54" i="18"/>
  <c r="S54" i="18" s="1"/>
  <c r="X55" i="18"/>
  <c r="S55" i="18" s="1"/>
  <c r="X56" i="18"/>
  <c r="S56" i="18" s="1"/>
  <c r="X29" i="18"/>
  <c r="I89" i="18"/>
  <c r="H89" i="18"/>
  <c r="G89" i="18"/>
  <c r="B18" i="18"/>
  <c r="B17" i="18"/>
  <c r="B16" i="18"/>
  <c r="G121" i="17"/>
  <c r="F121" i="17"/>
  <c r="F92" i="17"/>
  <c r="G92" i="17"/>
  <c r="E92" i="17"/>
  <c r="G76" i="17"/>
  <c r="F76" i="17"/>
  <c r="E76" i="17"/>
  <c r="F39" i="17"/>
  <c r="G39" i="17"/>
  <c r="E39" i="17"/>
  <c r="F33" i="17"/>
  <c r="G33" i="17"/>
  <c r="E33" i="17"/>
  <c r="F27" i="17"/>
  <c r="G27" i="17"/>
  <c r="E27" i="17"/>
  <c r="R28" i="3"/>
  <c r="R27" i="3"/>
  <c r="R26" i="3"/>
  <c r="R25" i="3"/>
  <c r="R24" i="3"/>
  <c r="M22" i="3"/>
  <c r="M21" i="3"/>
  <c r="N22" i="3"/>
  <c r="P22" i="3" s="1"/>
  <c r="Q22" i="3" s="1"/>
  <c r="R22" i="3" s="1"/>
  <c r="N21" i="3"/>
  <c r="P21" i="3" s="1"/>
  <c r="L24" i="3"/>
  <c r="K25" i="3"/>
  <c r="K24" i="3"/>
  <c r="F22" i="3"/>
  <c r="F21" i="3"/>
  <c r="F16" i="3"/>
  <c r="J22" i="3"/>
  <c r="J21" i="3"/>
  <c r="I22" i="3"/>
  <c r="I21" i="3"/>
  <c r="H22" i="3"/>
  <c r="H21" i="3"/>
  <c r="K21" i="3"/>
  <c r="K22" i="3"/>
  <c r="K23" i="3" s="1"/>
  <c r="G22" i="3"/>
  <c r="G21" i="3"/>
  <c r="U28" i="3"/>
  <c r="P29" i="3"/>
  <c r="E16" i="3"/>
  <c r="P92" i="3"/>
  <c r="D65" i="16" l="1"/>
  <c r="U89" i="14"/>
  <c r="AB86" i="14"/>
  <c r="AA86" i="14"/>
  <c r="Z86" i="14"/>
  <c r="X86" i="14"/>
  <c r="V86" i="14"/>
  <c r="AC86" i="14"/>
  <c r="AG86" i="14" s="1"/>
  <c r="AL86" i="14" s="1"/>
  <c r="Y86" i="14"/>
  <c r="W86" i="14"/>
  <c r="T86" i="14"/>
  <c r="AF86" i="14" s="1"/>
  <c r="G61" i="16" s="1"/>
  <c r="AD52" i="14"/>
  <c r="T86" i="13"/>
  <c r="AA86" i="13"/>
  <c r="W86" i="13"/>
  <c r="Y86" i="13"/>
  <c r="AC86" i="13"/>
  <c r="AG86" i="13" s="1"/>
  <c r="AL86" i="13" s="1"/>
  <c r="X86" i="13"/>
  <c r="Z86" i="13"/>
  <c r="AB86" i="13"/>
  <c r="AD62" i="13"/>
  <c r="AD34" i="13"/>
  <c r="AD58" i="13"/>
  <c r="AB62" i="13"/>
  <c r="U58" i="13"/>
  <c r="W58" i="13"/>
  <c r="Z58" i="13"/>
  <c r="AC58" i="13"/>
  <c r="AG58" i="13" s="1"/>
  <c r="AL58" i="13" s="1"/>
  <c r="X58" i="13"/>
  <c r="AA58" i="13"/>
  <c r="T58" i="13"/>
  <c r="Y58" i="13"/>
  <c r="AB58" i="13"/>
  <c r="U34" i="13"/>
  <c r="T34" i="13"/>
  <c r="W34" i="13"/>
  <c r="X34" i="13"/>
  <c r="Y34" i="13"/>
  <c r="Z34" i="13"/>
  <c r="AA34" i="13"/>
  <c r="AC34" i="13"/>
  <c r="AG34" i="13" s="1"/>
  <c r="AL34" i="13" s="1"/>
  <c r="AB34" i="13"/>
  <c r="AD31" i="12"/>
  <c r="AD32" i="12"/>
  <c r="AD33" i="12"/>
  <c r="AD34" i="12"/>
  <c r="AD35" i="12"/>
  <c r="AD36" i="12"/>
  <c r="AD37" i="12"/>
  <c r="AD38" i="12"/>
  <c r="AD39" i="12"/>
  <c r="AD40" i="12"/>
  <c r="AD41" i="12"/>
  <c r="AD42" i="12"/>
  <c r="AD43" i="12"/>
  <c r="AD44" i="12"/>
  <c r="AD45" i="12"/>
  <c r="AD46" i="12"/>
  <c r="AD47" i="12"/>
  <c r="AD48" i="12"/>
  <c r="AD49" i="12"/>
  <c r="AD50" i="12"/>
  <c r="AD51" i="12"/>
  <c r="AD52" i="12"/>
  <c r="AD53" i="12"/>
  <c r="AD54" i="12"/>
  <c r="AD55" i="12"/>
  <c r="AD56" i="12"/>
  <c r="AD57" i="12"/>
  <c r="AD58" i="12"/>
  <c r="AD59" i="12"/>
  <c r="AD60" i="12"/>
  <c r="AD61" i="12"/>
  <c r="AD63" i="12"/>
  <c r="AD64" i="12"/>
  <c r="AD65" i="12"/>
  <c r="AD66" i="12"/>
  <c r="AD67" i="12"/>
  <c r="AD68" i="12"/>
  <c r="AD69" i="12"/>
  <c r="AD70" i="12"/>
  <c r="AD71" i="12"/>
  <c r="AD72" i="12"/>
  <c r="AD73" i="12"/>
  <c r="AD74" i="12"/>
  <c r="AD75" i="12"/>
  <c r="AD76" i="12"/>
  <c r="AD77" i="12"/>
  <c r="AD78" i="12"/>
  <c r="AD79" i="12"/>
  <c r="AD80" i="12"/>
  <c r="AD81" i="12"/>
  <c r="AD82" i="12"/>
  <c r="AD83" i="12"/>
  <c r="AD84" i="12"/>
  <c r="AD85" i="12"/>
  <c r="AD87" i="12"/>
  <c r="AD88" i="12"/>
  <c r="AD30" i="12"/>
  <c r="P88" i="15"/>
  <c r="P87" i="15"/>
  <c r="P85" i="15"/>
  <c r="P84" i="15"/>
  <c r="P83" i="15"/>
  <c r="P82" i="15"/>
  <c r="P81" i="15"/>
  <c r="P80" i="15"/>
  <c r="P79" i="15"/>
  <c r="P78" i="15"/>
  <c r="P77" i="15"/>
  <c r="P76" i="15"/>
  <c r="P75" i="15"/>
  <c r="P74" i="15"/>
  <c r="P73" i="15"/>
  <c r="P72" i="15"/>
  <c r="P71" i="15"/>
  <c r="P70" i="15"/>
  <c r="P69" i="15"/>
  <c r="P68" i="15"/>
  <c r="P67" i="15"/>
  <c r="P66" i="15"/>
  <c r="AG65" i="15"/>
  <c r="P64" i="15"/>
  <c r="P63" i="15"/>
  <c r="AG62" i="15"/>
  <c r="P61" i="15"/>
  <c r="P60" i="15"/>
  <c r="P59" i="15"/>
  <c r="P58" i="15"/>
  <c r="P57" i="15"/>
  <c r="P56" i="15"/>
  <c r="P55" i="15"/>
  <c r="P54" i="15"/>
  <c r="P53" i="15"/>
  <c r="P52" i="15"/>
  <c r="P51" i="15"/>
  <c r="P50" i="15"/>
  <c r="P49" i="15"/>
  <c r="P48" i="15"/>
  <c r="P47" i="15"/>
  <c r="P46" i="15"/>
  <c r="P45" i="15"/>
  <c r="P44" i="15"/>
  <c r="P43" i="15"/>
  <c r="P42" i="15"/>
  <c r="P41" i="15"/>
  <c r="P40" i="15"/>
  <c r="P39" i="15"/>
  <c r="P38" i="15"/>
  <c r="P37" i="15"/>
  <c r="P36" i="15"/>
  <c r="P35" i="15"/>
  <c r="P34" i="15"/>
  <c r="P33" i="15"/>
  <c r="P32" i="15"/>
  <c r="P31" i="15"/>
  <c r="P30" i="15"/>
  <c r="AG29" i="15"/>
  <c r="AD88" i="14"/>
  <c r="AD87" i="14"/>
  <c r="AD85" i="14"/>
  <c r="AD84" i="14"/>
  <c r="AD83" i="14"/>
  <c r="AD82" i="14"/>
  <c r="AD81" i="14"/>
  <c r="AD80" i="14"/>
  <c r="AD79" i="14"/>
  <c r="AD78" i="14"/>
  <c r="AD77" i="14"/>
  <c r="AD76" i="14"/>
  <c r="AD75" i="14"/>
  <c r="AD74" i="14"/>
  <c r="AD73" i="14"/>
  <c r="AD72" i="14"/>
  <c r="AD71" i="14"/>
  <c r="AD70" i="14"/>
  <c r="AD69" i="14"/>
  <c r="AD68" i="14"/>
  <c r="AD67" i="14"/>
  <c r="AD66" i="14"/>
  <c r="AD65" i="14"/>
  <c r="AD64" i="14"/>
  <c r="AD63" i="14"/>
  <c r="AA62" i="14"/>
  <c r="X62" i="14"/>
  <c r="AC62" i="14"/>
  <c r="AG62" i="14" s="1"/>
  <c r="AL62" i="14" s="1"/>
  <c r="Y62" i="14"/>
  <c r="V62" i="14"/>
  <c r="AB62" i="14"/>
  <c r="Z62" i="14"/>
  <c r="W62" i="14"/>
  <c r="T62" i="14"/>
  <c r="AF62" i="14" s="1"/>
  <c r="G37" i="16" s="1"/>
  <c r="AD61" i="14"/>
  <c r="AD60" i="14"/>
  <c r="AD59" i="14"/>
  <c r="AD58" i="14"/>
  <c r="AD57" i="14"/>
  <c r="AD56" i="14"/>
  <c r="AD55" i="14"/>
  <c r="AD54" i="14"/>
  <c r="AD53" i="14"/>
  <c r="AA52" i="14"/>
  <c r="AD51" i="14"/>
  <c r="AD50" i="14"/>
  <c r="AD49" i="14"/>
  <c r="AD48" i="14"/>
  <c r="AD47" i="14"/>
  <c r="AD46" i="14"/>
  <c r="AD45" i="14"/>
  <c r="AD44" i="14"/>
  <c r="AD43" i="14"/>
  <c r="AD42" i="14"/>
  <c r="AD41" i="14"/>
  <c r="AD40" i="14"/>
  <c r="AD39" i="14"/>
  <c r="AD38" i="14"/>
  <c r="AD37" i="14"/>
  <c r="AD36" i="14"/>
  <c r="AD35" i="14"/>
  <c r="AD34" i="14"/>
  <c r="AD33" i="14"/>
  <c r="AD32" i="14"/>
  <c r="AD31" i="14"/>
  <c r="AD30" i="14"/>
  <c r="T29" i="14"/>
  <c r="AC29" i="14"/>
  <c r="AG29" i="14" s="1"/>
  <c r="AL29" i="14" s="1"/>
  <c r="W29" i="14"/>
  <c r="AA29" i="14"/>
  <c r="V29" i="14"/>
  <c r="Y29" i="14"/>
  <c r="Z29" i="14"/>
  <c r="AB29" i="14"/>
  <c r="AF29" i="14" s="1"/>
  <c r="G4" i="16" s="1"/>
  <c r="X29" i="14"/>
  <c r="S89" i="14"/>
  <c r="AN29" i="14"/>
  <c r="AD89" i="13"/>
  <c r="AG29" i="13"/>
  <c r="AL29" i="13" s="1"/>
  <c r="W29" i="13"/>
  <c r="AN29" i="13"/>
  <c r="S89" i="13"/>
  <c r="AF29" i="13"/>
  <c r="F4" i="16" s="1"/>
  <c r="AD62" i="12"/>
  <c r="T33" i="18"/>
  <c r="T43" i="18"/>
  <c r="T48" i="18"/>
  <c r="T50" i="18"/>
  <c r="T53" i="18"/>
  <c r="T55" i="18"/>
  <c r="T57" i="18"/>
  <c r="T58" i="18"/>
  <c r="T61" i="18"/>
  <c r="T70" i="18"/>
  <c r="T72" i="18"/>
  <c r="T84" i="18"/>
  <c r="T86" i="18"/>
  <c r="U86" i="18" s="1"/>
  <c r="T87" i="18"/>
  <c r="T40" i="18"/>
  <c r="T49" i="18"/>
  <c r="T51" i="18"/>
  <c r="T54" i="18"/>
  <c r="U54" i="18" s="1"/>
  <c r="T56" i="18"/>
  <c r="T59" i="18"/>
  <c r="T71" i="18"/>
  <c r="T88" i="18"/>
  <c r="T30" i="18"/>
  <c r="T31" i="18"/>
  <c r="T64" i="18"/>
  <c r="T74" i="18"/>
  <c r="T76" i="18"/>
  <c r="T80" i="18"/>
  <c r="T63" i="18"/>
  <c r="U63" i="18" s="1"/>
  <c r="V63" i="18" s="1"/>
  <c r="AB63" i="18" s="1"/>
  <c r="T69" i="18"/>
  <c r="T78" i="18"/>
  <c r="T83" i="18"/>
  <c r="T81" i="18"/>
  <c r="T44" i="18"/>
  <c r="T75" i="18"/>
  <c r="T38" i="18"/>
  <c r="T45" i="18"/>
  <c r="T68" i="18"/>
  <c r="T73" i="18"/>
  <c r="T79" i="18"/>
  <c r="T39" i="18"/>
  <c r="T46" i="18"/>
  <c r="T52" i="18"/>
  <c r="T67" i="18"/>
  <c r="T82" i="18"/>
  <c r="T35" i="18"/>
  <c r="T32" i="18"/>
  <c r="U32" i="18" s="1"/>
  <c r="V32" i="18" s="1"/>
  <c r="AB32" i="18" s="1"/>
  <c r="T66" i="18"/>
  <c r="T41" i="18"/>
  <c r="T36" i="18"/>
  <c r="T85" i="18"/>
  <c r="T47" i="18"/>
  <c r="T42" i="18"/>
  <c r="T77" i="18"/>
  <c r="T37" i="18"/>
  <c r="T34" i="18"/>
  <c r="U30" i="18"/>
  <c r="U51" i="18"/>
  <c r="U88" i="18"/>
  <c r="U87" i="18"/>
  <c r="U84" i="18"/>
  <c r="U72" i="18"/>
  <c r="U71" i="18"/>
  <c r="U70" i="18"/>
  <c r="U62" i="18"/>
  <c r="V62" i="18" s="1"/>
  <c r="AB62" i="18" s="1"/>
  <c r="U61" i="18"/>
  <c r="U60" i="18"/>
  <c r="V60" i="18" s="1"/>
  <c r="AB60" i="18" s="1"/>
  <c r="U59" i="18"/>
  <c r="U58" i="18"/>
  <c r="U57" i="18"/>
  <c r="U56" i="18"/>
  <c r="U55" i="18"/>
  <c r="U53" i="18"/>
  <c r="U50" i="18"/>
  <c r="U49" i="18"/>
  <c r="U48" i="18"/>
  <c r="U43" i="18"/>
  <c r="U40" i="18"/>
  <c r="U46" i="18"/>
  <c r="U52" i="18"/>
  <c r="U85" i="18"/>
  <c r="U83" i="18"/>
  <c r="U82" i="18"/>
  <c r="U81" i="18"/>
  <c r="U80" i="18"/>
  <c r="U79" i="18"/>
  <c r="U78" i="18"/>
  <c r="U77" i="18"/>
  <c r="U76" i="18"/>
  <c r="U75" i="18"/>
  <c r="U74" i="18"/>
  <c r="U73" i="18"/>
  <c r="U69" i="18"/>
  <c r="U68" i="18"/>
  <c r="U67" i="18"/>
  <c r="U66" i="18"/>
  <c r="U65" i="18"/>
  <c r="V65" i="18" s="1"/>
  <c r="AB65" i="18" s="1"/>
  <c r="U64" i="18"/>
  <c r="U47" i="18"/>
  <c r="U45" i="18"/>
  <c r="U44" i="18"/>
  <c r="U42" i="18"/>
  <c r="U41" i="18"/>
  <c r="U39" i="18"/>
  <c r="U38" i="18"/>
  <c r="U37" i="18"/>
  <c r="U36" i="18"/>
  <c r="U33" i="18"/>
  <c r="R89" i="18"/>
  <c r="E18" i="18"/>
  <c r="F18" i="18" s="1"/>
  <c r="E17" i="18"/>
  <c r="F17" i="18" s="1"/>
  <c r="E16" i="18"/>
  <c r="F16" i="18" s="1"/>
  <c r="P23" i="3"/>
  <c r="Q21" i="3"/>
  <c r="R21" i="3" s="1"/>
  <c r="R23" i="3" s="1"/>
  <c r="B82" i="16"/>
  <c r="B81" i="16"/>
  <c r="B80" i="16"/>
  <c r="B79" i="16"/>
  <c r="B78" i="16"/>
  <c r="B77" i="16"/>
  <c r="B76" i="16"/>
  <c r="B75" i="16"/>
  <c r="B74" i="16"/>
  <c r="B73" i="16"/>
  <c r="B72" i="16"/>
  <c r="B71" i="16"/>
  <c r="B70" i="16"/>
  <c r="B22" i="12"/>
  <c r="B21" i="12"/>
  <c r="I22" i="12"/>
  <c r="I21" i="12"/>
  <c r="B18" i="3"/>
  <c r="E18" i="3" s="1"/>
  <c r="B17" i="3"/>
  <c r="E17" i="3" s="1"/>
  <c r="B16" i="3"/>
  <c r="B12" i="12"/>
  <c r="B12" i="13" s="1"/>
  <c r="B12" i="14" s="1"/>
  <c r="B12" i="15" s="1"/>
  <c r="B11" i="12"/>
  <c r="B11" i="13" s="1"/>
  <c r="B11" i="14" s="1"/>
  <c r="B11" i="15" s="1"/>
  <c r="B10" i="12"/>
  <c r="B10" i="13" s="1"/>
  <c r="B10" i="14" s="1"/>
  <c r="B10" i="15" s="1"/>
  <c r="B9" i="12"/>
  <c r="B9" i="13" s="1"/>
  <c r="B9" i="14" s="1"/>
  <c r="B9" i="15" s="1"/>
  <c r="B8" i="12"/>
  <c r="B8" i="13" s="1"/>
  <c r="B8" i="14" s="1"/>
  <c r="B8" i="15" s="1"/>
  <c r="B7" i="12"/>
  <c r="B7" i="13" s="1"/>
  <c r="B7" i="14" s="1"/>
  <c r="B7" i="15" s="1"/>
  <c r="B6" i="12"/>
  <c r="B6" i="13" s="1"/>
  <c r="B6" i="14" s="1"/>
  <c r="B5" i="12"/>
  <c r="B5" i="13" s="1"/>
  <c r="B4" i="12"/>
  <c r="B4" i="13" s="1"/>
  <c r="B4" i="14" s="1"/>
  <c r="B4" i="15" s="1"/>
  <c r="B3" i="12"/>
  <c r="B3" i="13" s="1"/>
  <c r="B3" i="14" s="1"/>
  <c r="B3" i="15" s="1"/>
  <c r="B2" i="12"/>
  <c r="P79" i="3"/>
  <c r="P63" i="3"/>
  <c r="P65" i="3"/>
  <c r="P64" i="3"/>
  <c r="P66" i="3"/>
  <c r="P67" i="3"/>
  <c r="P68" i="3"/>
  <c r="P69" i="3"/>
  <c r="P46" i="3"/>
  <c r="P42" i="3"/>
  <c r="P41" i="3"/>
  <c r="P38" i="3"/>
  <c r="P39" i="3"/>
  <c r="P34" i="3"/>
  <c r="AD89" i="14" l="1"/>
  <c r="T52" i="14"/>
  <c r="V52" i="14"/>
  <c r="Y52" i="14"/>
  <c r="AB52" i="14"/>
  <c r="W52" i="14"/>
  <c r="Z52" i="14"/>
  <c r="AC52" i="14"/>
  <c r="AG52" i="14" s="1"/>
  <c r="AL52" i="14" s="1"/>
  <c r="X52" i="14"/>
  <c r="AF52" i="14" s="1"/>
  <c r="G27" i="16" s="1"/>
  <c r="AF86" i="13"/>
  <c r="F61" i="16" s="1"/>
  <c r="W62" i="13"/>
  <c r="Z62" i="13"/>
  <c r="Y62" i="13"/>
  <c r="AA62" i="13"/>
  <c r="T62" i="13"/>
  <c r="X62" i="13"/>
  <c r="U62" i="13"/>
  <c r="AC62" i="13"/>
  <c r="AF34" i="13"/>
  <c r="F9" i="16" s="1"/>
  <c r="W88" i="13"/>
  <c r="Y88" i="13"/>
  <c r="Z88" i="13"/>
  <c r="AC88" i="13"/>
  <c r="AG88" i="13" s="1"/>
  <c r="AL88" i="13" s="1"/>
  <c r="T88" i="13"/>
  <c r="AA88" i="13"/>
  <c r="AB88" i="13"/>
  <c r="U88" i="13"/>
  <c r="X88" i="13"/>
  <c r="Z87" i="13"/>
  <c r="T87" i="13"/>
  <c r="X87" i="13"/>
  <c r="AC87" i="13"/>
  <c r="AG87" i="13" s="1"/>
  <c r="AL87" i="13" s="1"/>
  <c r="U87" i="13"/>
  <c r="AA87" i="13"/>
  <c r="AB87" i="13"/>
  <c r="Y87" i="13"/>
  <c r="W87" i="13"/>
  <c r="AA85" i="13"/>
  <c r="X85" i="13"/>
  <c r="AC85" i="13"/>
  <c r="AG85" i="13" s="1"/>
  <c r="AL85" i="13" s="1"/>
  <c r="Z85" i="13"/>
  <c r="W85" i="13"/>
  <c r="AB85" i="13"/>
  <c r="Y85" i="13"/>
  <c r="U85" i="13"/>
  <c r="T85" i="13"/>
  <c r="X84" i="13"/>
  <c r="T84" i="13"/>
  <c r="Y84" i="13"/>
  <c r="AC84" i="13"/>
  <c r="AG84" i="13" s="1"/>
  <c r="AL84" i="13" s="1"/>
  <c r="Z84" i="13"/>
  <c r="U84" i="13"/>
  <c r="W84" i="13"/>
  <c r="AB84" i="13"/>
  <c r="AA84" i="13"/>
  <c r="AC83" i="13"/>
  <c r="AG83" i="13" s="1"/>
  <c r="AL83" i="13" s="1"/>
  <c r="Y83" i="13"/>
  <c r="T83" i="13"/>
  <c r="AA83" i="13"/>
  <c r="W83" i="13"/>
  <c r="Z83" i="13"/>
  <c r="AB83" i="13"/>
  <c r="U83" i="13"/>
  <c r="X83" i="13"/>
  <c r="AB82" i="13"/>
  <c r="W82" i="13"/>
  <c r="Y82" i="13"/>
  <c r="AA82" i="13"/>
  <c r="X82" i="13"/>
  <c r="T82" i="13"/>
  <c r="Z82" i="13"/>
  <c r="U82" i="13"/>
  <c r="AC82" i="13"/>
  <c r="AG82" i="13" s="1"/>
  <c r="AL82" i="13" s="1"/>
  <c r="W81" i="13"/>
  <c r="X81" i="13"/>
  <c r="T81" i="13"/>
  <c r="Z81" i="13"/>
  <c r="U81" i="13"/>
  <c r="AA81" i="13"/>
  <c r="AB81" i="13"/>
  <c r="AC81" i="13"/>
  <c r="AG81" i="13" s="1"/>
  <c r="AL81" i="13" s="1"/>
  <c r="Y81" i="13"/>
  <c r="Z80" i="13"/>
  <c r="Y80" i="13"/>
  <c r="AC80" i="13"/>
  <c r="AG80" i="13" s="1"/>
  <c r="AL80" i="13" s="1"/>
  <c r="AB80" i="13"/>
  <c r="W80" i="13"/>
  <c r="X80" i="13"/>
  <c r="T80" i="13"/>
  <c r="AF80" i="13" s="1"/>
  <c r="F55" i="16" s="1"/>
  <c r="AA80" i="13"/>
  <c r="U80" i="13"/>
  <c r="T79" i="13"/>
  <c r="U79" i="13"/>
  <c r="Z79" i="13"/>
  <c r="AC79" i="13"/>
  <c r="AG79" i="13" s="1"/>
  <c r="AL79" i="13" s="1"/>
  <c r="X79" i="13"/>
  <c r="AB79" i="13"/>
  <c r="Y79" i="13"/>
  <c r="AA79" i="13"/>
  <c r="W79" i="13"/>
  <c r="Z78" i="13"/>
  <c r="AB78" i="13"/>
  <c r="Y78" i="13"/>
  <c r="U78" i="13"/>
  <c r="AC78" i="13"/>
  <c r="AG78" i="13" s="1"/>
  <c r="AL78" i="13" s="1"/>
  <c r="AA78" i="13"/>
  <c r="X78" i="13"/>
  <c r="W78" i="13"/>
  <c r="T78" i="13"/>
  <c r="Z77" i="13"/>
  <c r="T77" i="13"/>
  <c r="X77" i="13"/>
  <c r="AC77" i="13"/>
  <c r="AG77" i="13" s="1"/>
  <c r="AL77" i="13" s="1"/>
  <c r="AA77" i="13"/>
  <c r="Y77" i="13"/>
  <c r="W77" i="13"/>
  <c r="AB77" i="13"/>
  <c r="U77" i="13"/>
  <c r="W76" i="13"/>
  <c r="AC76" i="13"/>
  <c r="AG76" i="13" s="1"/>
  <c r="AL76" i="13" s="1"/>
  <c r="AA76" i="13"/>
  <c r="Y76" i="13"/>
  <c r="X76" i="13"/>
  <c r="T76" i="13"/>
  <c r="AB76" i="13"/>
  <c r="Z76" i="13"/>
  <c r="U76" i="13"/>
  <c r="U75" i="13"/>
  <c r="T75" i="13"/>
  <c r="AB75" i="13"/>
  <c r="Y75" i="13"/>
  <c r="AC75" i="13"/>
  <c r="AG75" i="13" s="1"/>
  <c r="AL75" i="13" s="1"/>
  <c r="AA75" i="13"/>
  <c r="Z75" i="13"/>
  <c r="W75" i="13"/>
  <c r="X75" i="13"/>
  <c r="T74" i="13"/>
  <c r="AC74" i="13"/>
  <c r="AG74" i="13" s="1"/>
  <c r="AL74" i="13" s="1"/>
  <c r="X74" i="13"/>
  <c r="AB74" i="13"/>
  <c r="U74" i="13"/>
  <c r="AA74" i="13"/>
  <c r="Z74" i="13"/>
  <c r="W74" i="13"/>
  <c r="Y74" i="13"/>
  <c r="AB73" i="13"/>
  <c r="AC73" i="13"/>
  <c r="AG73" i="13" s="1"/>
  <c r="AL73" i="13" s="1"/>
  <c r="Y73" i="13"/>
  <c r="Z73" i="13"/>
  <c r="T73" i="13"/>
  <c r="W73" i="13"/>
  <c r="AA73" i="13"/>
  <c r="U73" i="13"/>
  <c r="X73" i="13"/>
  <c r="AB72" i="13"/>
  <c r="AC72" i="13"/>
  <c r="AG72" i="13" s="1"/>
  <c r="AL72" i="13" s="1"/>
  <c r="U72" i="13"/>
  <c r="W72" i="13"/>
  <c r="AA72" i="13"/>
  <c r="Z72" i="13"/>
  <c r="X72" i="13"/>
  <c r="T72" i="13"/>
  <c r="Y72" i="13"/>
  <c r="Y71" i="13"/>
  <c r="AC71" i="13"/>
  <c r="AG71" i="13" s="1"/>
  <c r="AL71" i="13" s="1"/>
  <c r="Z71" i="13"/>
  <c r="U71" i="13"/>
  <c r="AB71" i="13"/>
  <c r="X71" i="13"/>
  <c r="W71" i="13"/>
  <c r="AA71" i="13"/>
  <c r="T71" i="13"/>
  <c r="Y70" i="13"/>
  <c r="AC70" i="13"/>
  <c r="AG70" i="13" s="1"/>
  <c r="AL70" i="13" s="1"/>
  <c r="Z70" i="13"/>
  <c r="U70" i="13"/>
  <c r="T70" i="13"/>
  <c r="W70" i="13"/>
  <c r="AA70" i="13"/>
  <c r="AB70" i="13"/>
  <c r="X70" i="13"/>
  <c r="AC69" i="13"/>
  <c r="AG69" i="13" s="1"/>
  <c r="AL69" i="13" s="1"/>
  <c r="Y69" i="13"/>
  <c r="T69" i="13"/>
  <c r="AA69" i="13"/>
  <c r="X69" i="13"/>
  <c r="Z69" i="13"/>
  <c r="U69" i="13"/>
  <c r="W69" i="13"/>
  <c r="AB69" i="13"/>
  <c r="X68" i="13"/>
  <c r="T68" i="13"/>
  <c r="Z68" i="13"/>
  <c r="AA68" i="13"/>
  <c r="Y68" i="13"/>
  <c r="U68" i="13"/>
  <c r="W68" i="13"/>
  <c r="AB68" i="13"/>
  <c r="AC68" i="13"/>
  <c r="AG68" i="13" s="1"/>
  <c r="AL68" i="13" s="1"/>
  <c r="Y67" i="13"/>
  <c r="U67" i="13"/>
  <c r="AC67" i="13"/>
  <c r="AG67" i="13" s="1"/>
  <c r="AL67" i="13" s="1"/>
  <c r="AA67" i="13"/>
  <c r="AB67" i="13"/>
  <c r="W67" i="13"/>
  <c r="Z67" i="13"/>
  <c r="T67" i="13"/>
  <c r="X67" i="13"/>
  <c r="Z66" i="13"/>
  <c r="AA66" i="13"/>
  <c r="W66" i="13"/>
  <c r="U66" i="13"/>
  <c r="AB66" i="13"/>
  <c r="Y66" i="13"/>
  <c r="T66" i="13"/>
  <c r="X66" i="13"/>
  <c r="AC66" i="13"/>
  <c r="AG66" i="13" s="1"/>
  <c r="AL66" i="13" s="1"/>
  <c r="W65" i="13"/>
  <c r="AC65" i="13"/>
  <c r="AG65" i="13" s="1"/>
  <c r="AL65" i="13" s="1"/>
  <c r="T65" i="13"/>
  <c r="Y65" i="13"/>
  <c r="AB65" i="13"/>
  <c r="AA65" i="13"/>
  <c r="U65" i="13"/>
  <c r="X65" i="13"/>
  <c r="Z65" i="13"/>
  <c r="U64" i="13"/>
  <c r="AB64" i="13"/>
  <c r="Y64" i="13"/>
  <c r="T64" i="13"/>
  <c r="X64" i="13"/>
  <c r="AA64" i="13"/>
  <c r="W64" i="13"/>
  <c r="Z64" i="13"/>
  <c r="AC64" i="13"/>
  <c r="AG64" i="13" s="1"/>
  <c r="AL64" i="13" s="1"/>
  <c r="W63" i="13"/>
  <c r="U63" i="13"/>
  <c r="Z63" i="13"/>
  <c r="AB63" i="13"/>
  <c r="AC63" i="13"/>
  <c r="AG63" i="13" s="1"/>
  <c r="AL63" i="13" s="1"/>
  <c r="Y63" i="13"/>
  <c r="T63" i="13"/>
  <c r="AA63" i="13"/>
  <c r="X63" i="13"/>
  <c r="AB61" i="13"/>
  <c r="Y61" i="13"/>
  <c r="W61" i="13"/>
  <c r="U61" i="13"/>
  <c r="AC61" i="13"/>
  <c r="AG61" i="13" s="1"/>
  <c r="AL61" i="13" s="1"/>
  <c r="Z61" i="13"/>
  <c r="T61" i="13"/>
  <c r="X61" i="13"/>
  <c r="AA61" i="13"/>
  <c r="Y60" i="13"/>
  <c r="AC60" i="13"/>
  <c r="AG60" i="13" s="1"/>
  <c r="AL60" i="13" s="1"/>
  <c r="Z60" i="13"/>
  <c r="AB60" i="13"/>
  <c r="AA60" i="13"/>
  <c r="X60" i="13"/>
  <c r="U60" i="13"/>
  <c r="T60" i="13"/>
  <c r="W60" i="13"/>
  <c r="AB59" i="13"/>
  <c r="W59" i="13"/>
  <c r="Z59" i="13"/>
  <c r="AC59" i="13"/>
  <c r="AG59" i="13" s="1"/>
  <c r="AL59" i="13" s="1"/>
  <c r="Y59" i="13"/>
  <c r="U59" i="13"/>
  <c r="X59" i="13"/>
  <c r="AA59" i="13"/>
  <c r="T59" i="13"/>
  <c r="AB57" i="13"/>
  <c r="AC57" i="13"/>
  <c r="AG57" i="13" s="1"/>
  <c r="AL57" i="13" s="1"/>
  <c r="U57" i="13"/>
  <c r="AA57" i="13"/>
  <c r="Y57" i="13"/>
  <c r="W57" i="13"/>
  <c r="X57" i="13"/>
  <c r="T57" i="13"/>
  <c r="Z57" i="13"/>
  <c r="AB56" i="13"/>
  <c r="U56" i="13"/>
  <c r="W56" i="13"/>
  <c r="T56" i="13"/>
  <c r="Z56" i="13"/>
  <c r="X56" i="13"/>
  <c r="AA56" i="13"/>
  <c r="Y56" i="13"/>
  <c r="AC56" i="13"/>
  <c r="AG56" i="13" s="1"/>
  <c r="AL56" i="13" s="1"/>
  <c r="U55" i="13"/>
  <c r="AB55" i="13"/>
  <c r="X55" i="13"/>
  <c r="Z55" i="13"/>
  <c r="T55" i="13"/>
  <c r="AA55" i="13"/>
  <c r="W55" i="13"/>
  <c r="Y55" i="13"/>
  <c r="AC55" i="13"/>
  <c r="AG55" i="13" s="1"/>
  <c r="AL55" i="13" s="1"/>
  <c r="X54" i="13"/>
  <c r="Z54" i="13"/>
  <c r="Y54" i="13"/>
  <c r="AC54" i="13"/>
  <c r="AG54" i="13" s="1"/>
  <c r="AL54" i="13" s="1"/>
  <c r="T54" i="13"/>
  <c r="AB54" i="13"/>
  <c r="U54" i="13"/>
  <c r="AA54" i="13"/>
  <c r="W54" i="13"/>
  <c r="U53" i="13"/>
  <c r="AB53" i="13"/>
  <c r="AC53" i="13"/>
  <c r="AG53" i="13" s="1"/>
  <c r="AL53" i="13" s="1"/>
  <c r="Y53" i="13"/>
  <c r="T53" i="13"/>
  <c r="Z53" i="13"/>
  <c r="X53" i="13"/>
  <c r="AA53" i="13"/>
  <c r="W53" i="13"/>
  <c r="Y52" i="13"/>
  <c r="Z52" i="13"/>
  <c r="W52" i="13"/>
  <c r="X52" i="13"/>
  <c r="U52" i="13"/>
  <c r="AB52" i="13"/>
  <c r="T52" i="13"/>
  <c r="AC52" i="13"/>
  <c r="AG52" i="13" s="1"/>
  <c r="AL52" i="13" s="1"/>
  <c r="AA52" i="13"/>
  <c r="W51" i="13"/>
  <c r="AB51" i="13"/>
  <c r="Y51" i="13"/>
  <c r="Z51" i="13"/>
  <c r="T51" i="13"/>
  <c r="AC51" i="13"/>
  <c r="AG51" i="13" s="1"/>
  <c r="AL51" i="13" s="1"/>
  <c r="U51" i="13"/>
  <c r="AA51" i="13"/>
  <c r="X51" i="13"/>
  <c r="T50" i="13"/>
  <c r="Y50" i="13"/>
  <c r="AB50" i="13"/>
  <c r="X50" i="13"/>
  <c r="Z50" i="13"/>
  <c r="AA50" i="13"/>
  <c r="W50" i="13"/>
  <c r="AC50" i="13"/>
  <c r="AG50" i="13" s="1"/>
  <c r="AL50" i="13" s="1"/>
  <c r="U50" i="13"/>
  <c r="Y49" i="13"/>
  <c r="AC49" i="13"/>
  <c r="AG49" i="13" s="1"/>
  <c r="AL49" i="13" s="1"/>
  <c r="Z49" i="13"/>
  <c r="W49" i="13"/>
  <c r="AB49" i="13"/>
  <c r="T49" i="13"/>
  <c r="AA49" i="13"/>
  <c r="X49" i="13"/>
  <c r="U49" i="13"/>
  <c r="U48" i="13"/>
  <c r="Z48" i="13"/>
  <c r="AC48" i="13"/>
  <c r="AG48" i="13" s="1"/>
  <c r="AL48" i="13" s="1"/>
  <c r="AA48" i="13"/>
  <c r="W48" i="13"/>
  <c r="T48" i="13"/>
  <c r="Y48" i="13"/>
  <c r="AB48" i="13"/>
  <c r="X48" i="13"/>
  <c r="AB47" i="13"/>
  <c r="AC47" i="13"/>
  <c r="AG47" i="13" s="1"/>
  <c r="AL47" i="13" s="1"/>
  <c r="T47" i="13"/>
  <c r="Y47" i="13"/>
  <c r="Z47" i="13"/>
  <c r="U47" i="13"/>
  <c r="X47" i="13"/>
  <c r="AA47" i="13"/>
  <c r="W47" i="13"/>
  <c r="X46" i="13"/>
  <c r="T46" i="13"/>
  <c r="Y46" i="13"/>
  <c r="AB46" i="13"/>
  <c r="Z46" i="13"/>
  <c r="W46" i="13"/>
  <c r="AC46" i="13"/>
  <c r="AG46" i="13" s="1"/>
  <c r="AL46" i="13" s="1"/>
  <c r="U46" i="13"/>
  <c r="AA46" i="13"/>
  <c r="T45" i="13"/>
  <c r="Y45" i="13"/>
  <c r="AA45" i="13"/>
  <c r="X45" i="13"/>
  <c r="AC45" i="13"/>
  <c r="AG45" i="13" s="1"/>
  <c r="AL45" i="13" s="1"/>
  <c r="Z45" i="13"/>
  <c r="AB45" i="13"/>
  <c r="W45" i="13"/>
  <c r="U45" i="13"/>
  <c r="AA44" i="13"/>
  <c r="X44" i="13"/>
  <c r="Y44" i="13"/>
  <c r="AB44" i="13"/>
  <c r="T44" i="13"/>
  <c r="W44" i="13"/>
  <c r="Z44" i="13"/>
  <c r="U44" i="13"/>
  <c r="AC44" i="13"/>
  <c r="AG44" i="13" s="1"/>
  <c r="AL44" i="13" s="1"/>
  <c r="Z43" i="13"/>
  <c r="X43" i="13"/>
  <c r="W43" i="13"/>
  <c r="T43" i="13"/>
  <c r="Y43" i="13"/>
  <c r="AA43" i="13"/>
  <c r="AB43" i="13"/>
  <c r="U43" i="13"/>
  <c r="AC43" i="13"/>
  <c r="AG43" i="13" s="1"/>
  <c r="AL43" i="13" s="1"/>
  <c r="T42" i="13"/>
  <c r="Y42" i="13"/>
  <c r="AB42" i="13"/>
  <c r="AC42" i="13"/>
  <c r="AG42" i="13" s="1"/>
  <c r="AL42" i="13" s="1"/>
  <c r="X42" i="13"/>
  <c r="W42" i="13"/>
  <c r="U42" i="13"/>
  <c r="AA42" i="13"/>
  <c r="Z42" i="13"/>
  <c r="AC41" i="13"/>
  <c r="AG41" i="13" s="1"/>
  <c r="AL41" i="13" s="1"/>
  <c r="Z41" i="13"/>
  <c r="X41" i="13"/>
  <c r="AA41" i="13"/>
  <c r="U41" i="13"/>
  <c r="W41" i="13"/>
  <c r="T41" i="13"/>
  <c r="Y41" i="13"/>
  <c r="AB41" i="13"/>
  <c r="X40" i="13"/>
  <c r="AA40" i="13"/>
  <c r="AC40" i="13"/>
  <c r="AG40" i="13" s="1"/>
  <c r="AL40" i="13" s="1"/>
  <c r="U40" i="13"/>
  <c r="Z40" i="13"/>
  <c r="W40" i="13"/>
  <c r="T40" i="13"/>
  <c r="Y40" i="13"/>
  <c r="AB40" i="13"/>
  <c r="X39" i="13"/>
  <c r="W39" i="13"/>
  <c r="T39" i="13"/>
  <c r="U39" i="13"/>
  <c r="AC39" i="13"/>
  <c r="AG39" i="13" s="1"/>
  <c r="AL39" i="13" s="1"/>
  <c r="Z39" i="13"/>
  <c r="Y39" i="13"/>
  <c r="AA39" i="13"/>
  <c r="AB39" i="13"/>
  <c r="AC38" i="13"/>
  <c r="AG38" i="13" s="1"/>
  <c r="AL38" i="13" s="1"/>
  <c r="AA38" i="13"/>
  <c r="X38" i="13"/>
  <c r="T38" i="13"/>
  <c r="U38" i="13"/>
  <c r="Y38" i="13"/>
  <c r="AB38" i="13"/>
  <c r="W38" i="13"/>
  <c r="Z38" i="13"/>
  <c r="AB37" i="13"/>
  <c r="Y37" i="13"/>
  <c r="U37" i="13"/>
  <c r="T37" i="13"/>
  <c r="Z37" i="13"/>
  <c r="AC37" i="13"/>
  <c r="AG37" i="13" s="1"/>
  <c r="AL37" i="13" s="1"/>
  <c r="W37" i="13"/>
  <c r="AA37" i="13"/>
  <c r="X37" i="13"/>
  <c r="AB36" i="13"/>
  <c r="W36" i="13"/>
  <c r="AA36" i="13"/>
  <c r="Z36" i="13"/>
  <c r="Y36" i="13"/>
  <c r="AC36" i="13"/>
  <c r="AG36" i="13" s="1"/>
  <c r="AL36" i="13" s="1"/>
  <c r="X36" i="13"/>
  <c r="T36" i="13"/>
  <c r="U36" i="13"/>
  <c r="X35" i="13"/>
  <c r="AB35" i="13"/>
  <c r="Y35" i="13"/>
  <c r="AC35" i="13"/>
  <c r="AG35" i="13" s="1"/>
  <c r="AL35" i="13" s="1"/>
  <c r="W35" i="13"/>
  <c r="T35" i="13"/>
  <c r="Z35" i="13"/>
  <c r="U35" i="13"/>
  <c r="AA35" i="13"/>
  <c r="AA33" i="13"/>
  <c r="X33" i="13"/>
  <c r="AC33" i="13"/>
  <c r="AG33" i="13" s="1"/>
  <c r="AL33" i="13" s="1"/>
  <c r="T33" i="13"/>
  <c r="U33" i="13"/>
  <c r="AB33" i="13"/>
  <c r="Z33" i="13"/>
  <c r="Y33" i="13"/>
  <c r="W33" i="13"/>
  <c r="Z32" i="13"/>
  <c r="Y32" i="13"/>
  <c r="AA32" i="13"/>
  <c r="U32" i="13"/>
  <c r="AC32" i="13"/>
  <c r="AG32" i="13" s="1"/>
  <c r="AL32" i="13" s="1"/>
  <c r="AB32" i="13"/>
  <c r="T32" i="13"/>
  <c r="X32" i="13"/>
  <c r="W32" i="13"/>
  <c r="X31" i="13"/>
  <c r="W31" i="13"/>
  <c r="U31" i="13"/>
  <c r="AB31" i="13"/>
  <c r="Y31" i="13"/>
  <c r="AC31" i="13"/>
  <c r="AG31" i="13" s="1"/>
  <c r="AL31" i="13" s="1"/>
  <c r="AA31" i="13"/>
  <c r="Z31" i="13"/>
  <c r="T31" i="13"/>
  <c r="T30" i="13"/>
  <c r="X30" i="13"/>
  <c r="Y30" i="13"/>
  <c r="Z30" i="13"/>
  <c r="AA30" i="13"/>
  <c r="AB30" i="13"/>
  <c r="AC30" i="13"/>
  <c r="W30" i="13"/>
  <c r="U30" i="13"/>
  <c r="AG88" i="15"/>
  <c r="AG87" i="15"/>
  <c r="AG85" i="15"/>
  <c r="AG84" i="15"/>
  <c r="AG83" i="15"/>
  <c r="AG82" i="15"/>
  <c r="AG81" i="15"/>
  <c r="AG80" i="15"/>
  <c r="AG79" i="15"/>
  <c r="AG78" i="15"/>
  <c r="AG77" i="15"/>
  <c r="AG76" i="15"/>
  <c r="AG75" i="15"/>
  <c r="AG74" i="15"/>
  <c r="AG73" i="15"/>
  <c r="AG72" i="15"/>
  <c r="AG71" i="15"/>
  <c r="AG70" i="15"/>
  <c r="AG69" i="15"/>
  <c r="AG68" i="15"/>
  <c r="AG67" i="15"/>
  <c r="AG66" i="15"/>
  <c r="AG64" i="15"/>
  <c r="AG63" i="15"/>
  <c r="AG61" i="15"/>
  <c r="AG60" i="15"/>
  <c r="AG59" i="15"/>
  <c r="AG58" i="15"/>
  <c r="AG57" i="15"/>
  <c r="AG56" i="15"/>
  <c r="AG55" i="15"/>
  <c r="AG54" i="15"/>
  <c r="AG53" i="15"/>
  <c r="AG52" i="15"/>
  <c r="AG51" i="15"/>
  <c r="AG50" i="15"/>
  <c r="AG49" i="15"/>
  <c r="AG48" i="15"/>
  <c r="AG47" i="15"/>
  <c r="AG46" i="15"/>
  <c r="AG45" i="15"/>
  <c r="AG44" i="15"/>
  <c r="AG43" i="15"/>
  <c r="AG42" i="15"/>
  <c r="AG41" i="15"/>
  <c r="AG40" i="15"/>
  <c r="AG39" i="15"/>
  <c r="AG38" i="15"/>
  <c r="AG37" i="15"/>
  <c r="AG36" i="15"/>
  <c r="AG35" i="15"/>
  <c r="AG34" i="15"/>
  <c r="AG33" i="15"/>
  <c r="AG32" i="15"/>
  <c r="AG31" i="15"/>
  <c r="W88" i="14"/>
  <c r="Z88" i="14"/>
  <c r="Y88" i="14"/>
  <c r="AB88" i="14"/>
  <c r="V88" i="14"/>
  <c r="X88" i="14"/>
  <c r="AC88" i="14"/>
  <c r="AG88" i="14" s="1"/>
  <c r="AL88" i="14" s="1"/>
  <c r="T88" i="14"/>
  <c r="AA88" i="14"/>
  <c r="T87" i="14"/>
  <c r="V87" i="14"/>
  <c r="X87" i="14"/>
  <c r="Z87" i="14"/>
  <c r="AC87" i="14"/>
  <c r="AG87" i="14" s="1"/>
  <c r="AL87" i="14" s="1"/>
  <c r="W87" i="14"/>
  <c r="Y87" i="14"/>
  <c r="AA87" i="14"/>
  <c r="AB87" i="14"/>
  <c r="W85" i="14"/>
  <c r="Z85" i="14"/>
  <c r="Y85" i="14"/>
  <c r="T85" i="14"/>
  <c r="X85" i="14"/>
  <c r="AC85" i="14"/>
  <c r="AG85" i="14" s="1"/>
  <c r="AL85" i="14" s="1"/>
  <c r="AB85" i="14"/>
  <c r="V85" i="14"/>
  <c r="AA85" i="14"/>
  <c r="W84" i="14"/>
  <c r="Y84" i="14"/>
  <c r="Z84" i="14"/>
  <c r="AC84" i="14"/>
  <c r="AG84" i="14" s="1"/>
  <c r="AL84" i="14" s="1"/>
  <c r="T84" i="14"/>
  <c r="V84" i="14"/>
  <c r="X84" i="14"/>
  <c r="AA84" i="14"/>
  <c r="AB84" i="14"/>
  <c r="X83" i="14"/>
  <c r="AB83" i="14"/>
  <c r="Y83" i="14"/>
  <c r="AC83" i="14"/>
  <c r="AG83" i="14" s="1"/>
  <c r="AL83" i="14" s="1"/>
  <c r="T83" i="14"/>
  <c r="W83" i="14"/>
  <c r="AA83" i="14"/>
  <c r="V83" i="14"/>
  <c r="Z83" i="14"/>
  <c r="V82" i="14"/>
  <c r="Z82" i="14"/>
  <c r="AB82" i="14"/>
  <c r="W82" i="14"/>
  <c r="AA82" i="14"/>
  <c r="T82" i="14"/>
  <c r="X82" i="14"/>
  <c r="Y82" i="14"/>
  <c r="AC82" i="14"/>
  <c r="AG82" i="14" s="1"/>
  <c r="AL82" i="14" s="1"/>
  <c r="V81" i="14"/>
  <c r="Z81" i="14"/>
  <c r="AC81" i="14"/>
  <c r="AG81" i="14" s="1"/>
  <c r="AL81" i="14" s="1"/>
  <c r="T81" i="14"/>
  <c r="W81" i="14"/>
  <c r="AA81" i="14"/>
  <c r="X81" i="14"/>
  <c r="AB81" i="14"/>
  <c r="Y81" i="14"/>
  <c r="V80" i="14"/>
  <c r="Y80" i="14"/>
  <c r="AC80" i="14"/>
  <c r="AG80" i="14" s="1"/>
  <c r="AL80" i="14" s="1"/>
  <c r="T80" i="14"/>
  <c r="X80" i="14"/>
  <c r="AB80" i="14"/>
  <c r="Z80" i="14"/>
  <c r="W80" i="14"/>
  <c r="AA80" i="14"/>
  <c r="W79" i="14"/>
  <c r="AC79" i="14"/>
  <c r="AG79" i="14" s="1"/>
  <c r="AL79" i="14" s="1"/>
  <c r="T79" i="14"/>
  <c r="Y79" i="14"/>
  <c r="AA79" i="14"/>
  <c r="V79" i="14"/>
  <c r="Z79" i="14"/>
  <c r="X79" i="14"/>
  <c r="AB79" i="14"/>
  <c r="Y78" i="14"/>
  <c r="W78" i="14"/>
  <c r="AB78" i="14"/>
  <c r="Z78" i="14"/>
  <c r="AC78" i="14"/>
  <c r="AG78" i="14" s="1"/>
  <c r="AL78" i="14" s="1"/>
  <c r="T78" i="14"/>
  <c r="X78" i="14"/>
  <c r="V78" i="14"/>
  <c r="AA78" i="14"/>
  <c r="V77" i="14"/>
  <c r="AB77" i="14"/>
  <c r="Y77" i="14"/>
  <c r="AC77" i="14"/>
  <c r="AG77" i="14" s="1"/>
  <c r="AL77" i="14" s="1"/>
  <c r="X77" i="14"/>
  <c r="T77" i="14"/>
  <c r="AA77" i="14"/>
  <c r="W77" i="14"/>
  <c r="Z77" i="14"/>
  <c r="V76" i="14"/>
  <c r="Z76" i="14"/>
  <c r="AC76" i="14"/>
  <c r="AG76" i="14" s="1"/>
  <c r="AL76" i="14" s="1"/>
  <c r="W76" i="14"/>
  <c r="AA76" i="14"/>
  <c r="T76" i="14"/>
  <c r="X76" i="14"/>
  <c r="AB76" i="14"/>
  <c r="Y76" i="14"/>
  <c r="V75" i="14"/>
  <c r="Z75" i="14"/>
  <c r="T75" i="14"/>
  <c r="Y75" i="14"/>
  <c r="AC75" i="14"/>
  <c r="AG75" i="14" s="1"/>
  <c r="AL75" i="14" s="1"/>
  <c r="X75" i="14"/>
  <c r="AA75" i="14"/>
  <c r="W75" i="14"/>
  <c r="AB75" i="14"/>
  <c r="V74" i="14"/>
  <c r="Z74" i="14"/>
  <c r="Y74" i="14"/>
  <c r="AC74" i="14"/>
  <c r="AG74" i="14" s="1"/>
  <c r="AL74" i="14" s="1"/>
  <c r="T74" i="14"/>
  <c r="X74" i="14"/>
  <c r="AB74" i="14"/>
  <c r="W74" i="14"/>
  <c r="AA74" i="14"/>
  <c r="V73" i="14"/>
  <c r="Z73" i="14"/>
  <c r="W73" i="14"/>
  <c r="AB73" i="14"/>
  <c r="T73" i="14"/>
  <c r="X73" i="14"/>
  <c r="AA73" i="14"/>
  <c r="Y73" i="14"/>
  <c r="AC73" i="14"/>
  <c r="AG73" i="14" s="1"/>
  <c r="AL73" i="14" s="1"/>
  <c r="V72" i="14"/>
  <c r="Z72" i="14"/>
  <c r="W72" i="14"/>
  <c r="AA72" i="14"/>
  <c r="T72" i="14"/>
  <c r="X72" i="14"/>
  <c r="AB72" i="14"/>
  <c r="Y72" i="14"/>
  <c r="AC72" i="14"/>
  <c r="AG72" i="14" s="1"/>
  <c r="AL72" i="14" s="1"/>
  <c r="V71" i="14"/>
  <c r="Z71" i="14"/>
  <c r="W71" i="14"/>
  <c r="AA71" i="14"/>
  <c r="T71" i="14"/>
  <c r="X71" i="14"/>
  <c r="AB71" i="14"/>
  <c r="Y71" i="14"/>
  <c r="AC71" i="14"/>
  <c r="AG71" i="14" s="1"/>
  <c r="AL71" i="14" s="1"/>
  <c r="V70" i="14"/>
  <c r="Z70" i="14"/>
  <c r="AB70" i="14"/>
  <c r="Y70" i="14"/>
  <c r="T70" i="14"/>
  <c r="X70" i="14"/>
  <c r="AC70" i="14"/>
  <c r="AG70" i="14" s="1"/>
  <c r="AL70" i="14" s="1"/>
  <c r="W70" i="14"/>
  <c r="AA70" i="14"/>
  <c r="V69" i="14"/>
  <c r="Z69" i="14"/>
  <c r="Y69" i="14"/>
  <c r="AC69" i="14"/>
  <c r="AG69" i="14" s="1"/>
  <c r="AL69" i="14" s="1"/>
  <c r="T69" i="14"/>
  <c r="X69" i="14"/>
  <c r="AB69" i="14"/>
  <c r="W69" i="14"/>
  <c r="AA69" i="14"/>
  <c r="V68" i="14"/>
  <c r="Z68" i="14"/>
  <c r="W68" i="14"/>
  <c r="AA68" i="14"/>
  <c r="Y68" i="14"/>
  <c r="AC68" i="14"/>
  <c r="AG68" i="14" s="1"/>
  <c r="AL68" i="14" s="1"/>
  <c r="T68" i="14"/>
  <c r="AF68" i="14" s="1"/>
  <c r="G43" i="16" s="1"/>
  <c r="X68" i="14"/>
  <c r="AB68" i="14"/>
  <c r="T67" i="14"/>
  <c r="W67" i="14"/>
  <c r="AA67" i="14"/>
  <c r="X67" i="14"/>
  <c r="AB67" i="14"/>
  <c r="Z67" i="14"/>
  <c r="V67" i="14"/>
  <c r="Y67" i="14"/>
  <c r="AC67" i="14"/>
  <c r="AG67" i="14" s="1"/>
  <c r="AL67" i="14" s="1"/>
  <c r="T66" i="14"/>
  <c r="V66" i="14"/>
  <c r="Z66" i="14"/>
  <c r="W66" i="14"/>
  <c r="Y66" i="14"/>
  <c r="AB66" i="14"/>
  <c r="X66" i="14"/>
  <c r="AA66" i="14"/>
  <c r="AC66" i="14"/>
  <c r="AG66" i="14" s="1"/>
  <c r="AL66" i="14" s="1"/>
  <c r="V65" i="14"/>
  <c r="AA65" i="14"/>
  <c r="W65" i="14"/>
  <c r="Z65" i="14"/>
  <c r="Y65" i="14"/>
  <c r="AC65" i="14"/>
  <c r="AG65" i="14" s="1"/>
  <c r="AL65" i="14" s="1"/>
  <c r="T65" i="14"/>
  <c r="X65" i="14"/>
  <c r="AB65" i="14"/>
  <c r="W64" i="14"/>
  <c r="AC64" i="14"/>
  <c r="AG64" i="14" s="1"/>
  <c r="AL64" i="14" s="1"/>
  <c r="X64" i="14"/>
  <c r="AB64" i="14"/>
  <c r="T64" i="14"/>
  <c r="Y64" i="14"/>
  <c r="V64" i="14"/>
  <c r="Z64" i="14"/>
  <c r="AA64" i="14"/>
  <c r="AA63" i="14"/>
  <c r="V63" i="14"/>
  <c r="Y63" i="14"/>
  <c r="W63" i="14"/>
  <c r="Z63" i="14"/>
  <c r="T63" i="14"/>
  <c r="X63" i="14"/>
  <c r="AB63" i="14"/>
  <c r="AC63" i="14"/>
  <c r="AG63" i="14" s="1"/>
  <c r="AL63" i="14" s="1"/>
  <c r="V61" i="14"/>
  <c r="Z61" i="14"/>
  <c r="AB61" i="14"/>
  <c r="W61" i="14"/>
  <c r="T61" i="14"/>
  <c r="Y61" i="14"/>
  <c r="AA61" i="14"/>
  <c r="AC61" i="14"/>
  <c r="AG61" i="14" s="1"/>
  <c r="AL61" i="14" s="1"/>
  <c r="X61" i="14"/>
  <c r="V60" i="14"/>
  <c r="Z60" i="14"/>
  <c r="W60" i="14"/>
  <c r="AA60" i="14"/>
  <c r="X60" i="14"/>
  <c r="AB60" i="14"/>
  <c r="T60" i="14"/>
  <c r="AF60" i="14" s="1"/>
  <c r="G35" i="16" s="1"/>
  <c r="Y60" i="14"/>
  <c r="AC60" i="14"/>
  <c r="AG60" i="14" s="1"/>
  <c r="AL60" i="14" s="1"/>
  <c r="V59" i="14"/>
  <c r="Y59" i="14"/>
  <c r="Z59" i="14"/>
  <c r="T59" i="14"/>
  <c r="W59" i="14"/>
  <c r="AA59" i="14"/>
  <c r="AC59" i="14"/>
  <c r="AG59" i="14" s="1"/>
  <c r="AL59" i="14" s="1"/>
  <c r="X59" i="14"/>
  <c r="AB59" i="14"/>
  <c r="Y58" i="14"/>
  <c r="AB58" i="14"/>
  <c r="V58" i="14"/>
  <c r="Z58" i="14"/>
  <c r="AC58" i="14"/>
  <c r="AG58" i="14" s="1"/>
  <c r="AL58" i="14" s="1"/>
  <c r="W58" i="14"/>
  <c r="AA58" i="14"/>
  <c r="T58" i="14"/>
  <c r="AF58" i="14" s="1"/>
  <c r="G33" i="16" s="1"/>
  <c r="X58" i="14"/>
  <c r="V57" i="14"/>
  <c r="Z57" i="14"/>
  <c r="Y57" i="14"/>
  <c r="T57" i="14"/>
  <c r="X57" i="14"/>
  <c r="AB57" i="14"/>
  <c r="W57" i="14"/>
  <c r="AA57" i="14"/>
  <c r="AC57" i="14"/>
  <c r="AG57" i="14" s="1"/>
  <c r="AL57" i="14" s="1"/>
  <c r="Y56" i="14"/>
  <c r="W56" i="14"/>
  <c r="AA56" i="14"/>
  <c r="T56" i="14"/>
  <c r="X56" i="14"/>
  <c r="AB56" i="14"/>
  <c r="V56" i="14"/>
  <c r="Z56" i="14"/>
  <c r="AC56" i="14"/>
  <c r="AG56" i="14" s="1"/>
  <c r="AL56" i="14" s="1"/>
  <c r="X55" i="14"/>
  <c r="AB55" i="14"/>
  <c r="T55" i="14"/>
  <c r="W55" i="14"/>
  <c r="AA55" i="14"/>
  <c r="V55" i="14"/>
  <c r="Z55" i="14"/>
  <c r="Y55" i="14"/>
  <c r="AC55" i="14"/>
  <c r="AG55" i="14" s="1"/>
  <c r="AL55" i="14" s="1"/>
  <c r="V54" i="14"/>
  <c r="Z54" i="14"/>
  <c r="Y54" i="14"/>
  <c r="AB54" i="14"/>
  <c r="W54" i="14"/>
  <c r="AA54" i="14"/>
  <c r="T54" i="14"/>
  <c r="X54" i="14"/>
  <c r="AC54" i="14"/>
  <c r="AG54" i="14" s="1"/>
  <c r="AL54" i="14" s="1"/>
  <c r="V53" i="14"/>
  <c r="Z53" i="14"/>
  <c r="W53" i="14"/>
  <c r="AA53" i="14"/>
  <c r="T53" i="14"/>
  <c r="X53" i="14"/>
  <c r="AB53" i="14"/>
  <c r="Y53" i="14"/>
  <c r="AC53" i="14"/>
  <c r="AG53" i="14" s="1"/>
  <c r="AL53" i="14" s="1"/>
  <c r="T51" i="14"/>
  <c r="V51" i="14"/>
  <c r="W51" i="14"/>
  <c r="X51" i="14"/>
  <c r="Y51" i="14"/>
  <c r="Z51" i="14"/>
  <c r="AA51" i="14"/>
  <c r="AB51" i="14"/>
  <c r="AC51" i="14"/>
  <c r="AG51" i="14" s="1"/>
  <c r="AL51" i="14" s="1"/>
  <c r="T50" i="14"/>
  <c r="V50" i="14"/>
  <c r="W50" i="14"/>
  <c r="X50" i="14"/>
  <c r="Y50" i="14"/>
  <c r="Z50" i="14"/>
  <c r="AA50" i="14"/>
  <c r="AB50" i="14"/>
  <c r="AC50" i="14"/>
  <c r="AG50" i="14" s="1"/>
  <c r="AL50" i="14" s="1"/>
  <c r="T49" i="14"/>
  <c r="V49" i="14"/>
  <c r="W49" i="14"/>
  <c r="X49" i="14"/>
  <c r="Y49" i="14"/>
  <c r="Z49" i="14"/>
  <c r="AA49" i="14"/>
  <c r="AB49" i="14"/>
  <c r="AC49" i="14"/>
  <c r="AG49" i="14" s="1"/>
  <c r="AL49" i="14" s="1"/>
  <c r="T48" i="14"/>
  <c r="V48" i="14"/>
  <c r="W48" i="14"/>
  <c r="X48" i="14"/>
  <c r="Y48" i="14"/>
  <c r="Z48" i="14"/>
  <c r="AA48" i="14"/>
  <c r="AB48" i="14"/>
  <c r="AC48" i="14"/>
  <c r="AG48" i="14" s="1"/>
  <c r="AL48" i="14" s="1"/>
  <c r="T47" i="14"/>
  <c r="V47" i="14"/>
  <c r="W47" i="14"/>
  <c r="X47" i="14"/>
  <c r="Y47" i="14"/>
  <c r="Z47" i="14"/>
  <c r="AA47" i="14"/>
  <c r="AB47" i="14"/>
  <c r="AC47" i="14"/>
  <c r="AG47" i="14" s="1"/>
  <c r="AL47" i="14" s="1"/>
  <c r="T46" i="14"/>
  <c r="V46" i="14"/>
  <c r="W46" i="14"/>
  <c r="X46" i="14"/>
  <c r="Y46" i="14"/>
  <c r="Z46" i="14"/>
  <c r="AA46" i="14"/>
  <c r="AB46" i="14"/>
  <c r="AC46" i="14"/>
  <c r="AG46" i="14" s="1"/>
  <c r="AL46" i="14" s="1"/>
  <c r="T45" i="14"/>
  <c r="V45" i="14"/>
  <c r="W45" i="14"/>
  <c r="X45" i="14"/>
  <c r="Y45" i="14"/>
  <c r="Z45" i="14"/>
  <c r="AA45" i="14"/>
  <c r="AB45" i="14"/>
  <c r="AC45" i="14"/>
  <c r="AG45" i="14" s="1"/>
  <c r="AL45" i="14" s="1"/>
  <c r="T44" i="14"/>
  <c r="V44" i="14"/>
  <c r="W44" i="14"/>
  <c r="X44" i="14"/>
  <c r="Y44" i="14"/>
  <c r="Z44" i="14"/>
  <c r="AA44" i="14"/>
  <c r="AB44" i="14"/>
  <c r="AC44" i="14"/>
  <c r="AG44" i="14" s="1"/>
  <c r="AL44" i="14" s="1"/>
  <c r="T43" i="14"/>
  <c r="V43" i="14"/>
  <c r="W43" i="14"/>
  <c r="X43" i="14"/>
  <c r="Y43" i="14"/>
  <c r="Z43" i="14"/>
  <c r="AA43" i="14"/>
  <c r="AB43" i="14"/>
  <c r="AC43" i="14"/>
  <c r="AG43" i="14" s="1"/>
  <c r="AL43" i="14" s="1"/>
  <c r="T42" i="14"/>
  <c r="V42" i="14"/>
  <c r="W42" i="14"/>
  <c r="X42" i="14"/>
  <c r="Y42" i="14"/>
  <c r="Z42" i="14"/>
  <c r="AA42" i="14"/>
  <c r="AB42" i="14"/>
  <c r="AC42" i="14"/>
  <c r="AG42" i="14" s="1"/>
  <c r="AL42" i="14" s="1"/>
  <c r="T41" i="14"/>
  <c r="V41" i="14"/>
  <c r="W41" i="14"/>
  <c r="X41" i="14"/>
  <c r="Y41" i="14"/>
  <c r="Z41" i="14"/>
  <c r="AA41" i="14"/>
  <c r="AB41" i="14"/>
  <c r="AC41" i="14"/>
  <c r="AG41" i="14" s="1"/>
  <c r="AL41" i="14" s="1"/>
  <c r="V40" i="14"/>
  <c r="AB40" i="14"/>
  <c r="T40" i="14"/>
  <c r="W40" i="14"/>
  <c r="Z40" i="14"/>
  <c r="AC40" i="14"/>
  <c r="AG40" i="14" s="1"/>
  <c r="AL40" i="14" s="1"/>
  <c r="X40" i="14"/>
  <c r="AA40" i="14"/>
  <c r="Y40" i="14"/>
  <c r="W39" i="14"/>
  <c r="AB39" i="14"/>
  <c r="V39" i="14"/>
  <c r="Y39" i="14"/>
  <c r="Z39" i="14"/>
  <c r="AC39" i="14"/>
  <c r="AG39" i="14" s="1"/>
  <c r="AL39" i="14" s="1"/>
  <c r="T39" i="14"/>
  <c r="X39" i="14"/>
  <c r="AA39" i="14"/>
  <c r="V38" i="14"/>
  <c r="Z38" i="14"/>
  <c r="Y38" i="14"/>
  <c r="AC38" i="14"/>
  <c r="AG38" i="14" s="1"/>
  <c r="AL38" i="14" s="1"/>
  <c r="W38" i="14"/>
  <c r="AA38" i="14"/>
  <c r="T38" i="14"/>
  <c r="X38" i="14"/>
  <c r="AB38" i="14"/>
  <c r="W37" i="14"/>
  <c r="AB37" i="14"/>
  <c r="Y37" i="14"/>
  <c r="T37" i="14"/>
  <c r="X37" i="14"/>
  <c r="AA37" i="14"/>
  <c r="V37" i="14"/>
  <c r="Z37" i="14"/>
  <c r="AC37" i="14"/>
  <c r="AG37" i="14" s="1"/>
  <c r="AL37" i="14" s="1"/>
  <c r="V36" i="14"/>
  <c r="AA36" i="14"/>
  <c r="Y36" i="14"/>
  <c r="AB36" i="14"/>
  <c r="W36" i="14"/>
  <c r="Z36" i="14"/>
  <c r="AC36" i="14"/>
  <c r="AG36" i="14" s="1"/>
  <c r="AL36" i="14" s="1"/>
  <c r="T36" i="14"/>
  <c r="X36" i="14"/>
  <c r="V35" i="14"/>
  <c r="AC35" i="14"/>
  <c r="AG35" i="14" s="1"/>
  <c r="AL35" i="14" s="1"/>
  <c r="Y35" i="14"/>
  <c r="AB35" i="14"/>
  <c r="W35" i="14"/>
  <c r="Z35" i="14"/>
  <c r="T35" i="14"/>
  <c r="X35" i="14"/>
  <c r="AA35" i="14"/>
  <c r="V34" i="14"/>
  <c r="Z34" i="14"/>
  <c r="Y34" i="14"/>
  <c r="AC34" i="14"/>
  <c r="AG34" i="14" s="1"/>
  <c r="AL34" i="14" s="1"/>
  <c r="W34" i="14"/>
  <c r="AA34" i="14"/>
  <c r="T34" i="14"/>
  <c r="X34" i="14"/>
  <c r="AB34" i="14"/>
  <c r="X33" i="14"/>
  <c r="AA33" i="14"/>
  <c r="AC33" i="14"/>
  <c r="AG33" i="14" s="1"/>
  <c r="AL33" i="14" s="1"/>
  <c r="V33" i="14"/>
  <c r="Z33" i="14"/>
  <c r="Y33" i="14"/>
  <c r="AB33" i="14"/>
  <c r="T33" i="14"/>
  <c r="W33" i="14"/>
  <c r="T32" i="14"/>
  <c r="V32" i="14"/>
  <c r="X32" i="14"/>
  <c r="AA32" i="14"/>
  <c r="W32" i="14"/>
  <c r="Y32" i="14"/>
  <c r="AB32" i="14"/>
  <c r="Z32" i="14"/>
  <c r="AC32" i="14"/>
  <c r="AG32" i="14" s="1"/>
  <c r="AL32" i="14" s="1"/>
  <c r="X31" i="14"/>
  <c r="AA31" i="14"/>
  <c r="AC31" i="14"/>
  <c r="AG31" i="14" s="1"/>
  <c r="AL31" i="14" s="1"/>
  <c r="V31" i="14"/>
  <c r="Y31" i="14"/>
  <c r="T31" i="14"/>
  <c r="W31" i="14"/>
  <c r="Z31" i="14"/>
  <c r="AB31" i="14"/>
  <c r="X30" i="14"/>
  <c r="AA30" i="14"/>
  <c r="AC30" i="14"/>
  <c r="T30" i="14"/>
  <c r="W30" i="14"/>
  <c r="Z30" i="14"/>
  <c r="AB30" i="14"/>
  <c r="V30" i="14"/>
  <c r="Y30" i="14"/>
  <c r="V89" i="13"/>
  <c r="AF58" i="13"/>
  <c r="F33" i="16" s="1"/>
  <c r="AC29" i="12"/>
  <c r="AG29" i="12" s="1"/>
  <c r="AL29" i="12" s="1"/>
  <c r="Y30" i="12"/>
  <c r="Z30" i="12"/>
  <c r="AA30" i="12"/>
  <c r="AB30" i="12"/>
  <c r="Y31" i="12"/>
  <c r="Z31" i="12"/>
  <c r="AA31" i="12"/>
  <c r="AB31" i="12"/>
  <c r="Y32" i="12"/>
  <c r="AA32" i="12"/>
  <c r="AB32" i="12"/>
  <c r="Y33" i="12"/>
  <c r="AA33" i="12"/>
  <c r="AC33" i="12"/>
  <c r="AG33" i="12" s="1"/>
  <c r="AL33" i="12" s="1"/>
  <c r="Z34" i="12"/>
  <c r="AC34" i="12"/>
  <c r="AG34" i="12" s="1"/>
  <c r="AL34" i="12" s="1"/>
  <c r="Z35" i="12"/>
  <c r="AB35" i="12"/>
  <c r="Y36" i="12"/>
  <c r="AB36" i="12"/>
  <c r="AC36" i="12"/>
  <c r="AG36" i="12" s="1"/>
  <c r="AL36" i="12" s="1"/>
  <c r="Z37" i="12"/>
  <c r="AB37" i="12"/>
  <c r="Y38" i="12"/>
  <c r="AA38" i="12"/>
  <c r="AC38" i="12"/>
  <c r="AG38" i="12" s="1"/>
  <c r="AL38" i="12" s="1"/>
  <c r="Z39" i="12"/>
  <c r="AA39" i="12"/>
  <c r="AC50" i="12"/>
  <c r="AG50" i="12" s="1"/>
  <c r="AL50" i="12" s="1"/>
  <c r="Y51" i="12"/>
  <c r="Z51" i="12"/>
  <c r="AA51" i="12"/>
  <c r="AC51" i="12"/>
  <c r="AG51" i="12" s="1"/>
  <c r="AL51" i="12" s="1"/>
  <c r="AA52" i="12"/>
  <c r="Y53" i="12"/>
  <c r="AA53" i="12"/>
  <c r="Z54" i="12"/>
  <c r="Z55" i="12"/>
  <c r="Z56" i="12"/>
  <c r="Z57" i="12"/>
  <c r="AB58" i="12"/>
  <c r="Z59" i="12"/>
  <c r="Y60" i="12"/>
  <c r="AC60" i="12"/>
  <c r="AG60" i="12" s="1"/>
  <c r="AL60" i="12" s="1"/>
  <c r="AB61" i="12"/>
  <c r="Z62" i="12"/>
  <c r="Z63" i="12"/>
  <c r="Z64" i="12"/>
  <c r="Z65" i="12"/>
  <c r="Z66" i="12"/>
  <c r="Y67" i="12"/>
  <c r="AB67" i="12"/>
  <c r="AA68" i="12"/>
  <c r="Y69" i="12"/>
  <c r="AB69" i="12"/>
  <c r="AA70" i="12"/>
  <c r="AA71" i="12"/>
  <c r="AA72" i="12"/>
  <c r="Y73" i="12"/>
  <c r="AB73" i="12"/>
  <c r="AB74" i="12"/>
  <c r="Z75" i="12"/>
  <c r="AC75" i="12"/>
  <c r="AG75" i="12" s="1"/>
  <c r="AL75" i="12" s="1"/>
  <c r="AC76" i="12"/>
  <c r="AG76" i="12" s="1"/>
  <c r="AL76" i="12" s="1"/>
  <c r="AB77" i="12"/>
  <c r="AA78" i="12"/>
  <c r="AC79" i="12"/>
  <c r="AG79" i="12" s="1"/>
  <c r="AL79" i="12" s="1"/>
  <c r="AB80" i="12"/>
  <c r="Z81" i="12"/>
  <c r="Y82" i="12"/>
  <c r="AB82" i="12"/>
  <c r="Z83" i="12"/>
  <c r="AA84" i="12"/>
  <c r="Z85" i="12"/>
  <c r="AC85" i="12"/>
  <c r="AG85" i="12" s="1"/>
  <c r="AL85" i="12" s="1"/>
  <c r="AB86" i="12"/>
  <c r="AA87" i="12"/>
  <c r="Z88" i="12"/>
  <c r="AC88" i="12"/>
  <c r="AG88" i="12" s="1"/>
  <c r="AL88" i="12" s="1"/>
  <c r="Z29" i="12"/>
  <c r="W30" i="12"/>
  <c r="W32" i="12"/>
  <c r="X33" i="12"/>
  <c r="V35" i="12"/>
  <c r="W36" i="12"/>
  <c r="V38" i="12"/>
  <c r="V39" i="12"/>
  <c r="X40" i="12"/>
  <c r="X41" i="12"/>
  <c r="X44" i="12"/>
  <c r="X46" i="12"/>
  <c r="V48" i="12"/>
  <c r="V49" i="12"/>
  <c r="W50" i="12"/>
  <c r="X51" i="12"/>
  <c r="V53" i="12"/>
  <c r="V54" i="12"/>
  <c r="V55" i="12"/>
  <c r="V56" i="12"/>
  <c r="W57" i="12"/>
  <c r="V59" i="12"/>
  <c r="V60" i="12"/>
  <c r="V61" i="12"/>
  <c r="V62" i="12"/>
  <c r="W63" i="12"/>
  <c r="W64" i="12"/>
  <c r="X66" i="12"/>
  <c r="V69" i="12"/>
  <c r="X70" i="12"/>
  <c r="W72" i="12"/>
  <c r="X73" i="12"/>
  <c r="W75" i="12"/>
  <c r="X76" i="12"/>
  <c r="W82" i="12"/>
  <c r="W83" i="12"/>
  <c r="V84" i="12"/>
  <c r="X85" i="12"/>
  <c r="X86" i="12"/>
  <c r="X87" i="12"/>
  <c r="W88" i="12"/>
  <c r="U34" i="12"/>
  <c r="U37" i="12"/>
  <c r="U40" i="12"/>
  <c r="U43" i="12"/>
  <c r="U46" i="12"/>
  <c r="U49" i="12"/>
  <c r="U52" i="12"/>
  <c r="U55" i="12"/>
  <c r="U58" i="12"/>
  <c r="U62" i="12"/>
  <c r="U65" i="12"/>
  <c r="U68" i="12"/>
  <c r="U71" i="12"/>
  <c r="U74" i="12"/>
  <c r="U77" i="12"/>
  <c r="U80" i="12"/>
  <c r="U83" i="12"/>
  <c r="U86" i="12"/>
  <c r="U88" i="12"/>
  <c r="U32" i="12"/>
  <c r="T34" i="12"/>
  <c r="T41" i="12"/>
  <c r="T48" i="12"/>
  <c r="T54" i="12"/>
  <c r="T59" i="12"/>
  <c r="T66" i="12"/>
  <c r="T70" i="12"/>
  <c r="T80" i="12"/>
  <c r="AB51" i="12"/>
  <c r="Y55" i="12"/>
  <c r="Y56" i="12"/>
  <c r="AB56" i="12"/>
  <c r="AA57" i="12"/>
  <c r="Y58" i="12"/>
  <c r="Y59" i="12"/>
  <c r="AB59" i="12"/>
  <c r="Z60" i="12"/>
  <c r="Z61" i="12"/>
  <c r="AA62" i="12"/>
  <c r="Y63" i="12"/>
  <c r="AC63" i="12"/>
  <c r="AG63" i="12" s="1"/>
  <c r="AL63" i="12" s="1"/>
  <c r="AB64" i="12"/>
  <c r="Y65" i="12"/>
  <c r="AC65" i="12"/>
  <c r="AG65" i="12" s="1"/>
  <c r="AL65" i="12" s="1"/>
  <c r="AA66" i="12"/>
  <c r="AA67" i="12"/>
  <c r="Y68" i="12"/>
  <c r="AC68" i="12"/>
  <c r="AG68" i="12" s="1"/>
  <c r="AL68" i="12" s="1"/>
  <c r="AA69" i="12"/>
  <c r="Y70" i="12"/>
  <c r="AC70" i="12"/>
  <c r="AG70" i="12" s="1"/>
  <c r="AL70" i="12" s="1"/>
  <c r="AB71" i="12"/>
  <c r="Z72" i="12"/>
  <c r="Y74" i="12"/>
  <c r="Y76" i="12"/>
  <c r="AB76" i="12"/>
  <c r="AA77" i="12"/>
  <c r="Y78" i="12"/>
  <c r="AB78" i="12"/>
  <c r="Z79" i="12"/>
  <c r="Y80" i="12"/>
  <c r="AA80" i="12"/>
  <c r="AC81" i="12"/>
  <c r="AG81" i="12" s="1"/>
  <c r="AL81" i="12" s="1"/>
  <c r="AA82" i="12"/>
  <c r="AC83" i="12"/>
  <c r="AG83" i="12" s="1"/>
  <c r="AL83" i="12" s="1"/>
  <c r="Z84" i="12"/>
  <c r="AB84" i="12"/>
  <c r="AB85" i="12"/>
  <c r="Y86" i="12"/>
  <c r="AC86" i="12"/>
  <c r="AG86" i="12" s="1"/>
  <c r="AL86" i="12" s="1"/>
  <c r="AC87" i="12"/>
  <c r="AG87" i="12" s="1"/>
  <c r="AL87" i="12" s="1"/>
  <c r="AB88" i="12"/>
  <c r="AA29" i="12"/>
  <c r="X29" i="12"/>
  <c r="V31" i="12"/>
  <c r="V32" i="12"/>
  <c r="V33" i="12"/>
  <c r="W34" i="12"/>
  <c r="X35" i="12"/>
  <c r="X36" i="12"/>
  <c r="X37" i="12"/>
  <c r="X38" i="12"/>
  <c r="V40" i="12"/>
  <c r="W41" i="12"/>
  <c r="V42" i="12"/>
  <c r="V43" i="12"/>
  <c r="V44" i="12"/>
  <c r="W45" i="12"/>
  <c r="V46" i="12"/>
  <c r="X47" i="12"/>
  <c r="X48" i="12"/>
  <c r="W49" i="12"/>
  <c r="W51" i="12"/>
  <c r="X52" i="12"/>
  <c r="W55" i="12"/>
  <c r="W56" i="12"/>
  <c r="V57" i="12"/>
  <c r="V58" i="12"/>
  <c r="X58" i="12"/>
  <c r="X60" i="12"/>
  <c r="W62" i="12"/>
  <c r="V65" i="12"/>
  <c r="V66" i="12"/>
  <c r="X67" i="12"/>
  <c r="X69" i="12"/>
  <c r="V71" i="12"/>
  <c r="X71" i="12"/>
  <c r="X72" i="12"/>
  <c r="X74" i="12"/>
  <c r="V76" i="12"/>
  <c r="V77" i="12"/>
  <c r="V78" i="12"/>
  <c r="V79" i="12"/>
  <c r="X81" i="12"/>
  <c r="X82" i="12"/>
  <c r="W84" i="12"/>
  <c r="W85" i="12"/>
  <c r="W86" i="12"/>
  <c r="W87" i="12"/>
  <c r="V88" i="12"/>
  <c r="V29" i="12"/>
  <c r="U35" i="12"/>
  <c r="U39" i="12"/>
  <c r="U42" i="12"/>
  <c r="U45" i="12"/>
  <c r="U48" i="12"/>
  <c r="U51" i="12"/>
  <c r="U54" i="12"/>
  <c r="U57" i="12"/>
  <c r="U60" i="12"/>
  <c r="U63" i="12"/>
  <c r="U66" i="12"/>
  <c r="U70" i="12"/>
  <c r="U75" i="12"/>
  <c r="U78" i="12"/>
  <c r="U81" i="12"/>
  <c r="U85" i="12"/>
  <c r="U30" i="12"/>
  <c r="T35" i="12"/>
  <c r="T39" i="12"/>
  <c r="T44" i="12"/>
  <c r="T51" i="12"/>
  <c r="T57" i="12"/>
  <c r="T63" i="12"/>
  <c r="T69" i="12"/>
  <c r="T72" i="12"/>
  <c r="T77" i="12"/>
  <c r="T81" i="12"/>
  <c r="AC30" i="12"/>
  <c r="AG30" i="12" s="1"/>
  <c r="AL30" i="12" s="1"/>
  <c r="AC31" i="12"/>
  <c r="AG31" i="12" s="1"/>
  <c r="AL31" i="12" s="1"/>
  <c r="Z32" i="12"/>
  <c r="AC32" i="12"/>
  <c r="AG32" i="12" s="1"/>
  <c r="AL32" i="12" s="1"/>
  <c r="Z33" i="12"/>
  <c r="AB33" i="12"/>
  <c r="Y34" i="12"/>
  <c r="AA34" i="12"/>
  <c r="AB34" i="12"/>
  <c r="Y35" i="12"/>
  <c r="AA35" i="12"/>
  <c r="AC35" i="12"/>
  <c r="AG35" i="12" s="1"/>
  <c r="AL35" i="12" s="1"/>
  <c r="Z36" i="12"/>
  <c r="AA36" i="12"/>
  <c r="Y37" i="12"/>
  <c r="AA37" i="12"/>
  <c r="AC37" i="12"/>
  <c r="AG37" i="12" s="1"/>
  <c r="AL37" i="12" s="1"/>
  <c r="Z38" i="12"/>
  <c r="AB38" i="12"/>
  <c r="Y39" i="12"/>
  <c r="AB39" i="12"/>
  <c r="AC39" i="12"/>
  <c r="AG39" i="12" s="1"/>
  <c r="AL39" i="12" s="1"/>
  <c r="Y40" i="12"/>
  <c r="Z40" i="12"/>
  <c r="AA40" i="12"/>
  <c r="AB40" i="12"/>
  <c r="AC40" i="12"/>
  <c r="AG40" i="12" s="1"/>
  <c r="AL40" i="12" s="1"/>
  <c r="Y41" i="12"/>
  <c r="Z41" i="12"/>
  <c r="AA41" i="12"/>
  <c r="AB41" i="12"/>
  <c r="AC41" i="12"/>
  <c r="AG41" i="12" s="1"/>
  <c r="AL41" i="12" s="1"/>
  <c r="Y42" i="12"/>
  <c r="Z42" i="12"/>
  <c r="AA42" i="12"/>
  <c r="AB42" i="12"/>
  <c r="AC42" i="12"/>
  <c r="AG42" i="12" s="1"/>
  <c r="AL42" i="12" s="1"/>
  <c r="Y43" i="12"/>
  <c r="Z43" i="12"/>
  <c r="AA43" i="12"/>
  <c r="AB43" i="12"/>
  <c r="AC43" i="12"/>
  <c r="AG43" i="12" s="1"/>
  <c r="AL43" i="12" s="1"/>
  <c r="Y44" i="12"/>
  <c r="Z44" i="12"/>
  <c r="AA44" i="12"/>
  <c r="AB44" i="12"/>
  <c r="AC44" i="12"/>
  <c r="AG44" i="12" s="1"/>
  <c r="AL44" i="12" s="1"/>
  <c r="Y45" i="12"/>
  <c r="Z45" i="12"/>
  <c r="AA45" i="12"/>
  <c r="AB45" i="12"/>
  <c r="AC45" i="12"/>
  <c r="AG45" i="12" s="1"/>
  <c r="AL45" i="12" s="1"/>
  <c r="Y46" i="12"/>
  <c r="Z46" i="12"/>
  <c r="AA46" i="12"/>
  <c r="AB46" i="12"/>
  <c r="AC46" i="12"/>
  <c r="AG46" i="12" s="1"/>
  <c r="AL46" i="12" s="1"/>
  <c r="Y47" i="12"/>
  <c r="Z47" i="12"/>
  <c r="AA47" i="12"/>
  <c r="AB47" i="12"/>
  <c r="AC47" i="12"/>
  <c r="AG47" i="12" s="1"/>
  <c r="AL47" i="12" s="1"/>
  <c r="Y48" i="12"/>
  <c r="Z48" i="12"/>
  <c r="AA48" i="12"/>
  <c r="AB48" i="12"/>
  <c r="AC48" i="12"/>
  <c r="AG48" i="12" s="1"/>
  <c r="AL48" i="12" s="1"/>
  <c r="Y49" i="12"/>
  <c r="Z49" i="12"/>
  <c r="AA49" i="12"/>
  <c r="AB49" i="12"/>
  <c r="AC49" i="12"/>
  <c r="AG49" i="12" s="1"/>
  <c r="AL49" i="12" s="1"/>
  <c r="Y50" i="12"/>
  <c r="Z50" i="12"/>
  <c r="X59" i="12"/>
  <c r="W65" i="12"/>
  <c r="W67" i="12"/>
  <c r="X68" i="12"/>
  <c r="V70" i="12"/>
  <c r="V72" i="12"/>
  <c r="X77" i="12"/>
  <c r="X78" i="12"/>
  <c r="X79" i="12"/>
  <c r="W80" i="12"/>
  <c r="X80" i="12"/>
  <c r="V81" i="12"/>
  <c r="W81" i="12"/>
  <c r="V82" i="12"/>
  <c r="V83" i="12"/>
  <c r="X83" i="12"/>
  <c r="X84" i="12"/>
  <c r="V85" i="12"/>
  <c r="V86" i="12"/>
  <c r="V87" i="12"/>
  <c r="X88" i="12"/>
  <c r="W29" i="12"/>
  <c r="U36" i="12"/>
  <c r="U38" i="12"/>
  <c r="U41" i="12"/>
  <c r="U44" i="12"/>
  <c r="U47" i="12"/>
  <c r="U50" i="12"/>
  <c r="U53" i="12"/>
  <c r="U56" i="12"/>
  <c r="U59" i="12"/>
  <c r="U61" i="12"/>
  <c r="U64" i="12"/>
  <c r="U67" i="12"/>
  <c r="U69" i="12"/>
  <c r="U72" i="12"/>
  <c r="U73" i="12"/>
  <c r="U76" i="12"/>
  <c r="U79" i="12"/>
  <c r="U82" i="12"/>
  <c r="U84" i="12"/>
  <c r="U87" i="12"/>
  <c r="U31" i="12"/>
  <c r="U33" i="12"/>
  <c r="T33" i="12"/>
  <c r="T38" i="12"/>
  <c r="T42" i="12"/>
  <c r="T46" i="12"/>
  <c r="T50" i="12"/>
  <c r="T56" i="12"/>
  <c r="T61" i="12"/>
  <c r="T64" i="12"/>
  <c r="T71" i="12"/>
  <c r="T75" i="12"/>
  <c r="T79" i="12"/>
  <c r="T82" i="12"/>
  <c r="T85" i="12"/>
  <c r="AA50" i="12"/>
  <c r="Y52" i="12"/>
  <c r="AB52" i="12"/>
  <c r="Z53" i="12"/>
  <c r="AB53" i="12"/>
  <c r="Y54" i="12"/>
  <c r="AB54" i="12"/>
  <c r="AA55" i="12"/>
  <c r="AC55" i="12"/>
  <c r="AG55" i="12" s="1"/>
  <c r="AL55" i="12" s="1"/>
  <c r="AC56" i="12"/>
  <c r="AG56" i="12" s="1"/>
  <c r="AL56" i="12" s="1"/>
  <c r="AB57" i="12"/>
  <c r="Z58" i="12"/>
  <c r="AC58" i="12"/>
  <c r="AG58" i="12" s="1"/>
  <c r="AL58" i="12" s="1"/>
  <c r="AC59" i="12"/>
  <c r="AG59" i="12" s="1"/>
  <c r="AL59" i="12" s="1"/>
  <c r="AB60" i="12"/>
  <c r="AA61" i="12"/>
  <c r="Y62" i="12"/>
  <c r="AC62" i="12"/>
  <c r="AG62" i="12" s="1"/>
  <c r="AL62" i="12" s="1"/>
  <c r="AB63" i="12"/>
  <c r="AA64" i="12"/>
  <c r="AA65" i="12"/>
  <c r="Y66" i="12"/>
  <c r="AB66" i="12"/>
  <c r="Z67" i="12"/>
  <c r="AC67" i="12"/>
  <c r="AG67" i="12" s="1"/>
  <c r="AL67" i="12" s="1"/>
  <c r="AB68" i="12"/>
  <c r="Z69" i="12"/>
  <c r="AC69" i="12"/>
  <c r="AG69" i="12" s="1"/>
  <c r="AL69" i="12" s="1"/>
  <c r="AB70" i="12"/>
  <c r="Z71" i="12"/>
  <c r="Y72" i="12"/>
  <c r="AC72" i="12"/>
  <c r="AG72" i="12" s="1"/>
  <c r="AL72" i="12" s="1"/>
  <c r="AA73" i="12"/>
  <c r="Z74" i="12"/>
  <c r="AC74" i="12"/>
  <c r="AG74" i="12" s="1"/>
  <c r="AL74" i="12" s="1"/>
  <c r="AA75" i="12"/>
  <c r="AA76" i="12"/>
  <c r="Y77" i="12"/>
  <c r="Z78" i="12"/>
  <c r="AC78" i="12"/>
  <c r="AG78" i="12" s="1"/>
  <c r="AL78" i="12" s="1"/>
  <c r="AA79" i="12"/>
  <c r="Z80" i="12"/>
  <c r="Y81" i="12"/>
  <c r="AB81" i="12"/>
  <c r="AC82" i="12"/>
  <c r="AG82" i="12" s="1"/>
  <c r="AL82" i="12" s="1"/>
  <c r="AA83" i="12"/>
  <c r="Y84" i="12"/>
  <c r="AC84" i="12"/>
  <c r="AG84" i="12" s="1"/>
  <c r="AL84" i="12" s="1"/>
  <c r="Z86" i="12"/>
  <c r="Z87" i="12"/>
  <c r="Y88" i="12"/>
  <c r="Y29" i="12"/>
  <c r="V30" i="12"/>
  <c r="W31" i="12"/>
  <c r="W33" i="12"/>
  <c r="W35" i="12"/>
  <c r="W37" i="12"/>
  <c r="W39" i="12"/>
  <c r="W40" i="12"/>
  <c r="X42" i="12"/>
  <c r="X43" i="12"/>
  <c r="V45" i="12"/>
  <c r="W46" i="12"/>
  <c r="W47" i="12"/>
  <c r="V50" i="12"/>
  <c r="V51" i="12"/>
  <c r="V52" i="12"/>
  <c r="W53" i="12"/>
  <c r="W54" i="12"/>
  <c r="X61" i="12"/>
  <c r="X62" i="12"/>
  <c r="X63" i="12"/>
  <c r="X64" i="12"/>
  <c r="W66" i="12"/>
  <c r="V68" i="12"/>
  <c r="W69" i="12"/>
  <c r="W71" i="12"/>
  <c r="V73" i="12"/>
  <c r="V74" i="12"/>
  <c r="V75" i="12"/>
  <c r="W76" i="12"/>
  <c r="W77" i="12"/>
  <c r="W78" i="12"/>
  <c r="W79" i="12"/>
  <c r="V80" i="12"/>
  <c r="T36" i="12"/>
  <c r="T40" i="12"/>
  <c r="T47" i="12"/>
  <c r="T52" i="12"/>
  <c r="T55" i="12"/>
  <c r="T58" i="12"/>
  <c r="T68" i="12"/>
  <c r="T74" i="12"/>
  <c r="T78" i="12"/>
  <c r="T84" i="12"/>
  <c r="T87" i="12"/>
  <c r="AB50" i="12"/>
  <c r="Z52" i="12"/>
  <c r="AC52" i="12"/>
  <c r="AG52" i="12" s="1"/>
  <c r="AL52" i="12" s="1"/>
  <c r="AC53" i="12"/>
  <c r="AG53" i="12" s="1"/>
  <c r="AL53" i="12" s="1"/>
  <c r="AA54" i="12"/>
  <c r="AC54" i="12"/>
  <c r="AG54" i="12" s="1"/>
  <c r="AL54" i="12" s="1"/>
  <c r="AB55" i="12"/>
  <c r="AA56" i="12"/>
  <c r="Y57" i="12"/>
  <c r="AC57" i="12"/>
  <c r="AG57" i="12" s="1"/>
  <c r="AL57" i="12" s="1"/>
  <c r="AA58" i="12"/>
  <c r="AA59" i="12"/>
  <c r="AA60" i="12"/>
  <c r="Y61" i="12"/>
  <c r="AC61" i="12"/>
  <c r="AG61" i="12" s="1"/>
  <c r="AL61" i="12" s="1"/>
  <c r="AB62" i="12"/>
  <c r="AA63" i="12"/>
  <c r="Y64" i="12"/>
  <c r="AC64" i="12"/>
  <c r="AG64" i="12" s="1"/>
  <c r="AL64" i="12" s="1"/>
  <c r="AB65" i="12"/>
  <c r="AC66" i="12"/>
  <c r="AG66" i="12" s="1"/>
  <c r="AL66" i="12" s="1"/>
  <c r="Z68" i="12"/>
  <c r="Z70" i="12"/>
  <c r="Y71" i="12"/>
  <c r="AC71" i="12"/>
  <c r="AG71" i="12" s="1"/>
  <c r="AL71" i="12" s="1"/>
  <c r="AB72" i="12"/>
  <c r="Z73" i="12"/>
  <c r="AC73" i="12"/>
  <c r="AG73" i="12" s="1"/>
  <c r="AL73" i="12" s="1"/>
  <c r="AA74" i="12"/>
  <c r="Y75" i="12"/>
  <c r="AB75" i="12"/>
  <c r="Z76" i="12"/>
  <c r="Z77" i="12"/>
  <c r="AC77" i="12"/>
  <c r="AG77" i="12" s="1"/>
  <c r="AL77" i="12" s="1"/>
  <c r="Y79" i="12"/>
  <c r="AB79" i="12"/>
  <c r="AC80" i="12"/>
  <c r="AG80" i="12" s="1"/>
  <c r="AL80" i="12" s="1"/>
  <c r="AA81" i="12"/>
  <c r="Z82" i="12"/>
  <c r="Y83" i="12"/>
  <c r="AB83" i="12"/>
  <c r="Y85" i="12"/>
  <c r="AA85" i="12"/>
  <c r="AA86" i="12"/>
  <c r="Y87" i="12"/>
  <c r="AB87" i="12"/>
  <c r="AA88" i="12"/>
  <c r="AB29" i="12"/>
  <c r="X30" i="12"/>
  <c r="X31" i="12"/>
  <c r="X32" i="12"/>
  <c r="V34" i="12"/>
  <c r="X34" i="12"/>
  <c r="V36" i="12"/>
  <c r="V37" i="12"/>
  <c r="W38" i="12"/>
  <c r="X39" i="12"/>
  <c r="V41" i="12"/>
  <c r="W42" i="12"/>
  <c r="W43" i="12"/>
  <c r="W44" i="12"/>
  <c r="X45" i="12"/>
  <c r="V47" i="12"/>
  <c r="W48" i="12"/>
  <c r="X49" i="12"/>
  <c r="X50" i="12"/>
  <c r="W52" i="12"/>
  <c r="X53" i="12"/>
  <c r="X54" i="12"/>
  <c r="X55" i="12"/>
  <c r="X56" i="12"/>
  <c r="X57" i="12"/>
  <c r="W58" i="12"/>
  <c r="W59" i="12"/>
  <c r="W60" i="12"/>
  <c r="W61" i="12"/>
  <c r="V63" i="12"/>
  <c r="V64" i="12"/>
  <c r="X65" i="12"/>
  <c r="V67" i="12"/>
  <c r="W68" i="12"/>
  <c r="W70" i="12"/>
  <c r="W73" i="12"/>
  <c r="W74" i="12"/>
  <c r="X75" i="12"/>
  <c r="T30" i="12"/>
  <c r="T31" i="12"/>
  <c r="T37" i="12"/>
  <c r="T43" i="12"/>
  <c r="T45" i="12"/>
  <c r="T49" i="12"/>
  <c r="T53" i="12"/>
  <c r="T60" i="12"/>
  <c r="T65" i="12"/>
  <c r="T67" i="12"/>
  <c r="T73" i="12"/>
  <c r="T76" i="12"/>
  <c r="T83" i="12"/>
  <c r="T88" i="12"/>
  <c r="T29" i="12"/>
  <c r="AF29" i="12" s="1"/>
  <c r="S89" i="12"/>
  <c r="U29" i="18"/>
  <c r="V29" i="18" s="1"/>
  <c r="T89" i="18"/>
  <c r="K17" i="12"/>
  <c r="K16" i="12"/>
  <c r="D17" i="12"/>
  <c r="B2" i="13"/>
  <c r="D18" i="12"/>
  <c r="D16" i="12"/>
  <c r="K18" i="12"/>
  <c r="B22" i="13"/>
  <c r="B22" i="14" s="1"/>
  <c r="B22" i="15" s="1"/>
  <c r="B21" i="13"/>
  <c r="I18" i="12"/>
  <c r="L18" i="12" s="1"/>
  <c r="M18" i="12" s="1"/>
  <c r="I17" i="12"/>
  <c r="L17" i="12" s="1"/>
  <c r="M17" i="12" s="1"/>
  <c r="I16" i="12"/>
  <c r="L16" i="12" s="1"/>
  <c r="M16" i="12" s="1"/>
  <c r="B16" i="12"/>
  <c r="E16" i="12" s="1"/>
  <c r="F16" i="12" s="1"/>
  <c r="B18" i="12"/>
  <c r="E18" i="12" s="1"/>
  <c r="F18" i="12" s="1"/>
  <c r="B17" i="12"/>
  <c r="E17" i="12" s="1"/>
  <c r="F17" i="12" s="1"/>
  <c r="V74" i="18"/>
  <c r="AB74" i="18" s="1"/>
  <c r="V78" i="18"/>
  <c r="AB78" i="18" s="1"/>
  <c r="V81" i="18"/>
  <c r="AB81" i="18" s="1"/>
  <c r="V38" i="18"/>
  <c r="AB38" i="18" s="1"/>
  <c r="V68" i="18"/>
  <c r="AB68" i="18" s="1"/>
  <c r="V39" i="18"/>
  <c r="AB39" i="18" s="1"/>
  <c r="V52" i="18"/>
  <c r="AB52" i="18" s="1"/>
  <c r="V82" i="18"/>
  <c r="AB82" i="18" s="1"/>
  <c r="V66" i="18"/>
  <c r="AB66" i="18" s="1"/>
  <c r="V36" i="18"/>
  <c r="AB36" i="18" s="1"/>
  <c r="V47" i="18"/>
  <c r="AB47" i="18" s="1"/>
  <c r="V77" i="18"/>
  <c r="AB77" i="18" s="1"/>
  <c r="V64" i="18"/>
  <c r="AB64" i="18" s="1"/>
  <c r="V76" i="18"/>
  <c r="AB76" i="18" s="1"/>
  <c r="V80" i="18"/>
  <c r="AB80" i="18" s="1"/>
  <c r="V69" i="18"/>
  <c r="AB69" i="18" s="1"/>
  <c r="V83" i="18"/>
  <c r="AB83" i="18" s="1"/>
  <c r="V44" i="18"/>
  <c r="AB44" i="18" s="1"/>
  <c r="V75" i="18"/>
  <c r="AB75" i="18" s="1"/>
  <c r="V45" i="18"/>
  <c r="AB45" i="18" s="1"/>
  <c r="V73" i="18"/>
  <c r="AB73" i="18" s="1"/>
  <c r="V79" i="18"/>
  <c r="AB79" i="18" s="1"/>
  <c r="V46" i="18"/>
  <c r="AB46" i="18" s="1"/>
  <c r="V67" i="18"/>
  <c r="AB67" i="18" s="1"/>
  <c r="V41" i="18"/>
  <c r="AB41" i="18" s="1"/>
  <c r="V85" i="18"/>
  <c r="AB85" i="18" s="1"/>
  <c r="V42" i="18"/>
  <c r="AB42" i="18" s="1"/>
  <c r="V37" i="18"/>
  <c r="AB37" i="18" s="1"/>
  <c r="V30" i="18"/>
  <c r="AB30" i="18" s="1"/>
  <c r="V33" i="18"/>
  <c r="AB33" i="18" s="1"/>
  <c r="V43" i="18"/>
  <c r="AB43" i="18" s="1"/>
  <c r="V48" i="18"/>
  <c r="AB48" i="18" s="1"/>
  <c r="V50" i="18"/>
  <c r="AB50" i="18" s="1"/>
  <c r="V53" i="18"/>
  <c r="AB53" i="18" s="1"/>
  <c r="V57" i="18"/>
  <c r="AB57" i="18" s="1"/>
  <c r="V58" i="18"/>
  <c r="AB58" i="18" s="1"/>
  <c r="V61" i="18"/>
  <c r="AB61" i="18" s="1"/>
  <c r="V72" i="18"/>
  <c r="AB72" i="18" s="1"/>
  <c r="V87" i="18"/>
  <c r="AB87" i="18" s="1"/>
  <c r="V49" i="18"/>
  <c r="AB49" i="18" s="1"/>
  <c r="V56" i="18"/>
  <c r="AB56" i="18" s="1"/>
  <c r="V71" i="18"/>
  <c r="AB71" i="18" s="1"/>
  <c r="V55" i="18"/>
  <c r="AB55" i="18" s="1"/>
  <c r="V70" i="18"/>
  <c r="AB70" i="18" s="1"/>
  <c r="V84" i="18"/>
  <c r="AB84" i="18" s="1"/>
  <c r="V86" i="18"/>
  <c r="AB86" i="18" s="1"/>
  <c r="V40" i="18"/>
  <c r="AB40" i="18" s="1"/>
  <c r="V51" i="18"/>
  <c r="AB51" i="18" s="1"/>
  <c r="V54" i="18"/>
  <c r="AB54" i="18" s="1"/>
  <c r="V59" i="18"/>
  <c r="AB59" i="18" s="1"/>
  <c r="V88" i="18"/>
  <c r="AB88" i="18" s="1"/>
  <c r="U31" i="18"/>
  <c r="V31" i="18" s="1"/>
  <c r="AB31" i="18" s="1"/>
  <c r="U35" i="18"/>
  <c r="V35" i="18"/>
  <c r="AB35" i="18" s="1"/>
  <c r="U34" i="18"/>
  <c r="B5" i="14"/>
  <c r="B6" i="15"/>
  <c r="P31" i="3"/>
  <c r="P54" i="3"/>
  <c r="P88" i="3"/>
  <c r="P87" i="3"/>
  <c r="P86" i="3"/>
  <c r="P84" i="3"/>
  <c r="P72" i="3"/>
  <c r="P71" i="3"/>
  <c r="P70" i="3"/>
  <c r="P62" i="3"/>
  <c r="P61" i="3"/>
  <c r="P60" i="3"/>
  <c r="P59" i="3"/>
  <c r="P58" i="3"/>
  <c r="P57" i="3"/>
  <c r="P56" i="3"/>
  <c r="P55" i="3"/>
  <c r="P53" i="3"/>
  <c r="P51" i="3"/>
  <c r="P50" i="3"/>
  <c r="P49" i="3"/>
  <c r="P48" i="3"/>
  <c r="P30" i="3"/>
  <c r="P43" i="3"/>
  <c r="P40" i="3"/>
  <c r="P85" i="3"/>
  <c r="P83" i="3"/>
  <c r="P82" i="3"/>
  <c r="P81" i="3"/>
  <c r="P80" i="3"/>
  <c r="P78" i="3"/>
  <c r="P77" i="3"/>
  <c r="P76" i="3"/>
  <c r="P75" i="3"/>
  <c r="P74" i="3"/>
  <c r="P73" i="3"/>
  <c r="P52" i="3"/>
  <c r="P47" i="3"/>
  <c r="P45" i="3"/>
  <c r="P44" i="3"/>
  <c r="P37" i="3"/>
  <c r="P36" i="3"/>
  <c r="P35" i="3"/>
  <c r="P33" i="3"/>
  <c r="P32" i="3"/>
  <c r="F18" i="3"/>
  <c r="F17" i="3"/>
  <c r="I89" i="3"/>
  <c r="H89" i="3"/>
  <c r="G89" i="3"/>
  <c r="AF54" i="14" l="1"/>
  <c r="G29" i="16" s="1"/>
  <c r="AF76" i="14"/>
  <c r="G51" i="16" s="1"/>
  <c r="AF45" i="14"/>
  <c r="G20" i="16" s="1"/>
  <c r="AG62" i="13"/>
  <c r="AL62" i="13" s="1"/>
  <c r="AF62" i="13"/>
  <c r="F37" i="16" s="1"/>
  <c r="AF83" i="13"/>
  <c r="F58" i="16" s="1"/>
  <c r="AF75" i="13"/>
  <c r="F50" i="16" s="1"/>
  <c r="X89" i="13"/>
  <c r="Y89" i="13"/>
  <c r="Z89" i="13"/>
  <c r="AA89" i="13"/>
  <c r="AB89" i="13"/>
  <c r="W89" i="13"/>
  <c r="U89" i="13"/>
  <c r="AF35" i="13"/>
  <c r="F10" i="16" s="1"/>
  <c r="AF70" i="13"/>
  <c r="F45" i="16" s="1"/>
  <c r="AF59" i="13"/>
  <c r="F34" i="16" s="1"/>
  <c r="AF81" i="13"/>
  <c r="F56" i="16" s="1"/>
  <c r="AF42" i="13"/>
  <c r="F17" i="16" s="1"/>
  <c r="E4" i="16"/>
  <c r="AF85" i="12"/>
  <c r="E60" i="16" s="1"/>
  <c r="AF31" i="12"/>
  <c r="E6" i="16" s="1"/>
  <c r="AF30" i="12"/>
  <c r="AG30" i="15"/>
  <c r="AC89" i="14"/>
  <c r="AG30" i="14"/>
  <c r="AL30" i="14" s="1"/>
  <c r="T89" i="14"/>
  <c r="AF30" i="14"/>
  <c r="G5" i="16" s="1"/>
  <c r="G64" i="16" s="1"/>
  <c r="AF88" i="14"/>
  <c r="G63" i="16" s="1"/>
  <c r="AF87" i="14"/>
  <c r="G62" i="16" s="1"/>
  <c r="AF85" i="14"/>
  <c r="G60" i="16" s="1"/>
  <c r="AF84" i="14"/>
  <c r="G59" i="16" s="1"/>
  <c r="AF83" i="14"/>
  <c r="G58" i="16" s="1"/>
  <c r="AF82" i="14"/>
  <c r="G57" i="16" s="1"/>
  <c r="AF81" i="14"/>
  <c r="G56" i="16" s="1"/>
  <c r="AF78" i="14"/>
  <c r="G53" i="16" s="1"/>
  <c r="AF77" i="14"/>
  <c r="G52" i="16" s="1"/>
  <c r="AF75" i="14"/>
  <c r="G50" i="16" s="1"/>
  <c r="AF74" i="14"/>
  <c r="G49" i="16" s="1"/>
  <c r="AF73" i="14"/>
  <c r="G48" i="16" s="1"/>
  <c r="AF72" i="14"/>
  <c r="G47" i="16" s="1"/>
  <c r="AF70" i="14"/>
  <c r="G45" i="16" s="1"/>
  <c r="AF59" i="14"/>
  <c r="G34" i="16" s="1"/>
  <c r="AF49" i="14"/>
  <c r="G24" i="16" s="1"/>
  <c r="AF48" i="14"/>
  <c r="G23" i="16" s="1"/>
  <c r="AF67" i="14"/>
  <c r="G42" i="16" s="1"/>
  <c r="AF66" i="14"/>
  <c r="G41" i="16" s="1"/>
  <c r="AF65" i="14"/>
  <c r="G40" i="16" s="1"/>
  <c r="AF64" i="14"/>
  <c r="G39" i="16" s="1"/>
  <c r="AF56" i="14"/>
  <c r="G31" i="16" s="1"/>
  <c r="AF55" i="14"/>
  <c r="G30" i="16" s="1"/>
  <c r="AF53" i="14"/>
  <c r="G28" i="16" s="1"/>
  <c r="AF44" i="14"/>
  <c r="G19" i="16" s="1"/>
  <c r="AF43" i="14"/>
  <c r="G18" i="16" s="1"/>
  <c r="AF42" i="14"/>
  <c r="G17" i="16" s="1"/>
  <c r="AF41" i="14"/>
  <c r="G16" i="16" s="1"/>
  <c r="AF40" i="14"/>
  <c r="G15" i="16" s="1"/>
  <c r="AF39" i="14"/>
  <c r="G14" i="16" s="1"/>
  <c r="AF38" i="14"/>
  <c r="G13" i="16" s="1"/>
  <c r="AF37" i="14"/>
  <c r="G12" i="16" s="1"/>
  <c r="AF36" i="14"/>
  <c r="G11" i="16" s="1"/>
  <c r="AF35" i="14"/>
  <c r="G10" i="16" s="1"/>
  <c r="AF34" i="14"/>
  <c r="G9" i="16" s="1"/>
  <c r="AF33" i="14"/>
  <c r="G8" i="16" s="1"/>
  <c r="AF32" i="14"/>
  <c r="G7" i="16" s="1"/>
  <c r="AF31" i="14"/>
  <c r="G6" i="16" s="1"/>
  <c r="X89" i="14"/>
  <c r="AA89" i="14"/>
  <c r="W89" i="14"/>
  <c r="Z89" i="14"/>
  <c r="AB89" i="14"/>
  <c r="V89" i="14"/>
  <c r="Y89" i="14"/>
  <c r="AF69" i="14"/>
  <c r="G44" i="16" s="1"/>
  <c r="AF63" i="14"/>
  <c r="G38" i="16" s="1"/>
  <c r="AF51" i="14"/>
  <c r="G26" i="16" s="1"/>
  <c r="AF47" i="14"/>
  <c r="G22" i="16" s="1"/>
  <c r="AF50" i="14"/>
  <c r="G25" i="16" s="1"/>
  <c r="AF80" i="14"/>
  <c r="G55" i="16" s="1"/>
  <c r="AF79" i="14"/>
  <c r="G54" i="16" s="1"/>
  <c r="AF71" i="14"/>
  <c r="G46" i="16" s="1"/>
  <c r="AF61" i="14"/>
  <c r="G36" i="16" s="1"/>
  <c r="AF57" i="14"/>
  <c r="G32" i="16" s="1"/>
  <c r="AF46" i="14"/>
  <c r="G21" i="16" s="1"/>
  <c r="T89" i="13"/>
  <c r="AF30" i="13"/>
  <c r="F5" i="16" s="1"/>
  <c r="F64" i="16" s="1"/>
  <c r="AG30" i="13"/>
  <c r="AL30" i="13" s="1"/>
  <c r="AC89" i="13"/>
  <c r="AF73" i="13"/>
  <c r="F48" i="16" s="1"/>
  <c r="AF61" i="13"/>
  <c r="F36" i="16" s="1"/>
  <c r="AF54" i="13"/>
  <c r="F29" i="16" s="1"/>
  <c r="AF53" i="13"/>
  <c r="F28" i="16" s="1"/>
  <c r="AF40" i="13"/>
  <c r="F15" i="16" s="1"/>
  <c r="AF36" i="13"/>
  <c r="F11" i="16" s="1"/>
  <c r="AF68" i="13"/>
  <c r="F43" i="16" s="1"/>
  <c r="AF67" i="13"/>
  <c r="F42" i="16" s="1"/>
  <c r="AF66" i="13"/>
  <c r="F41" i="16" s="1"/>
  <c r="AF65" i="13"/>
  <c r="F40" i="16" s="1"/>
  <c r="AF64" i="13"/>
  <c r="F39" i="16" s="1"/>
  <c r="AF55" i="13"/>
  <c r="F30" i="16" s="1"/>
  <c r="AF50" i="13"/>
  <c r="F25" i="16" s="1"/>
  <c r="AF39" i="13"/>
  <c r="F14" i="16" s="1"/>
  <c r="AF38" i="13"/>
  <c r="F13" i="16" s="1"/>
  <c r="AF33" i="13"/>
  <c r="F8" i="16" s="1"/>
  <c r="AF88" i="13"/>
  <c r="F63" i="16" s="1"/>
  <c r="AF85" i="13"/>
  <c r="F60" i="16" s="1"/>
  <c r="AF63" i="13"/>
  <c r="F38" i="16" s="1"/>
  <c r="AF51" i="13"/>
  <c r="F26" i="16" s="1"/>
  <c r="AF31" i="13"/>
  <c r="F6" i="16" s="1"/>
  <c r="AF87" i="13"/>
  <c r="F62" i="16" s="1"/>
  <c r="AF84" i="13"/>
  <c r="F59" i="16" s="1"/>
  <c r="AF79" i="13"/>
  <c r="F54" i="16" s="1"/>
  <c r="AF78" i="13"/>
  <c r="F53" i="16" s="1"/>
  <c r="AF76" i="13"/>
  <c r="F51" i="16" s="1"/>
  <c r="AF69" i="13"/>
  <c r="F44" i="16" s="1"/>
  <c r="AF60" i="13"/>
  <c r="F35" i="16" s="1"/>
  <c r="AF47" i="13"/>
  <c r="F22" i="16" s="1"/>
  <c r="AF46" i="13"/>
  <c r="F21" i="16" s="1"/>
  <c r="AF45" i="13"/>
  <c r="F20" i="16" s="1"/>
  <c r="AF41" i="13"/>
  <c r="F16" i="16" s="1"/>
  <c r="AF82" i="13"/>
  <c r="F57" i="16" s="1"/>
  <c r="AF56" i="13"/>
  <c r="F31" i="16" s="1"/>
  <c r="AF49" i="13"/>
  <c r="F24" i="16" s="1"/>
  <c r="AF37" i="13"/>
  <c r="F12" i="16" s="1"/>
  <c r="AF72" i="13"/>
  <c r="F47" i="16" s="1"/>
  <c r="AF57" i="13"/>
  <c r="F32" i="16" s="1"/>
  <c r="AF52" i="13"/>
  <c r="F27" i="16" s="1"/>
  <c r="AF48" i="13"/>
  <c r="F23" i="16" s="1"/>
  <c r="AF44" i="13"/>
  <c r="F19" i="16" s="1"/>
  <c r="AF43" i="13"/>
  <c r="F18" i="16" s="1"/>
  <c r="AF32" i="13"/>
  <c r="F7" i="16" s="1"/>
  <c r="AF77" i="13"/>
  <c r="F52" i="16" s="1"/>
  <c r="AF74" i="13"/>
  <c r="F49" i="16" s="1"/>
  <c r="AF71" i="13"/>
  <c r="F46" i="16" s="1"/>
  <c r="V89" i="12"/>
  <c r="AF83" i="12"/>
  <c r="E58" i="16" s="1"/>
  <c r="AF63" i="12"/>
  <c r="E38" i="16" s="1"/>
  <c r="AD89" i="12"/>
  <c r="B2" i="14"/>
  <c r="U89" i="12"/>
  <c r="AF54" i="12"/>
  <c r="E29" i="16" s="1"/>
  <c r="AF43" i="12"/>
  <c r="E18" i="16" s="1"/>
  <c r="B17" i="13"/>
  <c r="E17" i="13" s="1"/>
  <c r="F17" i="13" s="1"/>
  <c r="B18" i="13"/>
  <c r="AF46" i="12"/>
  <c r="E21" i="16" s="1"/>
  <c r="AF45" i="12"/>
  <c r="E20" i="16" s="1"/>
  <c r="AF82" i="12"/>
  <c r="E57" i="16" s="1"/>
  <c r="AF44" i="12"/>
  <c r="E19" i="16" s="1"/>
  <c r="AF81" i="12"/>
  <c r="E56" i="16" s="1"/>
  <c r="AF80" i="12"/>
  <c r="E55" i="16" s="1"/>
  <c r="AF79" i="12"/>
  <c r="E54" i="16" s="1"/>
  <c r="AF41" i="12"/>
  <c r="E16" i="16" s="1"/>
  <c r="AF39" i="12"/>
  <c r="E14" i="16" s="1"/>
  <c r="AF78" i="12"/>
  <c r="E53" i="16" s="1"/>
  <c r="AF38" i="12"/>
  <c r="E13" i="16" s="1"/>
  <c r="AF77" i="12"/>
  <c r="E52" i="16" s="1"/>
  <c r="AF76" i="12"/>
  <c r="E51" i="16" s="1"/>
  <c r="AF37" i="12"/>
  <c r="E12" i="16" s="1"/>
  <c r="AF75" i="12"/>
  <c r="E50" i="16" s="1"/>
  <c r="AF36" i="12"/>
  <c r="E11" i="16" s="1"/>
  <c r="AF69" i="12"/>
  <c r="E44" i="16" s="1"/>
  <c r="AF52" i="12"/>
  <c r="E27" i="16" s="1"/>
  <c r="AF35" i="12"/>
  <c r="E10" i="16" s="1"/>
  <c r="AF65" i="12"/>
  <c r="E40" i="16" s="1"/>
  <c r="AF40" i="12"/>
  <c r="E15" i="16" s="1"/>
  <c r="AF42" i="12"/>
  <c r="E17" i="16" s="1"/>
  <c r="AF33" i="12"/>
  <c r="E8" i="16" s="1"/>
  <c r="AF66" i="12"/>
  <c r="E41" i="16" s="1"/>
  <c r="AF73" i="12"/>
  <c r="E48" i="16" s="1"/>
  <c r="AF68" i="12"/>
  <c r="E43" i="16" s="1"/>
  <c r="AF32" i="12"/>
  <c r="E7" i="16" s="1"/>
  <c r="AF47" i="12"/>
  <c r="E22" i="16" s="1"/>
  <c r="AF74" i="12"/>
  <c r="E49" i="16" s="1"/>
  <c r="AF64" i="12"/>
  <c r="E39" i="16" s="1"/>
  <c r="AF34" i="12"/>
  <c r="E9" i="16" s="1"/>
  <c r="AF67" i="12"/>
  <c r="E42" i="16" s="1"/>
  <c r="B16" i="13"/>
  <c r="E16" i="13" s="1"/>
  <c r="F16" i="13" s="1"/>
  <c r="B21" i="14"/>
  <c r="U89" i="18"/>
  <c r="V34" i="18"/>
  <c r="AB34" i="18" s="1"/>
  <c r="V89" i="18"/>
  <c r="AB29" i="18"/>
  <c r="B5" i="15"/>
  <c r="W89" i="12"/>
  <c r="P89" i="3"/>
  <c r="E5" i="16" l="1"/>
  <c r="AF90" i="14"/>
  <c r="AF92" i="14" s="1"/>
  <c r="AF93" i="14" s="1"/>
  <c r="AF89" i="14"/>
  <c r="AF89" i="13"/>
  <c r="AF90" i="13"/>
  <c r="AF92" i="13" s="1"/>
  <c r="AF93" i="13" s="1"/>
  <c r="B2" i="15"/>
  <c r="AC89" i="12"/>
  <c r="AA89" i="12"/>
  <c r="Y89" i="12"/>
  <c r="Z89" i="12"/>
  <c r="AB89" i="12"/>
  <c r="AF48" i="12"/>
  <c r="AF62" i="12"/>
  <c r="E37" i="16" s="1"/>
  <c r="AF87" i="12"/>
  <c r="E62" i="16" s="1"/>
  <c r="AF60" i="12"/>
  <c r="E35" i="16" s="1"/>
  <c r="E18" i="13"/>
  <c r="F18" i="13" s="1"/>
  <c r="AF51" i="12"/>
  <c r="E26" i="16" s="1"/>
  <c r="AF57" i="12"/>
  <c r="E32" i="16" s="1"/>
  <c r="AF70" i="12"/>
  <c r="E45" i="16" s="1"/>
  <c r="AF86" i="12"/>
  <c r="E61" i="16" s="1"/>
  <c r="AF84" i="12"/>
  <c r="E59" i="16" s="1"/>
  <c r="AF58" i="12"/>
  <c r="E33" i="16" s="1"/>
  <c r="AF72" i="12"/>
  <c r="E47" i="16" s="1"/>
  <c r="AF61" i="12"/>
  <c r="E36" i="16" s="1"/>
  <c r="AF59" i="12"/>
  <c r="E34" i="16" s="1"/>
  <c r="AF49" i="12"/>
  <c r="E24" i="16" s="1"/>
  <c r="AF56" i="12"/>
  <c r="E31" i="16" s="1"/>
  <c r="AF55" i="12"/>
  <c r="E30" i="16" s="1"/>
  <c r="AF88" i="12"/>
  <c r="E63" i="16" s="1"/>
  <c r="AF50" i="12"/>
  <c r="E25" i="16" s="1"/>
  <c r="AF71" i="12"/>
  <c r="E46" i="16" s="1"/>
  <c r="AF53" i="12"/>
  <c r="E28" i="16" s="1"/>
  <c r="B17" i="14"/>
  <c r="E17" i="14" s="1"/>
  <c r="F17" i="14" s="1"/>
  <c r="B21" i="15"/>
  <c r="B16" i="14"/>
  <c r="E16" i="14" s="1"/>
  <c r="F16" i="14" s="1"/>
  <c r="B18" i="14"/>
  <c r="E18" i="14" s="1"/>
  <c r="F18" i="14" s="1"/>
  <c r="D66" i="16"/>
  <c r="T89" i="12"/>
  <c r="X89" i="12"/>
  <c r="AF90" i="12" l="1"/>
  <c r="AF92" i="12" s="1"/>
  <c r="AF93" i="12" s="1"/>
  <c r="E23" i="16"/>
  <c r="E64" i="16" s="1"/>
  <c r="AF89" i="12"/>
  <c r="S88" i="15"/>
  <c r="Y86" i="15"/>
  <c r="X86" i="15"/>
  <c r="W86" i="15"/>
  <c r="S86" i="15"/>
  <c r="S82" i="15"/>
  <c r="S79" i="15"/>
  <c r="S74" i="15"/>
  <c r="S71" i="15"/>
  <c r="S63" i="15"/>
  <c r="S57" i="15"/>
  <c r="S53" i="15"/>
  <c r="S44" i="15"/>
  <c r="S42" i="15"/>
  <c r="S36" i="15"/>
  <c r="S30" i="15"/>
  <c r="S69" i="15"/>
  <c r="S56" i="15"/>
  <c r="S47" i="15"/>
  <c r="S45" i="15"/>
  <c r="S43" i="15"/>
  <c r="S33" i="15"/>
  <c r="S31" i="15"/>
  <c r="S29" i="15"/>
  <c r="S81" i="15"/>
  <c r="AA81" i="15" s="1"/>
  <c r="H56" i="16" s="1"/>
  <c r="S76" i="15"/>
  <c r="S72" i="15"/>
  <c r="S67" i="15"/>
  <c r="S51" i="15"/>
  <c r="S37" i="15"/>
  <c r="S85" i="15"/>
  <c r="S78" i="15"/>
  <c r="S61" i="15"/>
  <c r="S54" i="15"/>
  <c r="S39" i="15"/>
  <c r="S87" i="15"/>
  <c r="AA87" i="15" s="1"/>
  <c r="H62" i="16" s="1"/>
  <c r="S84" i="15"/>
  <c r="S70" i="15"/>
  <c r="S65" i="15"/>
  <c r="S62" i="15"/>
  <c r="AA62" i="15" s="1"/>
  <c r="H37" i="16" s="1"/>
  <c r="S59" i="15"/>
  <c r="AA59" i="15" s="1"/>
  <c r="H34" i="16" s="1"/>
  <c r="S52" i="15"/>
  <c r="S49" i="15"/>
  <c r="AA49" i="15" s="1"/>
  <c r="H24" i="16" s="1"/>
  <c r="S41" i="15"/>
  <c r="S34" i="15"/>
  <c r="S32" i="15"/>
  <c r="S83" i="15"/>
  <c r="AA83" i="15" s="1"/>
  <c r="H58" i="16" s="1"/>
  <c r="S80" i="15"/>
  <c r="S73" i="15"/>
  <c r="S68" i="15"/>
  <c r="S66" i="15"/>
  <c r="S64" i="15"/>
  <c r="S60" i="15"/>
  <c r="S58" i="15"/>
  <c r="T86" i="15"/>
  <c r="S77" i="15"/>
  <c r="S75" i="15"/>
  <c r="S55" i="15"/>
  <c r="S50" i="15"/>
  <c r="S48" i="15"/>
  <c r="S46" i="15"/>
  <c r="S40" i="15"/>
  <c r="S38" i="15"/>
  <c r="S35" i="15"/>
  <c r="T65" i="15"/>
  <c r="Y65" i="15"/>
  <c r="X65" i="15"/>
  <c r="W65" i="15"/>
  <c r="W62" i="15"/>
  <c r="Y62" i="15"/>
  <c r="X62" i="15"/>
  <c r="T62" i="15"/>
  <c r="Y29" i="15"/>
  <c r="W29" i="15"/>
  <c r="X29" i="15"/>
  <c r="Y49" i="15"/>
  <c r="Y45" i="15"/>
  <c r="T43" i="15"/>
  <c r="W41" i="15"/>
  <c r="T39" i="15"/>
  <c r="Y39" i="15"/>
  <c r="X38" i="15"/>
  <c r="T37" i="15"/>
  <c r="Y36" i="15"/>
  <c r="Y35" i="15"/>
  <c r="X34" i="15"/>
  <c r="T34" i="15"/>
  <c r="T33" i="15"/>
  <c r="T32" i="15"/>
  <c r="X32" i="15"/>
  <c r="Y30" i="15"/>
  <c r="X30" i="15"/>
  <c r="T78" i="15"/>
  <c r="Y76" i="15"/>
  <c r="T75" i="15"/>
  <c r="X75" i="15"/>
  <c r="T74" i="15"/>
  <c r="W70" i="15"/>
  <c r="W69" i="15"/>
  <c r="Y69" i="15"/>
  <c r="T68" i="15"/>
  <c r="T67" i="15"/>
  <c r="X63" i="15"/>
  <c r="W60" i="15"/>
  <c r="T59" i="15"/>
  <c r="T58" i="15"/>
  <c r="W55" i="15"/>
  <c r="W53" i="15"/>
  <c r="W51" i="15"/>
  <c r="W50" i="15"/>
  <c r="X48" i="15"/>
  <c r="T46" i="15"/>
  <c r="Y43" i="15"/>
  <c r="W42" i="15"/>
  <c r="Y42" i="15"/>
  <c r="T41" i="15"/>
  <c r="Y41" i="15"/>
  <c r="Y40" i="15"/>
  <c r="X39" i="15"/>
  <c r="Y37" i="15"/>
  <c r="T35" i="15"/>
  <c r="Y34" i="15"/>
  <c r="Y31" i="15"/>
  <c r="T30" i="15"/>
  <c r="X58" i="15"/>
  <c r="Y56" i="15"/>
  <c r="T52" i="15"/>
  <c r="T51" i="15"/>
  <c r="X51" i="15"/>
  <c r="X50" i="15"/>
  <c r="Y47" i="15"/>
  <c r="W46" i="15"/>
  <c r="W45" i="15"/>
  <c r="T42" i="15"/>
  <c r="W38" i="15"/>
  <c r="T36" i="15"/>
  <c r="W34" i="15"/>
  <c r="Y32" i="15"/>
  <c r="T31" i="15"/>
  <c r="W88" i="15"/>
  <c r="X88" i="15"/>
  <c r="T85" i="15"/>
  <c r="W85" i="15"/>
  <c r="Y85" i="15"/>
  <c r="X85" i="15"/>
  <c r="T84" i="15"/>
  <c r="Y84" i="15"/>
  <c r="W84" i="15"/>
  <c r="X84" i="15"/>
  <c r="Y83" i="15"/>
  <c r="X83" i="15"/>
  <c r="X82" i="15"/>
  <c r="W82" i="15"/>
  <c r="X81" i="15"/>
  <c r="W81" i="15"/>
  <c r="T81" i="15"/>
  <c r="T80" i="15"/>
  <c r="Y80" i="15"/>
  <c r="X80" i="15"/>
  <c r="T79" i="15"/>
  <c r="T77" i="15"/>
  <c r="X77" i="15"/>
  <c r="W76" i="15"/>
  <c r="X76" i="15"/>
  <c r="Y74" i="15"/>
  <c r="X73" i="15"/>
  <c r="T73" i="15"/>
  <c r="X72" i="15"/>
  <c r="Y72" i="15"/>
  <c r="X70" i="15"/>
  <c r="X69" i="15"/>
  <c r="T66" i="15"/>
  <c r="X66" i="15"/>
  <c r="Y64" i="15"/>
  <c r="X64" i="15"/>
  <c r="W63" i="15"/>
  <c r="T57" i="15"/>
  <c r="X56" i="15"/>
  <c r="T56" i="15"/>
  <c r="X55" i="15"/>
  <c r="Y55" i="15"/>
  <c r="X54" i="15"/>
  <c r="X53" i="15"/>
  <c r="Y50" i="15"/>
  <c r="W47" i="15"/>
  <c r="X46" i="15"/>
  <c r="X45" i="15"/>
  <c r="T44" i="15"/>
  <c r="X44" i="15"/>
  <c r="W43" i="15"/>
  <c r="W72" i="15"/>
  <c r="X71" i="15"/>
  <c r="Y71" i="15"/>
  <c r="T70" i="15"/>
  <c r="W68" i="15"/>
  <c r="X68" i="15"/>
  <c r="W67" i="15"/>
  <c r="Y67" i="15"/>
  <c r="Y66" i="15"/>
  <c r="W64" i="15"/>
  <c r="T63" i="15"/>
  <c r="X61" i="15"/>
  <c r="X60" i="15"/>
  <c r="W59" i="15"/>
  <c r="X59" i="15"/>
  <c r="Y57" i="15"/>
  <c r="X57" i="15"/>
  <c r="W56" i="15"/>
  <c r="W54" i="15"/>
  <c r="T53" i="15"/>
  <c r="Y53" i="15"/>
  <c r="W52" i="15"/>
  <c r="T50" i="15"/>
  <c r="T49" i="15"/>
  <c r="X49" i="15"/>
  <c r="W48" i="15"/>
  <c r="Y46" i="15"/>
  <c r="W44" i="15"/>
  <c r="X41" i="15"/>
  <c r="X40" i="15"/>
  <c r="T38" i="15"/>
  <c r="X37" i="15"/>
  <c r="W36" i="15"/>
  <c r="X35" i="15"/>
  <c r="X33" i="15"/>
  <c r="W32" i="15"/>
  <c r="Y88" i="15"/>
  <c r="T88" i="15"/>
  <c r="T87" i="15"/>
  <c r="W87" i="15"/>
  <c r="X87" i="15"/>
  <c r="Y87" i="15"/>
  <c r="T83" i="15"/>
  <c r="W83" i="15"/>
  <c r="Y82" i="15"/>
  <c r="T82" i="15"/>
  <c r="Y81" i="15"/>
  <c r="W80" i="15"/>
  <c r="W79" i="15"/>
  <c r="Y79" i="15"/>
  <c r="X79" i="15"/>
  <c r="X78" i="15"/>
  <c r="Y78" i="15"/>
  <c r="W78" i="15"/>
  <c r="W77" i="15"/>
  <c r="Y77" i="15"/>
  <c r="T76" i="15"/>
  <c r="W75" i="15"/>
  <c r="Y75" i="15"/>
  <c r="W74" i="15"/>
  <c r="X74" i="15"/>
  <c r="W73" i="15"/>
  <c r="Y73" i="15"/>
  <c r="T72" i="15"/>
  <c r="T71" i="15"/>
  <c r="W71" i="15"/>
  <c r="Y70" i="15"/>
  <c r="T69" i="15"/>
  <c r="Y68" i="15"/>
  <c r="W66" i="15"/>
  <c r="T64" i="15"/>
  <c r="Y61" i="15"/>
  <c r="T60" i="15"/>
  <c r="W58" i="15"/>
  <c r="Y58" i="15"/>
  <c r="W57" i="15"/>
  <c r="T55" i="15"/>
  <c r="X52" i="15"/>
  <c r="Y52" i="15"/>
  <c r="W49" i="15"/>
  <c r="T47" i="15"/>
  <c r="X43" i="15"/>
  <c r="X42" i="15"/>
  <c r="T40" i="15"/>
  <c r="W37" i="15"/>
  <c r="W33" i="15"/>
  <c r="Y33" i="15"/>
  <c r="X67" i="15"/>
  <c r="Y63" i="15"/>
  <c r="T61" i="15"/>
  <c r="W61" i="15"/>
  <c r="Y60" i="15"/>
  <c r="Y59" i="15"/>
  <c r="Y54" i="15"/>
  <c r="T54" i="15"/>
  <c r="Y51" i="15"/>
  <c r="T48" i="15"/>
  <c r="Y48" i="15"/>
  <c r="X47" i="15"/>
  <c r="T45" i="15"/>
  <c r="Y44" i="15"/>
  <c r="W40" i="15"/>
  <c r="W39" i="15"/>
  <c r="Y38" i="15"/>
  <c r="X36" i="15"/>
  <c r="W35" i="15"/>
  <c r="W31" i="15"/>
  <c r="X31" i="15"/>
  <c r="W30" i="15"/>
  <c r="B18" i="15"/>
  <c r="E18" i="15" s="1"/>
  <c r="F18" i="15" s="1"/>
  <c r="B17" i="15"/>
  <c r="E17" i="15" s="1"/>
  <c r="F17" i="15" s="1"/>
  <c r="B16" i="15"/>
  <c r="E16" i="15" s="1"/>
  <c r="F16" i="15" s="1"/>
  <c r="AA76" i="15" l="1"/>
  <c r="H51" i="16" s="1"/>
  <c r="I51" i="16" s="1"/>
  <c r="AA69" i="15"/>
  <c r="H44" i="16" s="1"/>
  <c r="I44" i="16" s="1"/>
  <c r="AA52" i="15"/>
  <c r="H27" i="16" s="1"/>
  <c r="I27" i="16" s="1"/>
  <c r="AA31" i="15"/>
  <c r="H6" i="16" s="1"/>
  <c r="I6" i="16" s="1"/>
  <c r="AA32" i="15"/>
  <c r="H7" i="16" s="1"/>
  <c r="I7" i="16" s="1"/>
  <c r="AA33" i="15"/>
  <c r="H8" i="16" s="1"/>
  <c r="I8" i="16" s="1"/>
  <c r="S89" i="15"/>
  <c r="AI29" i="15"/>
  <c r="AA29" i="15"/>
  <c r="H4" i="16" s="1"/>
  <c r="H64" i="16" s="1"/>
  <c r="AA86" i="15"/>
  <c r="H61" i="16" s="1"/>
  <c r="AA82" i="15"/>
  <c r="H57" i="16" s="1"/>
  <c r="I57" i="16" s="1"/>
  <c r="AA79" i="15"/>
  <c r="H54" i="16" s="1"/>
  <c r="I54" i="16" s="1"/>
  <c r="AA74" i="15"/>
  <c r="H49" i="16" s="1"/>
  <c r="I49" i="16" s="1"/>
  <c r="AA71" i="15"/>
  <c r="H46" i="16" s="1"/>
  <c r="I46" i="16" s="1"/>
  <c r="AA57" i="15"/>
  <c r="H32" i="16" s="1"/>
  <c r="AA53" i="15"/>
  <c r="H28" i="16" s="1"/>
  <c r="AA44" i="15"/>
  <c r="H19" i="16" s="1"/>
  <c r="I19" i="16" s="1"/>
  <c r="AA42" i="15"/>
  <c r="H17" i="16" s="1"/>
  <c r="I17" i="16" s="1"/>
  <c r="AA36" i="15"/>
  <c r="H11" i="16" s="1"/>
  <c r="I11" i="16" s="1"/>
  <c r="AA30" i="15"/>
  <c r="H5" i="16" s="1"/>
  <c r="AA56" i="15"/>
  <c r="H31" i="16" s="1"/>
  <c r="AA47" i="15"/>
  <c r="H22" i="16" s="1"/>
  <c r="I22" i="16" s="1"/>
  <c r="AA43" i="15"/>
  <c r="H18" i="16" s="1"/>
  <c r="I18" i="16" s="1"/>
  <c r="AA67" i="15"/>
  <c r="H42" i="16" s="1"/>
  <c r="I42" i="16" s="1"/>
  <c r="AA51" i="15"/>
  <c r="H26" i="16" s="1"/>
  <c r="AA37" i="15"/>
  <c r="H12" i="16" s="1"/>
  <c r="AA85" i="15"/>
  <c r="H60" i="16" s="1"/>
  <c r="I60" i="16" s="1"/>
  <c r="AA78" i="15"/>
  <c r="H53" i="16" s="1"/>
  <c r="I53" i="16" s="1"/>
  <c r="AA61" i="15"/>
  <c r="H36" i="16" s="1"/>
  <c r="AA39" i="15"/>
  <c r="H14" i="16" s="1"/>
  <c r="I14" i="16" s="1"/>
  <c r="U89" i="15"/>
  <c r="AA84" i="15"/>
  <c r="H59" i="16" s="1"/>
  <c r="AA70" i="15"/>
  <c r="H45" i="16" s="1"/>
  <c r="AA41" i="15"/>
  <c r="H16" i="16" s="1"/>
  <c r="I16" i="16" s="1"/>
  <c r="AA34" i="15"/>
  <c r="H9" i="16" s="1"/>
  <c r="I9" i="16" s="1"/>
  <c r="AA80" i="15"/>
  <c r="H55" i="16" s="1"/>
  <c r="I55" i="16" s="1"/>
  <c r="AA68" i="15"/>
  <c r="H43" i="16" s="1"/>
  <c r="I43" i="16" s="1"/>
  <c r="AA64" i="15"/>
  <c r="H39" i="16" s="1"/>
  <c r="I39" i="16" s="1"/>
  <c r="AA60" i="15"/>
  <c r="H35" i="16" s="1"/>
  <c r="AA58" i="15"/>
  <c r="H33" i="16" s="1"/>
  <c r="AA77" i="15"/>
  <c r="H52" i="16" s="1"/>
  <c r="I52" i="16" s="1"/>
  <c r="AA75" i="15"/>
  <c r="H50" i="16" s="1"/>
  <c r="I50" i="16" s="1"/>
  <c r="AA55" i="15"/>
  <c r="H30" i="16" s="1"/>
  <c r="AA50" i="15"/>
  <c r="H25" i="16" s="1"/>
  <c r="AA48" i="15"/>
  <c r="H23" i="16" s="1"/>
  <c r="AA46" i="15"/>
  <c r="H21" i="16" s="1"/>
  <c r="I21" i="16" s="1"/>
  <c r="AA40" i="15"/>
  <c r="H15" i="16" s="1"/>
  <c r="I15" i="16" s="1"/>
  <c r="AA38" i="15"/>
  <c r="H13" i="16" s="1"/>
  <c r="I13" i="16" s="1"/>
  <c r="AA35" i="15"/>
  <c r="H10" i="16" s="1"/>
  <c r="I10" i="16" s="1"/>
  <c r="AA65" i="15"/>
  <c r="H40" i="16" s="1"/>
  <c r="I40" i="16" s="1"/>
  <c r="T89" i="15"/>
  <c r="Y89" i="15"/>
  <c r="W89" i="15"/>
  <c r="X89" i="15"/>
  <c r="V89" i="15"/>
  <c r="AA73" i="15"/>
  <c r="H48" i="16" s="1"/>
  <c r="I48" i="16" s="1"/>
  <c r="AA66" i="15"/>
  <c r="H41" i="16" s="1"/>
  <c r="I41" i="16" s="1"/>
  <c r="AA63" i="15"/>
  <c r="H38" i="16" s="1"/>
  <c r="I38" i="16" s="1"/>
  <c r="AA88" i="15"/>
  <c r="H63" i="16" s="1"/>
  <c r="AA72" i="15"/>
  <c r="H47" i="16" s="1"/>
  <c r="AA54" i="15"/>
  <c r="H29" i="16" s="1"/>
  <c r="I29" i="16" s="1"/>
  <c r="AA45" i="15"/>
  <c r="H20" i="16" s="1"/>
  <c r="I20" i="16" s="1"/>
  <c r="E65" i="16"/>
  <c r="E66" i="16" s="1"/>
  <c r="I58" i="16"/>
  <c r="I56" i="16"/>
  <c r="C78" i="16" l="1"/>
  <c r="AA90" i="15"/>
  <c r="AA92" i="15" s="1"/>
  <c r="AA93" i="15" s="1"/>
  <c r="AA89" i="15"/>
  <c r="I30" i="16"/>
  <c r="C74" i="16" s="1"/>
  <c r="I31" i="16"/>
  <c r="I36" i="16"/>
  <c r="I25" i="16"/>
  <c r="I45" i="16"/>
  <c r="I63" i="16"/>
  <c r="C82" i="16" s="1"/>
  <c r="I61" i="16"/>
  <c r="C80" i="16" s="1"/>
  <c r="I37" i="16"/>
  <c r="I35" i="16"/>
  <c r="I62" i="16"/>
  <c r="C81" i="16" s="1"/>
  <c r="I33" i="16"/>
  <c r="I59" i="16"/>
  <c r="C79" i="16" s="1"/>
  <c r="I28" i="16"/>
  <c r="C73" i="16" s="1"/>
  <c r="I34" i="16"/>
  <c r="I47" i="16"/>
  <c r="I26" i="16"/>
  <c r="C72" i="16" s="1"/>
  <c r="I4" i="16"/>
  <c r="F65" i="16"/>
  <c r="I5" i="16"/>
  <c r="I32" i="16"/>
  <c r="C76" i="16" l="1"/>
  <c r="C75" i="16"/>
  <c r="C77" i="16"/>
  <c r="G65" i="16"/>
  <c r="G66" i="16" s="1"/>
  <c r="I24" i="16"/>
  <c r="C71" i="16" s="1"/>
  <c r="F66" i="16"/>
  <c r="I12" i="16"/>
  <c r="I23" i="16" l="1"/>
  <c r="I64" i="16" s="1"/>
  <c r="H65" i="16"/>
  <c r="C70" i="16" l="1"/>
  <c r="C83" i="16" s="1"/>
  <c r="C84" i="16" s="1"/>
  <c r="C85" i="16" s="1"/>
  <c r="I65" i="16"/>
  <c r="I66" i="16" s="1"/>
  <c r="H66" i="16"/>
</calcChain>
</file>

<file path=xl/sharedStrings.xml><?xml version="1.0" encoding="utf-8"?>
<sst xmlns="http://schemas.openxmlformats.org/spreadsheetml/2006/main" count="2068" uniqueCount="204">
  <si>
    <t>VALORES SIN IVA</t>
  </si>
  <si>
    <t>SEDE</t>
  </si>
  <si>
    <t>PUESTO</t>
  </si>
  <si>
    <t>HORARIO DE TRABAJO</t>
  </si>
  <si>
    <t>TOTAL</t>
  </si>
  <si>
    <t>SEDE 1.  PALACIO DE JUSTICIA ALFONSO REYES ECHANDIA</t>
  </si>
  <si>
    <t>Supervisor de Puesto y sedes anexas</t>
  </si>
  <si>
    <t>Lunes a viernes servicio 14 Horas 06.00 A 20.00 Sin Arma</t>
  </si>
  <si>
    <t>Ingreso y entrada vehicular Cra. 8</t>
  </si>
  <si>
    <t>Lunes a domingo Servicio 24 Horas Sin Arma</t>
  </si>
  <si>
    <t>Manejador canino</t>
  </si>
  <si>
    <t>Lunes a viernes Servicio 12 Horas 6.00 A 18.00 Horas Sin Arma</t>
  </si>
  <si>
    <t>Correspondencia principal</t>
  </si>
  <si>
    <t>Lunes a viernes Servicio 9 Horas 08.00 A 17.00 Horas Sin Arma</t>
  </si>
  <si>
    <t>Filtro Cortes Suprema y Constitucional</t>
  </si>
  <si>
    <t>Lunes a viernes Servicio 11 H De 08.00 A 19.00 H Sin Arma</t>
  </si>
  <si>
    <t>Filtro Consejo Superior de la Judicatura y Estado</t>
  </si>
  <si>
    <t>Recepción exclusa o Consejo Estado</t>
  </si>
  <si>
    <t>Recepción exclusa o Corte Constitucional</t>
  </si>
  <si>
    <t>Recepción exclusa o Corte Suprema de Justicia</t>
  </si>
  <si>
    <t>Recepción exclusa Comisión Nacional de Disciplina y Consejo Superior de la Judicatura</t>
  </si>
  <si>
    <t>Lunes a viernes Servicio 12 Horas 07.00 A 19.00 Sin Arma</t>
  </si>
  <si>
    <t>Entrada de funcionarios molinetes calle12</t>
  </si>
  <si>
    <t>Lunes a viernes Servicio 12 Horas 06.00 A 18.00 Sin Arma</t>
  </si>
  <si>
    <t>Entrada funcionarios molinetes Cra. 8</t>
  </si>
  <si>
    <t>Lunes a viernes Servicio 12 Horas 08.00 A 20.00 Sin Arma</t>
  </si>
  <si>
    <t>Parqueadero calle 8</t>
  </si>
  <si>
    <t>Parqueadero calle 12</t>
  </si>
  <si>
    <t>Acceso semisótano corte suprema de Justicia</t>
  </si>
  <si>
    <t>Acceso semisótano corte constitucional</t>
  </si>
  <si>
    <t>Acceso semisótano Consejo Superior de la Judicatura</t>
  </si>
  <si>
    <t>Acceso Semisótano Consejo de Estado</t>
  </si>
  <si>
    <t xml:space="preserve">Recorredor Palacio de Justicia y apoyo obras </t>
  </si>
  <si>
    <t>SEDE 2.  ESCUELA JUDICIAL RODRIGO LARA BONILLA</t>
  </si>
  <si>
    <t>Control ingreso 2 piso</t>
  </si>
  <si>
    <t>Lunes a domingo Servicio 24 Horas Con Arma</t>
  </si>
  <si>
    <t>Control ingreso 4 piso</t>
  </si>
  <si>
    <t>SEDE 3.  EDIFICIO ANTIGUO BANCO POPULAR</t>
  </si>
  <si>
    <t>Recepción</t>
  </si>
  <si>
    <t>Control de ingreso y revistas</t>
  </si>
  <si>
    <t>Lunes a viernes  12 H De 06.00 A 18.00 Horas Sin Arma</t>
  </si>
  <si>
    <t>SEDE 4.  SEDE ANEXA</t>
  </si>
  <si>
    <t>Control Ingreso personal y paquetes</t>
  </si>
  <si>
    <t>Lunes a domingo Servicio 24 H Con Arma</t>
  </si>
  <si>
    <t>Control de ingreso funcionarios</t>
  </si>
  <si>
    <t>SEDE 5.  EDIFICIO DINERS</t>
  </si>
  <si>
    <t>Entrada principal y recorrido</t>
  </si>
  <si>
    <t>SEDE 6.  ALMACÉN GENERAL E INVENTARIOS</t>
  </si>
  <si>
    <t>Control ingreso 1 piso</t>
  </si>
  <si>
    <t>Lunes a domingo Servicio 24H Con Arma</t>
  </si>
  <si>
    <t xml:space="preserve">Control ingreso parqueadero y recorrido </t>
  </si>
  <si>
    <t>SEDE 7.  EDIFICIO BANCO DE CRÉDITO</t>
  </si>
  <si>
    <t>Parqueadero VIP portería Cra. 6</t>
  </si>
  <si>
    <t xml:space="preserve">Parqueadero por la Cra. 7 </t>
  </si>
  <si>
    <t xml:space="preserve">Control de medios tecnológicos y recorrido </t>
  </si>
  <si>
    <t>Lunes a domingo Servicio 24 Horas</t>
  </si>
  <si>
    <t>Escáner</t>
  </si>
  <si>
    <t>Portería Cra. 7 (entrada principal)</t>
  </si>
  <si>
    <t>24 H Fines De Semana Y Festivos</t>
  </si>
  <si>
    <t>Lunes a viernes Servicio   12 H
Con Arma Lunes a viernes Nocturno</t>
  </si>
  <si>
    <t xml:space="preserve">Puerta correspondencia </t>
  </si>
  <si>
    <t>Despacho</t>
  </si>
  <si>
    <t>Lunes a viernes Servicio 9 Horas de 08:00 H A 17:00 H Sin Festivos</t>
  </si>
  <si>
    <t>Puerta principal despacho judiciales</t>
  </si>
  <si>
    <t xml:space="preserve">Recepción </t>
  </si>
  <si>
    <t>Lunes a viernes 12 H De 06.00 A 18.00 Horas Sin Arma</t>
  </si>
  <si>
    <t>Medios tecnológicos - CCTV</t>
  </si>
  <si>
    <t>Apoyo Canino (Parqueadero Cra. 7 de 7-9 am, portería Cra. 7 y Correspondencia)</t>
  </si>
  <si>
    <t>Lunes a viernes Servicio 12H DE 06:00 A 18: 00 H (ConCanino)</t>
  </si>
  <si>
    <t>SEDE 8.  EDIFICIO TORRE D</t>
  </si>
  <si>
    <t xml:space="preserve">Sótano </t>
  </si>
  <si>
    <t xml:space="preserve">Parqueadero </t>
  </si>
  <si>
    <t>Edificio aforados calle 73 acceso de sótano</t>
  </si>
  <si>
    <t>De Lunes a viernes SIN ARMA De las 6:00 a las 18:00 horas (12 hrs)</t>
  </si>
  <si>
    <t>Torre D piso 7</t>
  </si>
  <si>
    <t>Edificios aforados canino</t>
  </si>
  <si>
    <t>De Lunes a viernes CON CANINO SIN de las 6:00 a las 18:00 ARMA (12 hrs)</t>
  </si>
  <si>
    <t>Edificios aforados piso 2 y 3 recorrido</t>
  </si>
  <si>
    <t>Edificios aforados piso 4 y 5 recorrido</t>
  </si>
  <si>
    <t>Edificios aforados 6 y 7 recorrido</t>
  </si>
  <si>
    <t xml:space="preserve">Supervisor de puesto zona norte y sede anexas </t>
  </si>
  <si>
    <t>Torre D piso 8</t>
  </si>
  <si>
    <t>SEDE 9.  EDIFICIO TORRE B</t>
  </si>
  <si>
    <t>Recepción y recorrido</t>
  </si>
  <si>
    <t>De Lunes a viernes SIN ARMA De las 6:00 a las 22:00 (16 hrs)</t>
  </si>
  <si>
    <t>SEDE 10.  EDIFICIO AKL</t>
  </si>
  <si>
    <t>Recepción primer piso y recorrido</t>
  </si>
  <si>
    <t>De Lunes a domingo CON ARMA Servicio 24 horas</t>
  </si>
  <si>
    <t>Recepción primer piso</t>
  </si>
  <si>
    <t>SEDE 11.  LOTE PARQUEADERO</t>
  </si>
  <si>
    <t>Bodega general entrada y recorrido</t>
  </si>
  <si>
    <t>SEDE 12.  LOTE SALITRE TRIBUNALES</t>
  </si>
  <si>
    <t>Control de entrada y recorridos</t>
  </si>
  <si>
    <t>De Lunes a domingo SIN ARMA Servicio 24 horas</t>
  </si>
  <si>
    <t>SEDE 13.  EDIFICIO CALLE 85</t>
  </si>
  <si>
    <t>Recepción, control de entrada y recorridos</t>
  </si>
  <si>
    <t>Subtotal</t>
  </si>
  <si>
    <t xml:space="preserve">IVA </t>
  </si>
  <si>
    <t>Total</t>
  </si>
  <si>
    <t>PRESUPUESTO</t>
  </si>
  <si>
    <t>SUBTOTAL</t>
  </si>
  <si>
    <t>IVA</t>
  </si>
  <si>
    <t>DESCRIPCIÓN DEL SERVICIO PRESTADO DE VIGILANCIA</t>
  </si>
  <si>
    <t xml:space="preserve">VALOR PÓLIZA </t>
  </si>
  <si>
    <t>Son 24 horas y/o tienen vacancia</t>
  </si>
  <si>
    <t xml:space="preserve">Servicio 24 horas, 30 días al mes, sin arma (lunes a domingo) </t>
  </si>
  <si>
    <t xml:space="preserve">Servicio 24 horas, 30 días al mes, con arma (lunes a domingo) </t>
  </si>
  <si>
    <t>Tienen semana santa</t>
  </si>
  <si>
    <t>Servicio 24 horas, 10 días al mes, con arma (sabado, domingo y festivos)</t>
  </si>
  <si>
    <t>Tiene jornada diurna y noctura por hora</t>
  </si>
  <si>
    <t>Servicio 12 horas nocturnas con arma (lunes a viernes sin festivo)</t>
  </si>
  <si>
    <t>Servicio 16 horas (15 horas diurnas y 1 hora nocturna) sin arma (lunes a viernes sin festivo)</t>
  </si>
  <si>
    <t>https://www.infobae.com/colombia/2026/08/09/salario-minimo-de-2027-asi-seria-el-aumento-si-el-gobierno-de-de-la-espriella-le-hace-caso-al-banco-de-la-republica-y-lo-sube-5-o-6/</t>
  </si>
  <si>
    <t xml:space="preserve">Servicio 14 horas diurnas sin arma (lunes a viernes sin festivo) Supervisor </t>
  </si>
  <si>
    <t>Servicio 12 horas diurnas sin arma (lunes a viernes sin festivo)</t>
  </si>
  <si>
    <t>Servicio 12 horas diurnas con canino (lunes a viernes sin festivo)</t>
  </si>
  <si>
    <t>Servicio 11 horas diurnas sin arma (lunes a viernes sin festivo)</t>
  </si>
  <si>
    <t>Servicio 10 horas diurnas sin arma (lunes a viernes sin festivo)</t>
  </si>
  <si>
    <t>Servicio 09 horas diurnas sin arma (lunes a viernes sin festivo)</t>
  </si>
  <si>
    <t>TARIFAS</t>
  </si>
  <si>
    <t>CONCEPTO</t>
  </si>
  <si>
    <t xml:space="preserve">SMMLV * TARIFA </t>
  </si>
  <si>
    <t>% AyS</t>
  </si>
  <si>
    <t>POLIZA</t>
  </si>
  <si>
    <t>VALOR AyS</t>
  </si>
  <si>
    <t>TOTAL TARIFA</t>
  </si>
  <si>
    <t>ays</t>
  </si>
  <si>
    <t>Tipo de Personal</t>
  </si>
  <si>
    <t>Medio Humano sin arma</t>
  </si>
  <si>
    <t>Gastos admon 8 %</t>
  </si>
  <si>
    <t>Sin arma</t>
  </si>
  <si>
    <t>Medio humanno con arma</t>
  </si>
  <si>
    <t>Gastos admon 10 %</t>
  </si>
  <si>
    <t>Con Arma</t>
  </si>
  <si>
    <t>Medio humano con canino</t>
  </si>
  <si>
    <t>Gastos admon 11 %</t>
  </si>
  <si>
    <t>Canino</t>
  </si>
  <si>
    <t>JORNADA</t>
  </si>
  <si>
    <t>SMMLV</t>
  </si>
  <si>
    <t>TARIFA SERVICI</t>
  </si>
  <si>
    <t>VARIABLE PROBABILIDAD</t>
  </si>
  <si>
    <t>6:00 am a 7:00 pm (Turno de 13 horas diurnas)</t>
  </si>
  <si>
    <t>7:00 pm a 6:00 am (Turno de 13 horas diurnas)</t>
  </si>
  <si>
    <t>INFORMACIÓN PERSONAL REQUERIDO</t>
  </si>
  <si>
    <t>JORNADA Nocturna</t>
  </si>
  <si>
    <t>Jornada Diurna</t>
  </si>
  <si>
    <t>CARGO</t>
  </si>
  <si>
    <t>VACANCIA JUDICIAL</t>
  </si>
  <si>
    <t>SEMANA SANTA</t>
  </si>
  <si>
    <t>NÚMERO DE OPERARIOS</t>
  </si>
  <si>
    <t>HORAS DE SERVICIO</t>
  </si>
  <si>
    <t>Horas Diurnas</t>
  </si>
  <si>
    <t>Horas Nocturnas</t>
  </si>
  <si>
    <t>DIAS REQUERIDOS DIC</t>
  </si>
  <si>
    <t>DIAS REQUERIDOS SEMANA S</t>
  </si>
  <si>
    <t>DIAS REQUERIDOS</t>
  </si>
  <si>
    <t>VALOR POLIZA</t>
  </si>
  <si>
    <t>Dic</t>
  </si>
  <si>
    <t>AYS</t>
  </si>
  <si>
    <t>SUPERVISOR</t>
  </si>
  <si>
    <t>VIGILANTE</t>
  </si>
  <si>
    <t>Lunes a viernes Servicio 12 Horas 6.00 A 18.00 Horas Canino</t>
  </si>
  <si>
    <t>MANEJADOR CANINO</t>
  </si>
  <si>
    <t>OPERADOR DE MEDIOS</t>
  </si>
  <si>
    <t>TOTAL, SERVICIOS</t>
  </si>
  <si>
    <t>HORAS JORNADA</t>
  </si>
  <si>
    <t>AM / PM</t>
  </si>
  <si>
    <t>13 Y 1</t>
  </si>
  <si>
    <t>FULL</t>
  </si>
  <si>
    <t>AM</t>
  </si>
  <si>
    <t>PM</t>
  </si>
  <si>
    <t>VALOR PÓLIZA INDEXADO PROYECCIÓN IPC 6,9%</t>
  </si>
  <si>
    <t>https://www.portafolio.co/economia/finanzas/riesgos-economicos-en-colombia-mayor-inflacion-y-menor-crecimiento-499944</t>
  </si>
  <si>
    <t>TARIFAS 7/2027</t>
  </si>
  <si>
    <t>TARIFA SERVICI 7-2027</t>
  </si>
  <si>
    <t>INCREMENTO SALARIO MINIMO ESPERADO</t>
  </si>
  <si>
    <t>DIAS REQUERIDOS Enero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</si>
  <si>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</si>
  <si>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</si>
  <si>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</si>
  <si>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</si>
  <si>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</si>
  <si>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</si>
  <si>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</si>
  <si>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</si>
  <si>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</si>
  <si>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</si>
  <si>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</si>
  <si>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</si>
  <si>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https://www.bloomberglinea.com/latinoamerica/colombia/colombia-llegara-a-2027-sin-alcanzar-meta-de-inflacion-y-quedara-rezagada-frente-a-la-region-citi/</t>
  </si>
  <si>
    <t>PERMANENCIA</t>
  </si>
  <si>
    <t>14 H</t>
  </si>
  <si>
    <t>24 H</t>
  </si>
  <si>
    <t>12 H</t>
  </si>
  <si>
    <t>9 H</t>
  </si>
  <si>
    <t>11 H</t>
  </si>
  <si>
    <t>Lunes a viernes Servicio   12 H</t>
  </si>
  <si>
    <t>12H</t>
  </si>
  <si>
    <t>Con Arma Lunes a viernes Nocturno</t>
  </si>
  <si>
    <t>Lunes a viernes Servicio 9 Horas</t>
  </si>
  <si>
    <t>08.00 A 17.00 Horas Sin Arma</t>
  </si>
  <si>
    <t>Lunes a viernes Servicio 12H DE 06:00 A 18: 00 H (Con</t>
  </si>
  <si>
    <t>Canino)</t>
  </si>
  <si>
    <t>16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</si>
</sst>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5" formatCode="&quot;$&quot;\ #,##0;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&quot;$&quot;\ * #,##0.000_-;\-&quot;$&quot;\ * #,##0.000_-;_-&quot;$&quot;\ * &quot;-&quot;??_-;_-@_-"/>
    <numFmt numFmtId="166" formatCode="_-&quot;$&quot;\ * #,##0.0000_-;\-&quot;$&quot;\ * #,##0.0000_-;_-&quot;$&quot;\ * &quot;-&quot;??_-;_-@_-"/>
    <numFmt numFmtId="167" formatCode="_-&quot;$&quot;\ * #,##0.00000_-;\-&quot;$&quot;\ * #,##0.00000_-;_-&quot;$&quot;\ * &quot;-&quot;??_-;_-@_-"/>
    <numFmt numFmtId="168" formatCode="[$$-240A]\ #,##0.00"/>
  </numFmts>
  <fonts count="1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name val="Aptos Narrow"/>
      <family val="2"/>
      <scheme val="minor"/>
    </font>
    <font>
      <b/>
      <sz val="7"/>
      <color theme="1"/>
      <name val="Arial"/>
      <family val="2"/>
    </font>
    <font>
      <sz val="7"/>
      <name val="Arial"/>
      <family val="2"/>
    </font>
    <font>
      <b/>
      <sz val="11"/>
      <color theme="0"/>
      <name val="Aptos Narrow"/>
      <family val="2"/>
      <scheme val="minor"/>
    </font>
    <font>
      <b/>
      <sz val="1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sz val="9"/>
      <color theme="0"/>
      <name val="Arial"/>
      <family val="2"/>
    </font>
    <font>
      <sz val="11"/>
      <color theme="5" tint="-0.249977111117893"/>
      <name val="Aptos Narrow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4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5" fontId="6" fillId="5" borderId="1" xfId="1" applyNumberFormat="1" applyFont="1" applyFill="1" applyBorder="1" applyAlignment="1" applyProtection="1">
      <alignment horizontal="center" vertical="center" wrapText="1"/>
      <protection locked="0"/>
    </xf>
    <xf numFmtId="44" fontId="0" fillId="0" borderId="0" xfId="2" applyFont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Alignment="1">
      <alignment horizontal="left"/>
    </xf>
    <xf numFmtId="0" fontId="0" fillId="9" borderId="0" xfId="0" applyFill="1" applyAlignment="1">
      <alignment horizontal="center"/>
    </xf>
    <xf numFmtId="0" fontId="7" fillId="10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9" fillId="0" borderId="0" xfId="3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/>
    </xf>
    <xf numFmtId="44" fontId="0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4" fontId="3" fillId="0" borderId="1" xfId="2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4" fontId="3" fillId="2" borderId="1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vertical="center" wrapText="1"/>
    </xf>
    <xf numFmtId="44" fontId="10" fillId="0" borderId="1" xfId="2" applyFont="1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44" fontId="0" fillId="0" borderId="0" xfId="0" applyNumberFormat="1"/>
    <xf numFmtId="44" fontId="13" fillId="11" borderId="1" xfId="0" applyNumberFormat="1" applyFont="1" applyFill="1" applyBorder="1"/>
    <xf numFmtId="44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2" fillId="12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12" fillId="10" borderId="12" xfId="0" applyFont="1" applyFill="1" applyBorder="1" applyAlignment="1">
      <alignment horizontal="center" vertical="center" wrapText="1"/>
    </xf>
    <xf numFmtId="44" fontId="0" fillId="0" borderId="0" xfId="2" applyFont="1"/>
    <xf numFmtId="10" fontId="0" fillId="0" borderId="0" xfId="0" applyNumberFormat="1" applyAlignment="1">
      <alignment vertical="center"/>
    </xf>
    <xf numFmtId="44" fontId="0" fillId="0" borderId="1" xfId="0" applyNumberFormat="1" applyBorder="1" applyAlignment="1">
      <alignment vertical="center"/>
    </xf>
    <xf numFmtId="0" fontId="8" fillId="13" borderId="1" xfId="0" applyFont="1" applyFill="1" applyBorder="1" applyAlignment="1">
      <alignment horizontal="center" vertical="center"/>
    </xf>
    <xf numFmtId="44" fontId="8" fillId="13" borderId="1" xfId="2" applyFont="1" applyFill="1" applyBorder="1" applyAlignment="1">
      <alignment horizontal="center" vertical="center"/>
    </xf>
    <xf numFmtId="168" fontId="14" fillId="13" borderId="1" xfId="0" applyNumberFormat="1" applyFont="1" applyFill="1" applyBorder="1" applyAlignment="1">
      <alignment horizontal="center" vertical="center" wrapText="1"/>
    </xf>
    <xf numFmtId="168" fontId="8" fillId="13" borderId="1" xfId="0" applyNumberFormat="1" applyFont="1" applyFill="1" applyBorder="1" applyAlignment="1">
      <alignment horizontal="center" vertical="center" wrapText="1"/>
    </xf>
    <xf numFmtId="168" fontId="14" fillId="4" borderId="1" xfId="0" applyNumberFormat="1" applyFont="1" applyFill="1" applyBorder="1" applyAlignment="1">
      <alignment horizontal="center" vertical="center" wrapText="1"/>
    </xf>
    <xf numFmtId="168" fontId="15" fillId="4" borderId="1" xfId="0" applyNumberFormat="1" applyFont="1" applyFill="1" applyBorder="1" applyAlignment="1">
      <alignment vertical="center" wrapText="1"/>
    </xf>
    <xf numFmtId="168" fontId="16" fillId="4" borderId="1" xfId="2" applyNumberFormat="1" applyFont="1" applyFill="1" applyBorder="1" applyAlignment="1">
      <alignment horizontal="center" vertical="center"/>
    </xf>
    <xf numFmtId="168" fontId="15" fillId="4" borderId="1" xfId="0" applyNumberFormat="1" applyFont="1" applyFill="1" applyBorder="1" applyAlignment="1">
      <alignment vertical="center"/>
    </xf>
    <xf numFmtId="168" fontId="16" fillId="13" borderId="1" xfId="2" applyNumberFormat="1" applyFont="1" applyFill="1" applyBorder="1" applyAlignment="1">
      <alignment horizontal="center" vertical="center"/>
    </xf>
    <xf numFmtId="168" fontId="16" fillId="13" borderId="1" xfId="0" applyNumberFormat="1" applyFont="1" applyFill="1" applyBorder="1"/>
    <xf numFmtId="9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4" fontId="10" fillId="0" borderId="0" xfId="2" applyFont="1" applyBorder="1" applyAlignment="1">
      <alignment horizontal="center" vertical="center"/>
    </xf>
    <xf numFmtId="0" fontId="12" fillId="10" borderId="13" xfId="0" applyFont="1" applyFill="1" applyBorder="1" applyAlignment="1">
      <alignment horizontal="center" vertical="center" wrapText="1"/>
    </xf>
    <xf numFmtId="9" fontId="0" fillId="0" borderId="1" xfId="4" applyFont="1" applyBorder="1"/>
    <xf numFmtId="4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vertical="center"/>
    </xf>
    <xf numFmtId="44" fontId="13" fillId="11" borderId="14" xfId="0" applyNumberFormat="1" applyFont="1" applyFill="1" applyBorder="1"/>
    <xf numFmtId="0" fontId="8" fillId="2" borderId="1" xfId="0" applyFont="1" applyFill="1" applyBorder="1" applyAlignment="1">
      <alignment horizontal="center" vertical="center"/>
    </xf>
    <xf numFmtId="10" fontId="0" fillId="0" borderId="1" xfId="4" applyNumberFormat="1" applyFont="1" applyBorder="1" applyAlignment="1">
      <alignment vertical="center"/>
    </xf>
    <xf numFmtId="10" fontId="0" fillId="0" borderId="1" xfId="4" applyNumberFormat="1" applyFont="1" applyBorder="1"/>
    <xf numFmtId="44" fontId="3" fillId="0" borderId="1" xfId="2" applyFont="1" applyFill="1" applyBorder="1" applyAlignment="1">
      <alignment horizontal="center" vertical="center"/>
    </xf>
    <xf numFmtId="168" fontId="14" fillId="13" borderId="1" xfId="0" applyNumberFormat="1" applyFont="1" applyFill="1" applyBorder="1" applyAlignment="1">
      <alignment horizontal="center" vertical="center" wrapText="1"/>
    </xf>
    <xf numFmtId="168" fontId="8" fillId="13" borderId="1" xfId="0" applyNumberFormat="1" applyFont="1" applyFill="1" applyBorder="1" applyAlignment="1">
      <alignment horizontal="center" vertical="center"/>
    </xf>
    <xf numFmtId="168" fontId="14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/>
    </xf>
    <xf numFmtId="0" fontId="7" fillId="10" borderId="0" xfId="0" applyFont="1" applyFill="1" applyAlignment="1">
      <alignment horizontal="center" vertical="center"/>
    </xf>
    <xf numFmtId="0" fontId="9" fillId="0" borderId="2" xfId="3" applyBorder="1" applyAlignment="1">
      <alignment horizontal="center" vertical="center" wrapText="1"/>
    </xf>
    <xf numFmtId="0" fontId="9" fillId="0" borderId="3" xfId="3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 wrapText="1"/>
    </xf>
    <xf numFmtId="0" fontId="2" fillId="12" borderId="10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" xfId="1" builtinId="3"/>
    <cellStyle name="Moneda" xfId="2" builtinId="4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do_m\Downloads\Opci&#243;n%206%20Presupuesto%20Vigilancia%20(2).xlsx" TargetMode="External"/><Relationship Id="rId1" Type="http://schemas.openxmlformats.org/officeDocument/2006/relationships/externalLinkPath" Target="Opci&#243;n%206%20Presupuesto%20Vigilancia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tructivo"/>
      <sheetName val="Proy SMMLV"/>
      <sheetName val="Supuestos"/>
      <sheetName val="Calendario"/>
      <sheetName val="Catalogo"/>
      <sheetName val="Dic-2026"/>
      <sheetName val="2027 I"/>
      <sheetName val="2027 II"/>
      <sheetName val="2028"/>
      <sheetName val="2029"/>
      <sheetName val="Ene-Jul 2030"/>
      <sheetName val="Resumen Contrato"/>
      <sheetName val="Datos IPC"/>
      <sheetName val="Datos PIB"/>
      <sheetName val="Datos PTF"/>
      <sheetName val="Datos SMMLV"/>
      <sheetName val="Modelo Econométrico"/>
      <sheetName val="Método Paso a Paso"/>
      <sheetName val="Calculo Seguro"/>
    </sheetNames>
    <sheetDataSet>
      <sheetData sheetId="0"/>
      <sheetData sheetId="1"/>
      <sheetData sheetId="2"/>
      <sheetData sheetId="3"/>
      <sheetData sheetId="4"/>
      <sheetData sheetId="5">
        <row r="6">
          <cell r="X6">
            <v>6867489</v>
          </cell>
        </row>
        <row r="7">
          <cell r="X7">
            <v>19680313</v>
          </cell>
        </row>
        <row r="8">
          <cell r="X8">
            <v>3849548</v>
          </cell>
        </row>
        <row r="9">
          <cell r="X9">
            <v>2809130</v>
          </cell>
        </row>
        <row r="10">
          <cell r="X10">
            <v>3433381</v>
          </cell>
        </row>
        <row r="11">
          <cell r="X11">
            <v>5282124</v>
          </cell>
        </row>
        <row r="12">
          <cell r="X12">
            <v>3433381</v>
          </cell>
        </row>
        <row r="13">
          <cell r="X13">
            <v>3433381</v>
          </cell>
        </row>
        <row r="14">
          <cell r="X14">
            <v>3433381</v>
          </cell>
        </row>
        <row r="15">
          <cell r="X15">
            <v>5762318</v>
          </cell>
        </row>
        <row r="16">
          <cell r="X16">
            <v>5762318</v>
          </cell>
        </row>
        <row r="17">
          <cell r="X17">
            <v>5907103</v>
          </cell>
        </row>
        <row r="18">
          <cell r="X18">
            <v>5762318</v>
          </cell>
        </row>
        <row r="19">
          <cell r="X19">
            <v>5762318</v>
          </cell>
        </row>
        <row r="20">
          <cell r="X20">
            <v>5907103</v>
          </cell>
        </row>
        <row r="21">
          <cell r="X21">
            <v>3745506</v>
          </cell>
        </row>
        <row r="22">
          <cell r="X22">
            <v>3745506</v>
          </cell>
        </row>
        <row r="23">
          <cell r="X23">
            <v>5762318</v>
          </cell>
        </row>
        <row r="24">
          <cell r="X24">
            <v>3745506</v>
          </cell>
        </row>
        <row r="25">
          <cell r="X25">
            <v>19680313</v>
          </cell>
        </row>
        <row r="26">
          <cell r="X26">
            <v>20044763</v>
          </cell>
        </row>
        <row r="27">
          <cell r="X27">
            <v>20044763</v>
          </cell>
        </row>
        <row r="28">
          <cell r="X28">
            <v>20044763</v>
          </cell>
        </row>
        <row r="29">
          <cell r="X29">
            <v>3745506</v>
          </cell>
        </row>
        <row r="30">
          <cell r="X30">
            <v>20044763</v>
          </cell>
        </row>
        <row r="31">
          <cell r="X31">
            <v>3745506</v>
          </cell>
        </row>
        <row r="32">
          <cell r="X32">
            <v>20044763</v>
          </cell>
        </row>
        <row r="33">
          <cell r="X33">
            <v>20044763</v>
          </cell>
        </row>
        <row r="34">
          <cell r="X34">
            <v>20044763</v>
          </cell>
        </row>
        <row r="35">
          <cell r="X35">
            <v>20044763</v>
          </cell>
        </row>
        <row r="36">
          <cell r="X36">
            <v>20044763</v>
          </cell>
        </row>
        <row r="37">
          <cell r="X37">
            <v>19680313</v>
          </cell>
        </row>
        <row r="38">
          <cell r="X38">
            <v>20044763</v>
          </cell>
        </row>
        <row r="39">
          <cell r="X39">
            <v>6681588</v>
          </cell>
        </row>
        <row r="40">
          <cell r="X40">
            <v>7491159</v>
          </cell>
        </row>
        <row r="41">
          <cell r="X41">
            <v>4321738</v>
          </cell>
        </row>
        <row r="42">
          <cell r="X42">
            <v>4321738</v>
          </cell>
        </row>
        <row r="43">
          <cell r="X43">
            <v>4321738</v>
          </cell>
        </row>
        <row r="44">
          <cell r="X44">
            <v>5762318</v>
          </cell>
        </row>
        <row r="45">
          <cell r="X45">
            <v>5762318</v>
          </cell>
        </row>
        <row r="46">
          <cell r="X46">
            <v>5922382</v>
          </cell>
        </row>
        <row r="47">
          <cell r="X47">
            <v>20044763</v>
          </cell>
        </row>
        <row r="48">
          <cell r="X48">
            <v>20044763</v>
          </cell>
        </row>
        <row r="49">
          <cell r="X49">
            <v>20044763</v>
          </cell>
        </row>
        <row r="50">
          <cell r="X50">
            <v>3745506</v>
          </cell>
        </row>
        <row r="51">
          <cell r="X51">
            <v>3745506</v>
          </cell>
        </row>
        <row r="52">
          <cell r="X52">
            <v>3849548</v>
          </cell>
        </row>
        <row r="53">
          <cell r="X53">
            <v>3745506</v>
          </cell>
        </row>
        <row r="54">
          <cell r="X54">
            <v>3745506</v>
          </cell>
        </row>
        <row r="55">
          <cell r="X55">
            <v>3745506</v>
          </cell>
        </row>
        <row r="56">
          <cell r="X56">
            <v>5762318</v>
          </cell>
        </row>
        <row r="57">
          <cell r="X57">
            <v>3745506</v>
          </cell>
        </row>
        <row r="58">
          <cell r="X58">
            <v>3745506</v>
          </cell>
        </row>
        <row r="59">
          <cell r="X59">
            <v>3745506</v>
          </cell>
        </row>
        <row r="60">
          <cell r="X60">
            <v>5276930</v>
          </cell>
        </row>
        <row r="61">
          <cell r="X61">
            <v>20044763</v>
          </cell>
        </row>
        <row r="62">
          <cell r="X62">
            <v>3745506</v>
          </cell>
        </row>
        <row r="63">
          <cell r="X63">
            <v>40089526</v>
          </cell>
        </row>
        <row r="64">
          <cell r="X64">
            <v>19680313</v>
          </cell>
        </row>
        <row r="65">
          <cell r="X65">
            <v>20044763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infobae.com/colombia/2026/08/09/salario-minimo-de-2027-asi-seria-el-aumento-si-el-gobierno-de-de-la-espriella-le-hace-caso-al-banco-de-la-republica-y-lo-sube-5-o-6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infobae.com/colombia/2026/08/09/salario-minimo-de-2027-asi-seria-el-aumento-si-el-gobierno-de-de-la-espriella-le-hace-caso-al-banco-de-la-republica-y-lo-sube-5-o-6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portafolio.co/economia/finanzas/riesgos-economicos-en-colombia-mayor-inflacion-y-menor-crecimiento-499944" TargetMode="External"/><Relationship Id="rId1" Type="http://schemas.openxmlformats.org/officeDocument/2006/relationships/hyperlink" Target="https://www.infobae.com/colombia/2026/08/09/salario-minimo-de-2027-asi-seria-el-aumento-si-el-gobierno-de-de-la-espriella-le-hace-caso-al-banco-de-la-republica-y-lo-sube-5-o-6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www.bloomberglinea.com/latinoamerica/colombia/colombia-llegara-a-2027-sin-alcanzar-meta-de-inflacion-y-quedara-rezagada-frente-a-la-region-citi/" TargetMode="External"/><Relationship Id="rId1" Type="http://schemas.openxmlformats.org/officeDocument/2006/relationships/hyperlink" Target="https://www.infobae.com/colombia/2026/08/09/salario-minimo-de-2027-asi-seria-el-aumento-si-el-gobierno-de-de-la-espriella-le-hace-caso-al-banco-de-la-republica-y-lo-sube-5-o-6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www.bloomberglinea.com/latinoamerica/colombia/colombia-llegara-a-2027-sin-alcanzar-meta-de-inflacion-y-quedara-rezagada-frente-a-la-region-citi/" TargetMode="External"/><Relationship Id="rId1" Type="http://schemas.openxmlformats.org/officeDocument/2006/relationships/hyperlink" Target="https://www.infobae.com/colombia/2026/08/09/salario-minimo-de-2027-asi-seria-el-aumento-si-el-gobierno-de-de-la-espriella-le-hace-caso-al-banco-de-la-republica-y-lo-sube-5-o-6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www.bloomberglinea.com/latinoamerica/colombia/colombia-llegara-a-2027-sin-alcanzar-meta-de-inflacion-y-quedara-rezagada-frente-a-la-region-citi/" TargetMode="External"/><Relationship Id="rId1" Type="http://schemas.openxmlformats.org/officeDocument/2006/relationships/hyperlink" Target="https://www.infobae.com/colombia/2026/08/09/salario-minimo-de-2027-asi-seria-el-aumento-si-el-gobierno-de-de-la-espriella-le-hace-caso-al-banco-de-la-republica-y-lo-sube-5-o-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D4579-BCEB-4B9A-ADAB-97314FE56891}">
  <dimension ref="A2:I94"/>
  <sheetViews>
    <sheetView tabSelected="1" topLeftCell="B66" workbookViewId="0">
      <selection activeCell="D81" sqref="D81"/>
    </sheetView>
  </sheetViews>
  <sheetFormatPr defaultColWidth="11.42578125" defaultRowHeight="14.45"/>
  <cols>
    <col min="2" max="2" width="24.140625" customWidth="1"/>
    <col min="3" max="3" width="22.5703125" customWidth="1"/>
    <col min="4" max="4" width="16.7109375" bestFit="1" customWidth="1"/>
    <col min="5" max="6" width="18.28515625" bestFit="1" customWidth="1"/>
    <col min="7" max="9" width="19.28515625" bestFit="1" customWidth="1"/>
  </cols>
  <sheetData>
    <row r="2" spans="1:9" ht="14.45" customHeight="1">
      <c r="A2" s="105" t="s">
        <v>0</v>
      </c>
      <c r="B2" s="105"/>
      <c r="C2" s="105"/>
      <c r="D2" s="105"/>
      <c r="E2" s="105"/>
      <c r="F2" s="105"/>
      <c r="G2" s="105"/>
      <c r="H2" s="105"/>
      <c r="I2" s="105"/>
    </row>
    <row r="3" spans="1:9">
      <c r="A3" s="84" t="s">
        <v>1</v>
      </c>
      <c r="B3" s="83" t="s">
        <v>2</v>
      </c>
      <c r="C3" s="83" t="s">
        <v>3</v>
      </c>
      <c r="D3" s="83">
        <v>2026</v>
      </c>
      <c r="E3" s="83">
        <v>2027</v>
      </c>
      <c r="F3" s="83">
        <v>2028</v>
      </c>
      <c r="G3" s="83">
        <v>2029</v>
      </c>
      <c r="H3" s="83">
        <v>2030</v>
      </c>
      <c r="I3" s="83" t="s">
        <v>4</v>
      </c>
    </row>
    <row r="4" spans="1:9" ht="34.5">
      <c r="A4" s="107" t="s">
        <v>5</v>
      </c>
      <c r="B4" s="86" t="s">
        <v>6</v>
      </c>
      <c r="C4" s="86" t="s">
        <v>7</v>
      </c>
      <c r="D4" s="87">
        <f>'2026.'!V29/(1+1.9%)</f>
        <v>6739439.6467124643</v>
      </c>
      <c r="E4" s="87">
        <f>'2027'!AF29</f>
        <v>86532992.434960395</v>
      </c>
      <c r="F4" s="87">
        <f>'2028'!AF29</f>
        <v>92955367.725878432</v>
      </c>
      <c r="G4" s="87">
        <f>'2029'!AF29</f>
        <v>99461618.102115408</v>
      </c>
      <c r="H4" s="87">
        <f>'2030'!AA29</f>
        <v>61518957.479503736</v>
      </c>
      <c r="I4" s="87">
        <f t="shared" ref="I4:I35" si="0">SUM(D4:H4)</f>
        <v>347208375.38917047</v>
      </c>
    </row>
    <row r="5" spans="1:9" ht="23.1">
      <c r="A5" s="107"/>
      <c r="B5" s="86" t="s">
        <v>8</v>
      </c>
      <c r="C5" s="86" t="s">
        <v>9</v>
      </c>
      <c r="D5" s="87">
        <f>'2026.'!V30/(1+1.9%)</f>
        <v>19313359.175662417</v>
      </c>
      <c r="E5" s="87">
        <f>'2027'!AF30</f>
        <v>250041902.35572007</v>
      </c>
      <c r="F5" s="87">
        <f>'2028'!AF30</f>
        <v>269747671.94638568</v>
      </c>
      <c r="G5" s="87">
        <f>'2029'!AF30</f>
        <v>288624565.78263265</v>
      </c>
      <c r="H5" s="87">
        <f>'2030'!AA30</f>
        <v>180146657.94265985</v>
      </c>
      <c r="I5" s="87">
        <f t="shared" si="0"/>
        <v>1007874157.2030606</v>
      </c>
    </row>
    <row r="6" spans="1:9" ht="34.5">
      <c r="A6" s="107"/>
      <c r="B6" s="86" t="s">
        <v>10</v>
      </c>
      <c r="C6" s="86" t="s">
        <v>11</v>
      </c>
      <c r="D6" s="87">
        <f>'2026.'!V31/(1+1.9%)</f>
        <v>3777770.3631010801</v>
      </c>
      <c r="E6" s="87">
        <f>'2027'!AF31</f>
        <v>70540681.135066271</v>
      </c>
      <c r="F6" s="87">
        <f>'2028'!AF31</f>
        <v>75765688.486907795</v>
      </c>
      <c r="G6" s="87">
        <f>'2029'!AF31</f>
        <v>81430691.144204021</v>
      </c>
      <c r="H6" s="87">
        <f>'2030'!AA31</f>
        <v>51116458.817080036</v>
      </c>
      <c r="I6" s="87">
        <f t="shared" si="0"/>
        <v>282631289.94635922</v>
      </c>
    </row>
    <row r="7" spans="1:9" ht="34.5">
      <c r="A7" s="107"/>
      <c r="B7" s="86" t="s">
        <v>12</v>
      </c>
      <c r="C7" s="86" t="s">
        <v>13</v>
      </c>
      <c r="D7" s="87">
        <f>'2026.'!V32/(1+1.9%)</f>
        <v>2756751.7173699709</v>
      </c>
      <c r="E7" s="87">
        <f>'2027'!AF32</f>
        <v>51475632.179642931</v>
      </c>
      <c r="F7" s="87">
        <f>'2028'!AF32</f>
        <v>55288475.382338122</v>
      </c>
      <c r="G7" s="87">
        <f>'2029'!AF32</f>
        <v>59422396.240365088</v>
      </c>
      <c r="H7" s="87">
        <f>'2030'!AA32</f>
        <v>37301199.677328676</v>
      </c>
      <c r="I7" s="87">
        <f t="shared" si="0"/>
        <v>206244455.19704479</v>
      </c>
    </row>
    <row r="8" spans="1:9" ht="34.5">
      <c r="A8" s="107"/>
      <c r="B8" s="86" t="s">
        <v>14</v>
      </c>
      <c r="C8" s="86" t="s">
        <v>15</v>
      </c>
      <c r="D8" s="87">
        <f>'2026.'!V33/(1+1.9%)</f>
        <v>3369363.10107949</v>
      </c>
      <c r="E8" s="87">
        <f>'2027'!AF33</f>
        <v>62914661.552896939</v>
      </c>
      <c r="F8" s="87">
        <f>'2028'!AF33</f>
        <v>67574803.245079935</v>
      </c>
      <c r="G8" s="87">
        <f>'2029'!AF33</f>
        <v>72627373.182668477</v>
      </c>
      <c r="H8" s="87">
        <f>'2030'!AA33</f>
        <v>45590355.161179483</v>
      </c>
      <c r="I8" s="87">
        <f t="shared" si="0"/>
        <v>252076556.24290431</v>
      </c>
    </row>
    <row r="9" spans="1:9" ht="34.5">
      <c r="A9" s="107"/>
      <c r="B9" s="86" t="s">
        <v>16</v>
      </c>
      <c r="C9" s="86" t="s">
        <v>15</v>
      </c>
      <c r="D9" s="87">
        <f>'2026.'!V34/(1+1.9%)</f>
        <v>5183634.9362119734</v>
      </c>
      <c r="E9" s="87">
        <f>'2027'!AF34</f>
        <v>66556789.8149454</v>
      </c>
      <c r="F9" s="87">
        <f>'2028'!AF34</f>
        <v>71496555.219124734</v>
      </c>
      <c r="G9" s="87">
        <f>'2029'!AF34</f>
        <v>76500833.085744128</v>
      </c>
      <c r="H9" s="87">
        <f>'2030'!AA34</f>
        <v>47317262.553648405</v>
      </c>
      <c r="I9" s="87">
        <f t="shared" si="0"/>
        <v>267055075.60967463</v>
      </c>
    </row>
    <row r="10" spans="1:9" ht="34.5">
      <c r="A10" s="107"/>
      <c r="B10" s="86" t="s">
        <v>17</v>
      </c>
      <c r="C10" s="86" t="s">
        <v>15</v>
      </c>
      <c r="D10" s="87">
        <f>'2026.'!V35/(1+1.9%)</f>
        <v>3369363.10107949</v>
      </c>
      <c r="E10" s="87">
        <f>'2027'!AF35</f>
        <v>62914661.552896939</v>
      </c>
      <c r="F10" s="87">
        <f>'2028'!AF35</f>
        <v>67574803.245079935</v>
      </c>
      <c r="G10" s="87">
        <f>'2029'!AF35</f>
        <v>72627373.182668477</v>
      </c>
      <c r="H10" s="87">
        <f>'2030'!AA35</f>
        <v>45590355.161179483</v>
      </c>
      <c r="I10" s="87">
        <f t="shared" si="0"/>
        <v>252076556.24290431</v>
      </c>
    </row>
    <row r="11" spans="1:9" ht="34.5">
      <c r="A11" s="107"/>
      <c r="B11" s="86" t="s">
        <v>18</v>
      </c>
      <c r="C11" s="86" t="s">
        <v>15</v>
      </c>
      <c r="D11" s="87">
        <f>'2026.'!V36/(1+1.9%)</f>
        <v>3369363.10107949</v>
      </c>
      <c r="E11" s="87">
        <f>'2027'!AF36</f>
        <v>62914661.552896939</v>
      </c>
      <c r="F11" s="87">
        <f>'2028'!AF36</f>
        <v>67574803.245079935</v>
      </c>
      <c r="G11" s="87">
        <f>'2029'!AF36</f>
        <v>72627373.182668477</v>
      </c>
      <c r="H11" s="87">
        <f>'2030'!AA36</f>
        <v>45590355.161179483</v>
      </c>
      <c r="I11" s="87">
        <f t="shared" si="0"/>
        <v>252076556.24290431</v>
      </c>
    </row>
    <row r="12" spans="1:9" ht="34.5">
      <c r="A12" s="107"/>
      <c r="B12" s="86" t="s">
        <v>19</v>
      </c>
      <c r="C12" s="86" t="s">
        <v>15</v>
      </c>
      <c r="D12" s="87">
        <f>'2026.'!V37/(1+1.9%)</f>
        <v>3369363.10107949</v>
      </c>
      <c r="E12" s="87">
        <f>'2027'!AF37</f>
        <v>62914661.552896939</v>
      </c>
      <c r="F12" s="87">
        <f>'2028'!AF37</f>
        <v>67574803.245079935</v>
      </c>
      <c r="G12" s="87">
        <f>'2029'!AF37</f>
        <v>72627373.182668477</v>
      </c>
      <c r="H12" s="87">
        <f>'2030'!AA37</f>
        <v>45590355.161179483</v>
      </c>
      <c r="I12" s="87">
        <f t="shared" si="0"/>
        <v>252076556.24290431</v>
      </c>
    </row>
    <row r="13" spans="1:9" ht="45.95">
      <c r="A13" s="107"/>
      <c r="B13" s="86" t="s">
        <v>20</v>
      </c>
      <c r="C13" s="86" t="s">
        <v>21</v>
      </c>
      <c r="D13" s="87">
        <f>'2026.'!V38/(1+1.9%)</f>
        <v>5654875.3680078518</v>
      </c>
      <c r="E13" s="87">
        <f>'2027'!AF38</f>
        <v>72607407.070849493</v>
      </c>
      <c r="F13" s="87">
        <f>'2028'!AF38</f>
        <v>77996242.057227001</v>
      </c>
      <c r="G13" s="87">
        <f>'2029'!AF38</f>
        <v>83455454.275357217</v>
      </c>
      <c r="H13" s="87">
        <f>'2030'!AA38</f>
        <v>51618831.87670736</v>
      </c>
      <c r="I13" s="87">
        <f t="shared" si="0"/>
        <v>291332810.64814889</v>
      </c>
    </row>
    <row r="14" spans="1:9" ht="34.5">
      <c r="A14" s="107"/>
      <c r="B14" s="86" t="s">
        <v>22</v>
      </c>
      <c r="C14" s="86" t="s">
        <v>23</v>
      </c>
      <c r="D14" s="87">
        <f>'2026.'!V39/(1+1.9%)</f>
        <v>5654875.3680078518</v>
      </c>
      <c r="E14" s="87">
        <f>'2027'!AF39</f>
        <v>72607407.070849493</v>
      </c>
      <c r="F14" s="87">
        <f>'2028'!AF39</f>
        <v>77996242.057227001</v>
      </c>
      <c r="G14" s="87">
        <f>'2029'!AF39</f>
        <v>83455454.275357217</v>
      </c>
      <c r="H14" s="87">
        <f>'2030'!AA39</f>
        <v>51618831.87670736</v>
      </c>
      <c r="I14" s="87">
        <f t="shared" si="0"/>
        <v>291332810.64814889</v>
      </c>
    </row>
    <row r="15" spans="1:9" ht="34.5">
      <c r="A15" s="107"/>
      <c r="B15" s="86" t="s">
        <v>24</v>
      </c>
      <c r="C15" s="86" t="s">
        <v>25</v>
      </c>
      <c r="D15" s="87">
        <f>'2026.'!V40/(1+1.9%)</f>
        <v>5796960.7458292451</v>
      </c>
      <c r="E15" s="87">
        <f>'2027'!AF40</f>
        <v>74431757.923152134</v>
      </c>
      <c r="F15" s="87">
        <f>'2028'!AF40</f>
        <v>79955994.049673945</v>
      </c>
      <c r="G15" s="87">
        <f>'2029'!AF40</f>
        <v>85552375.722889215</v>
      </c>
      <c r="H15" s="87">
        <f>'2030'!AA40</f>
        <v>52915818.833385855</v>
      </c>
      <c r="I15" s="87">
        <f t="shared" si="0"/>
        <v>298652907.27493036</v>
      </c>
    </row>
    <row r="16" spans="1:9" ht="34.5">
      <c r="A16" s="107"/>
      <c r="B16" s="86" t="s">
        <v>26</v>
      </c>
      <c r="C16" s="86" t="s">
        <v>23</v>
      </c>
      <c r="D16" s="87">
        <f>'2026.'!V41/(1+1.9%)</f>
        <v>5654875.3680078518</v>
      </c>
      <c r="E16" s="87">
        <f>'2027'!AF41</f>
        <v>72607407.070849493</v>
      </c>
      <c r="F16" s="87">
        <f>'2028'!AF41</f>
        <v>77996242.057227001</v>
      </c>
      <c r="G16" s="87">
        <f>'2029'!AF41</f>
        <v>83455454.275357217</v>
      </c>
      <c r="H16" s="87">
        <f>'2030'!AA41</f>
        <v>51618831.87670736</v>
      </c>
      <c r="I16" s="87">
        <f t="shared" si="0"/>
        <v>291332810.64814889</v>
      </c>
    </row>
    <row r="17" spans="1:9" ht="34.5">
      <c r="A17" s="107"/>
      <c r="B17" s="86" t="s">
        <v>27</v>
      </c>
      <c r="C17" s="86" t="s">
        <v>23</v>
      </c>
      <c r="D17" s="87">
        <f>'2026.'!V42/(1+1.9%)</f>
        <v>5654875.3680078518</v>
      </c>
      <c r="E17" s="87">
        <f>'2027'!AF42</f>
        <v>72607407.070849493</v>
      </c>
      <c r="F17" s="87">
        <f>'2028'!AF42</f>
        <v>77996242.057227001</v>
      </c>
      <c r="G17" s="87">
        <f>'2029'!AF42</f>
        <v>83455454.275357217</v>
      </c>
      <c r="H17" s="87">
        <f>'2030'!AA42</f>
        <v>51618831.87670736</v>
      </c>
      <c r="I17" s="87">
        <f t="shared" si="0"/>
        <v>291332810.64814889</v>
      </c>
    </row>
    <row r="18" spans="1:9" ht="34.5">
      <c r="A18" s="107"/>
      <c r="B18" s="86" t="s">
        <v>27</v>
      </c>
      <c r="C18" s="86" t="s">
        <v>25</v>
      </c>
      <c r="D18" s="87">
        <f>'2026.'!V43/(1+1.9%)</f>
        <v>5796960.7458292451</v>
      </c>
      <c r="E18" s="87">
        <f>'2027'!AF43</f>
        <v>74431757.923152134</v>
      </c>
      <c r="F18" s="87">
        <f>'2028'!AF43</f>
        <v>79955994.049673945</v>
      </c>
      <c r="G18" s="87">
        <f>'2029'!AF43</f>
        <v>85552375.722889215</v>
      </c>
      <c r="H18" s="87">
        <f>'2030'!AA43</f>
        <v>52915818.833385855</v>
      </c>
      <c r="I18" s="87">
        <f t="shared" si="0"/>
        <v>298652907.27493036</v>
      </c>
    </row>
    <row r="19" spans="1:9" ht="34.5">
      <c r="A19" s="107"/>
      <c r="B19" s="86" t="s">
        <v>28</v>
      </c>
      <c r="C19" s="86" t="s">
        <v>21</v>
      </c>
      <c r="D19" s="87">
        <f>'2026.'!V44/(1+1.9%)</f>
        <v>3675668.302257115</v>
      </c>
      <c r="E19" s="87">
        <f>'2027'!AF44</f>
        <v>68634176.239523903</v>
      </c>
      <c r="F19" s="87">
        <f>'2028'!AF44</f>
        <v>73717967.176450834</v>
      </c>
      <c r="G19" s="87">
        <f>'2029'!AF44</f>
        <v>79229861.653820142</v>
      </c>
      <c r="H19" s="87">
        <f>'2030'!AA44</f>
        <v>49734932.903104901</v>
      </c>
      <c r="I19" s="87">
        <f t="shared" si="0"/>
        <v>274992606.27515692</v>
      </c>
    </row>
    <row r="20" spans="1:9" ht="34.5">
      <c r="A20" s="107"/>
      <c r="B20" s="86" t="s">
        <v>29</v>
      </c>
      <c r="C20" s="86" t="s">
        <v>21</v>
      </c>
      <c r="D20" s="87">
        <f>'2026.'!V45/(1+1.9%)</f>
        <v>3675668.302257115</v>
      </c>
      <c r="E20" s="87">
        <f>'2027'!AF45</f>
        <v>68634176.239523903</v>
      </c>
      <c r="F20" s="87">
        <f>'2028'!AF45</f>
        <v>73717967.176450834</v>
      </c>
      <c r="G20" s="87">
        <f>'2029'!AF45</f>
        <v>79229861.653820142</v>
      </c>
      <c r="H20" s="87">
        <f>'2030'!AA45</f>
        <v>49734932.903104901</v>
      </c>
      <c r="I20" s="87">
        <f t="shared" si="0"/>
        <v>274992606.27515692</v>
      </c>
    </row>
    <row r="21" spans="1:9" ht="34.5">
      <c r="A21" s="107"/>
      <c r="B21" s="86" t="s">
        <v>30</v>
      </c>
      <c r="C21" s="86" t="s">
        <v>21</v>
      </c>
      <c r="D21" s="87">
        <f>'2026.'!V46/(1+1.9%)</f>
        <v>5654875.3680078518</v>
      </c>
      <c r="E21" s="87">
        <f>'2027'!AF46</f>
        <v>72607407.070849493</v>
      </c>
      <c r="F21" s="87">
        <f>'2028'!AF46</f>
        <v>77996242.057227001</v>
      </c>
      <c r="G21" s="87">
        <f>'2029'!AF46</f>
        <v>83455454.275357217</v>
      </c>
      <c r="H21" s="87">
        <f>'2030'!AA46</f>
        <v>51618831.87670736</v>
      </c>
      <c r="I21" s="87">
        <f t="shared" si="0"/>
        <v>291332810.64814889</v>
      </c>
    </row>
    <row r="22" spans="1:9" ht="34.5">
      <c r="A22" s="107"/>
      <c r="B22" s="86" t="s">
        <v>31</v>
      </c>
      <c r="C22" s="86" t="s">
        <v>21</v>
      </c>
      <c r="D22" s="87">
        <f>'2026.'!V47/(1+1.9%)</f>
        <v>3675668.302257115</v>
      </c>
      <c r="E22" s="87">
        <f>'2027'!AF47</f>
        <v>68634176.239523903</v>
      </c>
      <c r="F22" s="87">
        <f>'2028'!AF47</f>
        <v>73717967.176450834</v>
      </c>
      <c r="G22" s="87">
        <f>'2029'!AF47</f>
        <v>79229861.653820142</v>
      </c>
      <c r="H22" s="87">
        <f>'2030'!AA47</f>
        <v>49734932.903104901</v>
      </c>
      <c r="I22" s="87">
        <f t="shared" si="0"/>
        <v>274992606.27515692</v>
      </c>
    </row>
    <row r="23" spans="1:9" ht="23.1">
      <c r="A23" s="107"/>
      <c r="B23" s="86" t="s">
        <v>32</v>
      </c>
      <c r="C23" s="86" t="s">
        <v>9</v>
      </c>
      <c r="D23" s="87">
        <f>'2026.'!V48/(1+1.9%)</f>
        <v>19313359.175662417</v>
      </c>
      <c r="E23" s="87">
        <f>'2027'!AF48</f>
        <v>250041902.35572007</v>
      </c>
      <c r="F23" s="87">
        <f>'2028'!AF48</f>
        <v>269747671.94638568</v>
      </c>
      <c r="G23" s="87">
        <f>'2029'!AF48</f>
        <v>288624565.78263265</v>
      </c>
      <c r="H23" s="87">
        <f>'2030'!AA48</f>
        <v>180146657.94265985</v>
      </c>
      <c r="I23" s="87">
        <f t="shared" si="0"/>
        <v>1007874157.2030606</v>
      </c>
    </row>
    <row r="24" spans="1:9" ht="23.1">
      <c r="A24" s="107" t="s">
        <v>33</v>
      </c>
      <c r="B24" s="86" t="s">
        <v>34</v>
      </c>
      <c r="C24" s="86" t="s">
        <v>35</v>
      </c>
      <c r="D24" s="87">
        <f>'2026.'!V49/(1+1.9%)</f>
        <v>19671013.738959767</v>
      </c>
      <c r="E24" s="87">
        <f>'2027'!AF49</f>
        <v>254672307.9549</v>
      </c>
      <c r="F24" s="87">
        <f>'2028'!AF49</f>
        <v>274742999.20465201</v>
      </c>
      <c r="G24" s="87">
        <f>'2029'!AF49</f>
        <v>293969465.14897776</v>
      </c>
      <c r="H24" s="87">
        <f>'2030'!AA49</f>
        <v>183482707.16382024</v>
      </c>
      <c r="I24" s="87">
        <f t="shared" si="0"/>
        <v>1026538493.2113098</v>
      </c>
    </row>
    <row r="25" spans="1:9" ht="23.1">
      <c r="A25" s="107"/>
      <c r="B25" s="86" t="s">
        <v>36</v>
      </c>
      <c r="C25" s="86" t="s">
        <v>35</v>
      </c>
      <c r="D25" s="87">
        <f>'2026.'!V50/(1+1.9%)</f>
        <v>19671013.738959767</v>
      </c>
      <c r="E25" s="87">
        <f>'2027'!AF50</f>
        <v>254672307.9549</v>
      </c>
      <c r="F25" s="87">
        <f>'2028'!AF50</f>
        <v>274742999.20465201</v>
      </c>
      <c r="G25" s="87">
        <f>'2029'!AF50</f>
        <v>293969465.14897776</v>
      </c>
      <c r="H25" s="87">
        <f>'2030'!AA50</f>
        <v>183482707.16382024</v>
      </c>
      <c r="I25" s="87">
        <f t="shared" si="0"/>
        <v>1026538493.2113098</v>
      </c>
    </row>
    <row r="26" spans="1:9" ht="23.1">
      <c r="A26" s="107" t="s">
        <v>37</v>
      </c>
      <c r="B26" s="88" t="s">
        <v>38</v>
      </c>
      <c r="C26" s="86" t="s">
        <v>35</v>
      </c>
      <c r="D26" s="87">
        <f>'2026.'!V51/(1+1.9%)</f>
        <v>19671013.738959767</v>
      </c>
      <c r="E26" s="87">
        <f>'2027'!AF51</f>
        <v>254672307.9549</v>
      </c>
      <c r="F26" s="87">
        <f>'2028'!AF51</f>
        <v>274742999.20465201</v>
      </c>
      <c r="G26" s="87">
        <f>'2029'!AF51</f>
        <v>293969465.14897776</v>
      </c>
      <c r="H26" s="87">
        <f>'2030'!AA51</f>
        <v>183482707.16382024</v>
      </c>
      <c r="I26" s="87">
        <f t="shared" si="0"/>
        <v>1026538493.2113098</v>
      </c>
    </row>
    <row r="27" spans="1:9" ht="34.5">
      <c r="A27" s="107"/>
      <c r="B27" s="86" t="s">
        <v>39</v>
      </c>
      <c r="C27" s="86" t="s">
        <v>40</v>
      </c>
      <c r="D27" s="87">
        <f>'2026.'!V52/(1+1.9%)</f>
        <v>3675668.302257115</v>
      </c>
      <c r="E27" s="87">
        <f>'2027'!AF52</f>
        <v>68634176.239523903</v>
      </c>
      <c r="F27" s="87">
        <f>'2028'!AF52</f>
        <v>73717967.176450834</v>
      </c>
      <c r="G27" s="87">
        <f>'2029'!AF52</f>
        <v>79229861.653820142</v>
      </c>
      <c r="H27" s="87">
        <f>'2030'!AA52</f>
        <v>49734932.903104901</v>
      </c>
      <c r="I27" s="87">
        <f t="shared" si="0"/>
        <v>274992606.27515692</v>
      </c>
    </row>
    <row r="28" spans="1:9" ht="23.1">
      <c r="A28" s="107" t="s">
        <v>41</v>
      </c>
      <c r="B28" s="86" t="s">
        <v>42</v>
      </c>
      <c r="C28" s="86" t="s">
        <v>43</v>
      </c>
      <c r="D28" s="87">
        <f>'2026.'!V53/(1+1.9%)</f>
        <v>19671013.738959767</v>
      </c>
      <c r="E28" s="87">
        <f>'2027'!AF53</f>
        <v>254672307.9549</v>
      </c>
      <c r="F28" s="87">
        <f>'2028'!AF53</f>
        <v>274742999.20465201</v>
      </c>
      <c r="G28" s="87">
        <f>'2029'!AF53</f>
        <v>293969465.14897776</v>
      </c>
      <c r="H28" s="87">
        <f>'2030'!AA53</f>
        <v>183482707.16382024</v>
      </c>
      <c r="I28" s="87">
        <f t="shared" si="0"/>
        <v>1026538493.2113098</v>
      </c>
    </row>
    <row r="29" spans="1:9" ht="34.5">
      <c r="A29" s="107"/>
      <c r="B29" s="86" t="s">
        <v>44</v>
      </c>
      <c r="C29" s="86" t="s">
        <v>21</v>
      </c>
      <c r="D29" s="87">
        <f>'2026.'!V54/(1+1.9%)</f>
        <v>3676490.6771344459</v>
      </c>
      <c r="E29" s="87">
        <f>'2027'!AF54</f>
        <v>68648409.310293138</v>
      </c>
      <c r="F29" s="87">
        <f>'2028'!AF54</f>
        <v>73732136.989127755</v>
      </c>
      <c r="G29" s="87">
        <f>'2029'!AF54</f>
        <v>79244094.724589348</v>
      </c>
      <c r="H29" s="87">
        <f>'2030'!AA54</f>
        <v>49743282.971289501</v>
      </c>
      <c r="I29" s="87">
        <f t="shared" si="0"/>
        <v>275044414.67243421</v>
      </c>
    </row>
    <row r="30" spans="1:9" ht="34.5">
      <c r="A30" s="85" t="s">
        <v>45</v>
      </c>
      <c r="B30" s="86" t="s">
        <v>46</v>
      </c>
      <c r="C30" s="86" t="s">
        <v>35</v>
      </c>
      <c r="D30" s="87">
        <f>'2026.'!V55/(1+1.9%)</f>
        <v>19671013.738959767</v>
      </c>
      <c r="E30" s="87">
        <f>'2027'!AF55</f>
        <v>254672307.9549</v>
      </c>
      <c r="F30" s="87">
        <f>'2028'!AF55</f>
        <v>274742999.20465201</v>
      </c>
      <c r="G30" s="87">
        <f>'2029'!AF55</f>
        <v>293969465.14897776</v>
      </c>
      <c r="H30" s="87">
        <f>'2030'!AA55</f>
        <v>183482707.16382024</v>
      </c>
      <c r="I30" s="87">
        <f t="shared" si="0"/>
        <v>1026538493.2113098</v>
      </c>
    </row>
    <row r="31" spans="1:9" ht="23.1">
      <c r="A31" s="107" t="s">
        <v>47</v>
      </c>
      <c r="B31" s="88" t="s">
        <v>48</v>
      </c>
      <c r="C31" s="86" t="s">
        <v>49</v>
      </c>
      <c r="D31" s="87">
        <f>'2026.'!V56/(1+1.9%)</f>
        <v>19671013.738959767</v>
      </c>
      <c r="E31" s="87">
        <f>'2027'!AF56</f>
        <v>249761219.24583501</v>
      </c>
      <c r="F31" s="87">
        <f>'2028'!AF56</f>
        <v>269400774.22011715</v>
      </c>
      <c r="G31" s="87">
        <f>'2029'!AF56</f>
        <v>288253392.21552539</v>
      </c>
      <c r="H31" s="87">
        <f>'2030'!AA56</f>
        <v>177366616.92502624</v>
      </c>
      <c r="I31" s="87">
        <f t="shared" si="0"/>
        <v>1004453016.3454635</v>
      </c>
    </row>
    <row r="32" spans="1:9" ht="23.1">
      <c r="A32" s="107"/>
      <c r="B32" s="88" t="s">
        <v>50</v>
      </c>
      <c r="C32" s="86" t="s">
        <v>49</v>
      </c>
      <c r="D32" s="87">
        <f>'2026.'!V57/(1+1.9%)</f>
        <v>19671013.738959767</v>
      </c>
      <c r="E32" s="87">
        <f>'2027'!AF57</f>
        <v>254672307.9549</v>
      </c>
      <c r="F32" s="87">
        <f>'2028'!AF57</f>
        <v>274742999.20465201</v>
      </c>
      <c r="G32" s="87">
        <f>'2029'!AF57</f>
        <v>293969465.14897776</v>
      </c>
      <c r="H32" s="87">
        <f>'2030'!AA57</f>
        <v>183482707.16382024</v>
      </c>
      <c r="I32" s="87">
        <f t="shared" si="0"/>
        <v>1026538493.2113098</v>
      </c>
    </row>
    <row r="33" spans="1:9" ht="23.1">
      <c r="A33" s="107" t="s">
        <v>51</v>
      </c>
      <c r="B33" s="86" t="s">
        <v>52</v>
      </c>
      <c r="C33" s="86" t="s">
        <v>35</v>
      </c>
      <c r="D33" s="87">
        <f>'2026.'!V58/(1+1.9%)</f>
        <v>19671013.738959767</v>
      </c>
      <c r="E33" s="87">
        <f>'2027'!AF58</f>
        <v>254672307.9549</v>
      </c>
      <c r="F33" s="87">
        <f>'2028'!AF58</f>
        <v>274742999.20465201</v>
      </c>
      <c r="G33" s="87">
        <f>'2029'!AF58</f>
        <v>293969465.14897776</v>
      </c>
      <c r="H33" s="87">
        <f>'2030'!AA58</f>
        <v>183482707.16382024</v>
      </c>
      <c r="I33" s="87">
        <f t="shared" si="0"/>
        <v>1026538493.2113098</v>
      </c>
    </row>
    <row r="34" spans="1:9" ht="23.1">
      <c r="A34" s="107"/>
      <c r="B34" s="86" t="s">
        <v>53</v>
      </c>
      <c r="C34" s="86" t="s">
        <v>35</v>
      </c>
      <c r="D34" s="87">
        <f>'2026.'!V59/(1+1.9%)</f>
        <v>19671013.738959767</v>
      </c>
      <c r="E34" s="87">
        <f>'2027'!AF59</f>
        <v>254672307.9549</v>
      </c>
      <c r="F34" s="87">
        <f>'2028'!AF59</f>
        <v>274742999.20465201</v>
      </c>
      <c r="G34" s="87">
        <f>'2029'!AF59</f>
        <v>293969465.14897776</v>
      </c>
      <c r="H34" s="87">
        <f>'2030'!AA59</f>
        <v>183482707.16382024</v>
      </c>
      <c r="I34" s="87">
        <f t="shared" si="0"/>
        <v>1026538493.2113098</v>
      </c>
    </row>
    <row r="35" spans="1:9" ht="23.1">
      <c r="A35" s="107"/>
      <c r="B35" s="86" t="s">
        <v>54</v>
      </c>
      <c r="C35" s="86" t="s">
        <v>55</v>
      </c>
      <c r="D35" s="87">
        <f>'2026.'!V60/(1+1.9%)</f>
        <v>19313359.175662417</v>
      </c>
      <c r="E35" s="87">
        <f>'2027'!AF60</f>
        <v>250041902.35572007</v>
      </c>
      <c r="F35" s="87">
        <f>'2028'!AF60</f>
        <v>269747671.94638568</v>
      </c>
      <c r="G35" s="87">
        <f>'2029'!AF60</f>
        <v>288624565.78263265</v>
      </c>
      <c r="H35" s="87">
        <f>'2030'!AA60</f>
        <v>180146657.94265985</v>
      </c>
      <c r="I35" s="87">
        <f t="shared" si="0"/>
        <v>1007874157.2030606</v>
      </c>
    </row>
    <row r="36" spans="1:9" ht="23.1">
      <c r="A36" s="107"/>
      <c r="B36" s="86" t="s">
        <v>56</v>
      </c>
      <c r="C36" s="86" t="s">
        <v>35</v>
      </c>
      <c r="D36" s="87">
        <f>'2026.'!V61/(1+1.9%)</f>
        <v>19671013.738959767</v>
      </c>
      <c r="E36" s="87">
        <f>'2027'!AF61</f>
        <v>254672307.9549</v>
      </c>
      <c r="F36" s="87">
        <f>'2028'!AF61</f>
        <v>274742999.20465201</v>
      </c>
      <c r="G36" s="87">
        <f>'2029'!AF61</f>
        <v>293969465.14897776</v>
      </c>
      <c r="H36" s="87">
        <f>'2030'!AA61</f>
        <v>183482707.16382024</v>
      </c>
      <c r="I36" s="87">
        <f t="shared" ref="I36:I63" si="1">SUM(D36:H36)</f>
        <v>1026538493.2113098</v>
      </c>
    </row>
    <row r="37" spans="1:9" ht="23.1">
      <c r="A37" s="107"/>
      <c r="B37" s="86" t="s">
        <v>57</v>
      </c>
      <c r="C37" s="86" t="s">
        <v>58</v>
      </c>
      <c r="D37" s="87">
        <f>'2026.'!V62/(1+1.9%)</f>
        <v>6557004.9067713451</v>
      </c>
      <c r="E37" s="87">
        <f>'2027'!AF62</f>
        <v>84890769.318300039</v>
      </c>
      <c r="F37" s="87">
        <f>'2028'!AF62</f>
        <v>91580999.734884009</v>
      </c>
      <c r="G37" s="87">
        <f>'2029'!AF62</f>
        <v>97989821.716325939</v>
      </c>
      <c r="H37" s="87">
        <f>'2030'!AA62</f>
        <v>61160902.387940086</v>
      </c>
      <c r="I37" s="87">
        <f t="shared" si="1"/>
        <v>342179498.06422144</v>
      </c>
    </row>
    <row r="38" spans="1:9" ht="45.95">
      <c r="A38" s="107"/>
      <c r="B38" s="86" t="s">
        <v>57</v>
      </c>
      <c r="C38" s="86" t="s">
        <v>59</v>
      </c>
      <c r="D38" s="87">
        <f>'2026.'!V63/(1+1.9%)</f>
        <v>7351480.8635917576</v>
      </c>
      <c r="E38" s="87">
        <f>'2027'!AF63</f>
        <v>95178077.814608052</v>
      </c>
      <c r="F38" s="87">
        <f>'2028'!AF63</f>
        <v>102680605.13038714</v>
      </c>
      <c r="G38" s="87">
        <f>'2029'!AF63</f>
        <v>109867556.69763738</v>
      </c>
      <c r="H38" s="87">
        <f>'2030'!AA63</f>
        <v>68575263.6768471</v>
      </c>
      <c r="I38" s="87">
        <f t="shared" si="1"/>
        <v>383652984.18307143</v>
      </c>
    </row>
    <row r="39" spans="1:9" ht="34.5">
      <c r="A39" s="107"/>
      <c r="B39" s="86" t="s">
        <v>60</v>
      </c>
      <c r="C39" s="86" t="s">
        <v>13</v>
      </c>
      <c r="D39" s="87">
        <f>'2026.'!V64/(1+1.9%)</f>
        <v>4241156.0353287542</v>
      </c>
      <c r="E39" s="87">
        <f>'2027'!AF64</f>
        <v>54455555.303137124</v>
      </c>
      <c r="F39" s="87">
        <f>'2028'!AF64</f>
        <v>58497181.542920247</v>
      </c>
      <c r="G39" s="87">
        <f>'2029'!AF64</f>
        <v>62591590.70651789</v>
      </c>
      <c r="H39" s="87">
        <f>'2030'!AA64</f>
        <v>38714123.907530516</v>
      </c>
      <c r="I39" s="87">
        <f t="shared" si="1"/>
        <v>218499607.49543455</v>
      </c>
    </row>
    <row r="40" spans="1:9" ht="34.5">
      <c r="A40" s="107"/>
      <c r="B40" s="86" t="s">
        <v>61</v>
      </c>
      <c r="C40" s="86" t="s">
        <v>62</v>
      </c>
      <c r="D40" s="87">
        <f>'2026.'!V65/(1+1.9%)</f>
        <v>4241156.0353287542</v>
      </c>
      <c r="E40" s="87">
        <f>'2027'!AF65</f>
        <v>54455555.303137124</v>
      </c>
      <c r="F40" s="87">
        <f>'2028'!AF65</f>
        <v>58497181.542920247</v>
      </c>
      <c r="G40" s="87">
        <f>'2029'!AF65</f>
        <v>62591590.70651789</v>
      </c>
      <c r="H40" s="87">
        <f>'2030'!AA65</f>
        <v>38714123.907530516</v>
      </c>
      <c r="I40" s="87">
        <f t="shared" si="1"/>
        <v>218499607.49543455</v>
      </c>
    </row>
    <row r="41" spans="1:9" ht="34.5">
      <c r="A41" s="107"/>
      <c r="B41" s="86" t="s">
        <v>63</v>
      </c>
      <c r="C41" s="86" t="s">
        <v>13</v>
      </c>
      <c r="D41" s="87">
        <f>'2026.'!V66/(1+1.9%)</f>
        <v>4241156.0353287542</v>
      </c>
      <c r="E41" s="87">
        <f>'2027'!AF66</f>
        <v>54455555.303137124</v>
      </c>
      <c r="F41" s="87">
        <f>'2028'!AF66</f>
        <v>58497181.542920247</v>
      </c>
      <c r="G41" s="87">
        <f>'2029'!AF66</f>
        <v>62591590.70651789</v>
      </c>
      <c r="H41" s="87">
        <f>'2030'!AA66</f>
        <v>38714123.907530516</v>
      </c>
      <c r="I41" s="87">
        <f t="shared" si="1"/>
        <v>218499607.49543455</v>
      </c>
    </row>
    <row r="42" spans="1:9" ht="34.5">
      <c r="A42" s="107"/>
      <c r="B42" s="86" t="s">
        <v>64</v>
      </c>
      <c r="C42" s="86" t="s">
        <v>65</v>
      </c>
      <c r="D42" s="87">
        <f>'2026.'!V67/(1+1.9%)</f>
        <v>5654875.3680078518</v>
      </c>
      <c r="E42" s="87">
        <f>'2027'!AF67</f>
        <v>72607407.070849493</v>
      </c>
      <c r="F42" s="87">
        <f>'2028'!AF67</f>
        <v>77996242.057227001</v>
      </c>
      <c r="G42" s="87">
        <f>'2029'!AF67</f>
        <v>83455454.275357217</v>
      </c>
      <c r="H42" s="87">
        <f>'2030'!AA67</f>
        <v>51618831.87670736</v>
      </c>
      <c r="I42" s="87">
        <f t="shared" si="1"/>
        <v>291332810.64814889</v>
      </c>
    </row>
    <row r="43" spans="1:9" ht="34.5">
      <c r="A43" s="107"/>
      <c r="B43" s="86" t="s">
        <v>66</v>
      </c>
      <c r="C43" s="86" t="s">
        <v>65</v>
      </c>
      <c r="D43" s="87">
        <f>'2026.'!V68/(1+1.9%)</f>
        <v>5654875.3680078518</v>
      </c>
      <c r="E43" s="87">
        <f>'2027'!AF68</f>
        <v>72607407.070849493</v>
      </c>
      <c r="F43" s="87">
        <f>'2028'!AF68</f>
        <v>77996242.057227001</v>
      </c>
      <c r="G43" s="87">
        <f>'2029'!AF68</f>
        <v>83455454.275357217</v>
      </c>
      <c r="H43" s="87">
        <f>'2030'!AA68</f>
        <v>51618831.87670736</v>
      </c>
      <c r="I43" s="87">
        <f t="shared" si="1"/>
        <v>291332810.64814889</v>
      </c>
    </row>
    <row r="44" spans="1:9" ht="34.5">
      <c r="A44" s="107"/>
      <c r="B44" s="86" t="s">
        <v>67</v>
      </c>
      <c r="C44" s="86" t="s">
        <v>68</v>
      </c>
      <c r="D44" s="87">
        <f>'2026.'!V69/(1+1.9%)</f>
        <v>5811954.8577036317</v>
      </c>
      <c r="E44" s="87">
        <f>'2027'!AF69</f>
        <v>74624279.489484221</v>
      </c>
      <c r="F44" s="87">
        <f>'2028'!AF69</f>
        <v>80162804.336594418</v>
      </c>
      <c r="G44" s="87">
        <f>'2029'!AF69</f>
        <v>85773661.338561565</v>
      </c>
      <c r="H44" s="87">
        <f>'2030'!AA69</f>
        <v>53052688.317727007</v>
      </c>
      <c r="I44" s="87">
        <f t="shared" si="1"/>
        <v>299425388.34007084</v>
      </c>
    </row>
    <row r="45" spans="1:9" ht="23.1">
      <c r="A45" s="107" t="s">
        <v>69</v>
      </c>
      <c r="B45" s="86" t="s">
        <v>70</v>
      </c>
      <c r="C45" s="86" t="s">
        <v>49</v>
      </c>
      <c r="D45" s="87">
        <f>'2026.'!V70/(1+1.9%)</f>
        <v>19671013.738959767</v>
      </c>
      <c r="E45" s="87">
        <f>'2027'!AF70</f>
        <v>254672307.9549</v>
      </c>
      <c r="F45" s="87">
        <f>'2028'!AF70</f>
        <v>274742999.20465201</v>
      </c>
      <c r="G45" s="87">
        <f>'2029'!AF70</f>
        <v>293969465.14897776</v>
      </c>
      <c r="H45" s="87">
        <f>'2030'!AA70</f>
        <v>183482707.16382024</v>
      </c>
      <c r="I45" s="87">
        <f t="shared" si="1"/>
        <v>1026538493.2113098</v>
      </c>
    </row>
    <row r="46" spans="1:9" ht="23.1">
      <c r="A46" s="107"/>
      <c r="B46" s="86" t="s">
        <v>38</v>
      </c>
      <c r="C46" s="86" t="s">
        <v>49</v>
      </c>
      <c r="D46" s="87">
        <f>'2026.'!V71/(1+1.9%)</f>
        <v>19671013.738959767</v>
      </c>
      <c r="E46" s="87">
        <f>'2027'!AF71</f>
        <v>254672307.9549</v>
      </c>
      <c r="F46" s="87">
        <f>'2028'!AF71</f>
        <v>274742999.20465201</v>
      </c>
      <c r="G46" s="87">
        <f>'2029'!AF71</f>
        <v>293969465.14897776</v>
      </c>
      <c r="H46" s="87">
        <f>'2030'!AA71</f>
        <v>183482707.16382024</v>
      </c>
      <c r="I46" s="87">
        <f t="shared" si="1"/>
        <v>1026538493.2113098</v>
      </c>
    </row>
    <row r="47" spans="1:9" ht="23.1">
      <c r="A47" s="107"/>
      <c r="B47" s="86" t="s">
        <v>71</v>
      </c>
      <c r="C47" s="86" t="s">
        <v>49</v>
      </c>
      <c r="D47" s="87">
        <f>'2026.'!V72/(1+1.9%)</f>
        <v>19671013.738959767</v>
      </c>
      <c r="E47" s="87">
        <f>'2027'!AF72</f>
        <v>254672307.9549</v>
      </c>
      <c r="F47" s="87">
        <f>'2028'!AF72</f>
        <v>274742999.20465201</v>
      </c>
      <c r="G47" s="87">
        <f>'2029'!AF72</f>
        <v>293969465.14897776</v>
      </c>
      <c r="H47" s="87">
        <f>'2030'!AA72</f>
        <v>183482707.16382024</v>
      </c>
      <c r="I47" s="87">
        <f t="shared" si="1"/>
        <v>1026538493.2113098</v>
      </c>
    </row>
    <row r="48" spans="1:9" ht="34.5">
      <c r="A48" s="107"/>
      <c r="B48" s="86" t="s">
        <v>72</v>
      </c>
      <c r="C48" s="86" t="s">
        <v>73</v>
      </c>
      <c r="D48" s="87">
        <f>'2026.'!V73/(1+1.9%)</f>
        <v>3675668.302257115</v>
      </c>
      <c r="E48" s="87">
        <f>'2027'!AF73</f>
        <v>68634176.239523903</v>
      </c>
      <c r="F48" s="87">
        <f>'2028'!AF73</f>
        <v>73717967.176450834</v>
      </c>
      <c r="G48" s="87">
        <f>'2029'!AF73</f>
        <v>79229861.653820142</v>
      </c>
      <c r="H48" s="87">
        <f>'2030'!AA73</f>
        <v>49734932.903104901</v>
      </c>
      <c r="I48" s="87">
        <f t="shared" si="1"/>
        <v>274992606.27515692</v>
      </c>
    </row>
    <row r="49" spans="1:9" ht="34.5">
      <c r="A49" s="107"/>
      <c r="B49" s="86" t="s">
        <v>74</v>
      </c>
      <c r="C49" s="86" t="s">
        <v>73</v>
      </c>
      <c r="D49" s="87">
        <f>'2026.'!V74/(1+1.9%)</f>
        <v>3675668.302257115</v>
      </c>
      <c r="E49" s="87">
        <f>'2027'!AF74</f>
        <v>68634176.239523903</v>
      </c>
      <c r="F49" s="87">
        <f>'2028'!AF74</f>
        <v>73717967.176450834</v>
      </c>
      <c r="G49" s="87">
        <f>'2029'!AF74</f>
        <v>79229861.653820142</v>
      </c>
      <c r="H49" s="87">
        <f>'2030'!AA74</f>
        <v>49734932.903104901</v>
      </c>
      <c r="I49" s="87">
        <f t="shared" si="1"/>
        <v>274992606.27515692</v>
      </c>
    </row>
    <row r="50" spans="1:9" ht="34.5">
      <c r="A50" s="107"/>
      <c r="B50" s="86" t="s">
        <v>75</v>
      </c>
      <c r="C50" s="86" t="s">
        <v>76</v>
      </c>
      <c r="D50" s="87">
        <f>'2026.'!V75/(1+1.9%)</f>
        <v>3777770.3631010801</v>
      </c>
      <c r="E50" s="87">
        <f>'2027'!AF75</f>
        <v>70540681.135066271</v>
      </c>
      <c r="F50" s="87">
        <f>'2028'!AF75</f>
        <v>75765688.486907795</v>
      </c>
      <c r="G50" s="87">
        <f>'2029'!AF75</f>
        <v>81430691.144204021</v>
      </c>
      <c r="H50" s="87">
        <f>'2030'!AA75</f>
        <v>51116458.817080036</v>
      </c>
      <c r="I50" s="87">
        <f t="shared" si="1"/>
        <v>282631289.94635922</v>
      </c>
    </row>
    <row r="51" spans="1:9" ht="34.5">
      <c r="A51" s="107"/>
      <c r="B51" s="86" t="s">
        <v>77</v>
      </c>
      <c r="C51" s="86" t="s">
        <v>73</v>
      </c>
      <c r="D51" s="87">
        <f>'2026.'!V76/(1+1.9%)</f>
        <v>3675668.302257115</v>
      </c>
      <c r="E51" s="87">
        <f>'2027'!AF76</f>
        <v>68634176.239523903</v>
      </c>
      <c r="F51" s="87">
        <f>'2028'!AF76</f>
        <v>73717967.176450834</v>
      </c>
      <c r="G51" s="87">
        <f>'2029'!AF76</f>
        <v>79229861.653820142</v>
      </c>
      <c r="H51" s="87">
        <f>'2030'!AA76</f>
        <v>49734932.903104901</v>
      </c>
      <c r="I51" s="87">
        <f t="shared" si="1"/>
        <v>274992606.27515692</v>
      </c>
    </row>
    <row r="52" spans="1:9" ht="34.5">
      <c r="A52" s="107"/>
      <c r="B52" s="86" t="s">
        <v>78</v>
      </c>
      <c r="C52" s="86" t="s">
        <v>73</v>
      </c>
      <c r="D52" s="87">
        <f>'2026.'!V77/(1+1.9%)</f>
        <v>3675668.302257115</v>
      </c>
      <c r="E52" s="87">
        <f>'2027'!AF77</f>
        <v>68634176.239523903</v>
      </c>
      <c r="F52" s="87">
        <f>'2028'!AF77</f>
        <v>73717967.176450834</v>
      </c>
      <c r="G52" s="87">
        <f>'2029'!AF77</f>
        <v>79229861.653820142</v>
      </c>
      <c r="H52" s="87">
        <f>'2030'!AA77</f>
        <v>49734932.903104901</v>
      </c>
      <c r="I52" s="87">
        <f t="shared" si="1"/>
        <v>274992606.27515692</v>
      </c>
    </row>
    <row r="53" spans="1:9" ht="34.5">
      <c r="A53" s="107"/>
      <c r="B53" s="86" t="s">
        <v>79</v>
      </c>
      <c r="C53" s="86" t="s">
        <v>73</v>
      </c>
      <c r="D53" s="87">
        <f>'2026.'!V78/(1+1.9%)</f>
        <v>3675668.302257115</v>
      </c>
      <c r="E53" s="87">
        <f>'2027'!AF78</f>
        <v>68634176.239523903</v>
      </c>
      <c r="F53" s="87">
        <f>'2028'!AF78</f>
        <v>73717967.176450834</v>
      </c>
      <c r="G53" s="87">
        <f>'2029'!AF78</f>
        <v>79229861.653820142</v>
      </c>
      <c r="H53" s="87">
        <f>'2030'!AA78</f>
        <v>49734932.903104901</v>
      </c>
      <c r="I53" s="87">
        <f t="shared" si="1"/>
        <v>274992606.27515692</v>
      </c>
    </row>
    <row r="54" spans="1:9" ht="34.5">
      <c r="A54" s="107"/>
      <c r="B54" s="86" t="s">
        <v>80</v>
      </c>
      <c r="C54" s="86" t="s">
        <v>73</v>
      </c>
      <c r="D54" s="87">
        <f>'2026.'!V79/(1+1.9%)</f>
        <v>5654875.3680078518</v>
      </c>
      <c r="E54" s="87">
        <f>'2027'!AF79</f>
        <v>72607407.070849493</v>
      </c>
      <c r="F54" s="87">
        <f>'2028'!AF79</f>
        <v>77996242.057227001</v>
      </c>
      <c r="G54" s="87">
        <f>'2029'!AF79</f>
        <v>83455454.275357217</v>
      </c>
      <c r="H54" s="87">
        <f>'2030'!AA79</f>
        <v>51618831.87670736</v>
      </c>
      <c r="I54" s="87">
        <f t="shared" si="1"/>
        <v>291332810.64814889</v>
      </c>
    </row>
    <row r="55" spans="1:9" ht="34.5">
      <c r="A55" s="107"/>
      <c r="B55" s="86" t="s">
        <v>81</v>
      </c>
      <c r="C55" s="86" t="s">
        <v>73</v>
      </c>
      <c r="D55" s="87">
        <f>'2026.'!V80/(1+1.9%)</f>
        <v>3675668.302257115</v>
      </c>
      <c r="E55" s="87">
        <f>'2027'!AF80</f>
        <v>68634176.239523903</v>
      </c>
      <c r="F55" s="87">
        <f>'2028'!AF80</f>
        <v>73717967.176450834</v>
      </c>
      <c r="G55" s="87">
        <f>'2029'!AF80</f>
        <v>79229861.653820142</v>
      </c>
      <c r="H55" s="87">
        <f>'2030'!AA80</f>
        <v>49734932.903104901</v>
      </c>
      <c r="I55" s="87">
        <f t="shared" si="1"/>
        <v>274992606.27515692</v>
      </c>
    </row>
    <row r="56" spans="1:9" ht="34.5">
      <c r="A56" s="107"/>
      <c r="B56" s="86" t="s">
        <v>81</v>
      </c>
      <c r="C56" s="86" t="s">
        <v>73</v>
      </c>
      <c r="D56" s="87">
        <f>'2026.'!V81/(1+1.9%)</f>
        <v>3675668.302257115</v>
      </c>
      <c r="E56" s="87">
        <f>'2027'!AF81</f>
        <v>68634176.239523903</v>
      </c>
      <c r="F56" s="87">
        <f>'2028'!AF81</f>
        <v>73717967.176450834</v>
      </c>
      <c r="G56" s="87">
        <f>'2029'!AF81</f>
        <v>79229861.653820142</v>
      </c>
      <c r="H56" s="87">
        <f>'2030'!AA81</f>
        <v>49734932.903104901</v>
      </c>
      <c r="I56" s="87">
        <f t="shared" si="1"/>
        <v>274992606.27515692</v>
      </c>
    </row>
    <row r="57" spans="1:9" ht="34.5">
      <c r="A57" s="107" t="s">
        <v>82</v>
      </c>
      <c r="B57" s="86" t="s">
        <v>38</v>
      </c>
      <c r="C57" s="86" t="s">
        <v>73</v>
      </c>
      <c r="D57" s="87">
        <f>'2026.'!V82/(1+1.9%)</f>
        <v>3675668.302257115</v>
      </c>
      <c r="E57" s="87">
        <f>'2027'!AF82</f>
        <v>68634176.239523903</v>
      </c>
      <c r="F57" s="87">
        <f>'2028'!AF82</f>
        <v>73717967.176450834</v>
      </c>
      <c r="G57" s="87">
        <f>'2029'!AF82</f>
        <v>79229861.653820142</v>
      </c>
      <c r="H57" s="87">
        <f>'2030'!AA82</f>
        <v>49734932.903104901</v>
      </c>
      <c r="I57" s="87">
        <f t="shared" si="1"/>
        <v>274992606.27515692</v>
      </c>
    </row>
    <row r="58" spans="1:9" ht="34.5">
      <c r="A58" s="107"/>
      <c r="B58" s="86" t="s">
        <v>83</v>
      </c>
      <c r="C58" s="86" t="s">
        <v>84</v>
      </c>
      <c r="D58" s="87">
        <f>'2026.'!V83/(1+1.9%)</f>
        <v>5178537.7821393525</v>
      </c>
      <c r="E58" s="87">
        <f>'2027'!AF83</f>
        <v>96695815.684248134</v>
      </c>
      <c r="F58" s="87">
        <f>'2028'!AF83</f>
        <v>103857368.63794792</v>
      </c>
      <c r="G58" s="87">
        <f>'2029'!AF83</f>
        <v>111622085.31656462</v>
      </c>
      <c r="H58" s="87">
        <f>'2030'!AA83</f>
        <v>70068080.29047282</v>
      </c>
      <c r="I58" s="87">
        <f t="shared" si="1"/>
        <v>387421887.71137279</v>
      </c>
    </row>
    <row r="59" spans="1:9" ht="23.1">
      <c r="A59" s="107" t="s">
        <v>85</v>
      </c>
      <c r="B59" s="86" t="s">
        <v>86</v>
      </c>
      <c r="C59" s="86" t="s">
        <v>87</v>
      </c>
      <c r="D59" s="87">
        <f>'2026.'!V84/(1+1.9%)</f>
        <v>19671013.738959767</v>
      </c>
      <c r="E59" s="87">
        <f>'2027'!AF84</f>
        <v>254672307.9549</v>
      </c>
      <c r="F59" s="87">
        <f>'2028'!AF84</f>
        <v>274742999.20465201</v>
      </c>
      <c r="G59" s="87">
        <f>'2029'!AF84</f>
        <v>293969465.14897776</v>
      </c>
      <c r="H59" s="87">
        <f>'2030'!AA84</f>
        <v>183482707.16382024</v>
      </c>
      <c r="I59" s="87">
        <f t="shared" si="1"/>
        <v>1026538493.2113098</v>
      </c>
    </row>
    <row r="60" spans="1:9" ht="34.5">
      <c r="A60" s="107"/>
      <c r="B60" s="86" t="s">
        <v>88</v>
      </c>
      <c r="C60" s="86" t="s">
        <v>73</v>
      </c>
      <c r="D60" s="87">
        <f>'2026.'!V85/(1+1.9%)</f>
        <v>3675668.302257115</v>
      </c>
      <c r="E60" s="87">
        <f>'2027'!AF85</f>
        <v>68634176.239523903</v>
      </c>
      <c r="F60" s="87">
        <f>'2028'!AF85</f>
        <v>73717967.176450834</v>
      </c>
      <c r="G60" s="87">
        <f>'2029'!AF85</f>
        <v>79229861.653820142</v>
      </c>
      <c r="H60" s="87">
        <f>'2030'!AA85</f>
        <v>49734932.903104901</v>
      </c>
      <c r="I60" s="87">
        <f t="shared" si="1"/>
        <v>274992606.27515692</v>
      </c>
    </row>
    <row r="61" spans="1:9" ht="45.95">
      <c r="A61" s="85" t="s">
        <v>89</v>
      </c>
      <c r="B61" s="86" t="s">
        <v>90</v>
      </c>
      <c r="C61" s="86" t="s">
        <v>87</v>
      </c>
      <c r="D61" s="87">
        <f>'2026.'!V86/(1+1.9%)</f>
        <v>39342028.4592738</v>
      </c>
      <c r="E61" s="87">
        <f>'2027'!AF86</f>
        <v>509344615.90979999</v>
      </c>
      <c r="F61" s="87">
        <f>'2028'!AF86</f>
        <v>549485998.40930402</v>
      </c>
      <c r="G61" s="87">
        <f>'2029'!AF86</f>
        <v>587938930.29795551</v>
      </c>
      <c r="H61" s="87">
        <f>'2030'!AA86</f>
        <v>366965414.32764047</v>
      </c>
      <c r="I61" s="87">
        <f t="shared" si="1"/>
        <v>2053076987.4039738</v>
      </c>
    </row>
    <row r="62" spans="1:9" ht="57.6">
      <c r="A62" s="85" t="s">
        <v>91</v>
      </c>
      <c r="B62" s="86" t="s">
        <v>92</v>
      </c>
      <c r="C62" s="86" t="s">
        <v>93</v>
      </c>
      <c r="D62" s="87">
        <f>'2026.'!V87/(1+1.9%)</f>
        <v>19313359.175662417</v>
      </c>
      <c r="E62" s="87">
        <f>'2027'!AF87</f>
        <v>250041902.35572007</v>
      </c>
      <c r="F62" s="87">
        <f>'2028'!AF87</f>
        <v>269747671.94638568</v>
      </c>
      <c r="G62" s="87">
        <f>'2029'!AF87</f>
        <v>288624565.78263265</v>
      </c>
      <c r="H62" s="87">
        <f>'2030'!AA87</f>
        <v>180146657.94265985</v>
      </c>
      <c r="I62" s="87">
        <f t="shared" si="1"/>
        <v>1007874157.2030606</v>
      </c>
    </row>
    <row r="63" spans="1:9" ht="34.5">
      <c r="A63" s="85" t="s">
        <v>94</v>
      </c>
      <c r="B63" s="86" t="s">
        <v>95</v>
      </c>
      <c r="C63" s="86" t="s">
        <v>87</v>
      </c>
      <c r="D63" s="87">
        <f>'2026.'!V88/(1+1.9%)</f>
        <v>19671013.738959767</v>
      </c>
      <c r="E63" s="87">
        <f>'2027'!AF88</f>
        <v>254672307.9549</v>
      </c>
      <c r="F63" s="87">
        <f>'2028'!AF88</f>
        <v>274742999.20465201</v>
      </c>
      <c r="G63" s="87">
        <f>'2029'!AF88</f>
        <v>293969465.14897776</v>
      </c>
      <c r="H63" s="87">
        <f>'2030'!AA88</f>
        <v>183482707.16382024</v>
      </c>
      <c r="I63" s="87">
        <f t="shared" si="1"/>
        <v>1026538493.2113098</v>
      </c>
    </row>
    <row r="64" spans="1:9">
      <c r="A64" s="106" t="s">
        <v>96</v>
      </c>
      <c r="B64" s="106"/>
      <c r="C64" s="106"/>
      <c r="D64" s="89">
        <f>SUM(D4:D63)</f>
        <v>593289040.23552513</v>
      </c>
      <c r="E64" s="89">
        <f t="shared" ref="E64:H64" si="2">SUM(E4:E63)</f>
        <v>8127362259.9116354</v>
      </c>
      <c r="F64" s="89">
        <f t="shared" si="2"/>
        <v>8755571394.8702927</v>
      </c>
      <c r="G64" s="89">
        <f t="shared" si="2"/>
        <v>9376027399.238533</v>
      </c>
      <c r="H64" s="89">
        <f t="shared" si="2"/>
        <v>5848487331.0938091</v>
      </c>
      <c r="I64" s="89">
        <f>SUM(I4:I63)</f>
        <v>32700737425.349812</v>
      </c>
    </row>
    <row r="65" spans="1:9">
      <c r="A65" s="106" t="s">
        <v>97</v>
      </c>
      <c r="B65" s="106"/>
      <c r="C65" s="106"/>
      <c r="D65" s="89">
        <f>+D64*(1.9%)</f>
        <v>11272491.764474977</v>
      </c>
      <c r="E65" s="89">
        <f>+E64*(10%*19%)</f>
        <v>154419882.93832108</v>
      </c>
      <c r="F65" s="89">
        <f t="shared" ref="F65:I65" si="3">+F64*(10%*19%)</f>
        <v>166355856.50253558</v>
      </c>
      <c r="G65" s="89">
        <f t="shared" si="3"/>
        <v>178144520.58553216</v>
      </c>
      <c r="H65" s="89">
        <f t="shared" si="3"/>
        <v>111121259.29078239</v>
      </c>
      <c r="I65" s="89">
        <f t="shared" si="3"/>
        <v>621314011.08164656</v>
      </c>
    </row>
    <row r="66" spans="1:9">
      <c r="A66" s="106" t="s">
        <v>98</v>
      </c>
      <c r="B66" s="106"/>
      <c r="C66" s="106"/>
      <c r="D66" s="90">
        <f>+D64+D65</f>
        <v>604561532.00000012</v>
      </c>
      <c r="E66" s="90">
        <f t="shared" ref="E66:I66" si="4">+E64+E65</f>
        <v>8281782142.8499565</v>
      </c>
      <c r="F66" s="90">
        <f t="shared" si="4"/>
        <v>8921927251.3728275</v>
      </c>
      <c r="G66" s="90">
        <f t="shared" si="4"/>
        <v>9554171919.8240643</v>
      </c>
      <c r="H66" s="90">
        <f t="shared" si="4"/>
        <v>5959608590.3845911</v>
      </c>
      <c r="I66" s="90">
        <f t="shared" si="4"/>
        <v>33322051436.431458</v>
      </c>
    </row>
    <row r="67" spans="1:9">
      <c r="A67" s="58"/>
      <c r="B67" s="58"/>
      <c r="C67" s="58"/>
    </row>
    <row r="68" spans="1:9">
      <c r="H68" s="55"/>
      <c r="I68" s="55"/>
    </row>
    <row r="69" spans="1:9">
      <c r="B69" s="81" t="s">
        <v>1</v>
      </c>
      <c r="C69" s="81" t="s">
        <v>99</v>
      </c>
    </row>
    <row r="70" spans="1:9" ht="43.5">
      <c r="B70" s="22" t="str">
        <f>+A4</f>
        <v>SEDE 1.  PALACIO DE JUSTICIA ALFONSO REYES ECHANDIA</v>
      </c>
      <c r="C70" s="80">
        <f>SUM(I4:I23)</f>
        <v>7006141422.1360626</v>
      </c>
    </row>
    <row r="71" spans="1:9" ht="29.1">
      <c r="B71" s="22" t="str">
        <f>+A24</f>
        <v>SEDE 2.  ESCUELA JUDICIAL RODRIGO LARA BONILLA</v>
      </c>
      <c r="C71" s="80">
        <f>SUM(I24:I25)</f>
        <v>2053076986.4226196</v>
      </c>
    </row>
    <row r="72" spans="1:9" ht="29.1">
      <c r="B72" s="22" t="str">
        <f>+A26</f>
        <v>SEDE 3.  EDIFICIO ANTIGUO BANCO POPULAR</v>
      </c>
      <c r="C72" s="80">
        <f>SUM(I26:I27)</f>
        <v>1301531099.4864666</v>
      </c>
    </row>
    <row r="73" spans="1:9">
      <c r="B73" s="22" t="str">
        <f>+A28</f>
        <v>SEDE 4.  SEDE ANEXA</v>
      </c>
      <c r="C73" s="80">
        <f>SUM(I28:I29)</f>
        <v>1301582907.883744</v>
      </c>
    </row>
    <row r="74" spans="1:9">
      <c r="B74" s="22" t="str">
        <f>+A30</f>
        <v>SEDE 5.  EDIFICIO DINERS</v>
      </c>
      <c r="C74" s="80">
        <f>SUM(I30)</f>
        <v>1026538493.2113098</v>
      </c>
    </row>
    <row r="75" spans="1:9" ht="29.1">
      <c r="B75" s="22" t="str">
        <f>+A31</f>
        <v>SEDE 6.  ALMACÉN GENERAL E INVENTARIOS</v>
      </c>
      <c r="C75" s="80">
        <f>SUM(I31:I32)</f>
        <v>2030991509.5567732</v>
      </c>
    </row>
    <row r="76" spans="1:9" ht="29.1">
      <c r="B76" s="22" t="str">
        <f>+A33</f>
        <v>SEDE 7.  EDIFICIO BANCO DE CRÉDITO</v>
      </c>
      <c r="C76" s="80">
        <f>SUM(I33:I44)</f>
        <v>6350911951.206955</v>
      </c>
    </row>
    <row r="77" spans="1:9">
      <c r="B77" s="22" t="str">
        <f>+A45</f>
        <v>SEDE 8.  EDIFICIO TORRE D</v>
      </c>
      <c r="C77" s="80">
        <f>SUM(I45:I56)</f>
        <v>5578527824.1545353</v>
      </c>
    </row>
    <row r="78" spans="1:9">
      <c r="B78" s="22" t="str">
        <f>+A57</f>
        <v>SEDE 9.  EDIFICIO TORRE B</v>
      </c>
      <c r="C78" s="80">
        <f>SUM(I57:I58)</f>
        <v>662414493.98652971</v>
      </c>
    </row>
    <row r="79" spans="1:9">
      <c r="B79" s="22" t="str">
        <f>+A59</f>
        <v>SEDE 10.  EDIFICIO AKL</v>
      </c>
      <c r="C79" s="80">
        <f>SUM(I59:I60)</f>
        <v>1301531099.4864666</v>
      </c>
    </row>
    <row r="80" spans="1:9" ht="29.1">
      <c r="B80" s="22" t="str">
        <f>+A61</f>
        <v>SEDE 11.  LOTE PARQUEADERO</v>
      </c>
      <c r="C80" s="80">
        <f>SUM(I61)</f>
        <v>2053076987.4039738</v>
      </c>
    </row>
    <row r="81" spans="2:3" ht="29.1">
      <c r="B81" s="22" t="str">
        <f>+A62</f>
        <v>SEDE 12.  LOTE SALITRE TRIBUNALES</v>
      </c>
      <c r="C81" s="80">
        <f>SUM(I62)</f>
        <v>1007874157.2030606</v>
      </c>
    </row>
    <row r="82" spans="2:3">
      <c r="B82" s="22" t="str">
        <f>+A63</f>
        <v>SEDE 13.  EDIFICIO CALLE 85</v>
      </c>
      <c r="C82" s="80">
        <f>SUM(I63)</f>
        <v>1026538493.2113098</v>
      </c>
    </row>
    <row r="83" spans="2:3">
      <c r="B83" s="81" t="s">
        <v>100</v>
      </c>
      <c r="C83" s="82">
        <f>SUM(C70:C82)</f>
        <v>32700737425.349804</v>
      </c>
    </row>
    <row r="84" spans="2:3">
      <c r="B84" s="81" t="s">
        <v>101</v>
      </c>
      <c r="C84" s="82">
        <f>+C83*1.9%</f>
        <v>621314011.0816462</v>
      </c>
    </row>
    <row r="85" spans="2:3">
      <c r="B85" s="81" t="s">
        <v>4</v>
      </c>
      <c r="C85" s="82">
        <f>+C84+C83</f>
        <v>33322051436.43145</v>
      </c>
    </row>
    <row r="94" spans="2:3">
      <c r="C94" s="78"/>
    </row>
  </sheetData>
  <mergeCells count="13">
    <mergeCell ref="A2:I2"/>
    <mergeCell ref="A65:C65"/>
    <mergeCell ref="A66:C66"/>
    <mergeCell ref="A4:A23"/>
    <mergeCell ref="A24:A25"/>
    <mergeCell ref="A26:A27"/>
    <mergeCell ref="A28:A29"/>
    <mergeCell ref="A31:A32"/>
    <mergeCell ref="A33:A44"/>
    <mergeCell ref="A45:A56"/>
    <mergeCell ref="A57:A58"/>
    <mergeCell ref="A59:A60"/>
    <mergeCell ref="A64:C64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3E1A9-8281-48C7-A7B9-02AAB87B102B}">
  <dimension ref="A1:AB92"/>
  <sheetViews>
    <sheetView topLeftCell="C85" workbookViewId="0">
      <selection activeCell="W84" sqref="W84"/>
    </sheetView>
  </sheetViews>
  <sheetFormatPr defaultColWidth="11.42578125" defaultRowHeight="14.45"/>
  <cols>
    <col min="1" max="1" width="19.7109375" style="1" customWidth="1"/>
    <col min="2" max="2" width="15.7109375" customWidth="1"/>
    <col min="3" max="3" width="29.140625" customWidth="1"/>
    <col min="4" max="5" width="13.5703125" style="3" customWidth="1"/>
    <col min="6" max="6" width="18.42578125" style="3" customWidth="1"/>
    <col min="7" max="7" width="22.7109375" style="3" customWidth="1"/>
    <col min="8" max="8" width="13" style="3" customWidth="1"/>
    <col min="9" max="9" width="10.85546875" style="3" customWidth="1"/>
    <col min="10" max="10" width="12.5703125" style="3" bestFit="1" customWidth="1"/>
    <col min="11" max="12" width="12.5703125" style="3" customWidth="1"/>
    <col min="13" max="13" width="12" style="3" customWidth="1"/>
    <col min="14" max="14" width="18.140625" style="3" customWidth="1"/>
    <col min="15" max="15" width="16.85546875" style="3" customWidth="1"/>
    <col min="16" max="16" width="13.42578125" customWidth="1"/>
    <col min="17" max="17" width="2.7109375" customWidth="1"/>
    <col min="18" max="18" width="16.7109375" bestFit="1" customWidth="1"/>
    <col min="19" max="19" width="14.140625" bestFit="1" customWidth="1"/>
    <col min="20" max="20" width="19.42578125" customWidth="1"/>
    <col min="21" max="21" width="15.140625" bestFit="1" customWidth="1"/>
    <col min="22" max="22" width="16.140625" bestFit="1" customWidth="1"/>
    <col min="24" max="26" width="0" hidden="1" customWidth="1"/>
    <col min="27" max="27" width="16.140625" hidden="1" customWidth="1"/>
    <col min="28" max="28" width="11.140625" hidden="1" customWidth="1"/>
  </cols>
  <sheetData>
    <row r="1" spans="1:8" ht="18">
      <c r="A1" s="25" t="s">
        <v>102</v>
      </c>
      <c r="B1" s="25" t="s">
        <v>103</v>
      </c>
      <c r="D1" s="6"/>
      <c r="E1" s="9" t="s">
        <v>104</v>
      </c>
    </row>
    <row r="2" spans="1:8" ht="18">
      <c r="A2" s="28" t="s">
        <v>105</v>
      </c>
      <c r="B2" s="4">
        <v>6000</v>
      </c>
      <c r="D2" s="7"/>
      <c r="E2" s="9"/>
    </row>
    <row r="3" spans="1:8" ht="27">
      <c r="A3" s="29" t="s">
        <v>106</v>
      </c>
      <c r="B3" s="4">
        <v>6000</v>
      </c>
      <c r="D3" s="8"/>
      <c r="E3" s="9" t="s">
        <v>107</v>
      </c>
    </row>
    <row r="4" spans="1:8" ht="27">
      <c r="A4" s="29" t="s">
        <v>108</v>
      </c>
      <c r="B4" s="4">
        <v>6000</v>
      </c>
      <c r="D4" s="10"/>
      <c r="E4" s="9" t="s">
        <v>109</v>
      </c>
    </row>
    <row r="5" spans="1:8" ht="18">
      <c r="A5" s="29" t="s">
        <v>110</v>
      </c>
      <c r="B5" s="4">
        <v>2000</v>
      </c>
    </row>
    <row r="6" spans="1:8" ht="27">
      <c r="A6" s="29" t="s">
        <v>111</v>
      </c>
      <c r="B6" s="4">
        <v>4000</v>
      </c>
      <c r="D6" s="111" t="s">
        <v>112</v>
      </c>
      <c r="E6" s="111"/>
      <c r="F6" s="111"/>
    </row>
    <row r="7" spans="1:8" ht="27">
      <c r="A7" s="29" t="s">
        <v>113</v>
      </c>
      <c r="B7" s="4">
        <v>2000</v>
      </c>
    </row>
    <row r="8" spans="1:8" ht="18">
      <c r="A8" s="29" t="s">
        <v>114</v>
      </c>
      <c r="B8" s="4">
        <v>2000</v>
      </c>
    </row>
    <row r="9" spans="1:8" ht="27">
      <c r="A9" s="29" t="s">
        <v>115</v>
      </c>
      <c r="B9" s="4">
        <v>2000</v>
      </c>
    </row>
    <row r="10" spans="1:8" ht="18">
      <c r="A10" s="29" t="s">
        <v>116</v>
      </c>
      <c r="B10" s="4">
        <v>2000</v>
      </c>
    </row>
    <row r="11" spans="1:8" ht="18">
      <c r="A11" s="29" t="s">
        <v>117</v>
      </c>
      <c r="B11" s="4">
        <v>2000</v>
      </c>
    </row>
    <row r="12" spans="1:8" ht="18">
      <c r="A12" s="29" t="s">
        <v>118</v>
      </c>
      <c r="B12" s="4">
        <v>2000</v>
      </c>
    </row>
    <row r="14" spans="1:8">
      <c r="A14" s="113" t="s">
        <v>119</v>
      </c>
      <c r="B14" s="113"/>
      <c r="C14" s="113"/>
      <c r="D14" s="113"/>
      <c r="E14" s="113"/>
      <c r="F14" s="113"/>
      <c r="G14" s="113"/>
      <c r="H14" s="113"/>
    </row>
    <row r="15" spans="1:8">
      <c r="A15" s="21" t="s">
        <v>120</v>
      </c>
      <c r="B15" s="21" t="s">
        <v>121</v>
      </c>
      <c r="C15" s="21" t="s">
        <v>122</v>
      </c>
      <c r="D15" s="21" t="s">
        <v>123</v>
      </c>
      <c r="E15" s="21" t="s">
        <v>124</v>
      </c>
      <c r="F15" s="21" t="s">
        <v>125</v>
      </c>
      <c r="G15" s="21" t="s">
        <v>126</v>
      </c>
      <c r="H15" s="21" t="s">
        <v>127</v>
      </c>
    </row>
    <row r="16" spans="1:8" ht="29.1">
      <c r="A16" s="14" t="s">
        <v>128</v>
      </c>
      <c r="B16" s="23">
        <f>+B21*C21</f>
        <v>17876740.050000001</v>
      </c>
      <c r="C16" s="22" t="s">
        <v>129</v>
      </c>
      <c r="D16" s="23">
        <v>6000</v>
      </c>
      <c r="E16" s="23">
        <f>+(B16+D16)*8%</f>
        <v>1430619.2040000001</v>
      </c>
      <c r="F16" s="23">
        <f>+B16+E16</f>
        <v>19307359.254000001</v>
      </c>
      <c r="G16" s="91">
        <v>0.08</v>
      </c>
      <c r="H16" s="92" t="s">
        <v>130</v>
      </c>
    </row>
    <row r="17" spans="1:28" ht="29.1">
      <c r="A17" s="14" t="s">
        <v>131</v>
      </c>
      <c r="B17" s="23">
        <f>+B21*C21</f>
        <v>17876740.050000001</v>
      </c>
      <c r="C17" s="22" t="s">
        <v>132</v>
      </c>
      <c r="D17" s="23">
        <v>6000</v>
      </c>
      <c r="E17" s="23">
        <f>+(B17+D17)*10%</f>
        <v>1788274.0050000001</v>
      </c>
      <c r="F17" s="23">
        <f>+B17+E17</f>
        <v>19665014.055</v>
      </c>
      <c r="G17" s="91">
        <v>0.1</v>
      </c>
      <c r="H17" s="93" t="s">
        <v>133</v>
      </c>
    </row>
    <row r="18" spans="1:28" ht="29.1">
      <c r="A18" s="14" t="s">
        <v>134</v>
      </c>
      <c r="B18" s="23">
        <f>+B21*C21</f>
        <v>17876740.050000001</v>
      </c>
      <c r="C18" s="22" t="s">
        <v>135</v>
      </c>
      <c r="D18" s="23">
        <v>6000</v>
      </c>
      <c r="E18" s="23">
        <f>+(B18+D18)*11%</f>
        <v>1967101.4055000001</v>
      </c>
      <c r="F18" s="23">
        <f>+B18+E18</f>
        <v>19843841.455499999</v>
      </c>
      <c r="G18" s="91">
        <v>0.11</v>
      </c>
      <c r="H18" s="93" t="s">
        <v>136</v>
      </c>
    </row>
    <row r="20" spans="1:28" ht="26.1">
      <c r="A20" s="20" t="s">
        <v>137</v>
      </c>
      <c r="B20" s="19" t="s">
        <v>138</v>
      </c>
      <c r="C20" s="19" t="s">
        <v>139</v>
      </c>
      <c r="D20" s="20" t="s">
        <v>140</v>
      </c>
      <c r="G20" s="60"/>
      <c r="H20" s="59"/>
      <c r="I20" s="59"/>
      <c r="J20" s="59"/>
      <c r="K20" s="59"/>
      <c r="L20" s="59"/>
      <c r="N20" s="60"/>
      <c r="O20" s="60"/>
      <c r="R20" s="61"/>
    </row>
    <row r="21" spans="1:28" ht="43.5">
      <c r="A21" s="14" t="s">
        <v>141</v>
      </c>
      <c r="B21" s="15">
        <v>1750905</v>
      </c>
      <c r="C21" s="13">
        <v>10.210000000000001</v>
      </c>
      <c r="D21" s="16">
        <v>0.47589999999999999</v>
      </c>
      <c r="G21" s="60"/>
      <c r="H21" s="66"/>
      <c r="I21" s="62"/>
      <c r="J21" s="59"/>
      <c r="K21" s="59"/>
      <c r="L21" s="59"/>
      <c r="M21" s="63"/>
      <c r="N21" s="60"/>
      <c r="O21" s="60"/>
      <c r="P21" s="55"/>
      <c r="R21" s="61"/>
      <c r="S21" s="61"/>
    </row>
    <row r="22" spans="1:28" ht="43.5">
      <c r="A22" s="14" t="s">
        <v>142</v>
      </c>
      <c r="B22" s="15">
        <v>1750905</v>
      </c>
      <c r="C22" s="13">
        <v>10.210000000000001</v>
      </c>
      <c r="D22" s="16">
        <v>0.52410000000000001</v>
      </c>
      <c r="G22" s="60"/>
      <c r="H22" s="66"/>
      <c r="I22" s="62"/>
      <c r="J22" s="59"/>
      <c r="K22" s="59"/>
      <c r="L22" s="59"/>
      <c r="M22" s="63"/>
      <c r="O22" s="60"/>
      <c r="P22" s="55"/>
      <c r="R22" s="55"/>
      <c r="S22" s="55"/>
    </row>
    <row r="23" spans="1:28" s="2" customFormat="1">
      <c r="A23" s="1"/>
      <c r="M23" s="64"/>
      <c r="R23" s="67"/>
    </row>
    <row r="24" spans="1:28">
      <c r="N24" s="65"/>
      <c r="P24" s="61"/>
    </row>
    <row r="25" spans="1:28">
      <c r="M25" s="63"/>
    </row>
    <row r="27" spans="1:28" ht="15.75" customHeight="1">
      <c r="A27" s="112" t="s">
        <v>143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R27" s="17">
        <v>2026</v>
      </c>
      <c r="T27" s="55"/>
    </row>
    <row r="28" spans="1:28" ht="34.5">
      <c r="A28" s="18" t="s">
        <v>1</v>
      </c>
      <c r="B28" s="45" t="s">
        <v>2</v>
      </c>
      <c r="C28" s="45" t="s">
        <v>3</v>
      </c>
      <c r="D28" s="45" t="s">
        <v>144</v>
      </c>
      <c r="E28" s="45" t="s">
        <v>145</v>
      </c>
      <c r="F28" s="45" t="s">
        <v>146</v>
      </c>
      <c r="G28" s="45" t="s">
        <v>147</v>
      </c>
      <c r="H28" s="45" t="s">
        <v>148</v>
      </c>
      <c r="I28" s="45" t="s">
        <v>149</v>
      </c>
      <c r="J28" s="45" t="s">
        <v>150</v>
      </c>
      <c r="K28" s="45" t="s">
        <v>151</v>
      </c>
      <c r="L28" s="45" t="s">
        <v>152</v>
      </c>
      <c r="M28" s="45" t="s">
        <v>153</v>
      </c>
      <c r="N28" s="45" t="s">
        <v>154</v>
      </c>
      <c r="O28" s="45" t="s">
        <v>155</v>
      </c>
      <c r="P28" s="46" t="s">
        <v>156</v>
      </c>
      <c r="R28" s="95" t="s">
        <v>157</v>
      </c>
      <c r="S28" s="77" t="s">
        <v>158</v>
      </c>
      <c r="T28" s="77" t="s">
        <v>96</v>
      </c>
      <c r="U28" s="77" t="s">
        <v>101</v>
      </c>
      <c r="V28" s="77" t="s">
        <v>98</v>
      </c>
    </row>
    <row r="29" spans="1:28" ht="34.5">
      <c r="A29" s="110" t="s">
        <v>5</v>
      </c>
      <c r="B29" s="33" t="s">
        <v>6</v>
      </c>
      <c r="C29" s="33" t="s">
        <v>7</v>
      </c>
      <c r="D29" s="16">
        <v>0.52410000000000001</v>
      </c>
      <c r="E29" s="16">
        <v>0.47589999999999999</v>
      </c>
      <c r="F29" s="35" t="s">
        <v>159</v>
      </c>
      <c r="G29" s="37">
        <v>1</v>
      </c>
      <c r="H29" s="37"/>
      <c r="I29" s="37">
        <v>1</v>
      </c>
      <c r="J29" s="37">
        <v>14</v>
      </c>
      <c r="K29" s="37">
        <v>13</v>
      </c>
      <c r="L29" s="37">
        <v>1</v>
      </c>
      <c r="M29" s="37">
        <f>IF(AND(G29=1,J29&lt;24),20,IF(AND(G29=1,J29=24),30,13))</f>
        <v>20</v>
      </c>
      <c r="N29" s="37">
        <v>20</v>
      </c>
      <c r="O29" s="37"/>
      <c r="P29" s="104">
        <v>2000</v>
      </c>
      <c r="R29" s="31">
        <f>+(((((($B$21*$C$21)+P29)*D29/30)*M29)/11*L29))+(((((($B$21*$C$21)+P29)*E29/30)*M29)/13*K29))*I29</f>
        <v>6240222.0574515145</v>
      </c>
      <c r="S29" s="96">
        <f>_xlfn.XLOOKUP(X29,$H$16:$H$18,$G$16:$G$18,,0,1)</f>
        <v>0.08</v>
      </c>
      <c r="T29" s="97">
        <f>R29*(1+S29)</f>
        <v>6739439.8220476359</v>
      </c>
      <c r="U29" s="97">
        <f>T29*1.9%</f>
        <v>128049.35661890508</v>
      </c>
      <c r="V29" s="97">
        <f>ROUND(T29+U29,0)</f>
        <v>6867489</v>
      </c>
      <c r="X29" t="str">
        <f>IF(ISNUMBER(SEARCH("Sin Arma",C29)), "Sin Arma", IF(ISNUMBER(SEARCH("Con Arma", C29)), "Con Arma", IF(ISNUMBER(SEARCH("Canino", C29)), "Canino", "Otra categoría")))</f>
        <v>Sin Arma</v>
      </c>
      <c r="AA29" s="78">
        <f>'[1]Dic-2026'!$X6</f>
        <v>6867489</v>
      </c>
      <c r="AB29" t="b">
        <f t="shared" ref="AB29:AB60" si="0">V29=AA29</f>
        <v>1</v>
      </c>
    </row>
    <row r="30" spans="1:28" ht="23.1">
      <c r="A30" s="110"/>
      <c r="B30" s="33" t="s">
        <v>8</v>
      </c>
      <c r="C30" s="33" t="s">
        <v>9</v>
      </c>
      <c r="D30" s="16">
        <v>0.52410000000000001</v>
      </c>
      <c r="E30" s="16">
        <v>0.47589999999999999</v>
      </c>
      <c r="F30" s="35" t="s">
        <v>160</v>
      </c>
      <c r="G30" s="37">
        <v>1</v>
      </c>
      <c r="H30" s="37">
        <v>1</v>
      </c>
      <c r="I30" s="37">
        <v>1</v>
      </c>
      <c r="J30" s="37">
        <v>24</v>
      </c>
      <c r="K30" s="37">
        <v>13</v>
      </c>
      <c r="L30" s="37">
        <v>11</v>
      </c>
      <c r="M30" s="37">
        <f t="shared" ref="M30:M88" si="1">IF(AND(G30=1,J30&lt;24),20,IF(AND(G30=1,J30=24),30,13))</f>
        <v>30</v>
      </c>
      <c r="N30" s="37"/>
      <c r="O30" s="37"/>
      <c r="P30" s="104">
        <v>6000</v>
      </c>
      <c r="R30" s="31">
        <f t="shared" ref="R30:R88" si="2">+(((((($B$21*$C$21)+P30)*D30/30)*M30)/11*L30))+(((((($B$21*$C$21)+P30)*E30/30)*M30)/13*K30))*I30</f>
        <v>17882740.050000001</v>
      </c>
      <c r="S30" s="96">
        <f t="shared" ref="S30:S88" si="3">_xlfn.XLOOKUP(X30,$H$16:$H$18,$G$16:$G$18,,0,1)</f>
        <v>0.08</v>
      </c>
      <c r="T30" s="97">
        <f t="shared" ref="T30:T88" si="4">R30*(1+S30)</f>
        <v>19313359.254000001</v>
      </c>
      <c r="U30" s="97">
        <f t="shared" ref="U30:U88" si="5">T30*1.9%</f>
        <v>366953.82582600001</v>
      </c>
      <c r="V30" s="97">
        <f t="shared" ref="V30:V88" si="6">ROUND(T30+U30,0)</f>
        <v>19680313</v>
      </c>
      <c r="X30" t="str">
        <f t="shared" ref="X30:X89" si="7">IF(ISNUMBER(SEARCH("Sin Arma",C30)), "Sin Arma", IF(ISNUMBER(SEARCH("Con Arma", C30)), "Con Arma", IF(ISNUMBER(SEARCH("Canino", C30)), "Canino", "Otra categoría")))</f>
        <v>Sin Arma</v>
      </c>
      <c r="AA30" s="78">
        <f>'[1]Dic-2026'!$X7</f>
        <v>19680313</v>
      </c>
      <c r="AB30" t="b">
        <f t="shared" si="0"/>
        <v>1</v>
      </c>
    </row>
    <row r="31" spans="1:28" ht="23.1">
      <c r="A31" s="110"/>
      <c r="B31" s="33" t="s">
        <v>10</v>
      </c>
      <c r="C31" s="33" t="s">
        <v>161</v>
      </c>
      <c r="D31" s="16">
        <v>0.52410000000000001</v>
      </c>
      <c r="E31" s="16">
        <v>0.47589999999999999</v>
      </c>
      <c r="F31" s="35" t="s">
        <v>162</v>
      </c>
      <c r="G31" s="37"/>
      <c r="H31" s="37"/>
      <c r="I31" s="37">
        <v>1</v>
      </c>
      <c r="J31" s="37">
        <v>12</v>
      </c>
      <c r="K31" s="37">
        <v>12</v>
      </c>
      <c r="L31" s="37"/>
      <c r="M31" s="37">
        <f t="shared" si="1"/>
        <v>13</v>
      </c>
      <c r="N31" s="37"/>
      <c r="O31" s="37">
        <v>20</v>
      </c>
      <c r="P31" s="104">
        <v>2000</v>
      </c>
      <c r="R31" s="31">
        <f t="shared" si="2"/>
        <v>3403396.9559180001</v>
      </c>
      <c r="S31" s="96">
        <f t="shared" si="3"/>
        <v>0.11</v>
      </c>
      <c r="T31" s="97">
        <f t="shared" si="4"/>
        <v>3777770.6210689805</v>
      </c>
      <c r="U31" s="97">
        <f t="shared" si="5"/>
        <v>71777.641800310623</v>
      </c>
      <c r="V31" s="97">
        <f t="shared" si="6"/>
        <v>3849548</v>
      </c>
      <c r="X31" t="str">
        <f t="shared" si="7"/>
        <v>Canino</v>
      </c>
      <c r="AA31" s="78">
        <f>'[1]Dic-2026'!$X8</f>
        <v>3849548</v>
      </c>
      <c r="AB31" t="b">
        <f t="shared" si="0"/>
        <v>1</v>
      </c>
    </row>
    <row r="32" spans="1:28" ht="23.1">
      <c r="A32" s="110"/>
      <c r="B32" s="33" t="s">
        <v>12</v>
      </c>
      <c r="C32" s="33" t="s">
        <v>13</v>
      </c>
      <c r="D32" s="16">
        <v>0.52410000000000001</v>
      </c>
      <c r="E32" s="16">
        <v>0.47589999999999999</v>
      </c>
      <c r="F32" s="35" t="s">
        <v>160</v>
      </c>
      <c r="G32" s="37"/>
      <c r="H32" s="37"/>
      <c r="I32" s="37">
        <v>1</v>
      </c>
      <c r="J32" s="37">
        <v>9</v>
      </c>
      <c r="K32" s="37">
        <v>9</v>
      </c>
      <c r="L32" s="37"/>
      <c r="M32" s="37">
        <f t="shared" si="1"/>
        <v>13</v>
      </c>
      <c r="N32" s="37"/>
      <c r="O32" s="37">
        <v>20</v>
      </c>
      <c r="P32" s="104">
        <v>2000</v>
      </c>
      <c r="R32" s="31">
        <f t="shared" si="2"/>
        <v>2552547.7169384998</v>
      </c>
      <c r="S32" s="96">
        <f t="shared" si="3"/>
        <v>0.08</v>
      </c>
      <c r="T32" s="97">
        <f t="shared" si="4"/>
        <v>2756751.5342935799</v>
      </c>
      <c r="U32" s="97">
        <f t="shared" si="5"/>
        <v>52378.279151578019</v>
      </c>
      <c r="V32" s="97">
        <f t="shared" si="6"/>
        <v>2809130</v>
      </c>
      <c r="X32" t="str">
        <f t="shared" si="7"/>
        <v>Sin Arma</v>
      </c>
      <c r="AA32" s="78">
        <f>'[1]Dic-2026'!$X9</f>
        <v>2809130</v>
      </c>
      <c r="AB32" t="b">
        <f t="shared" si="0"/>
        <v>1</v>
      </c>
    </row>
    <row r="33" spans="1:28" ht="34.5">
      <c r="A33" s="110"/>
      <c r="B33" s="33" t="s">
        <v>14</v>
      </c>
      <c r="C33" s="33" t="s">
        <v>15</v>
      </c>
      <c r="D33" s="16">
        <v>0.52410000000000001</v>
      </c>
      <c r="E33" s="16">
        <v>0.47589999999999999</v>
      </c>
      <c r="F33" s="35" t="s">
        <v>160</v>
      </c>
      <c r="G33" s="37"/>
      <c r="H33" s="37"/>
      <c r="I33" s="37">
        <v>1</v>
      </c>
      <c r="J33" s="37">
        <v>11</v>
      </c>
      <c r="K33" s="37">
        <v>11</v>
      </c>
      <c r="L33" s="37"/>
      <c r="M33" s="37">
        <f t="shared" si="1"/>
        <v>13</v>
      </c>
      <c r="N33" s="37"/>
      <c r="O33" s="37">
        <v>20</v>
      </c>
      <c r="P33" s="104">
        <v>2000</v>
      </c>
      <c r="R33" s="31">
        <f t="shared" si="2"/>
        <v>3119780.542924833</v>
      </c>
      <c r="S33" s="96">
        <f t="shared" si="3"/>
        <v>0.08</v>
      </c>
      <c r="T33" s="97">
        <f t="shared" si="4"/>
        <v>3369362.98635882</v>
      </c>
      <c r="U33" s="97">
        <f t="shared" si="5"/>
        <v>64017.896740817581</v>
      </c>
      <c r="V33" s="97">
        <f t="shared" si="6"/>
        <v>3433381</v>
      </c>
      <c r="X33" t="str">
        <f t="shared" si="7"/>
        <v>Sin Arma</v>
      </c>
      <c r="AA33" s="78">
        <f>'[1]Dic-2026'!$X10</f>
        <v>3433381</v>
      </c>
      <c r="AB33" t="b">
        <f t="shared" si="0"/>
        <v>1</v>
      </c>
    </row>
    <row r="34" spans="1:28" ht="34.5">
      <c r="A34" s="110"/>
      <c r="B34" s="33" t="s">
        <v>16</v>
      </c>
      <c r="C34" s="33" t="s">
        <v>15</v>
      </c>
      <c r="D34" s="16">
        <v>0.52410000000000001</v>
      </c>
      <c r="E34" s="16">
        <v>0.47589999999999999</v>
      </c>
      <c r="F34" s="35" t="s">
        <v>160</v>
      </c>
      <c r="G34" s="37">
        <v>1</v>
      </c>
      <c r="H34" s="37"/>
      <c r="I34" s="37">
        <v>1</v>
      </c>
      <c r="J34" s="37">
        <v>11</v>
      </c>
      <c r="K34" s="37">
        <v>11</v>
      </c>
      <c r="L34" s="37"/>
      <c r="M34" s="37">
        <f t="shared" si="1"/>
        <v>20</v>
      </c>
      <c r="N34" s="37">
        <v>20</v>
      </c>
      <c r="O34" s="37">
        <v>20</v>
      </c>
      <c r="P34" s="104">
        <v>2000</v>
      </c>
      <c r="R34" s="31">
        <f t="shared" si="2"/>
        <v>4799662.3737305123</v>
      </c>
      <c r="S34" s="96">
        <f t="shared" si="3"/>
        <v>0.08</v>
      </c>
      <c r="T34" s="97">
        <f t="shared" si="4"/>
        <v>5183635.3636289537</v>
      </c>
      <c r="U34" s="97">
        <f t="shared" si="5"/>
        <v>98489.071908950122</v>
      </c>
      <c r="V34" s="97">
        <f t="shared" si="6"/>
        <v>5282124</v>
      </c>
      <c r="X34" t="str">
        <f t="shared" si="7"/>
        <v>Sin Arma</v>
      </c>
      <c r="AA34" s="78">
        <f>'[1]Dic-2026'!$X11</f>
        <v>5282124</v>
      </c>
      <c r="AB34" t="b">
        <f t="shared" si="0"/>
        <v>1</v>
      </c>
    </row>
    <row r="35" spans="1:28" ht="23.1">
      <c r="A35" s="110"/>
      <c r="B35" s="33" t="s">
        <v>17</v>
      </c>
      <c r="C35" s="33" t="s">
        <v>15</v>
      </c>
      <c r="D35" s="16">
        <v>0.52410000000000001</v>
      </c>
      <c r="E35" s="16">
        <v>0.47589999999999999</v>
      </c>
      <c r="F35" s="35" t="s">
        <v>160</v>
      </c>
      <c r="G35" s="37"/>
      <c r="H35" s="37"/>
      <c r="I35" s="37">
        <v>1</v>
      </c>
      <c r="J35" s="37">
        <v>11</v>
      </c>
      <c r="K35" s="37">
        <v>11</v>
      </c>
      <c r="L35" s="37"/>
      <c r="M35" s="37">
        <f t="shared" si="1"/>
        <v>13</v>
      </c>
      <c r="N35" s="37"/>
      <c r="O35" s="37">
        <v>20</v>
      </c>
      <c r="P35" s="104">
        <v>2000</v>
      </c>
      <c r="R35" s="31">
        <f t="shared" si="2"/>
        <v>3119780.542924833</v>
      </c>
      <c r="S35" s="96">
        <f t="shared" si="3"/>
        <v>0.08</v>
      </c>
      <c r="T35" s="97">
        <f t="shared" si="4"/>
        <v>3369362.98635882</v>
      </c>
      <c r="U35" s="97">
        <f t="shared" si="5"/>
        <v>64017.896740817581</v>
      </c>
      <c r="V35" s="97">
        <f t="shared" si="6"/>
        <v>3433381</v>
      </c>
      <c r="X35" t="str">
        <f t="shared" si="7"/>
        <v>Sin Arma</v>
      </c>
      <c r="AA35" s="78">
        <f>'[1]Dic-2026'!$X12</f>
        <v>3433381</v>
      </c>
      <c r="AB35" t="b">
        <f t="shared" si="0"/>
        <v>1</v>
      </c>
    </row>
    <row r="36" spans="1:28" ht="34.5">
      <c r="A36" s="110"/>
      <c r="B36" s="33" t="s">
        <v>18</v>
      </c>
      <c r="C36" s="33" t="s">
        <v>15</v>
      </c>
      <c r="D36" s="16">
        <v>0.52410000000000001</v>
      </c>
      <c r="E36" s="16">
        <v>0.47589999999999999</v>
      </c>
      <c r="F36" s="35" t="s">
        <v>160</v>
      </c>
      <c r="G36" s="37"/>
      <c r="H36" s="37"/>
      <c r="I36" s="37">
        <v>1</v>
      </c>
      <c r="J36" s="37">
        <v>11</v>
      </c>
      <c r="K36" s="37">
        <v>11</v>
      </c>
      <c r="L36" s="37"/>
      <c r="M36" s="37">
        <f t="shared" si="1"/>
        <v>13</v>
      </c>
      <c r="N36" s="37"/>
      <c r="O36" s="37">
        <v>20</v>
      </c>
      <c r="P36" s="104">
        <v>2000</v>
      </c>
      <c r="R36" s="31">
        <f t="shared" si="2"/>
        <v>3119780.542924833</v>
      </c>
      <c r="S36" s="96">
        <f t="shared" si="3"/>
        <v>0.08</v>
      </c>
      <c r="T36" s="97">
        <f t="shared" si="4"/>
        <v>3369362.98635882</v>
      </c>
      <c r="U36" s="97">
        <f t="shared" si="5"/>
        <v>64017.896740817581</v>
      </c>
      <c r="V36" s="97">
        <f t="shared" si="6"/>
        <v>3433381</v>
      </c>
      <c r="X36" t="str">
        <f t="shared" si="7"/>
        <v>Sin Arma</v>
      </c>
      <c r="AA36" s="78">
        <f>'[1]Dic-2026'!$X13</f>
        <v>3433381</v>
      </c>
      <c r="AB36" t="b">
        <f t="shared" si="0"/>
        <v>1</v>
      </c>
    </row>
    <row r="37" spans="1:28" ht="34.5">
      <c r="A37" s="110"/>
      <c r="B37" s="33" t="s">
        <v>19</v>
      </c>
      <c r="C37" s="33" t="s">
        <v>15</v>
      </c>
      <c r="D37" s="16">
        <v>0.52410000000000001</v>
      </c>
      <c r="E37" s="16">
        <v>0.47589999999999999</v>
      </c>
      <c r="F37" s="35" t="s">
        <v>160</v>
      </c>
      <c r="G37" s="37"/>
      <c r="H37" s="37"/>
      <c r="I37" s="37">
        <v>1</v>
      </c>
      <c r="J37" s="37">
        <v>11</v>
      </c>
      <c r="K37" s="37">
        <v>11</v>
      </c>
      <c r="L37" s="37"/>
      <c r="M37" s="37">
        <f t="shared" si="1"/>
        <v>13</v>
      </c>
      <c r="N37" s="37"/>
      <c r="O37" s="37">
        <v>20</v>
      </c>
      <c r="P37" s="104">
        <v>2000</v>
      </c>
      <c r="R37" s="31">
        <f t="shared" si="2"/>
        <v>3119780.542924833</v>
      </c>
      <c r="S37" s="96">
        <f t="shared" si="3"/>
        <v>0.08</v>
      </c>
      <c r="T37" s="97">
        <f t="shared" si="4"/>
        <v>3369362.98635882</v>
      </c>
      <c r="U37" s="97">
        <f t="shared" si="5"/>
        <v>64017.896740817581</v>
      </c>
      <c r="V37" s="97">
        <f t="shared" si="6"/>
        <v>3433381</v>
      </c>
      <c r="X37" t="str">
        <f t="shared" si="7"/>
        <v>Sin Arma</v>
      </c>
      <c r="AA37" s="78">
        <f>'[1]Dic-2026'!$X14</f>
        <v>3433381</v>
      </c>
      <c r="AB37" t="b">
        <f t="shared" si="0"/>
        <v>1</v>
      </c>
    </row>
    <row r="38" spans="1:28" ht="57.6">
      <c r="A38" s="110"/>
      <c r="B38" s="33" t="s">
        <v>20</v>
      </c>
      <c r="C38" s="33" t="s">
        <v>21</v>
      </c>
      <c r="D38" s="16">
        <v>0.52410000000000001</v>
      </c>
      <c r="E38" s="16">
        <v>0.47589999999999999</v>
      </c>
      <c r="F38" s="35" t="s">
        <v>160</v>
      </c>
      <c r="G38" s="37">
        <v>1</v>
      </c>
      <c r="H38" s="37"/>
      <c r="I38" s="37">
        <v>1</v>
      </c>
      <c r="J38" s="37">
        <v>12</v>
      </c>
      <c r="K38" s="37">
        <v>12</v>
      </c>
      <c r="L38" s="37"/>
      <c r="M38" s="37">
        <f t="shared" si="1"/>
        <v>20</v>
      </c>
      <c r="N38" s="37">
        <v>20</v>
      </c>
      <c r="O38" s="37">
        <v>20</v>
      </c>
      <c r="P38" s="104">
        <v>2000</v>
      </c>
      <c r="R38" s="31">
        <f t="shared" si="2"/>
        <v>5235995.3167969221</v>
      </c>
      <c r="S38" s="96">
        <f t="shared" si="3"/>
        <v>0.08</v>
      </c>
      <c r="T38" s="97">
        <f t="shared" si="4"/>
        <v>5654874.9421406761</v>
      </c>
      <c r="U38" s="97">
        <f t="shared" si="5"/>
        <v>107442.62390067284</v>
      </c>
      <c r="V38" s="97">
        <f t="shared" si="6"/>
        <v>5762318</v>
      </c>
      <c r="X38" t="str">
        <f t="shared" si="7"/>
        <v>Sin Arma</v>
      </c>
      <c r="AA38" s="78">
        <f>'[1]Dic-2026'!$X15</f>
        <v>5762318</v>
      </c>
      <c r="AB38" t="b">
        <f t="shared" si="0"/>
        <v>1</v>
      </c>
    </row>
    <row r="39" spans="1:28" ht="34.5">
      <c r="A39" s="110"/>
      <c r="B39" s="33" t="s">
        <v>22</v>
      </c>
      <c r="C39" s="33" t="s">
        <v>23</v>
      </c>
      <c r="D39" s="16">
        <v>0.52410000000000001</v>
      </c>
      <c r="E39" s="16">
        <v>0.47589999999999999</v>
      </c>
      <c r="F39" s="35" t="s">
        <v>160</v>
      </c>
      <c r="G39" s="37">
        <v>1</v>
      </c>
      <c r="H39" s="37"/>
      <c r="I39" s="37">
        <v>1</v>
      </c>
      <c r="J39" s="37">
        <v>12</v>
      </c>
      <c r="K39" s="37">
        <v>12</v>
      </c>
      <c r="L39" s="37"/>
      <c r="M39" s="37">
        <f t="shared" si="1"/>
        <v>20</v>
      </c>
      <c r="N39" s="37">
        <v>20</v>
      </c>
      <c r="O39" s="37">
        <v>20</v>
      </c>
      <c r="P39" s="104">
        <v>2000</v>
      </c>
      <c r="R39" s="31">
        <f t="shared" si="2"/>
        <v>5235995.3167969221</v>
      </c>
      <c r="S39" s="96">
        <f t="shared" si="3"/>
        <v>0.08</v>
      </c>
      <c r="T39" s="97">
        <f t="shared" si="4"/>
        <v>5654874.9421406761</v>
      </c>
      <c r="U39" s="97">
        <f t="shared" si="5"/>
        <v>107442.62390067284</v>
      </c>
      <c r="V39" s="97">
        <f t="shared" si="6"/>
        <v>5762318</v>
      </c>
      <c r="X39" t="str">
        <f t="shared" si="7"/>
        <v>Sin Arma</v>
      </c>
      <c r="AA39" s="78">
        <f>'[1]Dic-2026'!$X16</f>
        <v>5762318</v>
      </c>
      <c r="AB39" t="b">
        <f t="shared" si="0"/>
        <v>1</v>
      </c>
    </row>
    <row r="40" spans="1:28" ht="34.5">
      <c r="A40" s="110"/>
      <c r="B40" s="33" t="s">
        <v>24</v>
      </c>
      <c r="C40" s="33" t="s">
        <v>25</v>
      </c>
      <c r="D40" s="16">
        <v>0.52410000000000001</v>
      </c>
      <c r="E40" s="16">
        <v>0.47589999999999999</v>
      </c>
      <c r="F40" s="35" t="s">
        <v>160</v>
      </c>
      <c r="G40" s="37">
        <v>1</v>
      </c>
      <c r="H40" s="37"/>
      <c r="I40" s="37">
        <v>1</v>
      </c>
      <c r="J40" s="37">
        <v>12</v>
      </c>
      <c r="K40" s="37">
        <v>11</v>
      </c>
      <c r="L40" s="37">
        <v>1</v>
      </c>
      <c r="M40" s="37">
        <f t="shared" si="1"/>
        <v>20</v>
      </c>
      <c r="N40" s="37">
        <v>20</v>
      </c>
      <c r="O40" s="37"/>
      <c r="P40" s="104">
        <v>2000</v>
      </c>
      <c r="R40" s="31">
        <f t="shared" si="2"/>
        <v>5367556.171318694</v>
      </c>
      <c r="S40" s="96">
        <f t="shared" si="3"/>
        <v>0.08</v>
      </c>
      <c r="T40" s="97">
        <f t="shared" si="4"/>
        <v>5796960.6650241902</v>
      </c>
      <c r="U40" s="97">
        <f t="shared" si="5"/>
        <v>110142.2526354596</v>
      </c>
      <c r="V40" s="97">
        <f t="shared" si="6"/>
        <v>5907103</v>
      </c>
      <c r="X40" t="str">
        <f t="shared" si="7"/>
        <v>Sin Arma</v>
      </c>
      <c r="AA40" s="78">
        <f>'[1]Dic-2026'!$X17</f>
        <v>5907103</v>
      </c>
      <c r="AB40" t="b">
        <f t="shared" si="0"/>
        <v>1</v>
      </c>
    </row>
    <row r="41" spans="1:28" ht="23.1">
      <c r="A41" s="110"/>
      <c r="B41" s="33" t="s">
        <v>26</v>
      </c>
      <c r="C41" s="33" t="s">
        <v>23</v>
      </c>
      <c r="D41" s="16">
        <v>0.52410000000000001</v>
      </c>
      <c r="E41" s="16">
        <v>0.47589999999999999</v>
      </c>
      <c r="F41" s="35" t="s">
        <v>160</v>
      </c>
      <c r="G41" s="37">
        <v>1</v>
      </c>
      <c r="H41" s="37"/>
      <c r="I41" s="37">
        <v>1</v>
      </c>
      <c r="J41" s="37">
        <v>12</v>
      </c>
      <c r="K41" s="37">
        <v>12</v>
      </c>
      <c r="L41" s="37"/>
      <c r="M41" s="37">
        <f t="shared" si="1"/>
        <v>20</v>
      </c>
      <c r="N41" s="37">
        <v>20</v>
      </c>
      <c r="O41" s="37">
        <v>20</v>
      </c>
      <c r="P41" s="104">
        <v>2000</v>
      </c>
      <c r="R41" s="31">
        <f t="shared" si="2"/>
        <v>5235995.3167969221</v>
      </c>
      <c r="S41" s="96">
        <f t="shared" si="3"/>
        <v>0.08</v>
      </c>
      <c r="T41" s="97">
        <f t="shared" si="4"/>
        <v>5654874.9421406761</v>
      </c>
      <c r="U41" s="97">
        <f t="shared" si="5"/>
        <v>107442.62390067284</v>
      </c>
      <c r="V41" s="97">
        <f t="shared" si="6"/>
        <v>5762318</v>
      </c>
      <c r="X41" t="str">
        <f t="shared" si="7"/>
        <v>Sin Arma</v>
      </c>
      <c r="AA41" s="78">
        <f>'[1]Dic-2026'!$X18</f>
        <v>5762318</v>
      </c>
      <c r="AB41" t="b">
        <f t="shared" si="0"/>
        <v>1</v>
      </c>
    </row>
    <row r="42" spans="1:28" ht="23.1">
      <c r="A42" s="110"/>
      <c r="B42" s="33" t="s">
        <v>27</v>
      </c>
      <c r="C42" s="33" t="s">
        <v>23</v>
      </c>
      <c r="D42" s="16">
        <v>0.52410000000000001</v>
      </c>
      <c r="E42" s="16">
        <v>0.47589999999999999</v>
      </c>
      <c r="F42" s="35" t="s">
        <v>160</v>
      </c>
      <c r="G42" s="37">
        <v>1</v>
      </c>
      <c r="H42" s="37"/>
      <c r="I42" s="37">
        <v>1</v>
      </c>
      <c r="J42" s="37">
        <v>12</v>
      </c>
      <c r="K42" s="37">
        <v>12</v>
      </c>
      <c r="L42" s="37"/>
      <c r="M42" s="37">
        <f t="shared" si="1"/>
        <v>20</v>
      </c>
      <c r="N42" s="37">
        <v>20</v>
      </c>
      <c r="O42" s="37">
        <v>20</v>
      </c>
      <c r="P42" s="104">
        <v>2000</v>
      </c>
      <c r="R42" s="31">
        <f t="shared" si="2"/>
        <v>5235995.3167969221</v>
      </c>
      <c r="S42" s="96">
        <f t="shared" si="3"/>
        <v>0.08</v>
      </c>
      <c r="T42" s="97">
        <f t="shared" si="4"/>
        <v>5654874.9421406761</v>
      </c>
      <c r="U42" s="97">
        <f t="shared" si="5"/>
        <v>107442.62390067284</v>
      </c>
      <c r="V42" s="97">
        <f t="shared" si="6"/>
        <v>5762318</v>
      </c>
      <c r="X42" t="str">
        <f t="shared" si="7"/>
        <v>Sin Arma</v>
      </c>
      <c r="AA42" s="78">
        <f>'[1]Dic-2026'!$X19</f>
        <v>5762318</v>
      </c>
      <c r="AB42" t="b">
        <f t="shared" si="0"/>
        <v>1</v>
      </c>
    </row>
    <row r="43" spans="1:28" ht="23.1">
      <c r="A43" s="110"/>
      <c r="B43" s="33" t="s">
        <v>27</v>
      </c>
      <c r="C43" s="33" t="s">
        <v>25</v>
      </c>
      <c r="D43" s="16">
        <v>0.52410000000000001</v>
      </c>
      <c r="E43" s="16">
        <v>0.47589999999999999</v>
      </c>
      <c r="F43" s="35" t="s">
        <v>160</v>
      </c>
      <c r="G43" s="37">
        <v>1</v>
      </c>
      <c r="H43" s="37"/>
      <c r="I43" s="37">
        <v>1</v>
      </c>
      <c r="J43" s="37">
        <v>12</v>
      </c>
      <c r="K43" s="37">
        <v>11</v>
      </c>
      <c r="L43" s="37">
        <v>1</v>
      </c>
      <c r="M43" s="37">
        <f t="shared" si="1"/>
        <v>20</v>
      </c>
      <c r="N43" s="37">
        <v>20</v>
      </c>
      <c r="O43" s="37"/>
      <c r="P43" s="104">
        <v>2000</v>
      </c>
      <c r="R43" s="31">
        <f t="shared" si="2"/>
        <v>5367556.171318694</v>
      </c>
      <c r="S43" s="96">
        <f t="shared" si="3"/>
        <v>0.08</v>
      </c>
      <c r="T43" s="97">
        <f t="shared" si="4"/>
        <v>5796960.6650241902</v>
      </c>
      <c r="U43" s="97">
        <f t="shared" si="5"/>
        <v>110142.2526354596</v>
      </c>
      <c r="V43" s="97">
        <f t="shared" si="6"/>
        <v>5907103</v>
      </c>
      <c r="X43" t="str">
        <f t="shared" si="7"/>
        <v>Sin Arma</v>
      </c>
      <c r="AA43" s="78">
        <f>'[1]Dic-2026'!$X20</f>
        <v>5907103</v>
      </c>
      <c r="AB43" t="b">
        <f t="shared" si="0"/>
        <v>1</v>
      </c>
    </row>
    <row r="44" spans="1:28" ht="34.5">
      <c r="A44" s="110"/>
      <c r="B44" s="33" t="s">
        <v>28</v>
      </c>
      <c r="C44" s="33" t="s">
        <v>21</v>
      </c>
      <c r="D44" s="16">
        <v>0.52410000000000001</v>
      </c>
      <c r="E44" s="16">
        <v>0.47589999999999999</v>
      </c>
      <c r="F44" s="35" t="s">
        <v>160</v>
      </c>
      <c r="G44" s="37"/>
      <c r="H44" s="37"/>
      <c r="I44" s="37">
        <v>1</v>
      </c>
      <c r="J44" s="37">
        <v>12</v>
      </c>
      <c r="K44" s="37">
        <v>12</v>
      </c>
      <c r="L44" s="37"/>
      <c r="M44" s="37">
        <f t="shared" si="1"/>
        <v>13</v>
      </c>
      <c r="N44" s="37"/>
      <c r="O44" s="37">
        <v>20</v>
      </c>
      <c r="P44" s="104">
        <v>2000</v>
      </c>
      <c r="R44" s="31">
        <f t="shared" si="2"/>
        <v>3403396.9559180001</v>
      </c>
      <c r="S44" s="96">
        <f t="shared" si="3"/>
        <v>0.08</v>
      </c>
      <c r="T44" s="97">
        <f t="shared" si="4"/>
        <v>3675668.7123914403</v>
      </c>
      <c r="U44" s="97">
        <f t="shared" si="5"/>
        <v>69837.705535437359</v>
      </c>
      <c r="V44" s="97">
        <f t="shared" si="6"/>
        <v>3745506</v>
      </c>
      <c r="X44" t="str">
        <f t="shared" si="7"/>
        <v>Sin Arma</v>
      </c>
      <c r="AA44" s="78">
        <f>'[1]Dic-2026'!$X21</f>
        <v>3745506</v>
      </c>
      <c r="AB44" t="b">
        <f t="shared" si="0"/>
        <v>1</v>
      </c>
    </row>
    <row r="45" spans="1:28" ht="23.1">
      <c r="A45" s="110"/>
      <c r="B45" s="33" t="s">
        <v>29</v>
      </c>
      <c r="C45" s="33" t="s">
        <v>21</v>
      </c>
      <c r="D45" s="16">
        <v>0.52410000000000001</v>
      </c>
      <c r="E45" s="16">
        <v>0.47589999999999999</v>
      </c>
      <c r="F45" s="35" t="s">
        <v>160</v>
      </c>
      <c r="G45" s="37"/>
      <c r="H45" s="37"/>
      <c r="I45" s="37">
        <v>1</v>
      </c>
      <c r="J45" s="37">
        <v>12</v>
      </c>
      <c r="K45" s="37">
        <v>12</v>
      </c>
      <c r="L45" s="37"/>
      <c r="M45" s="37">
        <f t="shared" si="1"/>
        <v>13</v>
      </c>
      <c r="N45" s="37"/>
      <c r="O45" s="37">
        <v>20</v>
      </c>
      <c r="P45" s="104">
        <v>2000</v>
      </c>
      <c r="R45" s="31">
        <f t="shared" si="2"/>
        <v>3403396.9559180001</v>
      </c>
      <c r="S45" s="96">
        <f t="shared" si="3"/>
        <v>0.08</v>
      </c>
      <c r="T45" s="97">
        <f t="shared" si="4"/>
        <v>3675668.7123914403</v>
      </c>
      <c r="U45" s="97">
        <f t="shared" si="5"/>
        <v>69837.705535437359</v>
      </c>
      <c r="V45" s="97">
        <f t="shared" si="6"/>
        <v>3745506</v>
      </c>
      <c r="X45" t="str">
        <f t="shared" si="7"/>
        <v>Sin Arma</v>
      </c>
      <c r="AA45" s="78">
        <f>'[1]Dic-2026'!$X22</f>
        <v>3745506</v>
      </c>
      <c r="AB45" t="b">
        <f t="shared" si="0"/>
        <v>1</v>
      </c>
    </row>
    <row r="46" spans="1:28" ht="34.5">
      <c r="A46" s="110"/>
      <c r="B46" s="33" t="s">
        <v>30</v>
      </c>
      <c r="C46" s="33" t="s">
        <v>21</v>
      </c>
      <c r="D46" s="16">
        <v>0.52410000000000001</v>
      </c>
      <c r="E46" s="16">
        <v>0.47589999999999999</v>
      </c>
      <c r="F46" s="35" t="s">
        <v>160</v>
      </c>
      <c r="G46" s="37">
        <v>1</v>
      </c>
      <c r="H46" s="37"/>
      <c r="I46" s="37">
        <v>1</v>
      </c>
      <c r="J46" s="37">
        <v>12</v>
      </c>
      <c r="K46" s="37">
        <v>12</v>
      </c>
      <c r="L46" s="37"/>
      <c r="M46" s="37">
        <f t="shared" si="1"/>
        <v>20</v>
      </c>
      <c r="N46" s="37">
        <v>20</v>
      </c>
      <c r="O46" s="37">
        <v>20</v>
      </c>
      <c r="P46" s="104">
        <v>2000</v>
      </c>
      <c r="R46" s="31">
        <f t="shared" si="2"/>
        <v>5235995.3167969221</v>
      </c>
      <c r="S46" s="96">
        <f t="shared" si="3"/>
        <v>0.08</v>
      </c>
      <c r="T46" s="97">
        <f t="shared" si="4"/>
        <v>5654874.9421406761</v>
      </c>
      <c r="U46" s="97">
        <f t="shared" si="5"/>
        <v>107442.62390067284</v>
      </c>
      <c r="V46" s="97">
        <f t="shared" si="6"/>
        <v>5762318</v>
      </c>
      <c r="X46" t="str">
        <f t="shared" si="7"/>
        <v>Sin Arma</v>
      </c>
      <c r="AA46" s="78">
        <f>'[1]Dic-2026'!$X23</f>
        <v>5762318</v>
      </c>
      <c r="AB46" t="b">
        <f t="shared" si="0"/>
        <v>1</v>
      </c>
    </row>
    <row r="47" spans="1:28" ht="23.1">
      <c r="A47" s="110"/>
      <c r="B47" s="33" t="s">
        <v>31</v>
      </c>
      <c r="C47" s="33" t="s">
        <v>21</v>
      </c>
      <c r="D47" s="16">
        <v>0.52410000000000001</v>
      </c>
      <c r="E47" s="16">
        <v>0.47589999999999999</v>
      </c>
      <c r="F47" s="35" t="s">
        <v>160</v>
      </c>
      <c r="G47" s="37"/>
      <c r="H47" s="37"/>
      <c r="I47" s="37">
        <v>1</v>
      </c>
      <c r="J47" s="37">
        <v>12</v>
      </c>
      <c r="K47" s="37">
        <v>12</v>
      </c>
      <c r="L47" s="37"/>
      <c r="M47" s="37">
        <f t="shared" si="1"/>
        <v>13</v>
      </c>
      <c r="N47" s="37"/>
      <c r="O47" s="37">
        <v>20</v>
      </c>
      <c r="P47" s="104">
        <v>2000</v>
      </c>
      <c r="R47" s="31">
        <f t="shared" si="2"/>
        <v>3403396.9559180001</v>
      </c>
      <c r="S47" s="96">
        <f t="shared" si="3"/>
        <v>0.08</v>
      </c>
      <c r="T47" s="97">
        <f t="shared" si="4"/>
        <v>3675668.7123914403</v>
      </c>
      <c r="U47" s="97">
        <f t="shared" si="5"/>
        <v>69837.705535437359</v>
      </c>
      <c r="V47" s="97">
        <f t="shared" si="6"/>
        <v>3745506</v>
      </c>
      <c r="X47" t="str">
        <f t="shared" si="7"/>
        <v>Sin Arma</v>
      </c>
      <c r="AA47" s="78">
        <f>'[1]Dic-2026'!$X24</f>
        <v>3745506</v>
      </c>
      <c r="AB47" t="b">
        <f t="shared" si="0"/>
        <v>1</v>
      </c>
    </row>
    <row r="48" spans="1:28" ht="34.5">
      <c r="A48" s="110"/>
      <c r="B48" s="33" t="s">
        <v>32</v>
      </c>
      <c r="C48" s="33" t="s">
        <v>9</v>
      </c>
      <c r="D48" s="16">
        <v>0.52410000000000001</v>
      </c>
      <c r="E48" s="16">
        <v>0.47589999999999999</v>
      </c>
      <c r="F48" s="35" t="s">
        <v>160</v>
      </c>
      <c r="G48" s="37">
        <v>1</v>
      </c>
      <c r="H48" s="37">
        <v>1</v>
      </c>
      <c r="I48" s="37">
        <v>1</v>
      </c>
      <c r="J48" s="37">
        <v>24</v>
      </c>
      <c r="K48" s="37">
        <v>13</v>
      </c>
      <c r="L48" s="37">
        <v>11</v>
      </c>
      <c r="M48" s="37">
        <f t="shared" si="1"/>
        <v>30</v>
      </c>
      <c r="N48" s="37"/>
      <c r="O48" s="37"/>
      <c r="P48" s="104">
        <v>6000</v>
      </c>
      <c r="R48" s="31">
        <f t="shared" si="2"/>
        <v>17882740.050000001</v>
      </c>
      <c r="S48" s="96">
        <f t="shared" si="3"/>
        <v>0.08</v>
      </c>
      <c r="T48" s="97">
        <f t="shared" si="4"/>
        <v>19313359.254000001</v>
      </c>
      <c r="U48" s="97">
        <f t="shared" si="5"/>
        <v>366953.82582600001</v>
      </c>
      <c r="V48" s="97">
        <f t="shared" si="6"/>
        <v>19680313</v>
      </c>
      <c r="X48" t="str">
        <f t="shared" si="7"/>
        <v>Sin Arma</v>
      </c>
      <c r="AA48" s="78">
        <f>'[1]Dic-2026'!$X25</f>
        <v>19680313</v>
      </c>
      <c r="AB48" t="b">
        <f t="shared" si="0"/>
        <v>1</v>
      </c>
    </row>
    <row r="49" spans="1:28" ht="23.1">
      <c r="A49" s="110" t="s">
        <v>33</v>
      </c>
      <c r="B49" s="33" t="s">
        <v>34</v>
      </c>
      <c r="C49" s="33" t="s">
        <v>35</v>
      </c>
      <c r="D49" s="16">
        <v>0.52410000000000001</v>
      </c>
      <c r="E49" s="16">
        <v>0.47589999999999999</v>
      </c>
      <c r="F49" s="35" t="s">
        <v>160</v>
      </c>
      <c r="G49" s="37">
        <v>1</v>
      </c>
      <c r="H49" s="37">
        <v>1</v>
      </c>
      <c r="I49" s="37">
        <v>1</v>
      </c>
      <c r="J49" s="37">
        <v>24</v>
      </c>
      <c r="K49" s="37">
        <v>13</v>
      </c>
      <c r="L49" s="37">
        <v>11</v>
      </c>
      <c r="M49" s="37">
        <f t="shared" si="1"/>
        <v>30</v>
      </c>
      <c r="N49" s="37"/>
      <c r="O49" s="37"/>
      <c r="P49" s="104">
        <v>6000</v>
      </c>
      <c r="R49" s="31">
        <f t="shared" si="2"/>
        <v>17882740.050000001</v>
      </c>
      <c r="S49" s="96">
        <f t="shared" si="3"/>
        <v>0.1</v>
      </c>
      <c r="T49" s="97">
        <f t="shared" si="4"/>
        <v>19671014.055000003</v>
      </c>
      <c r="U49" s="97">
        <f t="shared" si="5"/>
        <v>373749.26704500004</v>
      </c>
      <c r="V49" s="97">
        <f t="shared" si="6"/>
        <v>20044763</v>
      </c>
      <c r="X49" t="str">
        <f t="shared" si="7"/>
        <v>Con Arma</v>
      </c>
      <c r="AA49" s="78">
        <f>'[1]Dic-2026'!$X26</f>
        <v>20044763</v>
      </c>
      <c r="AB49" t="b">
        <f t="shared" si="0"/>
        <v>1</v>
      </c>
    </row>
    <row r="50" spans="1:28" ht="23.1">
      <c r="A50" s="110"/>
      <c r="B50" s="33" t="s">
        <v>36</v>
      </c>
      <c r="C50" s="33" t="s">
        <v>35</v>
      </c>
      <c r="D50" s="16">
        <v>0.52410000000000001</v>
      </c>
      <c r="E50" s="16">
        <v>0.47589999999999999</v>
      </c>
      <c r="F50" s="35" t="s">
        <v>160</v>
      </c>
      <c r="G50" s="37">
        <v>1</v>
      </c>
      <c r="H50" s="37">
        <v>1</v>
      </c>
      <c r="I50" s="37">
        <v>1</v>
      </c>
      <c r="J50" s="37">
        <v>24</v>
      </c>
      <c r="K50" s="37">
        <v>13</v>
      </c>
      <c r="L50" s="37">
        <v>11</v>
      </c>
      <c r="M50" s="37">
        <f t="shared" si="1"/>
        <v>30</v>
      </c>
      <c r="N50" s="37"/>
      <c r="O50" s="37"/>
      <c r="P50" s="104">
        <v>6000</v>
      </c>
      <c r="R50" s="31">
        <f t="shared" si="2"/>
        <v>17882740.050000001</v>
      </c>
      <c r="S50" s="96">
        <f t="shared" si="3"/>
        <v>0.1</v>
      </c>
      <c r="T50" s="97">
        <f t="shared" si="4"/>
        <v>19671014.055000003</v>
      </c>
      <c r="U50" s="97">
        <f t="shared" si="5"/>
        <v>373749.26704500004</v>
      </c>
      <c r="V50" s="97">
        <f t="shared" si="6"/>
        <v>20044763</v>
      </c>
      <c r="X50" t="str">
        <f t="shared" si="7"/>
        <v>Con Arma</v>
      </c>
      <c r="AA50" s="78">
        <f>'[1]Dic-2026'!$X27</f>
        <v>20044763</v>
      </c>
      <c r="AB50" t="b">
        <f t="shared" si="0"/>
        <v>1</v>
      </c>
    </row>
    <row r="51" spans="1:28" ht="36.75" customHeight="1">
      <c r="A51" s="110" t="s">
        <v>37</v>
      </c>
      <c r="B51" s="40" t="s">
        <v>38</v>
      </c>
      <c r="C51" s="33" t="s">
        <v>35</v>
      </c>
      <c r="D51" s="16">
        <v>0.52410000000000001</v>
      </c>
      <c r="E51" s="16">
        <v>0.47589999999999999</v>
      </c>
      <c r="F51" s="35" t="s">
        <v>160</v>
      </c>
      <c r="G51" s="37">
        <v>1</v>
      </c>
      <c r="H51" s="37">
        <v>1</v>
      </c>
      <c r="I51" s="37">
        <v>1</v>
      </c>
      <c r="J51" s="37">
        <v>24</v>
      </c>
      <c r="K51" s="37">
        <v>13</v>
      </c>
      <c r="L51" s="37">
        <v>11</v>
      </c>
      <c r="M51" s="37">
        <f t="shared" si="1"/>
        <v>30</v>
      </c>
      <c r="N51" s="37"/>
      <c r="O51" s="37"/>
      <c r="P51" s="104">
        <v>6000</v>
      </c>
      <c r="R51" s="31">
        <f t="shared" si="2"/>
        <v>17882740.050000001</v>
      </c>
      <c r="S51" s="96">
        <f t="shared" si="3"/>
        <v>0.1</v>
      </c>
      <c r="T51" s="97">
        <f t="shared" si="4"/>
        <v>19671014.055000003</v>
      </c>
      <c r="U51" s="97">
        <f t="shared" si="5"/>
        <v>373749.26704500004</v>
      </c>
      <c r="V51" s="97">
        <f t="shared" si="6"/>
        <v>20044763</v>
      </c>
      <c r="X51" t="str">
        <f t="shared" si="7"/>
        <v>Con Arma</v>
      </c>
      <c r="AA51" s="78">
        <f>'[1]Dic-2026'!$X28</f>
        <v>20044763</v>
      </c>
      <c r="AB51" t="b">
        <f t="shared" si="0"/>
        <v>1</v>
      </c>
    </row>
    <row r="52" spans="1:28" ht="23.1">
      <c r="A52" s="110"/>
      <c r="B52" s="33" t="s">
        <v>39</v>
      </c>
      <c r="C52" s="33" t="s">
        <v>40</v>
      </c>
      <c r="D52" s="16">
        <v>0.52410000000000001</v>
      </c>
      <c r="E52" s="16">
        <v>0.47589999999999999</v>
      </c>
      <c r="F52" s="35" t="s">
        <v>160</v>
      </c>
      <c r="G52" s="37"/>
      <c r="H52" s="37"/>
      <c r="I52" s="37">
        <v>1</v>
      </c>
      <c r="J52" s="37">
        <v>12</v>
      </c>
      <c r="K52" s="37">
        <v>12</v>
      </c>
      <c r="L52" s="37"/>
      <c r="M52" s="37">
        <f t="shared" si="1"/>
        <v>13</v>
      </c>
      <c r="N52" s="37"/>
      <c r="O52" s="37">
        <v>20</v>
      </c>
      <c r="P52" s="104">
        <v>2000</v>
      </c>
      <c r="R52" s="31">
        <f t="shared" si="2"/>
        <v>3403396.9559180001</v>
      </c>
      <c r="S52" s="96">
        <f t="shared" si="3"/>
        <v>0.08</v>
      </c>
      <c r="T52" s="97">
        <f t="shared" si="4"/>
        <v>3675668.7123914403</v>
      </c>
      <c r="U52" s="97">
        <f t="shared" si="5"/>
        <v>69837.705535437359</v>
      </c>
      <c r="V52" s="97">
        <f t="shared" si="6"/>
        <v>3745506</v>
      </c>
      <c r="X52" t="str">
        <f t="shared" si="7"/>
        <v>Sin Arma</v>
      </c>
      <c r="AA52" s="78">
        <f>'[1]Dic-2026'!$X29</f>
        <v>3745506</v>
      </c>
      <c r="AB52" t="b">
        <f t="shared" si="0"/>
        <v>1</v>
      </c>
    </row>
    <row r="53" spans="1:28" ht="23.1">
      <c r="A53" s="110" t="s">
        <v>41</v>
      </c>
      <c r="B53" s="33" t="s">
        <v>42</v>
      </c>
      <c r="C53" s="33" t="s">
        <v>43</v>
      </c>
      <c r="D53" s="16">
        <v>0.52410000000000001</v>
      </c>
      <c r="E53" s="16">
        <v>0.47589999999999999</v>
      </c>
      <c r="F53" s="37" t="s">
        <v>160</v>
      </c>
      <c r="G53" s="37">
        <v>1</v>
      </c>
      <c r="H53" s="37">
        <v>1</v>
      </c>
      <c r="I53" s="37">
        <v>1</v>
      </c>
      <c r="J53" s="37">
        <v>24</v>
      </c>
      <c r="K53" s="37">
        <v>13</v>
      </c>
      <c r="L53" s="37">
        <v>11</v>
      </c>
      <c r="M53" s="37">
        <f t="shared" si="1"/>
        <v>30</v>
      </c>
      <c r="N53" s="37"/>
      <c r="O53" s="37"/>
      <c r="P53" s="104">
        <v>6000</v>
      </c>
      <c r="R53" s="31">
        <f t="shared" si="2"/>
        <v>17882740.050000001</v>
      </c>
      <c r="S53" s="96">
        <f t="shared" si="3"/>
        <v>0.1</v>
      </c>
      <c r="T53" s="97">
        <f t="shared" si="4"/>
        <v>19671014.055000003</v>
      </c>
      <c r="U53" s="97">
        <f t="shared" si="5"/>
        <v>373749.26704500004</v>
      </c>
      <c r="V53" s="97">
        <f t="shared" si="6"/>
        <v>20044763</v>
      </c>
      <c r="X53" t="str">
        <f t="shared" si="7"/>
        <v>Con Arma</v>
      </c>
      <c r="AA53" s="78">
        <f>'[1]Dic-2026'!$X30</f>
        <v>20044763</v>
      </c>
      <c r="AB53" t="b">
        <f t="shared" si="0"/>
        <v>1</v>
      </c>
    </row>
    <row r="54" spans="1:28" ht="23.1">
      <c r="A54" s="110"/>
      <c r="B54" s="33" t="s">
        <v>44</v>
      </c>
      <c r="C54" s="33" t="s">
        <v>21</v>
      </c>
      <c r="D54" s="16">
        <v>0.52410000000000001</v>
      </c>
      <c r="E54" s="16">
        <v>0.47589999999999999</v>
      </c>
      <c r="F54" s="37" t="s">
        <v>160</v>
      </c>
      <c r="G54" s="37"/>
      <c r="H54" s="37"/>
      <c r="I54" s="37">
        <v>1</v>
      </c>
      <c r="J54" s="37">
        <v>12</v>
      </c>
      <c r="K54" s="37">
        <v>12</v>
      </c>
      <c r="L54" s="37"/>
      <c r="M54" s="37">
        <f t="shared" si="1"/>
        <v>13</v>
      </c>
      <c r="N54" s="37"/>
      <c r="O54" s="37"/>
      <c r="P54" s="104">
        <v>6000</v>
      </c>
      <c r="R54" s="31">
        <f>+((((((($B$21*$C$21)+P54)*D54/30)*M54)/11*L54))+(((((($B$21*$C$21)+P54)*E54/30)*M54)/13*K54)))*I54</f>
        <v>3404158.3959179996</v>
      </c>
      <c r="S54" s="96">
        <f t="shared" si="3"/>
        <v>0.08</v>
      </c>
      <c r="T54" s="97">
        <f t="shared" si="4"/>
        <v>3676491.0675914399</v>
      </c>
      <c r="U54" s="97">
        <f t="shared" si="5"/>
        <v>69853.330284237352</v>
      </c>
      <c r="V54" s="97">
        <f t="shared" si="6"/>
        <v>3746344</v>
      </c>
      <c r="X54" t="str">
        <f t="shared" si="7"/>
        <v>Sin Arma</v>
      </c>
      <c r="AA54" s="78">
        <f>'[1]Dic-2026'!$X31</f>
        <v>3745506</v>
      </c>
      <c r="AB54" t="b">
        <f t="shared" si="0"/>
        <v>0</v>
      </c>
    </row>
    <row r="55" spans="1:28" ht="23.1">
      <c r="A55" s="32" t="s">
        <v>45</v>
      </c>
      <c r="B55" s="33" t="s">
        <v>46</v>
      </c>
      <c r="C55" s="33" t="s">
        <v>35</v>
      </c>
      <c r="D55" s="16">
        <v>0.52410000000000001</v>
      </c>
      <c r="E55" s="16">
        <v>0.47589999999999999</v>
      </c>
      <c r="F55" s="37" t="s">
        <v>160</v>
      </c>
      <c r="G55" s="37">
        <v>1</v>
      </c>
      <c r="H55" s="37">
        <v>1</v>
      </c>
      <c r="I55" s="37">
        <v>1</v>
      </c>
      <c r="J55" s="37">
        <v>24</v>
      </c>
      <c r="K55" s="37">
        <v>13</v>
      </c>
      <c r="L55" s="37">
        <v>11</v>
      </c>
      <c r="M55" s="37">
        <f t="shared" si="1"/>
        <v>30</v>
      </c>
      <c r="N55" s="37"/>
      <c r="O55" s="37"/>
      <c r="P55" s="104">
        <v>6000</v>
      </c>
      <c r="R55" s="31">
        <f t="shared" si="2"/>
        <v>17882740.050000001</v>
      </c>
      <c r="S55" s="96">
        <f t="shared" si="3"/>
        <v>0.1</v>
      </c>
      <c r="T55" s="97">
        <f t="shared" si="4"/>
        <v>19671014.055000003</v>
      </c>
      <c r="U55" s="97">
        <f t="shared" si="5"/>
        <v>373749.26704500004</v>
      </c>
      <c r="V55" s="97">
        <f t="shared" si="6"/>
        <v>20044763</v>
      </c>
      <c r="X55" t="str">
        <f t="shared" si="7"/>
        <v>Con Arma</v>
      </c>
      <c r="AA55" s="78">
        <f>'[1]Dic-2026'!$X32</f>
        <v>20044763</v>
      </c>
      <c r="AB55" t="b">
        <f t="shared" si="0"/>
        <v>1</v>
      </c>
    </row>
    <row r="56" spans="1:28" ht="23.1">
      <c r="A56" s="110" t="s">
        <v>47</v>
      </c>
      <c r="B56" s="40" t="s">
        <v>48</v>
      </c>
      <c r="C56" s="33" t="s">
        <v>49</v>
      </c>
      <c r="D56" s="16">
        <v>0.52410000000000001</v>
      </c>
      <c r="E56" s="16">
        <v>0.47589999999999999</v>
      </c>
      <c r="F56" s="35" t="s">
        <v>160</v>
      </c>
      <c r="G56" s="37">
        <v>1</v>
      </c>
      <c r="H56" s="37"/>
      <c r="I56" s="37">
        <v>1</v>
      </c>
      <c r="J56" s="37">
        <v>24</v>
      </c>
      <c r="K56" s="37">
        <v>13</v>
      </c>
      <c r="L56" s="37">
        <v>11</v>
      </c>
      <c r="M56" s="37">
        <f t="shared" si="1"/>
        <v>30</v>
      </c>
      <c r="N56" s="37"/>
      <c r="O56" s="37"/>
      <c r="P56" s="104">
        <v>6000</v>
      </c>
      <c r="R56" s="31">
        <f t="shared" si="2"/>
        <v>17882740.050000001</v>
      </c>
      <c r="S56" s="96">
        <f t="shared" si="3"/>
        <v>0.1</v>
      </c>
      <c r="T56" s="97">
        <f t="shared" si="4"/>
        <v>19671014.055000003</v>
      </c>
      <c r="U56" s="97">
        <f t="shared" si="5"/>
        <v>373749.26704500004</v>
      </c>
      <c r="V56" s="97">
        <f t="shared" si="6"/>
        <v>20044763</v>
      </c>
      <c r="X56" t="str">
        <f t="shared" si="7"/>
        <v>Con Arma</v>
      </c>
      <c r="AA56" s="78">
        <f>'[1]Dic-2026'!$X33</f>
        <v>20044763</v>
      </c>
      <c r="AB56" t="b">
        <f t="shared" si="0"/>
        <v>1</v>
      </c>
    </row>
    <row r="57" spans="1:28" ht="23.1">
      <c r="A57" s="110"/>
      <c r="B57" s="40" t="s">
        <v>50</v>
      </c>
      <c r="C57" s="33" t="s">
        <v>49</v>
      </c>
      <c r="D57" s="16">
        <v>0.52410000000000001</v>
      </c>
      <c r="E57" s="16">
        <v>0.47589999999999999</v>
      </c>
      <c r="F57" s="35" t="s">
        <v>160</v>
      </c>
      <c r="G57" s="37">
        <v>1</v>
      </c>
      <c r="H57" s="37">
        <v>1</v>
      </c>
      <c r="I57" s="37">
        <v>1</v>
      </c>
      <c r="J57" s="37">
        <v>24</v>
      </c>
      <c r="K57" s="37">
        <v>13</v>
      </c>
      <c r="L57" s="37">
        <v>11</v>
      </c>
      <c r="M57" s="37">
        <f t="shared" si="1"/>
        <v>30</v>
      </c>
      <c r="N57" s="37"/>
      <c r="O57" s="37"/>
      <c r="P57" s="104">
        <v>6000</v>
      </c>
      <c r="R57" s="31">
        <f t="shared" si="2"/>
        <v>17882740.050000001</v>
      </c>
      <c r="S57" s="96">
        <f t="shared" si="3"/>
        <v>0.1</v>
      </c>
      <c r="T57" s="97">
        <f t="shared" si="4"/>
        <v>19671014.055000003</v>
      </c>
      <c r="U57" s="97">
        <f t="shared" si="5"/>
        <v>373749.26704500004</v>
      </c>
      <c r="V57" s="97">
        <f t="shared" si="6"/>
        <v>20044763</v>
      </c>
      <c r="X57" t="str">
        <f t="shared" si="7"/>
        <v>Con Arma</v>
      </c>
      <c r="AA57" s="78">
        <f>'[1]Dic-2026'!$X34</f>
        <v>20044763</v>
      </c>
      <c r="AB57" t="b">
        <f t="shared" si="0"/>
        <v>1</v>
      </c>
    </row>
    <row r="58" spans="1:28" ht="23.1">
      <c r="A58" s="110" t="s">
        <v>51</v>
      </c>
      <c r="B58" s="33" t="s">
        <v>52</v>
      </c>
      <c r="C58" s="33" t="s">
        <v>35</v>
      </c>
      <c r="D58" s="16">
        <v>0.52410000000000001</v>
      </c>
      <c r="E58" s="16">
        <v>0.47589999999999999</v>
      </c>
      <c r="F58" s="35" t="s">
        <v>160</v>
      </c>
      <c r="G58" s="37">
        <v>1</v>
      </c>
      <c r="H58" s="37">
        <v>1</v>
      </c>
      <c r="I58" s="37">
        <v>1</v>
      </c>
      <c r="J58" s="37">
        <v>24</v>
      </c>
      <c r="K58" s="37">
        <v>13</v>
      </c>
      <c r="L58" s="37">
        <v>11</v>
      </c>
      <c r="M58" s="37">
        <f t="shared" si="1"/>
        <v>30</v>
      </c>
      <c r="N58" s="37"/>
      <c r="O58" s="37"/>
      <c r="P58" s="104">
        <v>6000</v>
      </c>
      <c r="R58" s="31">
        <f t="shared" si="2"/>
        <v>17882740.050000001</v>
      </c>
      <c r="S58" s="96">
        <f t="shared" si="3"/>
        <v>0.1</v>
      </c>
      <c r="T58" s="97">
        <f t="shared" si="4"/>
        <v>19671014.055000003</v>
      </c>
      <c r="U58" s="97">
        <f t="shared" si="5"/>
        <v>373749.26704500004</v>
      </c>
      <c r="V58" s="97">
        <f t="shared" si="6"/>
        <v>20044763</v>
      </c>
      <c r="X58" t="str">
        <f t="shared" si="7"/>
        <v>Con Arma</v>
      </c>
      <c r="AA58" s="78">
        <f>'[1]Dic-2026'!$X35</f>
        <v>20044763</v>
      </c>
      <c r="AB58" t="b">
        <f t="shared" si="0"/>
        <v>1</v>
      </c>
    </row>
    <row r="59" spans="1:28" ht="23.1">
      <c r="A59" s="110"/>
      <c r="B59" s="33" t="s">
        <v>53</v>
      </c>
      <c r="C59" s="33" t="s">
        <v>35</v>
      </c>
      <c r="D59" s="16">
        <v>0.52410000000000001</v>
      </c>
      <c r="E59" s="16">
        <v>0.47589999999999999</v>
      </c>
      <c r="F59" s="35" t="s">
        <v>160</v>
      </c>
      <c r="G59" s="37">
        <v>1</v>
      </c>
      <c r="H59" s="37">
        <v>1</v>
      </c>
      <c r="I59" s="37">
        <v>1</v>
      </c>
      <c r="J59" s="37">
        <v>24</v>
      </c>
      <c r="K59" s="37">
        <v>13</v>
      </c>
      <c r="L59" s="37">
        <v>11</v>
      </c>
      <c r="M59" s="37">
        <f t="shared" si="1"/>
        <v>30</v>
      </c>
      <c r="N59" s="37"/>
      <c r="O59" s="37"/>
      <c r="P59" s="104">
        <v>6000</v>
      </c>
      <c r="R59" s="31">
        <f t="shared" si="2"/>
        <v>17882740.050000001</v>
      </c>
      <c r="S59" s="96">
        <f t="shared" si="3"/>
        <v>0.1</v>
      </c>
      <c r="T59" s="97">
        <f t="shared" si="4"/>
        <v>19671014.055000003</v>
      </c>
      <c r="U59" s="97">
        <f t="shared" si="5"/>
        <v>373749.26704500004</v>
      </c>
      <c r="V59" s="97">
        <f t="shared" si="6"/>
        <v>20044763</v>
      </c>
      <c r="X59" t="str">
        <f t="shared" si="7"/>
        <v>Con Arma</v>
      </c>
      <c r="AA59" s="78">
        <f>'[1]Dic-2026'!$X36</f>
        <v>20044763</v>
      </c>
      <c r="AB59" t="b">
        <f t="shared" si="0"/>
        <v>1</v>
      </c>
    </row>
    <row r="60" spans="1:28" ht="34.5">
      <c r="A60" s="110"/>
      <c r="B60" s="33" t="s">
        <v>54</v>
      </c>
      <c r="C60" s="33" t="s">
        <v>55</v>
      </c>
      <c r="D60" s="16">
        <v>0.52410000000000001</v>
      </c>
      <c r="E60" s="16">
        <v>0.47589999999999999</v>
      </c>
      <c r="F60" s="35" t="s">
        <v>163</v>
      </c>
      <c r="G60" s="37">
        <v>1</v>
      </c>
      <c r="H60" s="37">
        <v>1</v>
      </c>
      <c r="I60" s="37">
        <v>1</v>
      </c>
      <c r="J60" s="37">
        <v>24</v>
      </c>
      <c r="K60" s="37">
        <v>13</v>
      </c>
      <c r="L60" s="37">
        <v>11</v>
      </c>
      <c r="M60" s="37">
        <f t="shared" si="1"/>
        <v>30</v>
      </c>
      <c r="N60" s="37"/>
      <c r="O60" s="37"/>
      <c r="P60" s="104">
        <v>6000</v>
      </c>
      <c r="R60" s="31">
        <f t="shared" si="2"/>
        <v>17882740.050000001</v>
      </c>
      <c r="S60" s="96">
        <v>0.08</v>
      </c>
      <c r="T60" s="97">
        <f t="shared" si="4"/>
        <v>19313359.254000001</v>
      </c>
      <c r="U60" s="97">
        <f t="shared" si="5"/>
        <v>366953.82582600001</v>
      </c>
      <c r="V60" s="97">
        <f t="shared" si="6"/>
        <v>19680313</v>
      </c>
      <c r="X60" t="str">
        <f t="shared" si="7"/>
        <v>Otra categoría</v>
      </c>
      <c r="AA60" s="78">
        <f>'[1]Dic-2026'!$X37</f>
        <v>19680313</v>
      </c>
      <c r="AB60" t="b">
        <f t="shared" si="0"/>
        <v>1</v>
      </c>
    </row>
    <row r="61" spans="1:28" ht="23.1">
      <c r="A61" s="110"/>
      <c r="B61" s="33" t="s">
        <v>56</v>
      </c>
      <c r="C61" s="33" t="s">
        <v>35</v>
      </c>
      <c r="D61" s="16">
        <v>0.52410000000000001</v>
      </c>
      <c r="E61" s="16">
        <v>0.47589999999999999</v>
      </c>
      <c r="F61" s="35" t="s">
        <v>160</v>
      </c>
      <c r="G61" s="37">
        <v>1</v>
      </c>
      <c r="H61" s="37">
        <v>1</v>
      </c>
      <c r="I61" s="37">
        <v>1</v>
      </c>
      <c r="J61" s="37">
        <v>24</v>
      </c>
      <c r="K61" s="37">
        <v>13</v>
      </c>
      <c r="L61" s="37">
        <v>11</v>
      </c>
      <c r="M61" s="37">
        <f t="shared" si="1"/>
        <v>30</v>
      </c>
      <c r="N61" s="37"/>
      <c r="O61" s="37"/>
      <c r="P61" s="104">
        <v>6000</v>
      </c>
      <c r="R61" s="31">
        <f t="shared" si="2"/>
        <v>17882740.050000001</v>
      </c>
      <c r="S61" s="96">
        <f t="shared" si="3"/>
        <v>0.1</v>
      </c>
      <c r="T61" s="97">
        <f t="shared" si="4"/>
        <v>19671014.055000003</v>
      </c>
      <c r="U61" s="97">
        <f t="shared" si="5"/>
        <v>373749.26704500004</v>
      </c>
      <c r="V61" s="97">
        <f t="shared" si="6"/>
        <v>20044763</v>
      </c>
      <c r="X61" t="str">
        <f t="shared" si="7"/>
        <v>Con Arma</v>
      </c>
      <c r="AA61" s="78">
        <f>'[1]Dic-2026'!$X38</f>
        <v>20044763</v>
      </c>
      <c r="AB61" t="b">
        <f t="shared" ref="AB61:AB88" si="8">V61=AA61</f>
        <v>1</v>
      </c>
    </row>
    <row r="62" spans="1:28" ht="23.1">
      <c r="A62" s="110"/>
      <c r="B62" s="33" t="s">
        <v>57</v>
      </c>
      <c r="C62" s="33" t="s">
        <v>58</v>
      </c>
      <c r="D62" s="16">
        <v>0.52410000000000001</v>
      </c>
      <c r="E62" s="16">
        <v>0.47589999999999999</v>
      </c>
      <c r="F62" s="35" t="s">
        <v>160</v>
      </c>
      <c r="G62" s="37">
        <v>1</v>
      </c>
      <c r="H62" s="37">
        <v>1</v>
      </c>
      <c r="I62" s="37">
        <v>1</v>
      </c>
      <c r="J62" s="37">
        <v>24</v>
      </c>
      <c r="K62" s="37">
        <v>13</v>
      </c>
      <c r="L62" s="37">
        <v>11</v>
      </c>
      <c r="M62" s="37">
        <v>10</v>
      </c>
      <c r="N62" s="37"/>
      <c r="O62" s="37"/>
      <c r="P62" s="104">
        <v>6000</v>
      </c>
      <c r="R62" s="31">
        <f t="shared" si="2"/>
        <v>5960913.3499999996</v>
      </c>
      <c r="S62" s="96">
        <f t="shared" si="3"/>
        <v>0.1</v>
      </c>
      <c r="T62" s="97">
        <f t="shared" si="4"/>
        <v>6557004.6850000005</v>
      </c>
      <c r="U62" s="97">
        <f t="shared" si="5"/>
        <v>124583.08901500001</v>
      </c>
      <c r="V62" s="97">
        <f t="shared" si="6"/>
        <v>6681588</v>
      </c>
      <c r="X62" t="s">
        <v>133</v>
      </c>
      <c r="AA62" s="78">
        <f>'[1]Dic-2026'!$X39</f>
        <v>6681588</v>
      </c>
      <c r="AB62" t="b">
        <f t="shared" si="8"/>
        <v>1</v>
      </c>
    </row>
    <row r="63" spans="1:28" ht="23.1">
      <c r="A63" s="110"/>
      <c r="B63" s="33" t="s">
        <v>57</v>
      </c>
      <c r="C63" s="33" t="s">
        <v>59</v>
      </c>
      <c r="D63" s="16">
        <v>0.52410000000000001</v>
      </c>
      <c r="E63" s="16">
        <v>0.47589999999999999</v>
      </c>
      <c r="F63" s="35" t="s">
        <v>160</v>
      </c>
      <c r="G63" s="37">
        <v>1</v>
      </c>
      <c r="H63" s="37">
        <v>1</v>
      </c>
      <c r="I63" s="37">
        <v>1</v>
      </c>
      <c r="J63" s="37">
        <v>12</v>
      </c>
      <c r="K63" s="37">
        <v>1</v>
      </c>
      <c r="L63" s="37">
        <v>11</v>
      </c>
      <c r="M63" s="37">
        <f t="shared" si="1"/>
        <v>20</v>
      </c>
      <c r="N63" s="37">
        <v>20</v>
      </c>
      <c r="O63" s="37"/>
      <c r="P63" s="104">
        <v>2000</v>
      </c>
      <c r="R63" s="31">
        <f t="shared" si="2"/>
        <v>6683164.7165364111</v>
      </c>
      <c r="S63" s="96">
        <f t="shared" si="3"/>
        <v>0.1</v>
      </c>
      <c r="T63" s="97">
        <f t="shared" si="4"/>
        <v>7351481.1881900532</v>
      </c>
      <c r="U63" s="97">
        <f t="shared" si="5"/>
        <v>139678.14257561101</v>
      </c>
      <c r="V63" s="97">
        <f t="shared" si="6"/>
        <v>7491159</v>
      </c>
      <c r="X63" t="str">
        <f t="shared" si="7"/>
        <v>Con Arma</v>
      </c>
      <c r="AA63" s="78">
        <f>'[1]Dic-2026'!$X40</f>
        <v>7491159</v>
      </c>
      <c r="AB63" t="b">
        <f t="shared" si="8"/>
        <v>1</v>
      </c>
    </row>
    <row r="64" spans="1:28" ht="23.1">
      <c r="A64" s="110"/>
      <c r="B64" s="33" t="s">
        <v>60</v>
      </c>
      <c r="C64" s="33" t="s">
        <v>13</v>
      </c>
      <c r="D64" s="16">
        <v>0.52410000000000001</v>
      </c>
      <c r="E64" s="16">
        <v>0.47589999999999999</v>
      </c>
      <c r="F64" s="35" t="s">
        <v>160</v>
      </c>
      <c r="G64" s="37">
        <v>1</v>
      </c>
      <c r="H64" s="37"/>
      <c r="I64" s="37">
        <v>1</v>
      </c>
      <c r="J64" s="37">
        <v>9</v>
      </c>
      <c r="K64" s="37">
        <v>9</v>
      </c>
      <c r="L64" s="37"/>
      <c r="M64" s="37">
        <f t="shared" si="1"/>
        <v>20</v>
      </c>
      <c r="N64" s="37">
        <v>20</v>
      </c>
      <c r="O64" s="37">
        <v>20</v>
      </c>
      <c r="P64" s="104">
        <v>2000</v>
      </c>
      <c r="R64" s="31">
        <f t="shared" si="2"/>
        <v>3926996.4875976918</v>
      </c>
      <c r="S64" s="96">
        <f t="shared" si="3"/>
        <v>0.08</v>
      </c>
      <c r="T64" s="97">
        <f t="shared" si="4"/>
        <v>4241156.2066055071</v>
      </c>
      <c r="U64" s="97">
        <f t="shared" si="5"/>
        <v>80581.967925504636</v>
      </c>
      <c r="V64" s="97">
        <f t="shared" si="6"/>
        <v>4321738</v>
      </c>
      <c r="X64" t="str">
        <f t="shared" si="7"/>
        <v>Sin Arma</v>
      </c>
      <c r="AA64" s="78">
        <f>'[1]Dic-2026'!$X41</f>
        <v>4321738</v>
      </c>
      <c r="AB64" t="b">
        <f t="shared" si="8"/>
        <v>1</v>
      </c>
    </row>
    <row r="65" spans="1:28" ht="23.1">
      <c r="A65" s="110"/>
      <c r="B65" s="33" t="s">
        <v>61</v>
      </c>
      <c r="C65" s="33" t="s">
        <v>62</v>
      </c>
      <c r="D65" s="16">
        <v>0.52410000000000001</v>
      </c>
      <c r="E65" s="16">
        <v>0.47589999999999999</v>
      </c>
      <c r="F65" s="35" t="s">
        <v>160</v>
      </c>
      <c r="G65" s="37">
        <v>1</v>
      </c>
      <c r="H65" s="37"/>
      <c r="I65" s="37">
        <v>1</v>
      </c>
      <c r="J65" s="37">
        <v>9</v>
      </c>
      <c r="K65" s="37">
        <v>9</v>
      </c>
      <c r="L65" s="37"/>
      <c r="M65" s="37">
        <f t="shared" si="1"/>
        <v>20</v>
      </c>
      <c r="N65" s="37">
        <v>20</v>
      </c>
      <c r="O65" s="37">
        <v>20</v>
      </c>
      <c r="P65" s="104">
        <v>2000</v>
      </c>
      <c r="R65" s="31">
        <f t="shared" si="2"/>
        <v>3926996.4875976918</v>
      </c>
      <c r="S65" s="96">
        <v>0.08</v>
      </c>
      <c r="T65" s="97">
        <f t="shared" si="4"/>
        <v>4241156.2066055071</v>
      </c>
      <c r="U65" s="97">
        <f t="shared" si="5"/>
        <v>80581.967925504636</v>
      </c>
      <c r="V65" s="97">
        <f t="shared" si="6"/>
        <v>4321738</v>
      </c>
      <c r="X65" t="str">
        <f t="shared" si="7"/>
        <v>Otra categoría</v>
      </c>
      <c r="AA65" s="78">
        <f>'[1]Dic-2026'!$X42</f>
        <v>4321738</v>
      </c>
      <c r="AB65" t="b">
        <f t="shared" si="8"/>
        <v>1</v>
      </c>
    </row>
    <row r="66" spans="1:28" ht="24.75" customHeight="1">
      <c r="A66" s="110"/>
      <c r="B66" s="33" t="s">
        <v>63</v>
      </c>
      <c r="C66" s="33" t="s">
        <v>13</v>
      </c>
      <c r="D66" s="16">
        <v>0.52410000000000001</v>
      </c>
      <c r="E66" s="16">
        <v>0.47589999999999999</v>
      </c>
      <c r="F66" s="35" t="s">
        <v>160</v>
      </c>
      <c r="G66" s="37">
        <v>1</v>
      </c>
      <c r="H66" s="37"/>
      <c r="I66" s="37">
        <v>1</v>
      </c>
      <c r="J66" s="37">
        <v>9</v>
      </c>
      <c r="K66" s="37">
        <v>9</v>
      </c>
      <c r="L66" s="37"/>
      <c r="M66" s="37">
        <f t="shared" si="1"/>
        <v>20</v>
      </c>
      <c r="N66" s="37">
        <v>20</v>
      </c>
      <c r="O66" s="37">
        <v>20</v>
      </c>
      <c r="P66" s="104">
        <v>2000</v>
      </c>
      <c r="R66" s="31">
        <f t="shared" si="2"/>
        <v>3926996.4875976918</v>
      </c>
      <c r="S66" s="96">
        <f t="shared" si="3"/>
        <v>0.08</v>
      </c>
      <c r="T66" s="97">
        <f t="shared" si="4"/>
        <v>4241156.2066055071</v>
      </c>
      <c r="U66" s="97">
        <f t="shared" si="5"/>
        <v>80581.967925504636</v>
      </c>
      <c r="V66" s="97">
        <f t="shared" si="6"/>
        <v>4321738</v>
      </c>
      <c r="X66" t="str">
        <f t="shared" si="7"/>
        <v>Sin Arma</v>
      </c>
      <c r="AA66" s="78">
        <f>'[1]Dic-2026'!$X43</f>
        <v>4321738</v>
      </c>
      <c r="AB66" t="b">
        <f t="shared" si="8"/>
        <v>1</v>
      </c>
    </row>
    <row r="67" spans="1:28" ht="23.1">
      <c r="A67" s="110"/>
      <c r="B67" s="33" t="s">
        <v>64</v>
      </c>
      <c r="C67" s="33" t="s">
        <v>65</v>
      </c>
      <c r="D67" s="16">
        <v>0.52410000000000001</v>
      </c>
      <c r="E67" s="16">
        <v>0.47589999999999999</v>
      </c>
      <c r="F67" s="35" t="s">
        <v>160</v>
      </c>
      <c r="G67" s="37">
        <v>1</v>
      </c>
      <c r="H67" s="37"/>
      <c r="I67" s="37">
        <v>1</v>
      </c>
      <c r="J67" s="37">
        <v>12</v>
      </c>
      <c r="K67" s="37">
        <v>12</v>
      </c>
      <c r="L67" s="37"/>
      <c r="M67" s="37">
        <f t="shared" si="1"/>
        <v>20</v>
      </c>
      <c r="N67" s="37">
        <v>20</v>
      </c>
      <c r="O67" s="37">
        <v>20</v>
      </c>
      <c r="P67" s="104">
        <v>2000</v>
      </c>
      <c r="R67" s="31">
        <f t="shared" si="2"/>
        <v>5235995.3167969221</v>
      </c>
      <c r="S67" s="96">
        <f t="shared" si="3"/>
        <v>0.08</v>
      </c>
      <c r="T67" s="97">
        <f t="shared" si="4"/>
        <v>5654874.9421406761</v>
      </c>
      <c r="U67" s="97">
        <f t="shared" si="5"/>
        <v>107442.62390067284</v>
      </c>
      <c r="V67" s="97">
        <f t="shared" si="6"/>
        <v>5762318</v>
      </c>
      <c r="X67" t="str">
        <f t="shared" si="7"/>
        <v>Sin Arma</v>
      </c>
      <c r="AA67" s="78">
        <f>'[1]Dic-2026'!$X44</f>
        <v>5762318</v>
      </c>
      <c r="AB67" t="b">
        <f t="shared" si="8"/>
        <v>1</v>
      </c>
    </row>
    <row r="68" spans="1:28" ht="23.1">
      <c r="A68" s="110"/>
      <c r="B68" s="33" t="s">
        <v>66</v>
      </c>
      <c r="C68" s="33" t="s">
        <v>65</v>
      </c>
      <c r="D68" s="16">
        <v>0.52410000000000001</v>
      </c>
      <c r="E68" s="16">
        <v>0.47589999999999999</v>
      </c>
      <c r="F68" s="35" t="s">
        <v>163</v>
      </c>
      <c r="G68" s="37">
        <v>1</v>
      </c>
      <c r="H68" s="37"/>
      <c r="I68" s="37">
        <v>1</v>
      </c>
      <c r="J68" s="37">
        <v>12</v>
      </c>
      <c r="K68" s="37">
        <v>12</v>
      </c>
      <c r="L68" s="37"/>
      <c r="M68" s="37">
        <f t="shared" si="1"/>
        <v>20</v>
      </c>
      <c r="N68" s="37">
        <v>20</v>
      </c>
      <c r="O68" s="37">
        <v>20</v>
      </c>
      <c r="P68" s="104">
        <v>2000</v>
      </c>
      <c r="R68" s="31">
        <f t="shared" si="2"/>
        <v>5235995.3167969221</v>
      </c>
      <c r="S68" s="96">
        <f t="shared" si="3"/>
        <v>0.08</v>
      </c>
      <c r="T68" s="97">
        <f t="shared" si="4"/>
        <v>5654874.9421406761</v>
      </c>
      <c r="U68" s="97">
        <f t="shared" si="5"/>
        <v>107442.62390067284</v>
      </c>
      <c r="V68" s="97">
        <f t="shared" si="6"/>
        <v>5762318</v>
      </c>
      <c r="X68" t="str">
        <f t="shared" si="7"/>
        <v>Sin Arma</v>
      </c>
      <c r="AA68" s="78">
        <f>'[1]Dic-2026'!$X45</f>
        <v>5762318</v>
      </c>
      <c r="AB68" t="b">
        <f t="shared" si="8"/>
        <v>1</v>
      </c>
    </row>
    <row r="69" spans="1:28" ht="24.75" customHeight="1">
      <c r="A69" s="110"/>
      <c r="B69" s="33" t="s">
        <v>67</v>
      </c>
      <c r="C69" s="33" t="s">
        <v>68</v>
      </c>
      <c r="D69" s="16">
        <v>0.52410000000000001</v>
      </c>
      <c r="E69" s="16">
        <v>0.47589999999999999</v>
      </c>
      <c r="F69" s="35" t="s">
        <v>162</v>
      </c>
      <c r="G69" s="37">
        <v>1</v>
      </c>
      <c r="H69" s="37"/>
      <c r="I69" s="37">
        <v>1</v>
      </c>
      <c r="J69" s="37">
        <v>12</v>
      </c>
      <c r="K69" s="37">
        <v>12</v>
      </c>
      <c r="L69" s="37"/>
      <c r="M69" s="37">
        <f t="shared" si="1"/>
        <v>20</v>
      </c>
      <c r="N69" s="37">
        <v>20</v>
      </c>
      <c r="O69" s="37">
        <v>20</v>
      </c>
      <c r="P69" s="104">
        <v>2000</v>
      </c>
      <c r="R69" s="31">
        <f t="shared" si="2"/>
        <v>5235995.3167969221</v>
      </c>
      <c r="S69" s="96">
        <f t="shared" si="3"/>
        <v>0.11</v>
      </c>
      <c r="T69" s="97">
        <f t="shared" si="4"/>
        <v>5811954.8016445842</v>
      </c>
      <c r="U69" s="97">
        <f t="shared" si="5"/>
        <v>110427.14123124709</v>
      </c>
      <c r="V69" s="97">
        <f t="shared" si="6"/>
        <v>5922382</v>
      </c>
      <c r="X69" t="str">
        <f t="shared" si="7"/>
        <v>Canino</v>
      </c>
      <c r="AA69" s="78">
        <f>'[1]Dic-2026'!$X46</f>
        <v>5922382</v>
      </c>
      <c r="AB69" t="b">
        <f t="shared" si="8"/>
        <v>1</v>
      </c>
    </row>
    <row r="70" spans="1:28" ht="23.1">
      <c r="A70" s="110" t="s">
        <v>69</v>
      </c>
      <c r="B70" s="33" t="s">
        <v>70</v>
      </c>
      <c r="C70" s="33" t="s">
        <v>49</v>
      </c>
      <c r="D70" s="16">
        <v>0.52410000000000001</v>
      </c>
      <c r="E70" s="16">
        <v>0.47589999999999999</v>
      </c>
      <c r="F70" s="35" t="s">
        <v>163</v>
      </c>
      <c r="G70" s="37">
        <v>1</v>
      </c>
      <c r="H70" s="37">
        <v>1</v>
      </c>
      <c r="I70" s="37">
        <v>1</v>
      </c>
      <c r="J70" s="37">
        <v>24</v>
      </c>
      <c r="K70" s="37">
        <v>13</v>
      </c>
      <c r="L70" s="37">
        <v>11</v>
      </c>
      <c r="M70" s="37">
        <f t="shared" si="1"/>
        <v>30</v>
      </c>
      <c r="N70" s="37"/>
      <c r="O70" s="37"/>
      <c r="P70" s="104">
        <v>6000</v>
      </c>
      <c r="R70" s="31">
        <f t="shared" si="2"/>
        <v>17882740.050000001</v>
      </c>
      <c r="S70" s="96">
        <f t="shared" si="3"/>
        <v>0.1</v>
      </c>
      <c r="T70" s="97">
        <f t="shared" si="4"/>
        <v>19671014.055000003</v>
      </c>
      <c r="U70" s="97">
        <f t="shared" si="5"/>
        <v>373749.26704500004</v>
      </c>
      <c r="V70" s="97">
        <f t="shared" si="6"/>
        <v>20044763</v>
      </c>
      <c r="X70" t="str">
        <f t="shared" si="7"/>
        <v>Con Arma</v>
      </c>
      <c r="AA70" s="78">
        <f>'[1]Dic-2026'!$X47</f>
        <v>20044763</v>
      </c>
      <c r="AB70" t="b">
        <f t="shared" si="8"/>
        <v>1</v>
      </c>
    </row>
    <row r="71" spans="1:28" ht="23.1">
      <c r="A71" s="110"/>
      <c r="B71" s="33" t="s">
        <v>38</v>
      </c>
      <c r="C71" s="33" t="s">
        <v>49</v>
      </c>
      <c r="D71" s="16">
        <v>0.52410000000000001</v>
      </c>
      <c r="E71" s="16">
        <v>0.47589999999999999</v>
      </c>
      <c r="F71" s="35" t="s">
        <v>160</v>
      </c>
      <c r="G71" s="37">
        <v>1</v>
      </c>
      <c r="H71" s="37">
        <v>1</v>
      </c>
      <c r="I71" s="37">
        <v>1</v>
      </c>
      <c r="J71" s="37">
        <v>24</v>
      </c>
      <c r="K71" s="37">
        <v>13</v>
      </c>
      <c r="L71" s="37">
        <v>11</v>
      </c>
      <c r="M71" s="37">
        <f t="shared" si="1"/>
        <v>30</v>
      </c>
      <c r="N71" s="37"/>
      <c r="O71" s="37"/>
      <c r="P71" s="104">
        <v>6000</v>
      </c>
      <c r="R71" s="31">
        <f t="shared" si="2"/>
        <v>17882740.050000001</v>
      </c>
      <c r="S71" s="96">
        <f t="shared" si="3"/>
        <v>0.1</v>
      </c>
      <c r="T71" s="97">
        <f t="shared" si="4"/>
        <v>19671014.055000003</v>
      </c>
      <c r="U71" s="97">
        <f t="shared" si="5"/>
        <v>373749.26704500004</v>
      </c>
      <c r="V71" s="97">
        <f t="shared" si="6"/>
        <v>20044763</v>
      </c>
      <c r="X71" t="str">
        <f t="shared" si="7"/>
        <v>Con Arma</v>
      </c>
      <c r="AA71" s="78">
        <f>'[1]Dic-2026'!$X48</f>
        <v>20044763</v>
      </c>
      <c r="AB71" t="b">
        <f t="shared" si="8"/>
        <v>1</v>
      </c>
    </row>
    <row r="72" spans="1:28" ht="23.1">
      <c r="A72" s="110"/>
      <c r="B72" s="33" t="s">
        <v>71</v>
      </c>
      <c r="C72" s="33" t="s">
        <v>49</v>
      </c>
      <c r="D72" s="16">
        <v>0.52410000000000001</v>
      </c>
      <c r="E72" s="16">
        <v>0.47589999999999999</v>
      </c>
      <c r="F72" s="35" t="s">
        <v>160</v>
      </c>
      <c r="G72" s="37">
        <v>1</v>
      </c>
      <c r="H72" s="37">
        <v>1</v>
      </c>
      <c r="I72" s="37">
        <v>1</v>
      </c>
      <c r="J72" s="37">
        <v>24</v>
      </c>
      <c r="K72" s="37">
        <v>13</v>
      </c>
      <c r="L72" s="37">
        <v>11</v>
      </c>
      <c r="M72" s="37">
        <f t="shared" si="1"/>
        <v>30</v>
      </c>
      <c r="N72" s="37"/>
      <c r="O72" s="37"/>
      <c r="P72" s="104">
        <v>6000</v>
      </c>
      <c r="R72" s="31">
        <f t="shared" si="2"/>
        <v>17882740.050000001</v>
      </c>
      <c r="S72" s="96">
        <f t="shared" si="3"/>
        <v>0.1</v>
      </c>
      <c r="T72" s="97">
        <f t="shared" si="4"/>
        <v>19671014.055000003</v>
      </c>
      <c r="U72" s="97">
        <f t="shared" si="5"/>
        <v>373749.26704500004</v>
      </c>
      <c r="V72" s="97">
        <f t="shared" si="6"/>
        <v>20044763</v>
      </c>
      <c r="X72" t="str">
        <f t="shared" si="7"/>
        <v>Con Arma</v>
      </c>
      <c r="AA72" s="78">
        <f>'[1]Dic-2026'!$X49</f>
        <v>20044763</v>
      </c>
      <c r="AB72" t="b">
        <f t="shared" si="8"/>
        <v>1</v>
      </c>
    </row>
    <row r="73" spans="1:28" ht="34.5">
      <c r="A73" s="110"/>
      <c r="B73" s="33" t="s">
        <v>72</v>
      </c>
      <c r="C73" s="33" t="s">
        <v>73</v>
      </c>
      <c r="D73" s="16">
        <v>0.52410000000000001</v>
      </c>
      <c r="E73" s="16">
        <v>0.47589999999999999</v>
      </c>
      <c r="F73" s="35" t="s">
        <v>160</v>
      </c>
      <c r="G73" s="37"/>
      <c r="H73" s="37"/>
      <c r="I73" s="37">
        <v>1</v>
      </c>
      <c r="J73" s="37">
        <v>12</v>
      </c>
      <c r="K73" s="37">
        <v>12</v>
      </c>
      <c r="L73" s="37"/>
      <c r="M73" s="37">
        <f t="shared" si="1"/>
        <v>13</v>
      </c>
      <c r="N73" s="37"/>
      <c r="O73" s="37">
        <v>20</v>
      </c>
      <c r="P73" s="104">
        <v>2000</v>
      </c>
      <c r="R73" s="31">
        <f t="shared" si="2"/>
        <v>3403396.9559180001</v>
      </c>
      <c r="S73" s="96">
        <f t="shared" si="3"/>
        <v>0.08</v>
      </c>
      <c r="T73" s="97">
        <f t="shared" si="4"/>
        <v>3675668.7123914403</v>
      </c>
      <c r="U73" s="97">
        <f t="shared" si="5"/>
        <v>69837.705535437359</v>
      </c>
      <c r="V73" s="97">
        <f t="shared" si="6"/>
        <v>3745506</v>
      </c>
      <c r="X73" t="str">
        <f t="shared" si="7"/>
        <v>Sin Arma</v>
      </c>
      <c r="AA73" s="78">
        <f>'[1]Dic-2026'!$X50</f>
        <v>3745506</v>
      </c>
      <c r="AB73" t="b">
        <f t="shared" si="8"/>
        <v>1</v>
      </c>
    </row>
    <row r="74" spans="1:28" ht="23.1">
      <c r="A74" s="110"/>
      <c r="B74" s="33" t="s">
        <v>74</v>
      </c>
      <c r="C74" s="33" t="s">
        <v>73</v>
      </c>
      <c r="D74" s="16">
        <v>0.52410000000000001</v>
      </c>
      <c r="E74" s="16">
        <v>0.47589999999999999</v>
      </c>
      <c r="F74" s="35" t="s">
        <v>160</v>
      </c>
      <c r="G74" s="37"/>
      <c r="H74" s="37"/>
      <c r="I74" s="37">
        <v>1</v>
      </c>
      <c r="J74" s="37">
        <v>12</v>
      </c>
      <c r="K74" s="37">
        <v>12</v>
      </c>
      <c r="L74" s="37"/>
      <c r="M74" s="37">
        <f t="shared" si="1"/>
        <v>13</v>
      </c>
      <c r="N74" s="37"/>
      <c r="O74" s="37">
        <v>20</v>
      </c>
      <c r="P74" s="104">
        <v>2000</v>
      </c>
      <c r="R74" s="31">
        <f t="shared" si="2"/>
        <v>3403396.9559180001</v>
      </c>
      <c r="S74" s="96">
        <f t="shared" si="3"/>
        <v>0.08</v>
      </c>
      <c r="T74" s="97">
        <f t="shared" si="4"/>
        <v>3675668.7123914403</v>
      </c>
      <c r="U74" s="97">
        <f t="shared" si="5"/>
        <v>69837.705535437359</v>
      </c>
      <c r="V74" s="97">
        <f t="shared" si="6"/>
        <v>3745506</v>
      </c>
      <c r="X74" t="str">
        <f t="shared" si="7"/>
        <v>Sin Arma</v>
      </c>
      <c r="AA74" s="78">
        <f>'[1]Dic-2026'!$X51</f>
        <v>3745506</v>
      </c>
      <c r="AB74" t="b">
        <f t="shared" si="8"/>
        <v>1</v>
      </c>
    </row>
    <row r="75" spans="1:28" ht="23.1">
      <c r="A75" s="110"/>
      <c r="B75" s="33" t="s">
        <v>75</v>
      </c>
      <c r="C75" s="33" t="s">
        <v>76</v>
      </c>
      <c r="D75" s="16">
        <v>0.52410000000000001</v>
      </c>
      <c r="E75" s="16">
        <v>0.47589999999999999</v>
      </c>
      <c r="F75" s="35" t="s">
        <v>162</v>
      </c>
      <c r="G75" s="37"/>
      <c r="H75" s="37"/>
      <c r="I75" s="37">
        <v>1</v>
      </c>
      <c r="J75" s="37">
        <v>12</v>
      </c>
      <c r="K75" s="37">
        <v>12</v>
      </c>
      <c r="L75" s="37"/>
      <c r="M75" s="37">
        <f t="shared" si="1"/>
        <v>13</v>
      </c>
      <c r="N75" s="37"/>
      <c r="O75" s="37">
        <v>20</v>
      </c>
      <c r="P75" s="104">
        <v>2000</v>
      </c>
      <c r="R75" s="31">
        <f t="shared" si="2"/>
        <v>3403396.9559180001</v>
      </c>
      <c r="S75" s="96">
        <f t="shared" si="3"/>
        <v>0.11</v>
      </c>
      <c r="T75" s="97">
        <f t="shared" si="4"/>
        <v>3777770.6210689805</v>
      </c>
      <c r="U75" s="97">
        <f t="shared" si="5"/>
        <v>71777.641800310623</v>
      </c>
      <c r="V75" s="97">
        <f t="shared" si="6"/>
        <v>3849548</v>
      </c>
      <c r="X75" t="str">
        <f t="shared" si="7"/>
        <v>Canino</v>
      </c>
      <c r="AA75" s="78">
        <f>'[1]Dic-2026'!$X52</f>
        <v>3849548</v>
      </c>
      <c r="AB75" t="b">
        <f t="shared" si="8"/>
        <v>1</v>
      </c>
    </row>
    <row r="76" spans="1:28" ht="23.1">
      <c r="A76" s="110"/>
      <c r="B76" s="33" t="s">
        <v>77</v>
      </c>
      <c r="C76" s="33" t="s">
        <v>73</v>
      </c>
      <c r="D76" s="16">
        <v>0.52410000000000001</v>
      </c>
      <c r="E76" s="16">
        <v>0.47589999999999999</v>
      </c>
      <c r="F76" s="35" t="s">
        <v>160</v>
      </c>
      <c r="G76" s="37"/>
      <c r="H76" s="37"/>
      <c r="I76" s="37">
        <v>1</v>
      </c>
      <c r="J76" s="37">
        <v>12</v>
      </c>
      <c r="K76" s="37">
        <v>12</v>
      </c>
      <c r="L76" s="37"/>
      <c r="M76" s="37">
        <f t="shared" si="1"/>
        <v>13</v>
      </c>
      <c r="N76" s="37"/>
      <c r="O76" s="37">
        <v>20</v>
      </c>
      <c r="P76" s="104">
        <v>2000</v>
      </c>
      <c r="R76" s="31">
        <f t="shared" si="2"/>
        <v>3403396.9559180001</v>
      </c>
      <c r="S76" s="96">
        <f t="shared" si="3"/>
        <v>0.08</v>
      </c>
      <c r="T76" s="97">
        <f t="shared" si="4"/>
        <v>3675668.7123914403</v>
      </c>
      <c r="U76" s="97">
        <f t="shared" si="5"/>
        <v>69837.705535437359</v>
      </c>
      <c r="V76" s="97">
        <f t="shared" si="6"/>
        <v>3745506</v>
      </c>
      <c r="X76" t="str">
        <f t="shared" si="7"/>
        <v>Sin Arma</v>
      </c>
      <c r="AA76" s="78">
        <f>'[1]Dic-2026'!$X53</f>
        <v>3745506</v>
      </c>
      <c r="AB76" t="b">
        <f t="shared" si="8"/>
        <v>1</v>
      </c>
    </row>
    <row r="77" spans="1:28" ht="23.1">
      <c r="A77" s="110"/>
      <c r="B77" s="33" t="s">
        <v>78</v>
      </c>
      <c r="C77" s="33" t="s">
        <v>73</v>
      </c>
      <c r="D77" s="16">
        <v>0.52410000000000001</v>
      </c>
      <c r="E77" s="16">
        <v>0.47589999999999999</v>
      </c>
      <c r="F77" s="35" t="s">
        <v>160</v>
      </c>
      <c r="G77" s="37"/>
      <c r="H77" s="37"/>
      <c r="I77" s="37">
        <v>1</v>
      </c>
      <c r="J77" s="37">
        <v>12</v>
      </c>
      <c r="K77" s="37">
        <v>12</v>
      </c>
      <c r="L77" s="37"/>
      <c r="M77" s="37">
        <f t="shared" si="1"/>
        <v>13</v>
      </c>
      <c r="N77" s="37"/>
      <c r="O77" s="37">
        <v>20</v>
      </c>
      <c r="P77" s="104">
        <v>2000</v>
      </c>
      <c r="R77" s="31">
        <f t="shared" si="2"/>
        <v>3403396.9559180001</v>
      </c>
      <c r="S77" s="96">
        <f t="shared" si="3"/>
        <v>0.08</v>
      </c>
      <c r="T77" s="97">
        <f t="shared" si="4"/>
        <v>3675668.7123914403</v>
      </c>
      <c r="U77" s="97">
        <f t="shared" si="5"/>
        <v>69837.705535437359</v>
      </c>
      <c r="V77" s="97">
        <f t="shared" si="6"/>
        <v>3745506</v>
      </c>
      <c r="X77" t="str">
        <f t="shared" si="7"/>
        <v>Sin Arma</v>
      </c>
      <c r="AA77" s="78">
        <f>'[1]Dic-2026'!$X54</f>
        <v>3745506</v>
      </c>
      <c r="AB77" t="b">
        <f t="shared" si="8"/>
        <v>1</v>
      </c>
    </row>
    <row r="78" spans="1:28" ht="23.1">
      <c r="A78" s="110"/>
      <c r="B78" s="33" t="s">
        <v>79</v>
      </c>
      <c r="C78" s="33" t="s">
        <v>73</v>
      </c>
      <c r="D78" s="16">
        <v>0.52410000000000001</v>
      </c>
      <c r="E78" s="16">
        <v>0.47589999999999999</v>
      </c>
      <c r="F78" s="35" t="s">
        <v>160</v>
      </c>
      <c r="G78" s="37"/>
      <c r="H78" s="37"/>
      <c r="I78" s="37">
        <v>1</v>
      </c>
      <c r="J78" s="37">
        <v>12</v>
      </c>
      <c r="K78" s="37">
        <v>12</v>
      </c>
      <c r="L78" s="37"/>
      <c r="M78" s="37">
        <f t="shared" si="1"/>
        <v>13</v>
      </c>
      <c r="N78" s="37"/>
      <c r="O78" s="37">
        <v>20</v>
      </c>
      <c r="P78" s="104">
        <v>2000</v>
      </c>
      <c r="R78" s="31">
        <f t="shared" si="2"/>
        <v>3403396.9559180001</v>
      </c>
      <c r="S78" s="96">
        <f t="shared" si="3"/>
        <v>0.08</v>
      </c>
      <c r="T78" s="97">
        <f t="shared" si="4"/>
        <v>3675668.7123914403</v>
      </c>
      <c r="U78" s="97">
        <f t="shared" si="5"/>
        <v>69837.705535437359</v>
      </c>
      <c r="V78" s="97">
        <f t="shared" si="6"/>
        <v>3745506</v>
      </c>
      <c r="X78" t="str">
        <f t="shared" si="7"/>
        <v>Sin Arma</v>
      </c>
      <c r="AA78" s="78">
        <f>'[1]Dic-2026'!$X55</f>
        <v>3745506</v>
      </c>
      <c r="AB78" t="b">
        <f t="shared" si="8"/>
        <v>1</v>
      </c>
    </row>
    <row r="79" spans="1:28" ht="34.5">
      <c r="A79" s="110"/>
      <c r="B79" s="33" t="s">
        <v>80</v>
      </c>
      <c r="C79" s="33" t="s">
        <v>73</v>
      </c>
      <c r="D79" s="16">
        <v>0.52410000000000001</v>
      </c>
      <c r="E79" s="16">
        <v>0.47589999999999999</v>
      </c>
      <c r="F79" s="35" t="s">
        <v>160</v>
      </c>
      <c r="G79" s="37">
        <v>1</v>
      </c>
      <c r="H79" s="37"/>
      <c r="I79" s="37">
        <v>1</v>
      </c>
      <c r="J79" s="37">
        <v>12</v>
      </c>
      <c r="K79" s="37">
        <v>12</v>
      </c>
      <c r="L79" s="37"/>
      <c r="M79" s="37">
        <f t="shared" si="1"/>
        <v>20</v>
      </c>
      <c r="N79" s="37">
        <v>20</v>
      </c>
      <c r="O79" s="37">
        <v>20</v>
      </c>
      <c r="P79" s="104">
        <v>2000</v>
      </c>
      <c r="R79" s="31">
        <f t="shared" si="2"/>
        <v>5235995.3167969221</v>
      </c>
      <c r="S79" s="96">
        <f t="shared" si="3"/>
        <v>0.08</v>
      </c>
      <c r="T79" s="97">
        <f t="shared" si="4"/>
        <v>5654874.9421406761</v>
      </c>
      <c r="U79" s="97">
        <f t="shared" si="5"/>
        <v>107442.62390067284</v>
      </c>
      <c r="V79" s="97">
        <f t="shared" si="6"/>
        <v>5762318</v>
      </c>
      <c r="X79" t="str">
        <f t="shared" si="7"/>
        <v>Sin Arma</v>
      </c>
      <c r="AA79" s="78">
        <f>'[1]Dic-2026'!$X56</f>
        <v>5762318</v>
      </c>
      <c r="AB79" t="b">
        <f t="shared" si="8"/>
        <v>1</v>
      </c>
    </row>
    <row r="80" spans="1:28" ht="23.1">
      <c r="A80" s="110"/>
      <c r="B80" s="33" t="s">
        <v>81</v>
      </c>
      <c r="C80" s="33" t="s">
        <v>73</v>
      </c>
      <c r="D80" s="16">
        <v>0.52410000000000001</v>
      </c>
      <c r="E80" s="16">
        <v>0.47589999999999999</v>
      </c>
      <c r="F80" s="35" t="s">
        <v>160</v>
      </c>
      <c r="G80" s="37"/>
      <c r="H80" s="37"/>
      <c r="I80" s="37">
        <v>1</v>
      </c>
      <c r="J80" s="37">
        <v>12</v>
      </c>
      <c r="K80" s="37">
        <v>12</v>
      </c>
      <c r="L80" s="37"/>
      <c r="M80" s="37">
        <f t="shared" si="1"/>
        <v>13</v>
      </c>
      <c r="N80" s="37"/>
      <c r="O80" s="37">
        <v>20</v>
      </c>
      <c r="P80" s="104">
        <v>2000</v>
      </c>
      <c r="R80" s="31">
        <f t="shared" si="2"/>
        <v>3403396.9559180001</v>
      </c>
      <c r="S80" s="96">
        <f t="shared" si="3"/>
        <v>0.08</v>
      </c>
      <c r="T80" s="97">
        <f t="shared" si="4"/>
        <v>3675668.7123914403</v>
      </c>
      <c r="U80" s="97">
        <f t="shared" si="5"/>
        <v>69837.705535437359</v>
      </c>
      <c r="V80" s="97">
        <f t="shared" si="6"/>
        <v>3745506</v>
      </c>
      <c r="X80" t="str">
        <f t="shared" si="7"/>
        <v>Sin Arma</v>
      </c>
      <c r="AA80" s="78">
        <f>'[1]Dic-2026'!$X57</f>
        <v>3745506</v>
      </c>
      <c r="AB80" t="b">
        <f t="shared" si="8"/>
        <v>1</v>
      </c>
    </row>
    <row r="81" spans="1:28" ht="23.1">
      <c r="A81" s="110"/>
      <c r="B81" s="33" t="s">
        <v>81</v>
      </c>
      <c r="C81" s="33" t="s">
        <v>73</v>
      </c>
      <c r="D81" s="16">
        <v>0.52410000000000001</v>
      </c>
      <c r="E81" s="16">
        <v>0.47589999999999999</v>
      </c>
      <c r="F81" s="35" t="s">
        <v>160</v>
      </c>
      <c r="G81" s="37"/>
      <c r="H81" s="37"/>
      <c r="I81" s="37">
        <v>1</v>
      </c>
      <c r="J81" s="37">
        <v>12</v>
      </c>
      <c r="K81" s="37">
        <v>12</v>
      </c>
      <c r="L81" s="37"/>
      <c r="M81" s="37">
        <f t="shared" si="1"/>
        <v>13</v>
      </c>
      <c r="N81" s="37"/>
      <c r="O81" s="37">
        <v>20</v>
      </c>
      <c r="P81" s="104">
        <v>2000</v>
      </c>
      <c r="R81" s="31">
        <f t="shared" si="2"/>
        <v>3403396.9559180001</v>
      </c>
      <c r="S81" s="96">
        <f t="shared" si="3"/>
        <v>0.08</v>
      </c>
      <c r="T81" s="97">
        <f t="shared" si="4"/>
        <v>3675668.7123914403</v>
      </c>
      <c r="U81" s="97">
        <f t="shared" si="5"/>
        <v>69837.705535437359</v>
      </c>
      <c r="V81" s="97">
        <f t="shared" si="6"/>
        <v>3745506</v>
      </c>
      <c r="X81" t="str">
        <f t="shared" si="7"/>
        <v>Sin Arma</v>
      </c>
      <c r="AA81" s="78">
        <f>'[1]Dic-2026'!$X58</f>
        <v>3745506</v>
      </c>
      <c r="AB81" t="b">
        <f t="shared" si="8"/>
        <v>1</v>
      </c>
    </row>
    <row r="82" spans="1:28" ht="23.1">
      <c r="A82" s="110" t="s">
        <v>82</v>
      </c>
      <c r="B82" s="33" t="s">
        <v>38</v>
      </c>
      <c r="C82" s="33" t="s">
        <v>73</v>
      </c>
      <c r="D82" s="16">
        <v>0.52410000000000001</v>
      </c>
      <c r="E82" s="16">
        <v>0.47589999999999999</v>
      </c>
      <c r="F82" s="37" t="s">
        <v>160</v>
      </c>
      <c r="G82" s="37"/>
      <c r="H82" s="37"/>
      <c r="I82" s="37">
        <v>1</v>
      </c>
      <c r="J82" s="37">
        <v>12</v>
      </c>
      <c r="K82" s="37">
        <v>12</v>
      </c>
      <c r="L82" s="37"/>
      <c r="M82" s="37">
        <f t="shared" si="1"/>
        <v>13</v>
      </c>
      <c r="N82" s="37"/>
      <c r="O82" s="37">
        <v>20</v>
      </c>
      <c r="P82" s="104">
        <v>2000</v>
      </c>
      <c r="R82" s="31">
        <f t="shared" si="2"/>
        <v>3403396.9559180001</v>
      </c>
      <c r="S82" s="96">
        <f t="shared" si="3"/>
        <v>0.08</v>
      </c>
      <c r="T82" s="97">
        <f t="shared" si="4"/>
        <v>3675668.7123914403</v>
      </c>
      <c r="U82" s="97">
        <f t="shared" si="5"/>
        <v>69837.705535437359</v>
      </c>
      <c r="V82" s="97">
        <f t="shared" si="6"/>
        <v>3745506</v>
      </c>
      <c r="X82" t="str">
        <f t="shared" si="7"/>
        <v>Sin Arma</v>
      </c>
      <c r="AA82" s="78">
        <f>'[1]Dic-2026'!$X59</f>
        <v>3745506</v>
      </c>
      <c r="AB82" t="b">
        <f t="shared" si="8"/>
        <v>1</v>
      </c>
    </row>
    <row r="83" spans="1:28" ht="23.1">
      <c r="A83" s="110"/>
      <c r="B83" s="33" t="s">
        <v>83</v>
      </c>
      <c r="C83" s="33" t="s">
        <v>84</v>
      </c>
      <c r="D83" s="16">
        <v>0.52410000000000001</v>
      </c>
      <c r="E83" s="16">
        <v>0.47589999999999999</v>
      </c>
      <c r="F83" s="37" t="s">
        <v>160</v>
      </c>
      <c r="G83" s="37"/>
      <c r="H83" s="37"/>
      <c r="I83" s="37">
        <v>1</v>
      </c>
      <c r="J83" s="37">
        <v>16</v>
      </c>
      <c r="K83" s="37">
        <v>13</v>
      </c>
      <c r="L83" s="37">
        <v>3</v>
      </c>
      <c r="M83" s="37">
        <f t="shared" si="1"/>
        <v>13</v>
      </c>
      <c r="N83" s="37"/>
      <c r="O83" s="37">
        <v>20</v>
      </c>
      <c r="P83" s="104">
        <v>4000</v>
      </c>
      <c r="R83" s="31">
        <f t="shared" si="2"/>
        <v>4794942.5990566062</v>
      </c>
      <c r="S83" s="96">
        <f t="shared" si="3"/>
        <v>0.08</v>
      </c>
      <c r="T83" s="97">
        <f t="shared" si="4"/>
        <v>5178538.0069811353</v>
      </c>
      <c r="U83" s="97">
        <f t="shared" si="5"/>
        <v>98392.222132641575</v>
      </c>
      <c r="V83" s="97">
        <f t="shared" si="6"/>
        <v>5276930</v>
      </c>
      <c r="X83" t="str">
        <f t="shared" si="7"/>
        <v>Sin Arma</v>
      </c>
      <c r="AA83" s="78">
        <f>'[1]Dic-2026'!$X60</f>
        <v>5276930</v>
      </c>
      <c r="AB83" t="b">
        <f t="shared" si="8"/>
        <v>1</v>
      </c>
    </row>
    <row r="84" spans="1:28" ht="23.1">
      <c r="A84" s="110" t="s">
        <v>85</v>
      </c>
      <c r="B84" s="33" t="s">
        <v>86</v>
      </c>
      <c r="C84" s="33" t="s">
        <v>87</v>
      </c>
      <c r="D84" s="16">
        <v>0.52410000000000001</v>
      </c>
      <c r="E84" s="16">
        <v>0.47589999999999999</v>
      </c>
      <c r="F84" s="37" t="s">
        <v>160</v>
      </c>
      <c r="G84" s="37">
        <v>1</v>
      </c>
      <c r="H84" s="37">
        <v>1</v>
      </c>
      <c r="I84" s="37">
        <v>1</v>
      </c>
      <c r="J84" s="37">
        <v>24</v>
      </c>
      <c r="K84" s="37">
        <v>13</v>
      </c>
      <c r="L84" s="37">
        <v>11</v>
      </c>
      <c r="M84" s="37">
        <f t="shared" si="1"/>
        <v>30</v>
      </c>
      <c r="N84" s="37"/>
      <c r="O84" s="37"/>
      <c r="P84" s="104">
        <v>6000</v>
      </c>
      <c r="R84" s="31">
        <f t="shared" si="2"/>
        <v>17882740.050000001</v>
      </c>
      <c r="S84" s="96">
        <f t="shared" si="3"/>
        <v>0.1</v>
      </c>
      <c r="T84" s="97">
        <f t="shared" si="4"/>
        <v>19671014.055000003</v>
      </c>
      <c r="U84" s="97">
        <f t="shared" si="5"/>
        <v>373749.26704500004</v>
      </c>
      <c r="V84" s="97">
        <f t="shared" si="6"/>
        <v>20044763</v>
      </c>
      <c r="X84" t="str">
        <f t="shared" si="7"/>
        <v>Con Arma</v>
      </c>
      <c r="AA84" s="78">
        <f>'[1]Dic-2026'!$X61</f>
        <v>20044763</v>
      </c>
      <c r="AB84" t="b">
        <f t="shared" si="8"/>
        <v>1</v>
      </c>
    </row>
    <row r="85" spans="1:28" ht="23.1">
      <c r="A85" s="110"/>
      <c r="B85" s="33" t="s">
        <v>88</v>
      </c>
      <c r="C85" s="33" t="s">
        <v>73</v>
      </c>
      <c r="D85" s="16">
        <v>0.52410000000000001</v>
      </c>
      <c r="E85" s="16">
        <v>0.47589999999999999</v>
      </c>
      <c r="F85" s="37" t="s">
        <v>160</v>
      </c>
      <c r="G85" s="37"/>
      <c r="H85" s="37"/>
      <c r="I85" s="37">
        <v>1</v>
      </c>
      <c r="J85" s="37">
        <v>12</v>
      </c>
      <c r="K85" s="37">
        <v>12</v>
      </c>
      <c r="L85" s="37"/>
      <c r="M85" s="37">
        <f t="shared" si="1"/>
        <v>13</v>
      </c>
      <c r="N85" s="37"/>
      <c r="O85" s="37">
        <v>20</v>
      </c>
      <c r="P85" s="104">
        <v>2000</v>
      </c>
      <c r="R85" s="31">
        <f t="shared" si="2"/>
        <v>3403396.9559180001</v>
      </c>
      <c r="S85" s="96">
        <f t="shared" si="3"/>
        <v>0.08</v>
      </c>
      <c r="T85" s="97">
        <f t="shared" si="4"/>
        <v>3675668.7123914403</v>
      </c>
      <c r="U85" s="97">
        <f t="shared" si="5"/>
        <v>69837.705535437359</v>
      </c>
      <c r="V85" s="97">
        <f t="shared" si="6"/>
        <v>3745506</v>
      </c>
      <c r="X85" t="str">
        <f t="shared" si="7"/>
        <v>Sin Arma</v>
      </c>
      <c r="AA85" s="78">
        <f>'[1]Dic-2026'!$X62</f>
        <v>3745506</v>
      </c>
      <c r="AB85" t="b">
        <f t="shared" si="8"/>
        <v>1</v>
      </c>
    </row>
    <row r="86" spans="1:28" ht="23.1">
      <c r="A86" s="32" t="s">
        <v>89</v>
      </c>
      <c r="B86" s="33" t="s">
        <v>90</v>
      </c>
      <c r="C86" s="33" t="s">
        <v>87</v>
      </c>
      <c r="D86" s="16">
        <v>0.52410000000000001</v>
      </c>
      <c r="E86" s="16">
        <v>0.47589999999999999</v>
      </c>
      <c r="F86" s="37" t="s">
        <v>160</v>
      </c>
      <c r="G86" s="37">
        <v>2</v>
      </c>
      <c r="H86" s="37">
        <v>2</v>
      </c>
      <c r="I86" s="37">
        <v>2</v>
      </c>
      <c r="J86" s="37">
        <v>24</v>
      </c>
      <c r="K86" s="37">
        <v>13</v>
      </c>
      <c r="L86" s="37">
        <v>11</v>
      </c>
      <c r="M86" s="37">
        <v>30</v>
      </c>
      <c r="N86" s="37"/>
      <c r="O86" s="37"/>
      <c r="P86" s="104">
        <v>6000</v>
      </c>
      <c r="R86" s="31">
        <f>+((((((($B$21*$C$21)+P86)*D86/30)*M86)/11*L86))+(((((($B$21*$C$21)+P86)*E86/30)*M86)/13*K86)))*I86</f>
        <v>35765480.100000001</v>
      </c>
      <c r="S86" s="96">
        <f t="shared" si="3"/>
        <v>0.1</v>
      </c>
      <c r="T86" s="97">
        <f t="shared" si="4"/>
        <v>39342028.110000007</v>
      </c>
      <c r="U86" s="97">
        <f t="shared" si="5"/>
        <v>747498.53409000009</v>
      </c>
      <c r="V86" s="97">
        <f t="shared" si="6"/>
        <v>40089527</v>
      </c>
      <c r="X86" t="str">
        <f t="shared" si="7"/>
        <v>Con Arma</v>
      </c>
      <c r="AA86" s="78">
        <f>'[1]Dic-2026'!$X63</f>
        <v>40089526</v>
      </c>
      <c r="AB86" t="b">
        <f t="shared" si="8"/>
        <v>0</v>
      </c>
    </row>
    <row r="87" spans="1:28" ht="23.1">
      <c r="A87" s="32" t="s">
        <v>91</v>
      </c>
      <c r="B87" s="33" t="s">
        <v>92</v>
      </c>
      <c r="C87" s="33" t="s">
        <v>93</v>
      </c>
      <c r="D87" s="16">
        <v>0.52410000000000001</v>
      </c>
      <c r="E87" s="16">
        <v>0.47589999999999999</v>
      </c>
      <c r="F87" s="37" t="s">
        <v>160</v>
      </c>
      <c r="G87" s="37">
        <v>1</v>
      </c>
      <c r="H87" s="37">
        <v>1</v>
      </c>
      <c r="I87" s="37">
        <v>1</v>
      </c>
      <c r="J87" s="37">
        <v>24</v>
      </c>
      <c r="K87" s="37">
        <v>13</v>
      </c>
      <c r="L87" s="37">
        <v>11</v>
      </c>
      <c r="M87" s="37">
        <f t="shared" si="1"/>
        <v>30</v>
      </c>
      <c r="N87" s="37"/>
      <c r="O87" s="37"/>
      <c r="P87" s="104">
        <v>6000</v>
      </c>
      <c r="R87" s="31">
        <f t="shared" si="2"/>
        <v>17882740.050000001</v>
      </c>
      <c r="S87" s="96">
        <f t="shared" si="3"/>
        <v>0.08</v>
      </c>
      <c r="T87" s="97">
        <f t="shared" si="4"/>
        <v>19313359.254000001</v>
      </c>
      <c r="U87" s="97">
        <f t="shared" si="5"/>
        <v>366953.82582600001</v>
      </c>
      <c r="V87" s="97">
        <f t="shared" si="6"/>
        <v>19680313</v>
      </c>
      <c r="X87" t="str">
        <f t="shared" si="7"/>
        <v>Sin Arma</v>
      </c>
      <c r="AA87" s="78">
        <f>'[1]Dic-2026'!$X64</f>
        <v>19680313</v>
      </c>
      <c r="AB87" t="b">
        <f t="shared" si="8"/>
        <v>1</v>
      </c>
    </row>
    <row r="88" spans="1:28" ht="34.5">
      <c r="A88" s="32" t="s">
        <v>94</v>
      </c>
      <c r="B88" s="33" t="s">
        <v>95</v>
      </c>
      <c r="C88" s="33" t="s">
        <v>87</v>
      </c>
      <c r="D88" s="16">
        <v>0.52410000000000001</v>
      </c>
      <c r="E88" s="16">
        <v>0.47589999999999999</v>
      </c>
      <c r="F88" s="37" t="s">
        <v>160</v>
      </c>
      <c r="G88" s="37">
        <v>1</v>
      </c>
      <c r="H88" s="37">
        <v>1</v>
      </c>
      <c r="I88" s="37">
        <v>1</v>
      </c>
      <c r="J88" s="37">
        <v>24</v>
      </c>
      <c r="K88" s="37">
        <v>13</v>
      </c>
      <c r="L88" s="37">
        <v>11</v>
      </c>
      <c r="M88" s="37">
        <f t="shared" si="1"/>
        <v>30</v>
      </c>
      <c r="N88" s="37"/>
      <c r="O88" s="37"/>
      <c r="P88" s="104">
        <v>6000</v>
      </c>
      <c r="R88" s="31">
        <f t="shared" si="2"/>
        <v>17882740.050000001</v>
      </c>
      <c r="S88" s="96">
        <f t="shared" si="3"/>
        <v>0.1</v>
      </c>
      <c r="T88" s="97">
        <f t="shared" si="4"/>
        <v>19671014.055000003</v>
      </c>
      <c r="U88" s="97">
        <f t="shared" si="5"/>
        <v>373749.26704500004</v>
      </c>
      <c r="V88" s="97">
        <f t="shared" si="6"/>
        <v>20044763</v>
      </c>
      <c r="X88" t="str">
        <f t="shared" si="7"/>
        <v>Con Arma</v>
      </c>
      <c r="AA88" s="78">
        <f>'[1]Dic-2026'!$X65</f>
        <v>20044763</v>
      </c>
      <c r="AB88" t="b">
        <f t="shared" si="8"/>
        <v>1</v>
      </c>
    </row>
    <row r="89" spans="1:28">
      <c r="A89" s="14"/>
      <c r="B89" s="108" t="s">
        <v>164</v>
      </c>
      <c r="C89" s="108"/>
      <c r="D89" s="109"/>
      <c r="E89" s="109"/>
      <c r="F89" s="109"/>
      <c r="G89" s="44">
        <f>SUM(G29:G88)</f>
        <v>39</v>
      </c>
      <c r="H89" s="44">
        <f>SUM(H29:H88)</f>
        <v>22</v>
      </c>
      <c r="I89" s="44">
        <f>SUM(I29:I88)</f>
        <v>61</v>
      </c>
      <c r="J89" s="37"/>
      <c r="K89" s="37"/>
      <c r="L89" s="37"/>
      <c r="M89" s="37"/>
      <c r="N89" s="37"/>
      <c r="O89" s="37"/>
      <c r="P89" s="44"/>
      <c r="R89" s="47">
        <f>SUM(R29:R88)</f>
        <v>543143288.42670393</v>
      </c>
      <c r="S89" s="98"/>
      <c r="T89" s="97">
        <f>SUM(T29:T88)</f>
        <v>593289048.35602951</v>
      </c>
      <c r="U89" s="97">
        <f t="shared" ref="U89" si="9">SUM(U29:U88)</f>
        <v>11272491.918764567</v>
      </c>
      <c r="V89" s="97">
        <f>SUM(V29:V88)</f>
        <v>604561532</v>
      </c>
      <c r="X89" t="str">
        <f t="shared" si="7"/>
        <v>Otra categoría</v>
      </c>
    </row>
    <row r="91" spans="1:28">
      <c r="R91" s="94"/>
    </row>
    <row r="92" spans="1:28">
      <c r="R92" s="55"/>
    </row>
  </sheetData>
  <autoFilter ref="A28:J89" xr:uid="{507CED06-586D-45FF-AA78-35A560091ABD}"/>
  <mergeCells count="13">
    <mergeCell ref="A51:A52"/>
    <mergeCell ref="D6:F6"/>
    <mergeCell ref="A27:P27"/>
    <mergeCell ref="A29:A48"/>
    <mergeCell ref="A49:A50"/>
    <mergeCell ref="A14:H14"/>
    <mergeCell ref="B89:F89"/>
    <mergeCell ref="A53:A54"/>
    <mergeCell ref="A56:A57"/>
    <mergeCell ref="A58:A69"/>
    <mergeCell ref="A70:A81"/>
    <mergeCell ref="A82:A83"/>
    <mergeCell ref="A84:A85"/>
  </mergeCells>
  <hyperlinks>
    <hyperlink ref="D6" r:id="rId1" xr:uid="{76C92AFC-00E4-4E72-991B-B090D5E23E3F}"/>
  </hyperlinks>
  <pageMargins left="0.7" right="0.7" top="0.75" bottom="0.75" header="0.3" footer="0.3"/>
  <pageSetup paperSize="9" orientation="portrait" horizontalDpi="1200" verticalDpi="12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CED06-586D-45FF-AA78-35A560091ABD}">
  <dimension ref="A1:U92"/>
  <sheetViews>
    <sheetView topLeftCell="H84" workbookViewId="0">
      <selection activeCell="P92" sqref="P92"/>
    </sheetView>
  </sheetViews>
  <sheetFormatPr defaultColWidth="11.42578125" defaultRowHeight="14.45"/>
  <cols>
    <col min="1" max="1" width="19.7109375" style="1" customWidth="1"/>
    <col min="2" max="2" width="15.7109375" customWidth="1"/>
    <col min="3" max="3" width="29.140625" customWidth="1"/>
    <col min="4" max="5" width="13.5703125" style="3" bestFit="1" customWidth="1"/>
    <col min="6" max="6" width="18.42578125" style="3" bestFit="1" customWidth="1"/>
    <col min="7" max="7" width="22.7109375" style="3" bestFit="1" customWidth="1"/>
    <col min="8" max="8" width="13" style="3" bestFit="1" customWidth="1"/>
    <col min="9" max="9" width="11.42578125" style="3"/>
    <col min="10" max="10" width="12.5703125" style="3" bestFit="1" customWidth="1"/>
    <col min="11" max="11" width="12" style="3" customWidth="1"/>
    <col min="12" max="12" width="18.140625" style="3" customWidth="1"/>
    <col min="13" max="13" width="16.85546875" style="3" customWidth="1"/>
    <col min="14" max="14" width="13.42578125" customWidth="1"/>
    <col min="15" max="15" width="2.7109375" customWidth="1"/>
    <col min="16" max="16" width="16.7109375" bestFit="1" customWidth="1"/>
    <col min="17" max="17" width="12.5703125" bestFit="1" customWidth="1"/>
    <col min="18" max="18" width="15.140625" bestFit="1" customWidth="1"/>
    <col min="19" max="19" width="12.5703125" bestFit="1" customWidth="1"/>
  </cols>
  <sheetData>
    <row r="1" spans="1:8" ht="18">
      <c r="A1" s="25" t="s">
        <v>102</v>
      </c>
      <c r="B1" s="25" t="s">
        <v>103</v>
      </c>
      <c r="D1" s="6"/>
      <c r="E1" s="9" t="s">
        <v>104</v>
      </c>
    </row>
    <row r="2" spans="1:8" ht="18">
      <c r="A2" s="28" t="s">
        <v>105</v>
      </c>
      <c r="B2" s="4">
        <v>6000</v>
      </c>
      <c r="D2" s="7"/>
      <c r="E2" s="9"/>
    </row>
    <row r="3" spans="1:8" ht="27">
      <c r="A3" s="29" t="s">
        <v>106</v>
      </c>
      <c r="B3" s="4">
        <v>6000</v>
      </c>
      <c r="D3" s="8"/>
      <c r="E3" s="9" t="s">
        <v>107</v>
      </c>
    </row>
    <row r="4" spans="1:8" ht="27">
      <c r="A4" s="29" t="s">
        <v>108</v>
      </c>
      <c r="B4" s="4">
        <v>6000</v>
      </c>
      <c r="D4" s="10"/>
      <c r="E4" s="9" t="s">
        <v>109</v>
      </c>
    </row>
    <row r="5" spans="1:8" ht="18">
      <c r="A5" s="29" t="s">
        <v>110</v>
      </c>
      <c r="B5" s="4">
        <v>2000</v>
      </c>
    </row>
    <row r="6" spans="1:8" ht="27">
      <c r="A6" s="29" t="s">
        <v>111</v>
      </c>
      <c r="B6" s="4">
        <v>4000</v>
      </c>
      <c r="D6" s="111" t="s">
        <v>112</v>
      </c>
      <c r="E6" s="111"/>
      <c r="F6" s="111"/>
    </row>
    <row r="7" spans="1:8" ht="27">
      <c r="A7" s="29" t="s">
        <v>113</v>
      </c>
      <c r="B7" s="4">
        <v>2000</v>
      </c>
    </row>
    <row r="8" spans="1:8" ht="18">
      <c r="A8" s="29" t="s">
        <v>114</v>
      </c>
      <c r="B8" s="4">
        <v>2000</v>
      </c>
    </row>
    <row r="9" spans="1:8" ht="27">
      <c r="A9" s="29" t="s">
        <v>115</v>
      </c>
      <c r="B9" s="4">
        <v>2000</v>
      </c>
    </row>
    <row r="10" spans="1:8" ht="18">
      <c r="A10" s="29" t="s">
        <v>116</v>
      </c>
      <c r="B10" s="4">
        <v>2000</v>
      </c>
    </row>
    <row r="11" spans="1:8" ht="18">
      <c r="A11" s="29" t="s">
        <v>117</v>
      </c>
      <c r="B11" s="4">
        <v>2000</v>
      </c>
    </row>
    <row r="12" spans="1:8" ht="18">
      <c r="A12" s="29" t="s">
        <v>118</v>
      </c>
      <c r="B12" s="4">
        <v>2000</v>
      </c>
    </row>
    <row r="14" spans="1:8">
      <c r="A14" s="113" t="s">
        <v>119</v>
      </c>
      <c r="B14" s="113"/>
      <c r="C14" s="113"/>
      <c r="D14" s="113"/>
      <c r="E14" s="113"/>
      <c r="F14" s="113"/>
    </row>
    <row r="15" spans="1:8">
      <c r="A15" s="21" t="s">
        <v>120</v>
      </c>
      <c r="B15" s="21" t="s">
        <v>121</v>
      </c>
      <c r="C15" s="21" t="s">
        <v>122</v>
      </c>
      <c r="D15" s="21" t="s">
        <v>123</v>
      </c>
      <c r="E15" s="21" t="s">
        <v>124</v>
      </c>
      <c r="F15" s="21" t="s">
        <v>125</v>
      </c>
    </row>
    <row r="16" spans="1:8" ht="29.1">
      <c r="A16" s="14" t="s">
        <v>128</v>
      </c>
      <c r="B16" s="23">
        <f>+B21*C21</f>
        <v>17876740.050000001</v>
      </c>
      <c r="C16" s="22" t="s">
        <v>129</v>
      </c>
      <c r="D16" s="23">
        <v>6000</v>
      </c>
      <c r="E16" s="23">
        <f>+(B16+D16)*8%</f>
        <v>1430619.2040000001</v>
      </c>
      <c r="F16" s="23">
        <f>+B16+E16</f>
        <v>19307359.254000001</v>
      </c>
      <c r="H16" s="59"/>
    </row>
    <row r="17" spans="1:21" ht="29.1">
      <c r="A17" s="14" t="s">
        <v>131</v>
      </c>
      <c r="B17" s="23">
        <f>+B21*C21</f>
        <v>17876740.050000001</v>
      </c>
      <c r="C17" s="22" t="s">
        <v>132</v>
      </c>
      <c r="D17" s="23">
        <v>6000</v>
      </c>
      <c r="E17" s="23">
        <f>+(B17+D17)*10%</f>
        <v>1788274.0050000001</v>
      </c>
      <c r="F17" s="23">
        <f>+B17+E17</f>
        <v>19665014.055</v>
      </c>
    </row>
    <row r="18" spans="1:21" ht="29.1">
      <c r="A18" s="14" t="s">
        <v>134</v>
      </c>
      <c r="B18" s="23">
        <f>+B21*C21</f>
        <v>17876740.050000001</v>
      </c>
      <c r="C18" s="22" t="s">
        <v>135</v>
      </c>
      <c r="D18" s="23">
        <v>6000</v>
      </c>
      <c r="E18" s="23">
        <f>+(B18+D18)*11%</f>
        <v>1967101.4055000001</v>
      </c>
      <c r="F18" s="23">
        <f>+B18+E18</f>
        <v>19843841.455499999</v>
      </c>
    </row>
    <row r="20" spans="1:21" ht="26.1">
      <c r="A20" s="20" t="s">
        <v>137</v>
      </c>
      <c r="B20" s="19" t="s">
        <v>138</v>
      </c>
      <c r="C20" s="19" t="s">
        <v>139</v>
      </c>
      <c r="D20" s="20" t="s">
        <v>140</v>
      </c>
      <c r="G20" s="60"/>
      <c r="H20" s="59"/>
      <c r="I20" s="59"/>
      <c r="J20" s="59"/>
      <c r="L20" s="60"/>
      <c r="M20" s="60"/>
      <c r="P20" s="61"/>
    </row>
    <row r="21" spans="1:21" ht="43.5">
      <c r="A21" s="14" t="s">
        <v>141</v>
      </c>
      <c r="B21" s="15">
        <v>1750905</v>
      </c>
      <c r="C21" s="13">
        <v>10.210000000000001</v>
      </c>
      <c r="D21" s="16">
        <v>0.47589999999999999</v>
      </c>
      <c r="F21" s="3">
        <f>D21/30</f>
        <v>1.5863333333333333E-2</v>
      </c>
      <c r="G21" s="60">
        <f>F21*13</f>
        <v>0.20622333333333334</v>
      </c>
      <c r="H21" s="66">
        <f>G21/13</f>
        <v>1.5863333333333333E-2</v>
      </c>
      <c r="I21" s="62">
        <f>H21*13</f>
        <v>0.20622333333333334</v>
      </c>
      <c r="J21" s="59">
        <f>(B21*C21)+2000</f>
        <v>17878740.050000001</v>
      </c>
      <c r="K21" s="63">
        <f>J21*I21</f>
        <v>3687013.3689111671</v>
      </c>
      <c r="L21" s="60"/>
      <c r="M21" s="60">
        <f>((B21*C21)+2000)*D21</f>
        <v>8508492.3897949997</v>
      </c>
      <c r="N21" s="55">
        <f>M21/30</f>
        <v>283616.41299316665</v>
      </c>
      <c r="P21" s="61">
        <f>N21*13</f>
        <v>3687013.3689111667</v>
      </c>
      <c r="Q21" s="61">
        <f>P21/13</f>
        <v>283616.41299316665</v>
      </c>
      <c r="R21" s="61">
        <f>Q21*13</f>
        <v>3687013.3689111667</v>
      </c>
    </row>
    <row r="22" spans="1:21" ht="43.5">
      <c r="A22" s="14" t="s">
        <v>142</v>
      </c>
      <c r="B22" s="15">
        <v>1750905</v>
      </c>
      <c r="C22" s="13">
        <v>10.210000000000001</v>
      </c>
      <c r="D22" s="16">
        <v>0.52410000000000001</v>
      </c>
      <c r="F22" s="3">
        <f>D22/30</f>
        <v>1.7469999999999999E-2</v>
      </c>
      <c r="G22" s="60">
        <f>F22*13</f>
        <v>0.22710999999999998</v>
      </c>
      <c r="H22" s="66">
        <f>G22/11</f>
        <v>2.0646363636363633E-2</v>
      </c>
      <c r="I22" s="62">
        <f>H22*13</f>
        <v>0.26840272727272724</v>
      </c>
      <c r="J22" s="59">
        <f>(B22*C22)+2000</f>
        <v>17878740.050000001</v>
      </c>
      <c r="K22" s="63">
        <f>J22*I22</f>
        <v>4798702.5896201357</v>
      </c>
      <c r="M22" s="60">
        <f>((B22*C22)+2000)*D22</f>
        <v>9370247.660205001</v>
      </c>
      <c r="N22" s="55">
        <f>M22/30</f>
        <v>312341.58867350005</v>
      </c>
      <c r="P22" s="55">
        <f>N22*13</f>
        <v>4060440.6527555007</v>
      </c>
      <c r="Q22" s="55">
        <f>P22/11</f>
        <v>369130.96843231824</v>
      </c>
      <c r="R22" s="55">
        <f>Q22*1</f>
        <v>369130.96843231824</v>
      </c>
    </row>
    <row r="23" spans="1:21" s="2" customFormat="1">
      <c r="A23" s="1"/>
      <c r="K23" s="64">
        <f>SUM(K21:K22)</f>
        <v>8485715.9585313033</v>
      </c>
      <c r="P23" s="67">
        <f>SUM(P21:P22)</f>
        <v>7747454.0216666674</v>
      </c>
      <c r="R23" s="67">
        <f>SUM(R21:R22)</f>
        <v>4056144.3373434851</v>
      </c>
    </row>
    <row r="24" spans="1:21">
      <c r="K24" s="3">
        <f>K23*0.08</f>
        <v>678857.27668250434</v>
      </c>
      <c r="L24" s="65">
        <f>K25/F16</f>
        <v>0.47466735945855137</v>
      </c>
      <c r="N24" s="61"/>
      <c r="R24" s="61">
        <f>R23*0.08</f>
        <v>324491.5469874788</v>
      </c>
    </row>
    <row r="25" spans="1:21">
      <c r="K25" s="63">
        <f>K23+K24</f>
        <v>9164573.2352138069</v>
      </c>
      <c r="R25" s="61">
        <f>SUM(R23:R24)</f>
        <v>4380635.8843309637</v>
      </c>
    </row>
    <row r="26" spans="1:21">
      <c r="R26" s="61">
        <f>R25*10%</f>
        <v>438063.58843309642</v>
      </c>
    </row>
    <row r="27" spans="1:21" ht="15.75" customHeight="1">
      <c r="A27" s="112" t="s">
        <v>143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P27" s="17">
        <v>2026</v>
      </c>
      <c r="R27" s="61">
        <f>R26*19%</f>
        <v>83232.081802288318</v>
      </c>
      <c r="S27" s="55"/>
    </row>
    <row r="28" spans="1:21" ht="34.5">
      <c r="A28" s="18" t="s">
        <v>1</v>
      </c>
      <c r="B28" s="45" t="s">
        <v>2</v>
      </c>
      <c r="C28" s="45" t="s">
        <v>3</v>
      </c>
      <c r="D28" s="45" t="s">
        <v>137</v>
      </c>
      <c r="E28" s="45" t="s">
        <v>165</v>
      </c>
      <c r="F28" s="45" t="s">
        <v>146</v>
      </c>
      <c r="G28" s="45" t="s">
        <v>147</v>
      </c>
      <c r="H28" s="45" t="s">
        <v>148</v>
      </c>
      <c r="I28" s="45" t="s">
        <v>149</v>
      </c>
      <c r="J28" s="45" t="s">
        <v>150</v>
      </c>
      <c r="K28" s="45" t="s">
        <v>153</v>
      </c>
      <c r="L28" s="45" t="s">
        <v>154</v>
      </c>
      <c r="M28" s="45" t="s">
        <v>155</v>
      </c>
      <c r="N28" s="46" t="s">
        <v>156</v>
      </c>
      <c r="P28" s="45" t="s">
        <v>157</v>
      </c>
      <c r="R28" s="61">
        <f>R25+R27</f>
        <v>4463867.9661332518</v>
      </c>
      <c r="S28" s="55"/>
      <c r="U28" s="55">
        <f>S28/30</f>
        <v>0</v>
      </c>
    </row>
    <row r="29" spans="1:21" ht="34.5">
      <c r="A29" s="110" t="s">
        <v>5</v>
      </c>
      <c r="B29" s="33" t="s">
        <v>6</v>
      </c>
      <c r="C29" s="33" t="s">
        <v>7</v>
      </c>
      <c r="D29" s="34" t="s">
        <v>166</v>
      </c>
      <c r="E29" s="35" t="s">
        <v>167</v>
      </c>
      <c r="F29" s="35" t="s">
        <v>159</v>
      </c>
      <c r="G29" s="36">
        <v>1</v>
      </c>
      <c r="H29" s="37"/>
      <c r="I29" s="37">
        <v>1</v>
      </c>
      <c r="J29" s="37">
        <v>14</v>
      </c>
      <c r="K29" s="37">
        <v>13</v>
      </c>
      <c r="L29" s="37">
        <v>20</v>
      </c>
      <c r="M29" s="37"/>
      <c r="N29" s="38">
        <v>2000</v>
      </c>
      <c r="P29" s="30">
        <f>+(((((($B$21*$C$21)+N29)*$D$21/30)*13)/13)*13)+(((((($B$21*$C$21)+N29)*$D$22/30)*13)/11)*1)</f>
        <v>4056144.3373434851</v>
      </c>
      <c r="R29" s="55"/>
      <c r="S29" s="55"/>
    </row>
    <row r="30" spans="1:21" ht="23.1">
      <c r="A30" s="110"/>
      <c r="B30" s="33" t="s">
        <v>8</v>
      </c>
      <c r="C30" s="33" t="s">
        <v>9</v>
      </c>
      <c r="D30" s="35" t="s">
        <v>168</v>
      </c>
      <c r="E30" s="35">
        <v>24</v>
      </c>
      <c r="F30" s="35" t="s">
        <v>160</v>
      </c>
      <c r="G30" s="36">
        <v>1</v>
      </c>
      <c r="H30" s="39">
        <v>1</v>
      </c>
      <c r="I30" s="37">
        <v>1</v>
      </c>
      <c r="J30" s="36">
        <v>24</v>
      </c>
      <c r="K30" s="36">
        <v>13</v>
      </c>
      <c r="L30" s="36"/>
      <c r="M30" s="36"/>
      <c r="N30" s="38">
        <v>6000</v>
      </c>
      <c r="P30" s="30">
        <f>+(((((($B$21*$C$21)+N30)*$D$21/30)*K30)/13)*13)+(((((($B$21*$C$21)+N30)*$D$22/30)*K30)/11)*11)</f>
        <v>7749187.3550000004</v>
      </c>
    </row>
    <row r="31" spans="1:21" ht="23.1">
      <c r="A31" s="110"/>
      <c r="B31" s="33" t="s">
        <v>10</v>
      </c>
      <c r="C31" s="33" t="s">
        <v>11</v>
      </c>
      <c r="D31" s="35" t="s">
        <v>169</v>
      </c>
      <c r="E31" s="35">
        <v>13</v>
      </c>
      <c r="F31" s="35" t="s">
        <v>162</v>
      </c>
      <c r="G31" s="37"/>
      <c r="H31" s="37"/>
      <c r="I31" s="37">
        <v>1</v>
      </c>
      <c r="J31" s="37">
        <v>12</v>
      </c>
      <c r="K31" s="37">
        <v>20</v>
      </c>
      <c r="L31" s="37"/>
      <c r="M31" s="37">
        <v>20</v>
      </c>
      <c r="N31" s="38">
        <v>2000</v>
      </c>
      <c r="P31" s="31">
        <f t="shared" ref="P31:P37" si="0">+(((((($B$21*$C$21)+N31)*$D$21/30)*K31)/E31)*J31)</f>
        <v>5235995.3167969221</v>
      </c>
    </row>
    <row r="32" spans="1:21" ht="23.1">
      <c r="A32" s="110"/>
      <c r="B32" s="33" t="s">
        <v>12</v>
      </c>
      <c r="C32" s="33" t="s">
        <v>13</v>
      </c>
      <c r="D32" s="35" t="s">
        <v>169</v>
      </c>
      <c r="E32" s="35">
        <v>13</v>
      </c>
      <c r="F32" s="35" t="s">
        <v>160</v>
      </c>
      <c r="G32" s="37"/>
      <c r="H32" s="37"/>
      <c r="I32" s="37">
        <v>1</v>
      </c>
      <c r="J32" s="37">
        <v>9</v>
      </c>
      <c r="K32" s="37">
        <v>20</v>
      </c>
      <c r="L32" s="37"/>
      <c r="M32" s="37">
        <v>20</v>
      </c>
      <c r="N32" s="38">
        <v>2000</v>
      </c>
      <c r="P32" s="31">
        <f t="shared" si="0"/>
        <v>3926996.4875976918</v>
      </c>
    </row>
    <row r="33" spans="1:19" ht="34.5">
      <c r="A33" s="110"/>
      <c r="B33" s="33" t="s">
        <v>14</v>
      </c>
      <c r="C33" s="33" t="s">
        <v>15</v>
      </c>
      <c r="D33" s="35" t="s">
        <v>169</v>
      </c>
      <c r="E33" s="35">
        <v>13</v>
      </c>
      <c r="F33" s="35" t="s">
        <v>160</v>
      </c>
      <c r="G33" s="37"/>
      <c r="H33" s="37"/>
      <c r="I33" s="37">
        <v>1</v>
      </c>
      <c r="J33" s="37">
        <v>11</v>
      </c>
      <c r="K33" s="37">
        <v>20</v>
      </c>
      <c r="L33" s="37"/>
      <c r="M33" s="37">
        <v>20</v>
      </c>
      <c r="N33" s="38">
        <v>2000</v>
      </c>
      <c r="P33" s="31">
        <f t="shared" si="0"/>
        <v>4799662.3737305123</v>
      </c>
    </row>
    <row r="34" spans="1:19" ht="34.5">
      <c r="A34" s="110"/>
      <c r="B34" s="33" t="s">
        <v>16</v>
      </c>
      <c r="C34" s="33" t="s">
        <v>15</v>
      </c>
      <c r="D34" s="35" t="s">
        <v>169</v>
      </c>
      <c r="E34" s="35">
        <v>13</v>
      </c>
      <c r="F34" s="35" t="s">
        <v>160</v>
      </c>
      <c r="G34" s="36">
        <v>1</v>
      </c>
      <c r="H34" s="37"/>
      <c r="I34" s="37">
        <v>1</v>
      </c>
      <c r="J34" s="37">
        <v>11</v>
      </c>
      <c r="K34" s="37">
        <v>13</v>
      </c>
      <c r="L34" s="37">
        <v>20</v>
      </c>
      <c r="M34" s="37">
        <v>20</v>
      </c>
      <c r="N34" s="38">
        <v>2000</v>
      </c>
      <c r="P34" s="31">
        <f t="shared" si="0"/>
        <v>3119780.542924833</v>
      </c>
      <c r="S34" s="55"/>
    </row>
    <row r="35" spans="1:19" ht="23.1">
      <c r="A35" s="110"/>
      <c r="B35" s="33" t="s">
        <v>17</v>
      </c>
      <c r="C35" s="33" t="s">
        <v>15</v>
      </c>
      <c r="D35" s="35" t="s">
        <v>169</v>
      </c>
      <c r="E35" s="35">
        <v>13</v>
      </c>
      <c r="F35" s="35" t="s">
        <v>160</v>
      </c>
      <c r="G35" s="37"/>
      <c r="H35" s="37"/>
      <c r="I35" s="37">
        <v>1</v>
      </c>
      <c r="J35" s="37">
        <v>11</v>
      </c>
      <c r="K35" s="37">
        <v>20</v>
      </c>
      <c r="L35" s="37"/>
      <c r="M35" s="37">
        <v>20</v>
      </c>
      <c r="N35" s="38">
        <v>2000</v>
      </c>
      <c r="P35" s="31">
        <f t="shared" si="0"/>
        <v>4799662.3737305123</v>
      </c>
    </row>
    <row r="36" spans="1:19" ht="34.5">
      <c r="A36" s="110"/>
      <c r="B36" s="33" t="s">
        <v>18</v>
      </c>
      <c r="C36" s="33" t="s">
        <v>15</v>
      </c>
      <c r="D36" s="35" t="s">
        <v>169</v>
      </c>
      <c r="E36" s="35">
        <v>13</v>
      </c>
      <c r="F36" s="35" t="s">
        <v>160</v>
      </c>
      <c r="G36" s="37"/>
      <c r="H36" s="37"/>
      <c r="I36" s="37">
        <v>1</v>
      </c>
      <c r="J36" s="37">
        <v>11</v>
      </c>
      <c r="K36" s="37">
        <v>20</v>
      </c>
      <c r="L36" s="37"/>
      <c r="M36" s="37">
        <v>20</v>
      </c>
      <c r="N36" s="38">
        <v>2000</v>
      </c>
      <c r="P36" s="31">
        <f t="shared" si="0"/>
        <v>4799662.3737305123</v>
      </c>
    </row>
    <row r="37" spans="1:19" ht="34.5">
      <c r="A37" s="110"/>
      <c r="B37" s="33" t="s">
        <v>19</v>
      </c>
      <c r="C37" s="33" t="s">
        <v>15</v>
      </c>
      <c r="D37" s="35" t="s">
        <v>169</v>
      </c>
      <c r="E37" s="35">
        <v>13</v>
      </c>
      <c r="F37" s="35" t="s">
        <v>160</v>
      </c>
      <c r="G37" s="37"/>
      <c r="H37" s="37"/>
      <c r="I37" s="37">
        <v>1</v>
      </c>
      <c r="J37" s="37">
        <v>11</v>
      </c>
      <c r="K37" s="37">
        <v>20</v>
      </c>
      <c r="L37" s="37"/>
      <c r="M37" s="37">
        <v>20</v>
      </c>
      <c r="N37" s="38">
        <v>2000</v>
      </c>
      <c r="P37" s="31">
        <f t="shared" si="0"/>
        <v>4799662.3737305123</v>
      </c>
    </row>
    <row r="38" spans="1:19" ht="57.6">
      <c r="A38" s="110"/>
      <c r="B38" s="33" t="s">
        <v>20</v>
      </c>
      <c r="C38" s="33" t="s">
        <v>21</v>
      </c>
      <c r="D38" s="35" t="s">
        <v>169</v>
      </c>
      <c r="E38" s="35">
        <v>13</v>
      </c>
      <c r="F38" s="35" t="s">
        <v>160</v>
      </c>
      <c r="G38" s="36">
        <v>1</v>
      </c>
      <c r="H38" s="37"/>
      <c r="I38" s="37">
        <v>1</v>
      </c>
      <c r="J38" s="37">
        <v>12</v>
      </c>
      <c r="K38" s="37">
        <v>13</v>
      </c>
      <c r="L38" s="37">
        <v>20</v>
      </c>
      <c r="M38" s="37">
        <v>20</v>
      </c>
      <c r="N38" s="38">
        <v>2000</v>
      </c>
      <c r="P38" s="31">
        <f t="shared" ref="P38:P39" si="1">+(((((($B$21*$C$21)+N38)*$D$21/30)*K38)/E38)*J38)</f>
        <v>3403396.9559180001</v>
      </c>
    </row>
    <row r="39" spans="1:19" ht="34.5">
      <c r="A39" s="110"/>
      <c r="B39" s="33" t="s">
        <v>22</v>
      </c>
      <c r="C39" s="33" t="s">
        <v>23</v>
      </c>
      <c r="D39" s="35" t="s">
        <v>169</v>
      </c>
      <c r="E39" s="35">
        <v>13</v>
      </c>
      <c r="F39" s="35" t="s">
        <v>160</v>
      </c>
      <c r="G39" s="36">
        <v>1</v>
      </c>
      <c r="H39" s="37"/>
      <c r="I39" s="37">
        <v>1</v>
      </c>
      <c r="J39" s="37">
        <v>12</v>
      </c>
      <c r="K39" s="37">
        <v>13</v>
      </c>
      <c r="L39" s="37">
        <v>20</v>
      </c>
      <c r="M39" s="37">
        <v>20</v>
      </c>
      <c r="N39" s="38">
        <v>2000</v>
      </c>
      <c r="P39" s="31">
        <f t="shared" si="1"/>
        <v>3403396.9559180001</v>
      </c>
    </row>
    <row r="40" spans="1:19" ht="34.5">
      <c r="A40" s="110"/>
      <c r="B40" s="33" t="s">
        <v>24</v>
      </c>
      <c r="C40" s="33" t="s">
        <v>25</v>
      </c>
      <c r="D40" s="34" t="s">
        <v>166</v>
      </c>
      <c r="E40" s="35" t="s">
        <v>167</v>
      </c>
      <c r="F40" s="35" t="s">
        <v>160</v>
      </c>
      <c r="G40" s="36">
        <v>1</v>
      </c>
      <c r="H40" s="37"/>
      <c r="I40" s="37">
        <v>1</v>
      </c>
      <c r="J40" s="37">
        <v>12</v>
      </c>
      <c r="K40" s="37">
        <v>13</v>
      </c>
      <c r="L40" s="37">
        <v>20</v>
      </c>
      <c r="M40" s="37"/>
      <c r="N40" s="38">
        <v>2000</v>
      </c>
      <c r="P40" s="30">
        <f>+(((((($B$21*$C$21)+N40)*$D$21/30)*13)/13)*13)+(((((($B$21*$C$21)+N40)*$D$22/30)*13)/11)*1)</f>
        <v>4056144.3373434851</v>
      </c>
    </row>
    <row r="41" spans="1:19" ht="23.1">
      <c r="A41" s="110"/>
      <c r="B41" s="33" t="s">
        <v>26</v>
      </c>
      <c r="C41" s="33" t="s">
        <v>23</v>
      </c>
      <c r="D41" s="35" t="s">
        <v>169</v>
      </c>
      <c r="E41" s="35">
        <v>13</v>
      </c>
      <c r="F41" s="35" t="s">
        <v>160</v>
      </c>
      <c r="G41" s="36">
        <v>1</v>
      </c>
      <c r="H41" s="37"/>
      <c r="I41" s="37">
        <v>1</v>
      </c>
      <c r="J41" s="37">
        <v>12</v>
      </c>
      <c r="K41" s="37">
        <v>13</v>
      </c>
      <c r="L41" s="37">
        <v>20</v>
      </c>
      <c r="M41" s="37">
        <v>20</v>
      </c>
      <c r="N41" s="38">
        <v>2000</v>
      </c>
      <c r="P41" s="31">
        <f>+(((((($B$21*$C$21)+N41)*$D$21/30)*K41)/E41)*J41)</f>
        <v>3403396.9559180001</v>
      </c>
    </row>
    <row r="42" spans="1:19" ht="23.1">
      <c r="A42" s="110"/>
      <c r="B42" s="33" t="s">
        <v>27</v>
      </c>
      <c r="C42" s="33" t="s">
        <v>23</v>
      </c>
      <c r="D42" s="35" t="s">
        <v>169</v>
      </c>
      <c r="E42" s="35">
        <v>13</v>
      </c>
      <c r="F42" s="35" t="s">
        <v>160</v>
      </c>
      <c r="G42" s="36">
        <v>1</v>
      </c>
      <c r="H42" s="37"/>
      <c r="I42" s="37">
        <v>1</v>
      </c>
      <c r="J42" s="37">
        <v>12</v>
      </c>
      <c r="K42" s="37">
        <v>13</v>
      </c>
      <c r="L42" s="37">
        <v>20</v>
      </c>
      <c r="M42" s="37">
        <v>20</v>
      </c>
      <c r="N42" s="38">
        <v>2000</v>
      </c>
      <c r="P42" s="31">
        <f>+(((((($B$21*$C$21)+N42)*$D$21/30)*K42)/E42)*J42)</f>
        <v>3403396.9559180001</v>
      </c>
    </row>
    <row r="43" spans="1:19" ht="23.1">
      <c r="A43" s="110"/>
      <c r="B43" s="33" t="s">
        <v>27</v>
      </c>
      <c r="C43" s="33" t="s">
        <v>25</v>
      </c>
      <c r="D43" s="34" t="s">
        <v>166</v>
      </c>
      <c r="E43" s="35" t="s">
        <v>167</v>
      </c>
      <c r="F43" s="35" t="s">
        <v>160</v>
      </c>
      <c r="G43" s="36">
        <v>1</v>
      </c>
      <c r="H43" s="37"/>
      <c r="I43" s="37">
        <v>1</v>
      </c>
      <c r="J43" s="37">
        <v>12</v>
      </c>
      <c r="K43" s="37">
        <v>13</v>
      </c>
      <c r="L43" s="37">
        <v>20</v>
      </c>
      <c r="M43" s="37"/>
      <c r="N43" s="38">
        <v>2000</v>
      </c>
      <c r="P43" s="30">
        <f>+(((((($B$21*$C$21)+N43)*$D$21/30)*13)/13)*13)+(((((($B$21*$C$21)+N43)*$D$22/30)*13)/11)*1)</f>
        <v>4056144.3373434851</v>
      </c>
    </row>
    <row r="44" spans="1:19" ht="34.5">
      <c r="A44" s="110"/>
      <c r="B44" s="33" t="s">
        <v>28</v>
      </c>
      <c r="C44" s="33" t="s">
        <v>21</v>
      </c>
      <c r="D44" s="35" t="s">
        <v>169</v>
      </c>
      <c r="E44" s="35">
        <v>13</v>
      </c>
      <c r="F44" s="35" t="s">
        <v>160</v>
      </c>
      <c r="G44" s="37"/>
      <c r="H44" s="37"/>
      <c r="I44" s="37">
        <v>1</v>
      </c>
      <c r="J44" s="37">
        <v>12</v>
      </c>
      <c r="K44" s="37">
        <v>20</v>
      </c>
      <c r="L44" s="37"/>
      <c r="M44" s="37">
        <v>20</v>
      </c>
      <c r="N44" s="38">
        <v>2000</v>
      </c>
      <c r="P44" s="31">
        <f>+(((((($B$21*$C$21)+N44)*$D$21/30)*K44)/E44)*J44)</f>
        <v>5235995.3167969221</v>
      </c>
    </row>
    <row r="45" spans="1:19" ht="23.1">
      <c r="A45" s="110"/>
      <c r="B45" s="33" t="s">
        <v>29</v>
      </c>
      <c r="C45" s="33" t="s">
        <v>21</v>
      </c>
      <c r="D45" s="35" t="s">
        <v>169</v>
      </c>
      <c r="E45" s="35">
        <v>13</v>
      </c>
      <c r="F45" s="35" t="s">
        <v>160</v>
      </c>
      <c r="G45" s="37"/>
      <c r="H45" s="37"/>
      <c r="I45" s="37">
        <v>1</v>
      </c>
      <c r="J45" s="37">
        <v>12</v>
      </c>
      <c r="K45" s="37">
        <v>20</v>
      </c>
      <c r="L45" s="37"/>
      <c r="M45" s="37">
        <v>20</v>
      </c>
      <c r="N45" s="38">
        <v>2000</v>
      </c>
      <c r="P45" s="31">
        <f>+(((((($B$21*$C$21)+N45)*$D$21/30)*K45)/E45)*J45)</f>
        <v>5235995.3167969221</v>
      </c>
    </row>
    <row r="46" spans="1:19" ht="34.5">
      <c r="A46" s="110"/>
      <c r="B46" s="33" t="s">
        <v>30</v>
      </c>
      <c r="C46" s="33" t="s">
        <v>21</v>
      </c>
      <c r="D46" s="35" t="s">
        <v>169</v>
      </c>
      <c r="E46" s="35">
        <v>13</v>
      </c>
      <c r="F46" s="35" t="s">
        <v>160</v>
      </c>
      <c r="G46" s="36">
        <v>1</v>
      </c>
      <c r="H46" s="37"/>
      <c r="I46" s="37">
        <v>1</v>
      </c>
      <c r="J46" s="37">
        <v>12</v>
      </c>
      <c r="K46" s="37">
        <v>13</v>
      </c>
      <c r="L46" s="37">
        <v>20</v>
      </c>
      <c r="M46" s="37">
        <v>20</v>
      </c>
      <c r="N46" s="38">
        <v>2000</v>
      </c>
      <c r="P46" s="31">
        <f>+(((((($B$21*$C$21)+N46)*$D$21/30)*K46)/E46)*J46)</f>
        <v>3403396.9559180001</v>
      </c>
    </row>
    <row r="47" spans="1:19" ht="23.1">
      <c r="A47" s="110"/>
      <c r="B47" s="33" t="s">
        <v>31</v>
      </c>
      <c r="C47" s="33" t="s">
        <v>21</v>
      </c>
      <c r="D47" s="35" t="s">
        <v>169</v>
      </c>
      <c r="E47" s="35">
        <v>13</v>
      </c>
      <c r="F47" s="35" t="s">
        <v>160</v>
      </c>
      <c r="G47" s="37"/>
      <c r="H47" s="37"/>
      <c r="I47" s="37">
        <v>1</v>
      </c>
      <c r="J47" s="37">
        <v>12</v>
      </c>
      <c r="K47" s="37">
        <v>20</v>
      </c>
      <c r="L47" s="37"/>
      <c r="M47" s="37">
        <v>20</v>
      </c>
      <c r="N47" s="38">
        <v>2000</v>
      </c>
      <c r="P47" s="31">
        <f>+(((((($B$21*$C$21)+N47)*$D$21/30)*K47)/E47)*J47)</f>
        <v>5235995.3167969221</v>
      </c>
    </row>
    <row r="48" spans="1:19" ht="34.5">
      <c r="A48" s="110"/>
      <c r="B48" s="33" t="s">
        <v>32</v>
      </c>
      <c r="C48" s="33" t="s">
        <v>9</v>
      </c>
      <c r="D48" s="35" t="s">
        <v>168</v>
      </c>
      <c r="E48" s="35">
        <v>24</v>
      </c>
      <c r="F48" s="35" t="s">
        <v>160</v>
      </c>
      <c r="G48" s="36">
        <v>1</v>
      </c>
      <c r="H48" s="39">
        <v>1</v>
      </c>
      <c r="I48" s="37">
        <v>1</v>
      </c>
      <c r="J48" s="36">
        <v>24</v>
      </c>
      <c r="K48" s="36">
        <v>13</v>
      </c>
      <c r="L48" s="36"/>
      <c r="M48" s="36"/>
      <c r="N48" s="38">
        <v>6000</v>
      </c>
      <c r="P48" s="30">
        <f>+(((((($B$21*$C$21)+N48)*$D$21/30)*K48)/13)*13)+(((((($B$21*$C$21)+N48)*$D$22/30)*K48)/11)*11)</f>
        <v>7749187.3550000004</v>
      </c>
    </row>
    <row r="49" spans="1:16" ht="23.1">
      <c r="A49" s="110" t="s">
        <v>33</v>
      </c>
      <c r="B49" s="33" t="s">
        <v>34</v>
      </c>
      <c r="C49" s="33" t="s">
        <v>35</v>
      </c>
      <c r="D49" s="35" t="s">
        <v>168</v>
      </c>
      <c r="E49" s="35">
        <v>24</v>
      </c>
      <c r="F49" s="35" t="s">
        <v>160</v>
      </c>
      <c r="G49" s="36">
        <v>1</v>
      </c>
      <c r="H49" s="39">
        <v>1</v>
      </c>
      <c r="I49" s="37">
        <v>1</v>
      </c>
      <c r="J49" s="36">
        <v>24</v>
      </c>
      <c r="K49" s="36">
        <v>13</v>
      </c>
      <c r="L49" s="36"/>
      <c r="M49" s="36"/>
      <c r="N49" s="38">
        <v>6000</v>
      </c>
      <c r="P49" s="30">
        <f>+(((((($B$21*$C$21)+N49)*$D$21/30)*K49)/13)*13)+(((((($B$21*$C$21)+N49)*$D$22/30)*K49)/11)*11)</f>
        <v>7749187.3550000004</v>
      </c>
    </row>
    <row r="50" spans="1:16" ht="23.1">
      <c r="A50" s="110"/>
      <c r="B50" s="33" t="s">
        <v>36</v>
      </c>
      <c r="C50" s="33" t="s">
        <v>35</v>
      </c>
      <c r="D50" s="35" t="s">
        <v>168</v>
      </c>
      <c r="E50" s="35">
        <v>24</v>
      </c>
      <c r="F50" s="35" t="s">
        <v>160</v>
      </c>
      <c r="G50" s="36">
        <v>1</v>
      </c>
      <c r="H50" s="39">
        <v>1</v>
      </c>
      <c r="I50" s="37">
        <v>1</v>
      </c>
      <c r="J50" s="36">
        <v>24</v>
      </c>
      <c r="K50" s="36">
        <v>13</v>
      </c>
      <c r="L50" s="36"/>
      <c r="M50" s="36"/>
      <c r="N50" s="38">
        <v>6000</v>
      </c>
      <c r="P50" s="30">
        <f>+(((((($B$21*$C$21)+N50)*$D$21/30)*K50)/13)*13)+(((((($B$21*$C$21)+N50)*$D$22/30)*K50)/11)*11)</f>
        <v>7749187.3550000004</v>
      </c>
    </row>
    <row r="51" spans="1:16" ht="36.75" customHeight="1">
      <c r="A51" s="110" t="s">
        <v>37</v>
      </c>
      <c r="B51" s="40" t="s">
        <v>38</v>
      </c>
      <c r="C51" s="33" t="s">
        <v>35</v>
      </c>
      <c r="D51" s="35" t="s">
        <v>168</v>
      </c>
      <c r="E51" s="35">
        <v>24</v>
      </c>
      <c r="F51" s="35" t="s">
        <v>160</v>
      </c>
      <c r="G51" s="36">
        <v>1</v>
      </c>
      <c r="H51" s="39">
        <v>1</v>
      </c>
      <c r="I51" s="37">
        <v>1</v>
      </c>
      <c r="J51" s="36">
        <v>24</v>
      </c>
      <c r="K51" s="36">
        <v>13</v>
      </c>
      <c r="L51" s="36"/>
      <c r="M51" s="36"/>
      <c r="N51" s="38">
        <v>6000</v>
      </c>
      <c r="P51" s="30">
        <f>+(((((($B$21*$C$21)+N51)*$D$21/30)*K51)/13)*13)+(((((($B$21*$C$21)+N51)*$D$22/30)*K51)/11)*11)</f>
        <v>7749187.3550000004</v>
      </c>
    </row>
    <row r="52" spans="1:16" ht="23.1">
      <c r="A52" s="110"/>
      <c r="B52" s="33" t="s">
        <v>39</v>
      </c>
      <c r="C52" s="33" t="s">
        <v>40</v>
      </c>
      <c r="D52" s="35" t="s">
        <v>169</v>
      </c>
      <c r="E52" s="35">
        <v>13</v>
      </c>
      <c r="F52" s="35" t="s">
        <v>160</v>
      </c>
      <c r="G52" s="37"/>
      <c r="H52" s="37"/>
      <c r="I52" s="37">
        <v>1</v>
      </c>
      <c r="J52" s="37">
        <v>12</v>
      </c>
      <c r="K52" s="37">
        <v>20</v>
      </c>
      <c r="L52" s="37"/>
      <c r="M52" s="37">
        <v>20</v>
      </c>
      <c r="N52" s="38">
        <v>2000</v>
      </c>
      <c r="P52" s="31">
        <f>+(((((($B$21*$C$21)+N52)*$D$21/30)*K52)/E52)*J52)</f>
        <v>5235995.3167969221</v>
      </c>
    </row>
    <row r="53" spans="1:16" ht="23.1">
      <c r="A53" s="110" t="s">
        <v>41</v>
      </c>
      <c r="B53" s="33" t="s">
        <v>42</v>
      </c>
      <c r="C53" s="33" t="s">
        <v>43</v>
      </c>
      <c r="D53" s="35" t="s">
        <v>168</v>
      </c>
      <c r="E53" s="35">
        <v>24</v>
      </c>
      <c r="F53" s="37" t="s">
        <v>160</v>
      </c>
      <c r="G53" s="36">
        <v>1</v>
      </c>
      <c r="H53" s="39">
        <v>1</v>
      </c>
      <c r="I53" s="37">
        <v>1</v>
      </c>
      <c r="J53" s="36">
        <v>24</v>
      </c>
      <c r="K53" s="36">
        <v>13</v>
      </c>
      <c r="L53" s="36"/>
      <c r="M53" s="36"/>
      <c r="N53" s="38">
        <v>6000</v>
      </c>
      <c r="P53" s="30">
        <f t="shared" ref="P53:P62" si="2">+(((((($B$21*$C$21)+N53)*$D$21/30)*K53)/13)*13)+(((((($B$21*$C$21)+N53)*$D$22/30)*K53)/11)*11)</f>
        <v>7749187.3550000004</v>
      </c>
    </row>
    <row r="54" spans="1:16" ht="23.1">
      <c r="A54" s="110"/>
      <c r="B54" s="41" t="s">
        <v>44</v>
      </c>
      <c r="C54" s="41" t="s">
        <v>21</v>
      </c>
      <c r="D54" s="41"/>
      <c r="E54" s="41"/>
      <c r="F54" s="42" t="s">
        <v>160</v>
      </c>
      <c r="G54" s="42"/>
      <c r="H54" s="42"/>
      <c r="I54" s="42">
        <v>1</v>
      </c>
      <c r="J54" s="42">
        <v>12</v>
      </c>
      <c r="K54" s="42">
        <v>20</v>
      </c>
      <c r="L54" s="42"/>
      <c r="M54" s="42"/>
      <c r="N54" s="43">
        <v>6000</v>
      </c>
      <c r="P54" s="30">
        <f t="shared" si="2"/>
        <v>11921826.699999999</v>
      </c>
    </row>
    <row r="55" spans="1:16" ht="23.1">
      <c r="A55" s="32" t="s">
        <v>45</v>
      </c>
      <c r="B55" s="33" t="s">
        <v>46</v>
      </c>
      <c r="C55" s="33" t="s">
        <v>35</v>
      </c>
      <c r="D55" s="35" t="s">
        <v>168</v>
      </c>
      <c r="E55" s="35">
        <v>24</v>
      </c>
      <c r="F55" s="37" t="s">
        <v>160</v>
      </c>
      <c r="G55" s="36">
        <v>1</v>
      </c>
      <c r="H55" s="39">
        <v>1</v>
      </c>
      <c r="I55" s="37">
        <v>1</v>
      </c>
      <c r="J55" s="36">
        <v>24</v>
      </c>
      <c r="K55" s="36">
        <v>13</v>
      </c>
      <c r="L55" s="36"/>
      <c r="M55" s="36"/>
      <c r="N55" s="38">
        <v>6000</v>
      </c>
      <c r="P55" s="30">
        <f t="shared" si="2"/>
        <v>7749187.3550000004</v>
      </c>
    </row>
    <row r="56" spans="1:16" ht="23.1">
      <c r="A56" s="110" t="s">
        <v>47</v>
      </c>
      <c r="B56" s="40" t="s">
        <v>48</v>
      </c>
      <c r="C56" s="33" t="s">
        <v>49</v>
      </c>
      <c r="D56" s="35" t="s">
        <v>168</v>
      </c>
      <c r="E56" s="35">
        <v>24</v>
      </c>
      <c r="F56" s="35" t="s">
        <v>160</v>
      </c>
      <c r="G56" s="36">
        <v>1</v>
      </c>
      <c r="H56" s="37"/>
      <c r="I56" s="37">
        <v>1</v>
      </c>
      <c r="J56" s="36">
        <v>24</v>
      </c>
      <c r="K56" s="36">
        <v>13</v>
      </c>
      <c r="L56" s="36"/>
      <c r="M56" s="36"/>
      <c r="N56" s="38">
        <v>6000</v>
      </c>
      <c r="P56" s="30">
        <f t="shared" si="2"/>
        <v>7749187.3550000004</v>
      </c>
    </row>
    <row r="57" spans="1:16" ht="23.1">
      <c r="A57" s="110"/>
      <c r="B57" s="40" t="s">
        <v>50</v>
      </c>
      <c r="C57" s="33" t="s">
        <v>49</v>
      </c>
      <c r="D57" s="35" t="s">
        <v>168</v>
      </c>
      <c r="E57" s="35">
        <v>24</v>
      </c>
      <c r="F57" s="35" t="s">
        <v>160</v>
      </c>
      <c r="G57" s="36">
        <v>1</v>
      </c>
      <c r="H57" s="39">
        <v>1</v>
      </c>
      <c r="I57" s="37">
        <v>1</v>
      </c>
      <c r="J57" s="36">
        <v>24</v>
      </c>
      <c r="K57" s="36">
        <v>13</v>
      </c>
      <c r="L57" s="36"/>
      <c r="M57" s="36"/>
      <c r="N57" s="38">
        <v>6000</v>
      </c>
      <c r="P57" s="30">
        <f t="shared" si="2"/>
        <v>7749187.3550000004</v>
      </c>
    </row>
    <row r="58" spans="1:16" ht="23.1">
      <c r="A58" s="110" t="s">
        <v>51</v>
      </c>
      <c r="B58" s="33" t="s">
        <v>52</v>
      </c>
      <c r="C58" s="33" t="s">
        <v>35</v>
      </c>
      <c r="D58" s="35" t="s">
        <v>168</v>
      </c>
      <c r="E58" s="35">
        <v>24</v>
      </c>
      <c r="F58" s="35" t="s">
        <v>160</v>
      </c>
      <c r="G58" s="36">
        <v>1</v>
      </c>
      <c r="H58" s="39">
        <v>1</v>
      </c>
      <c r="I58" s="37">
        <v>1</v>
      </c>
      <c r="J58" s="36">
        <v>24</v>
      </c>
      <c r="K58" s="36">
        <v>13</v>
      </c>
      <c r="L58" s="36"/>
      <c r="M58" s="36"/>
      <c r="N58" s="38">
        <v>6000</v>
      </c>
      <c r="P58" s="30">
        <f t="shared" si="2"/>
        <v>7749187.3550000004</v>
      </c>
    </row>
    <row r="59" spans="1:16" ht="23.1">
      <c r="A59" s="110"/>
      <c r="B59" s="33" t="s">
        <v>53</v>
      </c>
      <c r="C59" s="33" t="s">
        <v>35</v>
      </c>
      <c r="D59" s="35" t="s">
        <v>168</v>
      </c>
      <c r="E59" s="35">
        <v>24</v>
      </c>
      <c r="F59" s="35" t="s">
        <v>160</v>
      </c>
      <c r="G59" s="36">
        <v>1</v>
      </c>
      <c r="H59" s="39">
        <v>1</v>
      </c>
      <c r="I59" s="37">
        <v>1</v>
      </c>
      <c r="J59" s="36">
        <v>24</v>
      </c>
      <c r="K59" s="36">
        <v>13</v>
      </c>
      <c r="L59" s="36"/>
      <c r="M59" s="36"/>
      <c r="N59" s="38">
        <v>6000</v>
      </c>
      <c r="P59" s="30">
        <f t="shared" si="2"/>
        <v>7749187.3550000004</v>
      </c>
    </row>
    <row r="60" spans="1:16" ht="34.5">
      <c r="A60" s="110"/>
      <c r="B60" s="33" t="s">
        <v>54</v>
      </c>
      <c r="C60" s="33" t="s">
        <v>55</v>
      </c>
      <c r="D60" s="35" t="s">
        <v>168</v>
      </c>
      <c r="E60" s="35">
        <v>24</v>
      </c>
      <c r="F60" s="35" t="s">
        <v>163</v>
      </c>
      <c r="G60" s="36">
        <v>1</v>
      </c>
      <c r="H60" s="39">
        <v>1</v>
      </c>
      <c r="I60" s="37">
        <v>1</v>
      </c>
      <c r="J60" s="36">
        <v>24</v>
      </c>
      <c r="K60" s="36">
        <v>13</v>
      </c>
      <c r="L60" s="36"/>
      <c r="M60" s="36"/>
      <c r="N60" s="38">
        <v>6000</v>
      </c>
      <c r="P60" s="30">
        <f t="shared" si="2"/>
        <v>7749187.3550000004</v>
      </c>
    </row>
    <row r="61" spans="1:16" ht="23.1">
      <c r="A61" s="110"/>
      <c r="B61" s="33" t="s">
        <v>56</v>
      </c>
      <c r="C61" s="33" t="s">
        <v>35</v>
      </c>
      <c r="D61" s="35" t="s">
        <v>168</v>
      </c>
      <c r="E61" s="35">
        <v>24</v>
      </c>
      <c r="F61" s="35" t="s">
        <v>160</v>
      </c>
      <c r="G61" s="36">
        <v>1</v>
      </c>
      <c r="H61" s="39">
        <v>1</v>
      </c>
      <c r="I61" s="37">
        <v>1</v>
      </c>
      <c r="J61" s="36">
        <v>24</v>
      </c>
      <c r="K61" s="36">
        <v>13</v>
      </c>
      <c r="L61" s="36"/>
      <c r="M61" s="36"/>
      <c r="N61" s="38">
        <v>6000</v>
      </c>
      <c r="P61" s="30">
        <f t="shared" si="2"/>
        <v>7749187.3550000004</v>
      </c>
    </row>
    <row r="62" spans="1:16" ht="23.1">
      <c r="A62" s="110"/>
      <c r="B62" s="33" t="s">
        <v>57</v>
      </c>
      <c r="C62" s="33" t="s">
        <v>58</v>
      </c>
      <c r="D62" s="35" t="s">
        <v>168</v>
      </c>
      <c r="E62" s="35">
        <v>24</v>
      </c>
      <c r="F62" s="35" t="s">
        <v>160</v>
      </c>
      <c r="G62" s="36">
        <v>1</v>
      </c>
      <c r="H62" s="39">
        <v>1</v>
      </c>
      <c r="I62" s="37">
        <v>1</v>
      </c>
      <c r="J62" s="36">
        <v>24</v>
      </c>
      <c r="K62" s="36">
        <v>13</v>
      </c>
      <c r="L62" s="36"/>
      <c r="M62" s="36"/>
      <c r="N62" s="38">
        <v>6000</v>
      </c>
      <c r="P62" s="30">
        <f t="shared" si="2"/>
        <v>7749187.3550000004</v>
      </c>
    </row>
    <row r="63" spans="1:16" ht="23.1">
      <c r="A63" s="110"/>
      <c r="B63" s="33" t="s">
        <v>57</v>
      </c>
      <c r="C63" s="33" t="s">
        <v>59</v>
      </c>
      <c r="D63" s="35" t="s">
        <v>170</v>
      </c>
      <c r="E63" s="35">
        <v>11</v>
      </c>
      <c r="F63" s="35" t="s">
        <v>160</v>
      </c>
      <c r="G63" s="36">
        <v>1</v>
      </c>
      <c r="H63" s="39">
        <v>1</v>
      </c>
      <c r="I63" s="37">
        <v>1</v>
      </c>
      <c r="J63" s="37">
        <v>12</v>
      </c>
      <c r="K63" s="37">
        <v>13</v>
      </c>
      <c r="L63" s="37">
        <v>20</v>
      </c>
      <c r="M63" s="37"/>
      <c r="N63" s="38">
        <v>2000</v>
      </c>
      <c r="P63" s="31">
        <f>+(((((($B$21*$C$21)+N63)*$D$22/30)*K63)/E63)*J63)</f>
        <v>4429571.6211878192</v>
      </c>
    </row>
    <row r="64" spans="1:16" ht="23.1">
      <c r="A64" s="110"/>
      <c r="B64" s="33" t="s">
        <v>60</v>
      </c>
      <c r="C64" s="33" t="s">
        <v>13</v>
      </c>
      <c r="D64" s="35" t="s">
        <v>169</v>
      </c>
      <c r="E64" s="35">
        <v>13</v>
      </c>
      <c r="F64" s="35" t="s">
        <v>160</v>
      </c>
      <c r="G64" s="36">
        <v>1</v>
      </c>
      <c r="H64" s="37"/>
      <c r="I64" s="37">
        <v>1</v>
      </c>
      <c r="J64" s="37">
        <v>9</v>
      </c>
      <c r="K64" s="37">
        <v>13</v>
      </c>
      <c r="L64" s="37">
        <v>20</v>
      </c>
      <c r="M64" s="37">
        <v>20</v>
      </c>
      <c r="N64" s="38">
        <v>2000</v>
      </c>
      <c r="P64" s="31">
        <f t="shared" ref="P64:P68" si="3">+(((((($B$21*$C$21)+N64)*$D$21/30)*K64)/E64)*J64)</f>
        <v>2552547.7169384998</v>
      </c>
    </row>
    <row r="65" spans="1:16" ht="23.1">
      <c r="A65" s="110"/>
      <c r="B65" s="33" t="s">
        <v>61</v>
      </c>
      <c r="C65" s="33" t="s">
        <v>62</v>
      </c>
      <c r="D65" s="35" t="s">
        <v>169</v>
      </c>
      <c r="E65" s="35">
        <v>13</v>
      </c>
      <c r="F65" s="35" t="s">
        <v>160</v>
      </c>
      <c r="G65" s="36">
        <v>1</v>
      </c>
      <c r="H65" s="37"/>
      <c r="I65" s="37">
        <v>1</v>
      </c>
      <c r="J65" s="37">
        <v>9</v>
      </c>
      <c r="K65" s="37">
        <v>13</v>
      </c>
      <c r="L65" s="37">
        <v>20</v>
      </c>
      <c r="M65" s="37">
        <v>20</v>
      </c>
      <c r="N65" s="38">
        <v>2000</v>
      </c>
      <c r="P65" s="31">
        <f>+(((((($B$21*$C$21)+N65)*$D$21/30)*K65)/E65)*J65)</f>
        <v>2552547.7169384998</v>
      </c>
    </row>
    <row r="66" spans="1:16" ht="24.75" customHeight="1">
      <c r="A66" s="110"/>
      <c r="B66" s="33" t="s">
        <v>63</v>
      </c>
      <c r="C66" s="33" t="s">
        <v>13</v>
      </c>
      <c r="D66" s="35" t="s">
        <v>169</v>
      </c>
      <c r="E66" s="35">
        <v>13</v>
      </c>
      <c r="F66" s="35" t="s">
        <v>160</v>
      </c>
      <c r="G66" s="36">
        <v>1</v>
      </c>
      <c r="H66" s="37"/>
      <c r="I66" s="37">
        <v>1</v>
      </c>
      <c r="J66" s="37">
        <v>9</v>
      </c>
      <c r="K66" s="37">
        <v>13</v>
      </c>
      <c r="L66" s="37">
        <v>20</v>
      </c>
      <c r="M66" s="37">
        <v>20</v>
      </c>
      <c r="N66" s="38">
        <v>2000</v>
      </c>
      <c r="P66" s="31">
        <f t="shared" si="3"/>
        <v>2552547.7169384998</v>
      </c>
    </row>
    <row r="67" spans="1:16" ht="23.1">
      <c r="A67" s="110"/>
      <c r="B67" s="33" t="s">
        <v>64</v>
      </c>
      <c r="C67" s="33" t="s">
        <v>65</v>
      </c>
      <c r="D67" s="35" t="s">
        <v>169</v>
      </c>
      <c r="E67" s="35">
        <v>13</v>
      </c>
      <c r="F67" s="35" t="s">
        <v>160</v>
      </c>
      <c r="G67" s="36">
        <v>1</v>
      </c>
      <c r="H67" s="37"/>
      <c r="I67" s="37">
        <v>1</v>
      </c>
      <c r="J67" s="37">
        <v>12</v>
      </c>
      <c r="K67" s="37">
        <v>13</v>
      </c>
      <c r="L67" s="37">
        <v>20</v>
      </c>
      <c r="M67" s="37">
        <v>20</v>
      </c>
      <c r="N67" s="38">
        <v>2000</v>
      </c>
      <c r="P67" s="31">
        <f t="shared" si="3"/>
        <v>3403396.9559180001</v>
      </c>
    </row>
    <row r="68" spans="1:16" ht="23.1">
      <c r="A68" s="110"/>
      <c r="B68" s="33" t="s">
        <v>66</v>
      </c>
      <c r="C68" s="33" t="s">
        <v>65</v>
      </c>
      <c r="D68" s="35" t="s">
        <v>169</v>
      </c>
      <c r="E68" s="35">
        <v>13</v>
      </c>
      <c r="F68" s="35" t="s">
        <v>163</v>
      </c>
      <c r="G68" s="36">
        <v>1</v>
      </c>
      <c r="H68" s="37"/>
      <c r="I68" s="37">
        <v>1</v>
      </c>
      <c r="J68" s="37">
        <v>12</v>
      </c>
      <c r="K68" s="37">
        <v>13</v>
      </c>
      <c r="L68" s="37">
        <v>20</v>
      </c>
      <c r="M68" s="37">
        <v>20</v>
      </c>
      <c r="N68" s="38">
        <v>2000</v>
      </c>
      <c r="P68" s="31">
        <f t="shared" si="3"/>
        <v>3403396.9559180001</v>
      </c>
    </row>
    <row r="69" spans="1:16" ht="24.75" customHeight="1">
      <c r="A69" s="110"/>
      <c r="B69" s="33" t="s">
        <v>67</v>
      </c>
      <c r="C69" s="33" t="s">
        <v>68</v>
      </c>
      <c r="D69" s="35" t="s">
        <v>169</v>
      </c>
      <c r="E69" s="35">
        <v>13</v>
      </c>
      <c r="F69" s="35" t="s">
        <v>162</v>
      </c>
      <c r="G69" s="36">
        <v>1</v>
      </c>
      <c r="H69" s="37"/>
      <c r="I69" s="37">
        <v>1</v>
      </c>
      <c r="J69" s="37">
        <v>12</v>
      </c>
      <c r="K69" s="37">
        <v>13</v>
      </c>
      <c r="L69" s="37">
        <v>20</v>
      </c>
      <c r="M69" s="37">
        <v>20</v>
      </c>
      <c r="N69" s="38">
        <v>2000</v>
      </c>
      <c r="P69" s="31">
        <f>+(((((($B$21*$C$21)+N69)*$D$21/30)*K69)/E69)*J69)</f>
        <v>3403396.9559180001</v>
      </c>
    </row>
    <row r="70" spans="1:16" ht="23.1">
      <c r="A70" s="110" t="s">
        <v>69</v>
      </c>
      <c r="B70" s="33" t="s">
        <v>70</v>
      </c>
      <c r="C70" s="33" t="s">
        <v>49</v>
      </c>
      <c r="D70" s="35" t="s">
        <v>168</v>
      </c>
      <c r="E70" s="35">
        <v>24</v>
      </c>
      <c r="F70" s="35" t="s">
        <v>163</v>
      </c>
      <c r="G70" s="36">
        <v>1</v>
      </c>
      <c r="H70" s="39">
        <v>1</v>
      </c>
      <c r="I70" s="37">
        <v>1</v>
      </c>
      <c r="J70" s="36">
        <v>24</v>
      </c>
      <c r="K70" s="36">
        <v>13</v>
      </c>
      <c r="L70" s="36"/>
      <c r="M70" s="36"/>
      <c r="N70" s="38">
        <v>6000</v>
      </c>
      <c r="P70" s="30">
        <f>+(((((($B$21*$C$21)+N70)*$D$21/30)*K70)/13)*13)+(((((($B$21*$C$21)+N70)*$D$22/30)*K70)/11)*11)</f>
        <v>7749187.3550000004</v>
      </c>
    </row>
    <row r="71" spans="1:16" ht="23.1">
      <c r="A71" s="110"/>
      <c r="B71" s="33" t="s">
        <v>38</v>
      </c>
      <c r="C71" s="33" t="s">
        <v>49</v>
      </c>
      <c r="D71" s="35" t="s">
        <v>168</v>
      </c>
      <c r="E71" s="35">
        <v>24</v>
      </c>
      <c r="F71" s="35" t="s">
        <v>160</v>
      </c>
      <c r="G71" s="36">
        <v>1</v>
      </c>
      <c r="H71" s="39">
        <v>1</v>
      </c>
      <c r="I71" s="37">
        <v>1</v>
      </c>
      <c r="J71" s="36">
        <v>24</v>
      </c>
      <c r="K71" s="36">
        <v>13</v>
      </c>
      <c r="L71" s="36"/>
      <c r="M71" s="36"/>
      <c r="N71" s="38">
        <v>6000</v>
      </c>
      <c r="P71" s="30">
        <f>+(((((($B$21*$C$21)+N71)*$D$21/30)*K71)/13)*13)+(((((($B$21*$C$21)+N71)*$D$22/30)*K71)/11)*11)</f>
        <v>7749187.3550000004</v>
      </c>
    </row>
    <row r="72" spans="1:16" ht="23.1">
      <c r="A72" s="110"/>
      <c r="B72" s="33" t="s">
        <v>71</v>
      </c>
      <c r="C72" s="33" t="s">
        <v>49</v>
      </c>
      <c r="D72" s="35" t="s">
        <v>168</v>
      </c>
      <c r="E72" s="35">
        <v>24</v>
      </c>
      <c r="F72" s="35" t="s">
        <v>160</v>
      </c>
      <c r="G72" s="36">
        <v>1</v>
      </c>
      <c r="H72" s="39">
        <v>1</v>
      </c>
      <c r="I72" s="37">
        <v>1</v>
      </c>
      <c r="J72" s="36">
        <v>24</v>
      </c>
      <c r="K72" s="36">
        <v>13</v>
      </c>
      <c r="L72" s="36"/>
      <c r="M72" s="36"/>
      <c r="N72" s="38">
        <v>6000</v>
      </c>
      <c r="P72" s="30">
        <f>+(((((($B$21*$C$21)+N72)*$D$21/30)*K72)/13)*13)+(((((($B$21*$C$21)+N72)*$D$22/30)*K72)/11)*11)</f>
        <v>7749187.3550000004</v>
      </c>
    </row>
    <row r="73" spans="1:16" ht="34.5">
      <c r="A73" s="110"/>
      <c r="B73" s="33" t="s">
        <v>72</v>
      </c>
      <c r="C73" s="33" t="s">
        <v>73</v>
      </c>
      <c r="D73" s="35" t="s">
        <v>169</v>
      </c>
      <c r="E73" s="35">
        <v>13</v>
      </c>
      <c r="F73" s="35" t="s">
        <v>160</v>
      </c>
      <c r="G73" s="37"/>
      <c r="H73" s="37"/>
      <c r="I73" s="37">
        <v>1</v>
      </c>
      <c r="J73" s="37">
        <v>12</v>
      </c>
      <c r="K73" s="37">
        <v>20</v>
      </c>
      <c r="L73" s="37"/>
      <c r="M73" s="37">
        <v>20</v>
      </c>
      <c r="N73" s="38">
        <v>2000</v>
      </c>
      <c r="P73" s="31">
        <f t="shared" ref="P73:P83" si="4">+(((((($B$21*$C$21)+N73)*$D$21/30)*K73)/E73)*J73)</f>
        <v>5235995.3167969221</v>
      </c>
    </row>
    <row r="74" spans="1:16" ht="23.1">
      <c r="A74" s="110"/>
      <c r="B74" s="33" t="s">
        <v>74</v>
      </c>
      <c r="C74" s="33" t="s">
        <v>73</v>
      </c>
      <c r="D74" s="35" t="s">
        <v>169</v>
      </c>
      <c r="E74" s="35">
        <v>13</v>
      </c>
      <c r="F74" s="35" t="s">
        <v>160</v>
      </c>
      <c r="G74" s="37"/>
      <c r="H74" s="37"/>
      <c r="I74" s="37">
        <v>1</v>
      </c>
      <c r="J74" s="37">
        <v>12</v>
      </c>
      <c r="K74" s="37">
        <v>20</v>
      </c>
      <c r="L74" s="37"/>
      <c r="M74" s="37">
        <v>20</v>
      </c>
      <c r="N74" s="38">
        <v>2000</v>
      </c>
      <c r="P74" s="31">
        <f t="shared" si="4"/>
        <v>5235995.3167969221</v>
      </c>
    </row>
    <row r="75" spans="1:16" ht="23.1">
      <c r="A75" s="110"/>
      <c r="B75" s="33" t="s">
        <v>75</v>
      </c>
      <c r="C75" s="33" t="s">
        <v>76</v>
      </c>
      <c r="D75" s="35" t="s">
        <v>169</v>
      </c>
      <c r="E75" s="35">
        <v>13</v>
      </c>
      <c r="F75" s="35" t="s">
        <v>162</v>
      </c>
      <c r="G75" s="37"/>
      <c r="H75" s="37"/>
      <c r="I75" s="37">
        <v>1</v>
      </c>
      <c r="J75" s="37">
        <v>12</v>
      </c>
      <c r="K75" s="37">
        <v>20</v>
      </c>
      <c r="L75" s="37"/>
      <c r="M75" s="37">
        <v>20</v>
      </c>
      <c r="N75" s="38">
        <v>2000</v>
      </c>
      <c r="P75" s="31">
        <f t="shared" si="4"/>
        <v>5235995.3167969221</v>
      </c>
    </row>
    <row r="76" spans="1:16" ht="23.1">
      <c r="A76" s="110"/>
      <c r="B76" s="33" t="s">
        <v>77</v>
      </c>
      <c r="C76" s="33" t="s">
        <v>73</v>
      </c>
      <c r="D76" s="35" t="s">
        <v>169</v>
      </c>
      <c r="E76" s="35">
        <v>13</v>
      </c>
      <c r="F76" s="35" t="s">
        <v>160</v>
      </c>
      <c r="G76" s="37"/>
      <c r="H76" s="37"/>
      <c r="I76" s="37">
        <v>1</v>
      </c>
      <c r="J76" s="37">
        <v>12</v>
      </c>
      <c r="K76" s="37">
        <v>20</v>
      </c>
      <c r="L76" s="37"/>
      <c r="M76" s="37">
        <v>20</v>
      </c>
      <c r="N76" s="38">
        <v>2000</v>
      </c>
      <c r="P76" s="31">
        <f t="shared" si="4"/>
        <v>5235995.3167969221</v>
      </c>
    </row>
    <row r="77" spans="1:16" ht="23.1">
      <c r="A77" s="110"/>
      <c r="B77" s="33" t="s">
        <v>78</v>
      </c>
      <c r="C77" s="33" t="s">
        <v>73</v>
      </c>
      <c r="D77" s="35" t="s">
        <v>169</v>
      </c>
      <c r="E77" s="35">
        <v>13</v>
      </c>
      <c r="F77" s="35" t="s">
        <v>160</v>
      </c>
      <c r="G77" s="37"/>
      <c r="H77" s="37"/>
      <c r="I77" s="37">
        <v>1</v>
      </c>
      <c r="J77" s="37">
        <v>12</v>
      </c>
      <c r="K77" s="37">
        <v>20</v>
      </c>
      <c r="L77" s="37"/>
      <c r="M77" s="37">
        <v>20</v>
      </c>
      <c r="N77" s="38">
        <v>2000</v>
      </c>
      <c r="P77" s="31">
        <f t="shared" si="4"/>
        <v>5235995.3167969221</v>
      </c>
    </row>
    <row r="78" spans="1:16" ht="23.1">
      <c r="A78" s="110"/>
      <c r="B78" s="33" t="s">
        <v>79</v>
      </c>
      <c r="C78" s="33" t="s">
        <v>73</v>
      </c>
      <c r="D78" s="35" t="s">
        <v>169</v>
      </c>
      <c r="E78" s="35">
        <v>13</v>
      </c>
      <c r="F78" s="35" t="s">
        <v>160</v>
      </c>
      <c r="G78" s="37"/>
      <c r="H78" s="37"/>
      <c r="I78" s="37">
        <v>1</v>
      </c>
      <c r="J78" s="37">
        <v>12</v>
      </c>
      <c r="K78" s="37">
        <v>20</v>
      </c>
      <c r="L78" s="37"/>
      <c r="M78" s="37">
        <v>20</v>
      </c>
      <c r="N78" s="38">
        <v>2000</v>
      </c>
      <c r="P78" s="31">
        <f t="shared" si="4"/>
        <v>5235995.3167969221</v>
      </c>
    </row>
    <row r="79" spans="1:16" ht="34.5">
      <c r="A79" s="110"/>
      <c r="B79" s="33" t="s">
        <v>80</v>
      </c>
      <c r="C79" s="33" t="s">
        <v>73</v>
      </c>
      <c r="D79" s="35" t="s">
        <v>169</v>
      </c>
      <c r="E79" s="35">
        <v>13</v>
      </c>
      <c r="F79" s="35" t="s">
        <v>160</v>
      </c>
      <c r="G79" s="36">
        <v>1</v>
      </c>
      <c r="H79" s="37"/>
      <c r="I79" s="37">
        <v>1</v>
      </c>
      <c r="J79" s="37">
        <v>12</v>
      </c>
      <c r="K79" s="37">
        <v>13</v>
      </c>
      <c r="L79" s="37">
        <v>20</v>
      </c>
      <c r="M79" s="37">
        <v>20</v>
      </c>
      <c r="N79" s="38">
        <v>2000</v>
      </c>
      <c r="P79" s="31">
        <f t="shared" si="4"/>
        <v>3403396.9559180001</v>
      </c>
    </row>
    <row r="80" spans="1:16" ht="23.1">
      <c r="A80" s="110"/>
      <c r="B80" s="33" t="s">
        <v>81</v>
      </c>
      <c r="C80" s="33" t="s">
        <v>73</v>
      </c>
      <c r="D80" s="35" t="s">
        <v>169</v>
      </c>
      <c r="E80" s="35">
        <v>13</v>
      </c>
      <c r="F80" s="35" t="s">
        <v>160</v>
      </c>
      <c r="G80" s="37"/>
      <c r="H80" s="37"/>
      <c r="I80" s="37">
        <v>1</v>
      </c>
      <c r="J80" s="37">
        <v>12</v>
      </c>
      <c r="K80" s="37">
        <v>20</v>
      </c>
      <c r="L80" s="37"/>
      <c r="M80" s="37">
        <v>20</v>
      </c>
      <c r="N80" s="38">
        <v>2000</v>
      </c>
      <c r="P80" s="31">
        <f t="shared" si="4"/>
        <v>5235995.3167969221</v>
      </c>
    </row>
    <row r="81" spans="1:16" ht="23.1">
      <c r="A81" s="110"/>
      <c r="B81" s="33" t="s">
        <v>81</v>
      </c>
      <c r="C81" s="33" t="s">
        <v>73</v>
      </c>
      <c r="D81" s="35" t="s">
        <v>169</v>
      </c>
      <c r="E81" s="35">
        <v>13</v>
      </c>
      <c r="F81" s="35" t="s">
        <v>160</v>
      </c>
      <c r="G81" s="37"/>
      <c r="H81" s="37"/>
      <c r="I81" s="37">
        <v>1</v>
      </c>
      <c r="J81" s="37">
        <v>12</v>
      </c>
      <c r="K81" s="37">
        <v>20</v>
      </c>
      <c r="L81" s="37"/>
      <c r="M81" s="37">
        <v>20</v>
      </c>
      <c r="N81" s="38">
        <v>2000</v>
      </c>
      <c r="P81" s="31">
        <f t="shared" si="4"/>
        <v>5235995.3167969221</v>
      </c>
    </row>
    <row r="82" spans="1:16" ht="23.1">
      <c r="A82" s="110" t="s">
        <v>82</v>
      </c>
      <c r="B82" s="33" t="s">
        <v>38</v>
      </c>
      <c r="C82" s="33" t="s">
        <v>73</v>
      </c>
      <c r="D82" s="35" t="s">
        <v>169</v>
      </c>
      <c r="E82" s="35">
        <v>13</v>
      </c>
      <c r="F82" s="37" t="s">
        <v>160</v>
      </c>
      <c r="G82" s="37"/>
      <c r="H82" s="37"/>
      <c r="I82" s="37">
        <v>1</v>
      </c>
      <c r="J82" s="37">
        <v>12</v>
      </c>
      <c r="K82" s="37">
        <v>20</v>
      </c>
      <c r="L82" s="37"/>
      <c r="M82" s="37">
        <v>20</v>
      </c>
      <c r="N82" s="38">
        <v>2000</v>
      </c>
      <c r="P82" s="31">
        <f t="shared" si="4"/>
        <v>5235995.3167969221</v>
      </c>
    </row>
    <row r="83" spans="1:16" ht="23.1">
      <c r="A83" s="110"/>
      <c r="B83" s="33" t="s">
        <v>83</v>
      </c>
      <c r="C83" s="33" t="s">
        <v>84</v>
      </c>
      <c r="D83" s="35" t="s">
        <v>169</v>
      </c>
      <c r="E83" s="35">
        <v>13</v>
      </c>
      <c r="F83" s="37" t="s">
        <v>160</v>
      </c>
      <c r="G83" s="37"/>
      <c r="H83" s="37"/>
      <c r="I83" s="37">
        <v>1</v>
      </c>
      <c r="J83" s="37">
        <v>16</v>
      </c>
      <c r="K83" s="37">
        <v>20</v>
      </c>
      <c r="L83" s="37"/>
      <c r="M83" s="37">
        <v>20</v>
      </c>
      <c r="N83" s="38">
        <v>4000</v>
      </c>
      <c r="P83" s="31">
        <f t="shared" si="4"/>
        <v>6982108.0531651285</v>
      </c>
    </row>
    <row r="84" spans="1:16" ht="23.1">
      <c r="A84" s="110" t="s">
        <v>85</v>
      </c>
      <c r="B84" s="33" t="s">
        <v>86</v>
      </c>
      <c r="C84" s="33" t="s">
        <v>87</v>
      </c>
      <c r="D84" s="35" t="s">
        <v>168</v>
      </c>
      <c r="E84" s="35">
        <v>24</v>
      </c>
      <c r="F84" s="37" t="s">
        <v>160</v>
      </c>
      <c r="G84" s="36">
        <v>1</v>
      </c>
      <c r="H84" s="39">
        <v>1</v>
      </c>
      <c r="I84" s="37">
        <v>1</v>
      </c>
      <c r="J84" s="36">
        <v>24</v>
      </c>
      <c r="K84" s="36">
        <v>13</v>
      </c>
      <c r="L84" s="36"/>
      <c r="M84" s="36"/>
      <c r="N84" s="38">
        <v>6000</v>
      </c>
      <c r="P84" s="30">
        <f>+(((((($B$21*$C$21)+N84)*$D$21/30)*K84)/13)*13)+(((((($B$21*$C$21)+N84)*$D$22/30)*K84)/11)*11)</f>
        <v>7749187.3550000004</v>
      </c>
    </row>
    <row r="85" spans="1:16" ht="23.1">
      <c r="A85" s="110"/>
      <c r="B85" s="33" t="s">
        <v>88</v>
      </c>
      <c r="C85" s="33" t="s">
        <v>73</v>
      </c>
      <c r="D85" s="35" t="s">
        <v>169</v>
      </c>
      <c r="E85" s="35">
        <v>13</v>
      </c>
      <c r="F85" s="37" t="s">
        <v>160</v>
      </c>
      <c r="G85" s="37"/>
      <c r="H85" s="37"/>
      <c r="I85" s="37">
        <v>1</v>
      </c>
      <c r="J85" s="37">
        <v>12</v>
      </c>
      <c r="K85" s="37">
        <v>20</v>
      </c>
      <c r="L85" s="37"/>
      <c r="M85" s="37">
        <v>20</v>
      </c>
      <c r="N85" s="38">
        <v>2000</v>
      </c>
      <c r="P85" s="31">
        <f>+(((((($B$21*$C$21)+N85)*$D$21/30)*K85)/E85)*J85)</f>
        <v>5235995.3167969221</v>
      </c>
    </row>
    <row r="86" spans="1:16" ht="23.1">
      <c r="A86" s="32" t="s">
        <v>89</v>
      </c>
      <c r="B86" s="33" t="s">
        <v>90</v>
      </c>
      <c r="C86" s="33" t="s">
        <v>87</v>
      </c>
      <c r="D86" s="35" t="s">
        <v>168</v>
      </c>
      <c r="E86" s="35">
        <v>24</v>
      </c>
      <c r="F86" s="37" t="s">
        <v>160</v>
      </c>
      <c r="G86" s="36">
        <v>2</v>
      </c>
      <c r="H86" s="39">
        <v>2</v>
      </c>
      <c r="I86" s="37">
        <v>2</v>
      </c>
      <c r="J86" s="36">
        <v>24</v>
      </c>
      <c r="K86" s="36">
        <v>13</v>
      </c>
      <c r="L86" s="36"/>
      <c r="M86" s="36"/>
      <c r="N86" s="38">
        <v>6000</v>
      </c>
      <c r="P86" s="30">
        <f>+(((((($B$21*$C$21)+N86)*$D$21/30)*K86)/13)*13)+(((((($B$21*$C$21)+N86)*$D$22/30)*K86)/11)*11)</f>
        <v>7749187.3550000004</v>
      </c>
    </row>
    <row r="87" spans="1:16" ht="23.1">
      <c r="A87" s="32" t="s">
        <v>91</v>
      </c>
      <c r="B87" s="33" t="s">
        <v>92</v>
      </c>
      <c r="C87" s="33" t="s">
        <v>93</v>
      </c>
      <c r="D87" s="35" t="s">
        <v>168</v>
      </c>
      <c r="E87" s="35">
        <v>24</v>
      </c>
      <c r="F87" s="37" t="s">
        <v>160</v>
      </c>
      <c r="G87" s="36">
        <v>1</v>
      </c>
      <c r="H87" s="39">
        <v>1</v>
      </c>
      <c r="I87" s="37">
        <v>1</v>
      </c>
      <c r="J87" s="36">
        <v>24</v>
      </c>
      <c r="K87" s="36">
        <v>13</v>
      </c>
      <c r="L87" s="36"/>
      <c r="M87" s="36"/>
      <c r="N87" s="38">
        <v>6000</v>
      </c>
      <c r="P87" s="30">
        <f>+(((((($B$21*$C$21)+N87)*$D$21/30)*K87)/13)*13)+(((((($B$21*$C$21)+N87)*$D$22/30)*K87)/11)*11)</f>
        <v>7749187.3550000004</v>
      </c>
    </row>
    <row r="88" spans="1:16" ht="34.5">
      <c r="A88" s="32" t="s">
        <v>94</v>
      </c>
      <c r="B88" s="33" t="s">
        <v>95</v>
      </c>
      <c r="C88" s="33" t="s">
        <v>87</v>
      </c>
      <c r="D88" s="35" t="s">
        <v>168</v>
      </c>
      <c r="E88" s="35">
        <v>24</v>
      </c>
      <c r="F88" s="37" t="s">
        <v>160</v>
      </c>
      <c r="G88" s="36">
        <v>1</v>
      </c>
      <c r="H88" s="39">
        <v>1</v>
      </c>
      <c r="I88" s="37">
        <v>1</v>
      </c>
      <c r="J88" s="36">
        <v>24</v>
      </c>
      <c r="K88" s="36">
        <v>13</v>
      </c>
      <c r="L88" s="36"/>
      <c r="M88" s="36"/>
      <c r="N88" s="38">
        <v>6000</v>
      </c>
      <c r="P88" s="30">
        <f>+(((((($B$21*$C$21)+N88)*$D$21/30)*K88)/13)*13)+(((((($B$21*$C$21)+N88)*$D$22/30)*K88)/11)*11)</f>
        <v>7749187.3550000004</v>
      </c>
    </row>
    <row r="89" spans="1:16">
      <c r="A89" s="14"/>
      <c r="B89" s="108" t="s">
        <v>164</v>
      </c>
      <c r="C89" s="108"/>
      <c r="D89" s="109"/>
      <c r="E89" s="109"/>
      <c r="F89" s="109"/>
      <c r="G89" s="44">
        <f>SUM(G29:G88)</f>
        <v>39</v>
      </c>
      <c r="H89" s="44">
        <f>SUM(H29:H88)</f>
        <v>22</v>
      </c>
      <c r="I89" s="44">
        <f>SUM(I29:I88)</f>
        <v>61</v>
      </c>
      <c r="J89" s="37"/>
      <c r="K89" s="37"/>
      <c r="L89" s="37"/>
      <c r="M89" s="37"/>
      <c r="N89" s="44"/>
      <c r="P89" s="47">
        <f>SUM(P29:P88)</f>
        <v>341308445.87285918</v>
      </c>
    </row>
    <row r="91" spans="1:16">
      <c r="N91" t="s">
        <v>101</v>
      </c>
      <c r="P91" s="47">
        <f>+P89*19%</f>
        <v>64848604.715843245</v>
      </c>
    </row>
    <row r="92" spans="1:16">
      <c r="N92" t="s">
        <v>4</v>
      </c>
      <c r="P92" s="55">
        <f>+P91+P89</f>
        <v>406157050.58870244</v>
      </c>
    </row>
  </sheetData>
  <autoFilter ref="A28:J89" xr:uid="{507CED06-586D-45FF-AA78-35A560091ABD}"/>
  <mergeCells count="13">
    <mergeCell ref="A14:F14"/>
    <mergeCell ref="D6:F6"/>
    <mergeCell ref="A27:N27"/>
    <mergeCell ref="A29:A48"/>
    <mergeCell ref="B89:F89"/>
    <mergeCell ref="A70:A81"/>
    <mergeCell ref="A82:A83"/>
    <mergeCell ref="A84:A85"/>
    <mergeCell ref="A49:A50"/>
    <mergeCell ref="A51:A52"/>
    <mergeCell ref="A53:A54"/>
    <mergeCell ref="A56:A57"/>
    <mergeCell ref="A58:A69"/>
  </mergeCells>
  <phoneticPr fontId="4" type="noConversion"/>
  <hyperlinks>
    <hyperlink ref="D6" r:id="rId1" xr:uid="{825385D0-5737-49E1-AF23-FBAF4FC5749D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F0D7A-C1D9-44AE-B4C8-B2127CFF254E}">
  <dimension ref="A1:AN93"/>
  <sheetViews>
    <sheetView topLeftCell="A80" zoomScale="90" zoomScaleNormal="90" workbookViewId="0">
      <selection activeCell="D50" sqref="D50"/>
    </sheetView>
  </sheetViews>
  <sheetFormatPr defaultColWidth="11.42578125" defaultRowHeight="14.45"/>
  <cols>
    <col min="1" max="1" width="19.7109375" style="48" customWidth="1"/>
    <col min="2" max="2" width="15.7109375" style="48" customWidth="1"/>
    <col min="3" max="3" width="29.140625" style="48" customWidth="1"/>
    <col min="4" max="5" width="13.5703125" style="2" bestFit="1" customWidth="1"/>
    <col min="6" max="6" width="18.42578125" style="2" bestFit="1" customWidth="1"/>
    <col min="7" max="7" width="22.7109375" style="2" bestFit="1" customWidth="1"/>
    <col min="8" max="8" width="13" style="2" bestFit="1" customWidth="1"/>
    <col min="9" max="9" width="13.5703125" style="2" bestFit="1" customWidth="1"/>
    <col min="10" max="10" width="12" style="2" bestFit="1" customWidth="1"/>
    <col min="11" max="11" width="12" style="2" customWidth="1"/>
    <col min="12" max="12" width="12.5703125" style="2" bestFit="1" customWidth="1"/>
    <col min="13" max="13" width="13.5703125" style="2" bestFit="1" customWidth="1"/>
    <col min="14" max="17" width="13.42578125" style="48" customWidth="1"/>
    <col min="18" max="18" width="2.7109375" style="48" customWidth="1"/>
    <col min="19" max="30" width="17.42578125" style="48" bestFit="1" customWidth="1"/>
    <col min="31" max="31" width="2.5703125" style="48" customWidth="1"/>
    <col min="32" max="32" width="19.140625" style="48" bestFit="1" customWidth="1"/>
    <col min="33" max="39" width="11.42578125" style="48"/>
    <col min="40" max="40" width="17.85546875" style="48" customWidth="1"/>
    <col min="41" max="16384" width="11.42578125" style="48"/>
  </cols>
  <sheetData>
    <row r="1" spans="1:13" ht="57.95">
      <c r="A1" s="25" t="s">
        <v>102</v>
      </c>
      <c r="B1" s="25" t="s">
        <v>171</v>
      </c>
      <c r="C1" s="24" t="s">
        <v>172</v>
      </c>
      <c r="D1" s="50"/>
      <c r="E1" s="51" t="s">
        <v>104</v>
      </c>
    </row>
    <row r="2" spans="1:13" ht="18">
      <c r="A2" s="26" t="s">
        <v>105</v>
      </c>
      <c r="B2" s="4">
        <f>6000*1.069</f>
        <v>6414</v>
      </c>
      <c r="D2" s="52"/>
      <c r="E2" s="51"/>
    </row>
    <row r="3" spans="1:13" ht="27">
      <c r="A3" s="27" t="s">
        <v>106</v>
      </c>
      <c r="B3" s="4">
        <f>6000*1.069</f>
        <v>6414</v>
      </c>
      <c r="D3" s="53"/>
      <c r="E3" s="51" t="s">
        <v>107</v>
      </c>
    </row>
    <row r="4" spans="1:13" ht="27">
      <c r="A4" s="27" t="s">
        <v>108</v>
      </c>
      <c r="B4" s="4">
        <f>6000*1.069</f>
        <v>6414</v>
      </c>
      <c r="D4" s="54"/>
      <c r="E4" s="51" t="s">
        <v>109</v>
      </c>
    </row>
    <row r="5" spans="1:13" ht="18">
      <c r="A5" s="27" t="s">
        <v>110</v>
      </c>
      <c r="B5" s="4">
        <f>2000*1.069</f>
        <v>2138</v>
      </c>
    </row>
    <row r="6" spans="1:13" ht="27">
      <c r="A6" s="27" t="s">
        <v>111</v>
      </c>
      <c r="B6" s="4">
        <f>4000*1.069</f>
        <v>4276</v>
      </c>
    </row>
    <row r="7" spans="1:13" ht="27">
      <c r="A7" s="27" t="s">
        <v>113</v>
      </c>
      <c r="B7" s="4">
        <f t="shared" ref="B7:B12" si="0">2000*1.069</f>
        <v>2138</v>
      </c>
    </row>
    <row r="8" spans="1:13" ht="18">
      <c r="A8" s="27" t="s">
        <v>114</v>
      </c>
      <c r="B8" s="4">
        <f t="shared" si="0"/>
        <v>2138</v>
      </c>
    </row>
    <row r="9" spans="1:13" ht="27">
      <c r="A9" s="27" t="s">
        <v>115</v>
      </c>
      <c r="B9" s="4">
        <f t="shared" si="0"/>
        <v>2138</v>
      </c>
    </row>
    <row r="10" spans="1:13" ht="18">
      <c r="A10" s="27" t="s">
        <v>116</v>
      </c>
      <c r="B10" s="4">
        <f t="shared" si="0"/>
        <v>2138</v>
      </c>
    </row>
    <row r="11" spans="1:13" ht="18">
      <c r="A11" s="27" t="s">
        <v>117</v>
      </c>
      <c r="B11" s="4">
        <f t="shared" si="0"/>
        <v>2138</v>
      </c>
    </row>
    <row r="12" spans="1:13" ht="18">
      <c r="A12" s="27" t="s">
        <v>118</v>
      </c>
      <c r="B12" s="4">
        <f t="shared" si="0"/>
        <v>2138</v>
      </c>
    </row>
    <row r="14" spans="1:13">
      <c r="A14" s="117" t="s">
        <v>119</v>
      </c>
      <c r="B14" s="117"/>
      <c r="C14" s="117"/>
      <c r="D14" s="117"/>
      <c r="E14" s="117"/>
      <c r="F14" s="117"/>
      <c r="H14" s="117" t="s">
        <v>173</v>
      </c>
      <c r="I14" s="117"/>
      <c r="J14" s="117"/>
      <c r="K14" s="117"/>
      <c r="L14" s="117"/>
      <c r="M14" s="117"/>
    </row>
    <row r="15" spans="1:13">
      <c r="A15" s="17" t="s">
        <v>120</v>
      </c>
      <c r="B15" s="17" t="s">
        <v>121</v>
      </c>
      <c r="C15" s="17" t="s">
        <v>122</v>
      </c>
      <c r="D15" s="17" t="s">
        <v>123</v>
      </c>
      <c r="E15" s="17" t="s">
        <v>124</v>
      </c>
      <c r="F15" s="17" t="s">
        <v>125</v>
      </c>
      <c r="H15" s="17" t="s">
        <v>120</v>
      </c>
      <c r="I15" s="17" t="s">
        <v>121</v>
      </c>
      <c r="J15" s="17" t="s">
        <v>122</v>
      </c>
      <c r="K15" s="17" t="s">
        <v>123</v>
      </c>
      <c r="L15" s="17" t="s">
        <v>124</v>
      </c>
      <c r="M15" s="17" t="s">
        <v>125</v>
      </c>
    </row>
    <row r="16" spans="1:13" ht="29.1">
      <c r="A16" s="14" t="s">
        <v>128</v>
      </c>
      <c r="B16" s="23">
        <f>+$B$21*C21</f>
        <v>19128111.853500001</v>
      </c>
      <c r="C16" s="22" t="s">
        <v>129</v>
      </c>
      <c r="D16" s="23">
        <f>+B2</f>
        <v>6414</v>
      </c>
      <c r="E16" s="23">
        <f>+(B16+D16)*8%</f>
        <v>1530762.06828</v>
      </c>
      <c r="F16" s="23">
        <f>+B16+E16</f>
        <v>20658873.921780001</v>
      </c>
      <c r="H16" s="14" t="s">
        <v>128</v>
      </c>
      <c r="I16" s="23">
        <f>+B21*J21</f>
        <v>19446601.473000001</v>
      </c>
      <c r="J16" s="22" t="s">
        <v>129</v>
      </c>
      <c r="K16" s="23">
        <f>+B2</f>
        <v>6414</v>
      </c>
      <c r="L16" s="23">
        <f>+(I16+K16)*8%</f>
        <v>1556241.2378400001</v>
      </c>
      <c r="M16" s="23">
        <f>+I16+L16</f>
        <v>21002842.710840002</v>
      </c>
    </row>
    <row r="17" spans="1:40" ht="43.5">
      <c r="A17" s="14" t="s">
        <v>131</v>
      </c>
      <c r="B17" s="23">
        <f>+B21*C21</f>
        <v>19128111.853500001</v>
      </c>
      <c r="C17" s="22" t="s">
        <v>132</v>
      </c>
      <c r="D17" s="23">
        <f>+B2</f>
        <v>6414</v>
      </c>
      <c r="E17" s="23">
        <f>+(B17+D17)*10%</f>
        <v>1913452.5853500003</v>
      </c>
      <c r="F17" s="23">
        <f>+B17+E17</f>
        <v>21041564.438850001</v>
      </c>
      <c r="H17" s="14" t="s">
        <v>131</v>
      </c>
      <c r="I17" s="23">
        <f>+B21*J21</f>
        <v>19446601.473000001</v>
      </c>
      <c r="J17" s="22" t="s">
        <v>132</v>
      </c>
      <c r="K17" s="23">
        <f>+B2</f>
        <v>6414</v>
      </c>
      <c r="L17" s="23">
        <f>+(I17+K17)*10%</f>
        <v>1945301.5473000002</v>
      </c>
      <c r="M17" s="23">
        <f>+I17+L17</f>
        <v>21391903.020300001</v>
      </c>
    </row>
    <row r="18" spans="1:40" ht="29.1">
      <c r="A18" s="14" t="s">
        <v>134</v>
      </c>
      <c r="B18" s="23">
        <f>+B21*C21</f>
        <v>19128111.853500001</v>
      </c>
      <c r="C18" s="22" t="s">
        <v>135</v>
      </c>
      <c r="D18" s="23">
        <f>+B2</f>
        <v>6414</v>
      </c>
      <c r="E18" s="23">
        <f>+(B18+D18)*11%</f>
        <v>2104797.8438850003</v>
      </c>
      <c r="F18" s="23">
        <f>+B18+E18</f>
        <v>21232909.697385002</v>
      </c>
      <c r="H18" s="14" t="s">
        <v>134</v>
      </c>
      <c r="I18" s="23">
        <f>+B21*J21</f>
        <v>19446601.473000001</v>
      </c>
      <c r="J18" s="22" t="s">
        <v>135</v>
      </c>
      <c r="K18" s="23">
        <f>+B2</f>
        <v>6414</v>
      </c>
      <c r="L18" s="23">
        <f>+(I18+K18)*11%</f>
        <v>2139831.7020300003</v>
      </c>
      <c r="M18" s="23">
        <f>+I18+L18</f>
        <v>21586433.175030001</v>
      </c>
    </row>
    <row r="20" spans="1:40" ht="39">
      <c r="A20" s="19" t="s">
        <v>137</v>
      </c>
      <c r="B20" s="19" t="s">
        <v>138</v>
      </c>
      <c r="C20" s="19" t="s">
        <v>139</v>
      </c>
      <c r="D20" s="20" t="s">
        <v>140</v>
      </c>
      <c r="H20" s="19" t="s">
        <v>137</v>
      </c>
      <c r="I20" s="19" t="s">
        <v>138</v>
      </c>
      <c r="J20" s="20" t="s">
        <v>174</v>
      </c>
      <c r="K20" s="20" t="s">
        <v>140</v>
      </c>
    </row>
    <row r="21" spans="1:40" ht="57.95">
      <c r="A21" s="14" t="s">
        <v>141</v>
      </c>
      <c r="B21" s="15">
        <f>1750905*(1+$B$24)</f>
        <v>1873468.35</v>
      </c>
      <c r="C21" s="13">
        <v>10.210000000000001</v>
      </c>
      <c r="D21" s="16">
        <v>0.47589999999999999</v>
      </c>
      <c r="E21" s="2">
        <v>10.38</v>
      </c>
      <c r="H21" s="14" t="s">
        <v>141</v>
      </c>
      <c r="I21" s="15">
        <f>1750905*(1+$B$24)</f>
        <v>1873468.35</v>
      </c>
      <c r="J21" s="13">
        <v>10.38</v>
      </c>
      <c r="K21" s="16">
        <v>0.47589999999999999</v>
      </c>
    </row>
    <row r="22" spans="1:40" ht="57.95">
      <c r="A22" s="14" t="s">
        <v>142</v>
      </c>
      <c r="B22" s="15">
        <f>1750905*(1+$B$24)</f>
        <v>1873468.35</v>
      </c>
      <c r="C22" s="13">
        <v>10.210000000000001</v>
      </c>
      <c r="D22" s="16">
        <v>0.52410000000000001</v>
      </c>
      <c r="E22" s="2">
        <v>10.38</v>
      </c>
      <c r="H22" s="14" t="s">
        <v>142</v>
      </c>
      <c r="I22" s="15">
        <f>1750905*(1+$B$24)</f>
        <v>1873468.35</v>
      </c>
      <c r="J22" s="13">
        <v>10.38</v>
      </c>
      <c r="K22" s="16">
        <v>0.52410000000000001</v>
      </c>
    </row>
    <row r="24" spans="1:40" ht="45" customHeight="1">
      <c r="A24" s="14" t="s">
        <v>175</v>
      </c>
      <c r="B24" s="49">
        <v>7.0000000000000007E-2</v>
      </c>
      <c r="C24" s="115" t="s">
        <v>112</v>
      </c>
      <c r="D24" s="116"/>
    </row>
    <row r="27" spans="1:40" ht="15.75" customHeight="1">
      <c r="A27" s="112" t="s">
        <v>143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S27" s="114">
        <v>2027</v>
      </c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F27" s="11"/>
    </row>
    <row r="28" spans="1:40" ht="34.5">
      <c r="A28" s="18" t="s">
        <v>1</v>
      </c>
      <c r="B28" s="45" t="s">
        <v>2</v>
      </c>
      <c r="C28" s="45" t="s">
        <v>3</v>
      </c>
      <c r="D28" s="45" t="s">
        <v>144</v>
      </c>
      <c r="E28" s="45" t="s">
        <v>145</v>
      </c>
      <c r="F28" s="45" t="s">
        <v>146</v>
      </c>
      <c r="G28" s="45" t="s">
        <v>147</v>
      </c>
      <c r="H28" s="45" t="s">
        <v>148</v>
      </c>
      <c r="I28" s="45" t="s">
        <v>149</v>
      </c>
      <c r="J28" s="45" t="s">
        <v>150</v>
      </c>
      <c r="K28" s="45" t="s">
        <v>151</v>
      </c>
      <c r="L28" s="45" t="s">
        <v>152</v>
      </c>
      <c r="M28" s="45" t="s">
        <v>153</v>
      </c>
      <c r="N28" s="45" t="s">
        <v>154</v>
      </c>
      <c r="O28" s="45" t="s">
        <v>176</v>
      </c>
      <c r="P28" s="45" t="s">
        <v>155</v>
      </c>
      <c r="Q28" s="46" t="s">
        <v>156</v>
      </c>
      <c r="S28" s="11" t="s">
        <v>177</v>
      </c>
      <c r="T28" s="11" t="s">
        <v>178</v>
      </c>
      <c r="U28" s="12" t="s">
        <v>179</v>
      </c>
      <c r="V28" s="11" t="s">
        <v>180</v>
      </c>
      <c r="W28" s="11" t="s">
        <v>181</v>
      </c>
      <c r="X28" s="11" t="s">
        <v>182</v>
      </c>
      <c r="Y28" s="11" t="s">
        <v>183</v>
      </c>
      <c r="Z28" s="11" t="s">
        <v>184</v>
      </c>
      <c r="AA28" s="11" t="s">
        <v>185</v>
      </c>
      <c r="AB28" s="11" t="s">
        <v>186</v>
      </c>
      <c r="AC28" s="11" t="s">
        <v>187</v>
      </c>
      <c r="AD28" s="11" t="s">
        <v>188</v>
      </c>
      <c r="AF28" s="11" t="s">
        <v>4</v>
      </c>
    </row>
    <row r="29" spans="1:40" ht="36.75" customHeight="1">
      <c r="A29" s="110" t="s">
        <v>5</v>
      </c>
      <c r="B29" s="33" t="s">
        <v>6</v>
      </c>
      <c r="C29" s="33" t="s">
        <v>7</v>
      </c>
      <c r="D29" s="16">
        <v>0.52410000000000001</v>
      </c>
      <c r="E29" s="16">
        <v>0.47589999999999999</v>
      </c>
      <c r="F29" s="35" t="s">
        <v>159</v>
      </c>
      <c r="G29" s="37">
        <v>1</v>
      </c>
      <c r="H29" s="37"/>
      <c r="I29" s="37">
        <v>1</v>
      </c>
      <c r="J29" s="37">
        <v>14</v>
      </c>
      <c r="K29" s="37">
        <v>13</v>
      </c>
      <c r="L29" s="37">
        <v>1</v>
      </c>
      <c r="M29" s="37">
        <v>20</v>
      </c>
      <c r="N29" s="37">
        <f>IF(AND(H29=1,J29&lt;24),20,IF(AND(H29=1,J29=24),30,18))</f>
        <v>18</v>
      </c>
      <c r="O29" s="37">
        <f>IF(AND(G29=1,J29&lt;24),20,IF(AND(G29=1,J29=24),30,15))</f>
        <v>20</v>
      </c>
      <c r="P29" s="37">
        <f>IF(M29=12,20,M29)</f>
        <v>20</v>
      </c>
      <c r="Q29" s="38">
        <v>2000</v>
      </c>
      <c r="S29" s="5">
        <f>+((((((($B$21*$C$21)+Q29)*D29/30)*O29)/11*L29))+(((((($B$21*$C$21)+Q29)*E29/30)*O29)/13*K29)))*(I29)*(1+$AI29)</f>
        <v>7211147.8362091528</v>
      </c>
      <c r="T29" s="5">
        <f>+((((((($B$21*$C$21)+Q29)*D29/30)*P29)/11*L29))+(((((($B$21*$C$21)+Q29)*E29/30)*P29)/13*K29)))*(I29)*(1+$AI29)</f>
        <v>7211147.8362091528</v>
      </c>
      <c r="U29" s="5">
        <f>+((((((($B$21*$C$21)+Q29)*D29/30)*N29)/11*L29))+(((((($B$21*$C$21)+Q29)*E29/30)*N29)/13*K29)))*(I29)*(1+$AI29)</f>
        <v>6490033.0525882384</v>
      </c>
      <c r="V29" s="5">
        <f>+((((((($B$21*$C$21)+Q29)*D29/30)*P29)/11*L29))+(((((($B$21*$C$21)+Q29)*E29/30)*P29)/13*K29)))*(I29)*(1+$AI29)</f>
        <v>7211147.8362091528</v>
      </c>
      <c r="W29" s="5">
        <f>+((((((($B$21*$C$21)+Q29)*D29/30)*P29)/11*L29))+(((((($B$21*$C$21)+Q29)*E29/30)*P29)/13*K29)))*(I29)*(1+$AI29)</f>
        <v>7211147.8362091528</v>
      </c>
      <c r="X29" s="5">
        <f>+((((((($B$21*$C$21)+Q29)*D29/30)*P29)/11*L29))+(((((($B$21*$C$21)+Q29)*E29/30)*P29)/13*K29)))*(I29)*(1+$AI29)</f>
        <v>7211147.8362091528</v>
      </c>
      <c r="Y29" s="5">
        <f>+((((((($B$21*$E$21)+Q29)*D29/30)*P29)/11*L29))+(((((($B$21*$E$21)+Q29)*E29/30)*P29)/13*K29)))*(I29)*(1+$AI29)</f>
        <v>7331203.3668877315</v>
      </c>
      <c r="Z29" s="5">
        <f>+((((((($B$21*$E$21)+Q29)*D29/30)*P29)/11*L29))+(((((($B$21*$E$21)+Q29)*E29/30)*P29)/13*K29)))*(I29)*(1+$AI29)</f>
        <v>7331203.3668877315</v>
      </c>
      <c r="AA29" s="5">
        <f>+((((((($B$21*$E$21)+Q29)*D29/30)*P29)/11*L29))+(((((($B$21*$E$21)+Q29)*E29/30)*P29)/13*K29)))*(I29)*(1+$AI29)</f>
        <v>7331203.3668877315</v>
      </c>
      <c r="AB29" s="5">
        <f>+((((((($B$21*$E$21)+Q29)*D29/30)*P29)/11*L29))+(((((($B$21*$E$21)+Q29)*E29/30)*P29)/13*K29)))*(I29)*(1+$AI29)</f>
        <v>7331203.3668877315</v>
      </c>
      <c r="AC29" s="5">
        <f>+((((((($B$21*$E$21)+Q29)*D29/30)*P29)/11*L29))+(((((($B$21*$E$21)+Q29)*E29/30)*P29)/13*K29)))*(I29)*(1+$AI29)</f>
        <v>7331203.3668877315</v>
      </c>
      <c r="AD29" s="5">
        <f>+((((((($B$21*$E$21)+Q29)*D29/30)*M29)/11*L29))+(((((($B$21*$E$21)+Q29)*E29/30)*M29)/13*K29)))*(I29)*(1+$AI29)</f>
        <v>7331203.3668877315</v>
      </c>
      <c r="AF29" s="5">
        <f>SUM(S29:AD29)</f>
        <v>86532992.434960395</v>
      </c>
      <c r="AG29" s="48">
        <f>IF(AD29=AC29,1,0)</f>
        <v>1</v>
      </c>
      <c r="AH29" s="48">
        <f>IF(G29&gt;=1,1,0)</f>
        <v>1</v>
      </c>
      <c r="AI29" s="48">
        <v>0.08</v>
      </c>
      <c r="AL29" s="48" t="b">
        <f>AG29=AH29</f>
        <v>1</v>
      </c>
      <c r="AN29" s="57">
        <f>S29*(1+1.9%)</f>
        <v>7348159.6450971263</v>
      </c>
    </row>
    <row r="30" spans="1:40" ht="24.75" customHeight="1">
      <c r="A30" s="110"/>
      <c r="B30" s="33" t="s">
        <v>8</v>
      </c>
      <c r="C30" s="33" t="s">
        <v>9</v>
      </c>
      <c r="D30" s="16">
        <v>0.52410000000000001</v>
      </c>
      <c r="E30" s="16">
        <v>0.47589999999999999</v>
      </c>
      <c r="F30" s="35" t="s">
        <v>160</v>
      </c>
      <c r="G30" s="37">
        <v>1</v>
      </c>
      <c r="H30" s="37">
        <v>1</v>
      </c>
      <c r="I30" s="37">
        <v>1</v>
      </c>
      <c r="J30" s="37">
        <v>24</v>
      </c>
      <c r="K30" s="37">
        <v>13</v>
      </c>
      <c r="L30" s="37">
        <v>11</v>
      </c>
      <c r="M30" s="37">
        <f>IF(AND(G30=1,J30&lt;24),20,IF(AND(G30=1,J30=24),30,12))</f>
        <v>30</v>
      </c>
      <c r="N30" s="37">
        <f t="shared" ref="N30:N88" si="1">IF(AND(H30=1,J30&lt;24),20,IF(AND(H30=1,J30=24),30,18))</f>
        <v>30</v>
      </c>
      <c r="O30" s="37">
        <f t="shared" ref="O30:O88" si="2">IF(AND(G30=1,J30&lt;24),20,IF(AND(G30=1,J30=24),30,15))</f>
        <v>30</v>
      </c>
      <c r="P30" s="37">
        <f t="shared" ref="P30:P88" si="3">IF(M30=12,20,M30)</f>
        <v>30</v>
      </c>
      <c r="Q30" s="38">
        <v>6000</v>
      </c>
      <c r="S30" s="5">
        <f t="shared" ref="S30:S88" si="4">+((((((($B$21*$C$21)+Q30)*D30/30)*O30)/11*L30))+(((((($B$21*$C$21)+Q30)*E30/30)*O30)/13*K30)))*(I30)*(1+$AI30)</f>
        <v>20664840.801780004</v>
      </c>
      <c r="T30" s="5">
        <f t="shared" ref="T30:T88" si="5">+((((((($B$21*$C$21)+Q30)*D30/30)*P30)/11*L30))+(((((($B$21*$C$21)+Q30)*E30/30)*P30)/13*K30)))*(I30)*(1+$AI30)</f>
        <v>20664840.801780004</v>
      </c>
      <c r="U30" s="5">
        <f t="shared" ref="U30:U88" si="6">+((((((($B$21*$C$21)+Q30)*D30/30)*N30)/11*L30))+(((((($B$21*$C$21)+Q30)*E30/30)*N30)/13*K30)))*(I30)*(1+$AI30)</f>
        <v>20664840.801780004</v>
      </c>
      <c r="V30" s="5">
        <f t="shared" ref="V30:V88" si="7">+((((((($B$21*$C$21)+Q30)*D30/30)*P30)/11*L30))+(((((($B$21*$C$21)+Q30)*E30/30)*P30)/13*K30)))*(I30)*(1+$AI30)</f>
        <v>20664840.801780004</v>
      </c>
      <c r="W30" s="5">
        <f t="shared" ref="W30:W88" si="8">+((((((($B$21*$C$21)+Q30)*D30/30)*P30)/11*L30))+(((((($B$21*$C$21)+Q30)*E30/30)*P30)/13*K30)))*(I30)*(1+$AI30)</f>
        <v>20664840.801780004</v>
      </c>
      <c r="X30" s="5">
        <f t="shared" ref="X30:X88" si="9">+((((((($B$21*$C$21)+Q30)*D30/30)*P30)/11*L30))+(((((($B$21*$C$21)+Q30)*E30/30)*P30)/13*K30)))*(I30)*(1+$AI30)</f>
        <v>20664840.801780004</v>
      </c>
      <c r="Y30" s="5">
        <f t="shared" ref="Y30:Y88" si="10">+((((((($B$21*$E$21)+Q30)*D30/30)*P30)/11*L30))+(((((($B$21*$E$21)+Q30)*E30/30)*P30)/13*K30)))*(I30)*(1+$AI30)</f>
        <v>21008809.590840004</v>
      </c>
      <c r="Z30" s="5">
        <f t="shared" ref="Z30:Z88" si="11">+((((((($B$21*$E$21)+Q30)*D30/30)*P30)/11*L30))+(((((($B$21*$E$21)+Q30)*E30/30)*P30)/13*K30)))*(I30)*(1+$AI30)</f>
        <v>21008809.590840004</v>
      </c>
      <c r="AA30" s="5">
        <f t="shared" ref="AA30:AA88" si="12">+((((((($B$21*$E$21)+Q30)*D30/30)*P30)/11*L30))+(((((($B$21*$E$21)+Q30)*E30/30)*P30)/13*K30)))*(I30)*(1+$AI30)</f>
        <v>21008809.590840004</v>
      </c>
      <c r="AB30" s="5">
        <f t="shared" ref="AB30:AB88" si="13">+((((((($B$21*$E$21)+Q30)*D30/30)*P30)/11*L30))+(((((($B$21*$E$21)+Q30)*E30/30)*P30)/13*K30)))*(I30)*(1+$AI30)</f>
        <v>21008809.590840004</v>
      </c>
      <c r="AC30" s="5">
        <f t="shared" ref="AC30:AC88" si="14">+((((((($B$21*$E$21)+Q30)*D30/30)*P30)/11*L30))+(((((($B$21*$E$21)+Q30)*E30/30)*P30)/13*K30)))*(I30)*(1+$AI30)</f>
        <v>21008809.590840004</v>
      </c>
      <c r="AD30" s="5">
        <f t="shared" ref="AD30:AD88" si="15">+((((((($B$21*$E$21)+Q30)*D30/30)*M30)/11*L30))+(((((($B$21*$E$21)+Q30)*E30/30)*M30)/13*K30)))*(I30)*(1+$AI30)</f>
        <v>21008809.590840004</v>
      </c>
      <c r="AF30" s="5">
        <f>SUM(S30:AD30)</f>
        <v>250041902.35572007</v>
      </c>
      <c r="AG30" s="48">
        <f t="shared" ref="AG30:AG88" si="16">IF(AD30=AC30,1,0)</f>
        <v>1</v>
      </c>
      <c r="AH30" s="48">
        <f t="shared" ref="AH30:AH88" si="17">IF(G30&gt;=1,1,0)</f>
        <v>1</v>
      </c>
      <c r="AI30" s="48">
        <v>0.08</v>
      </c>
      <c r="AL30" s="48" t="b">
        <f t="shared" ref="AL30:AL88" si="18">AG30=AH30</f>
        <v>1</v>
      </c>
      <c r="AN30" s="57">
        <f t="shared" ref="AN30:AN88" si="19">S30*(1+1.9%)</f>
        <v>21057472.777013823</v>
      </c>
    </row>
    <row r="31" spans="1:40" customFormat="1" ht="23.1">
      <c r="A31" s="110"/>
      <c r="B31" s="33" t="s">
        <v>10</v>
      </c>
      <c r="C31" s="33" t="s">
        <v>161</v>
      </c>
      <c r="D31" s="16">
        <v>0.52410000000000001</v>
      </c>
      <c r="E31" s="16">
        <v>0.47589999999999999</v>
      </c>
      <c r="F31" s="35" t="s">
        <v>162</v>
      </c>
      <c r="G31" s="37"/>
      <c r="H31" s="37"/>
      <c r="I31" s="37">
        <v>1</v>
      </c>
      <c r="J31" s="37">
        <v>12</v>
      </c>
      <c r="K31" s="37">
        <v>12</v>
      </c>
      <c r="L31" s="37"/>
      <c r="M31" s="37">
        <f t="shared" ref="M31:M88" si="20">IF(AND(G31=1,J31&lt;24),20,IF(AND(G31=1,J31=24),30,12))</f>
        <v>12</v>
      </c>
      <c r="N31" s="37">
        <f t="shared" si="1"/>
        <v>18</v>
      </c>
      <c r="O31" s="37">
        <f t="shared" si="2"/>
        <v>15</v>
      </c>
      <c r="P31" s="37">
        <f t="shared" si="3"/>
        <v>20</v>
      </c>
      <c r="Q31" s="38">
        <v>2000</v>
      </c>
      <c r="S31" s="5">
        <f t="shared" si="4"/>
        <v>4664059.5953074722</v>
      </c>
      <c r="T31" s="5">
        <f t="shared" si="5"/>
        <v>6218746.1270766295</v>
      </c>
      <c r="U31" s="5">
        <f t="shared" si="6"/>
        <v>5596871.5143689662</v>
      </c>
      <c r="V31" s="5">
        <f t="shared" si="7"/>
        <v>6218746.1270766295</v>
      </c>
      <c r="W31" s="5">
        <f t="shared" si="8"/>
        <v>6218746.1270766295</v>
      </c>
      <c r="X31" s="5">
        <f t="shared" si="9"/>
        <v>6218746.1270766295</v>
      </c>
      <c r="Y31" s="5">
        <f t="shared" si="10"/>
        <v>6322279.5566220181</v>
      </c>
      <c r="Z31" s="5">
        <f t="shared" si="11"/>
        <v>6322279.5566220181</v>
      </c>
      <c r="AA31" s="5">
        <f t="shared" si="12"/>
        <v>6322279.5566220181</v>
      </c>
      <c r="AB31" s="5">
        <f t="shared" si="13"/>
        <v>6322279.5566220181</v>
      </c>
      <c r="AC31" s="5">
        <f t="shared" si="14"/>
        <v>6322279.5566220181</v>
      </c>
      <c r="AD31" s="5">
        <f t="shared" si="15"/>
        <v>3793367.7339732102</v>
      </c>
      <c r="AF31" s="5">
        <f>SUM(S31:AD31)</f>
        <v>70540681.135066271</v>
      </c>
      <c r="AG31" s="48">
        <f t="shared" si="16"/>
        <v>0</v>
      </c>
      <c r="AH31" s="48">
        <f t="shared" si="17"/>
        <v>0</v>
      </c>
      <c r="AI31">
        <v>0.11</v>
      </c>
      <c r="AL31" s="48" t="b">
        <f t="shared" si="18"/>
        <v>1</v>
      </c>
      <c r="AN31" s="57">
        <f t="shared" si="19"/>
        <v>4752676.7276183134</v>
      </c>
    </row>
    <row r="32" spans="1:40" customFormat="1" ht="23.1">
      <c r="A32" s="110"/>
      <c r="B32" s="33" t="s">
        <v>12</v>
      </c>
      <c r="C32" s="33" t="s">
        <v>13</v>
      </c>
      <c r="D32" s="16">
        <v>0.52410000000000001</v>
      </c>
      <c r="E32" s="16">
        <v>0.47589999999999999</v>
      </c>
      <c r="F32" s="35" t="s">
        <v>160</v>
      </c>
      <c r="G32" s="37"/>
      <c r="H32" s="37"/>
      <c r="I32" s="37">
        <v>1</v>
      </c>
      <c r="J32" s="37">
        <v>9</v>
      </c>
      <c r="K32" s="37">
        <v>9</v>
      </c>
      <c r="L32" s="37"/>
      <c r="M32" s="37">
        <f t="shared" si="20"/>
        <v>12</v>
      </c>
      <c r="N32" s="37">
        <f t="shared" si="1"/>
        <v>18</v>
      </c>
      <c r="O32" s="37">
        <f t="shared" si="2"/>
        <v>15</v>
      </c>
      <c r="P32" s="37">
        <f t="shared" si="3"/>
        <v>20</v>
      </c>
      <c r="Q32" s="38">
        <v>2000</v>
      </c>
      <c r="S32" s="5">
        <f t="shared" si="4"/>
        <v>3403502.9479270736</v>
      </c>
      <c r="T32" s="5">
        <f>+((((((($B$21*$C$21)+Q32)*D32/30)*P32)/11*L32))+(((((($B$21*$C$21)+Q32)*E32/30)*P32)/13*K32)))*(I32)*(1+$AI32)</f>
        <v>4538003.9305694317</v>
      </c>
      <c r="U32" s="5">
        <f t="shared" si="6"/>
        <v>4084203.5375124887</v>
      </c>
      <c r="V32" s="5">
        <f t="shared" si="7"/>
        <v>4538003.9305694317</v>
      </c>
      <c r="W32" s="5">
        <f t="shared" si="8"/>
        <v>4538003.9305694317</v>
      </c>
      <c r="X32" s="5">
        <f t="shared" si="9"/>
        <v>4538003.9305694317</v>
      </c>
      <c r="Y32" s="5">
        <f t="shared" si="10"/>
        <v>4613555.3521295805</v>
      </c>
      <c r="Z32" s="5">
        <f t="shared" si="11"/>
        <v>4613555.3521295805</v>
      </c>
      <c r="AA32" s="5">
        <f t="shared" si="12"/>
        <v>4613555.3521295805</v>
      </c>
      <c r="AB32" s="5">
        <f t="shared" si="13"/>
        <v>4613555.3521295805</v>
      </c>
      <c r="AC32" s="5">
        <f t="shared" si="14"/>
        <v>4613555.3521295805</v>
      </c>
      <c r="AD32" s="5">
        <f t="shared" si="15"/>
        <v>2768133.211277748</v>
      </c>
      <c r="AF32" s="5">
        <f t="shared" ref="AF32:AF88" si="21">SUM(S32:AD32)</f>
        <v>51475632.179642931</v>
      </c>
      <c r="AG32" s="48">
        <f t="shared" si="16"/>
        <v>0</v>
      </c>
      <c r="AH32" s="48">
        <f t="shared" si="17"/>
        <v>0</v>
      </c>
      <c r="AI32">
        <v>0.08</v>
      </c>
      <c r="AL32" s="48" t="b">
        <f t="shared" si="18"/>
        <v>1</v>
      </c>
      <c r="AN32" s="57">
        <f t="shared" si="19"/>
        <v>3468169.5039376877</v>
      </c>
    </row>
    <row r="33" spans="1:40" customFormat="1" ht="34.5">
      <c r="A33" s="110"/>
      <c r="B33" s="33" t="s">
        <v>14</v>
      </c>
      <c r="C33" s="33" t="s">
        <v>15</v>
      </c>
      <c r="D33" s="16">
        <v>0.52410000000000001</v>
      </c>
      <c r="E33" s="16">
        <v>0.47589999999999999</v>
      </c>
      <c r="F33" s="35" t="s">
        <v>160</v>
      </c>
      <c r="G33" s="37"/>
      <c r="H33" s="37"/>
      <c r="I33" s="37">
        <v>1</v>
      </c>
      <c r="J33" s="37">
        <v>11</v>
      </c>
      <c r="K33" s="37">
        <v>11</v>
      </c>
      <c r="L33" s="37"/>
      <c r="M33" s="37">
        <f t="shared" si="20"/>
        <v>12</v>
      </c>
      <c r="N33" s="37">
        <f t="shared" si="1"/>
        <v>18</v>
      </c>
      <c r="O33" s="37">
        <f t="shared" si="2"/>
        <v>15</v>
      </c>
      <c r="P33" s="37">
        <f t="shared" si="3"/>
        <v>20</v>
      </c>
      <c r="Q33" s="38">
        <v>2000</v>
      </c>
      <c r="S33" s="5">
        <f t="shared" si="4"/>
        <v>4159836.9363553124</v>
      </c>
      <c r="T33" s="5">
        <f t="shared" si="5"/>
        <v>5546449.2484737504</v>
      </c>
      <c r="U33" s="5">
        <f t="shared" si="6"/>
        <v>4991804.3236263748</v>
      </c>
      <c r="V33" s="5">
        <f t="shared" si="7"/>
        <v>5546449.2484737504</v>
      </c>
      <c r="W33" s="5">
        <f t="shared" si="8"/>
        <v>5546449.2484737504</v>
      </c>
      <c r="X33" s="5">
        <f t="shared" si="9"/>
        <v>5546449.2484737504</v>
      </c>
      <c r="Y33" s="5">
        <f t="shared" si="10"/>
        <v>5638789.8748250427</v>
      </c>
      <c r="Z33" s="5">
        <f t="shared" si="11"/>
        <v>5638789.8748250427</v>
      </c>
      <c r="AA33" s="5">
        <f t="shared" si="12"/>
        <v>5638789.8748250427</v>
      </c>
      <c r="AB33" s="5">
        <f t="shared" si="13"/>
        <v>5638789.8748250427</v>
      </c>
      <c r="AC33" s="5">
        <f t="shared" si="14"/>
        <v>5638789.8748250427</v>
      </c>
      <c r="AD33" s="5">
        <f t="shared" si="15"/>
        <v>3383273.9248950253</v>
      </c>
      <c r="AF33" s="5">
        <f t="shared" si="21"/>
        <v>62914661.552896939</v>
      </c>
      <c r="AG33" s="48">
        <f t="shared" si="16"/>
        <v>0</v>
      </c>
      <c r="AH33" s="48">
        <f t="shared" si="17"/>
        <v>0</v>
      </c>
      <c r="AI33">
        <v>0.08</v>
      </c>
      <c r="AL33" s="48" t="b">
        <f t="shared" si="18"/>
        <v>1</v>
      </c>
      <c r="AN33" s="57">
        <f t="shared" si="19"/>
        <v>4238873.8381460626</v>
      </c>
    </row>
    <row r="34" spans="1:40" customFormat="1" ht="34.5">
      <c r="A34" s="110"/>
      <c r="B34" s="33" t="s">
        <v>16</v>
      </c>
      <c r="C34" s="33" t="s">
        <v>15</v>
      </c>
      <c r="D34" s="16">
        <v>0.52410000000000001</v>
      </c>
      <c r="E34" s="16">
        <v>0.47589999999999999</v>
      </c>
      <c r="F34" s="35" t="s">
        <v>160</v>
      </c>
      <c r="G34" s="37">
        <v>1</v>
      </c>
      <c r="H34" s="37"/>
      <c r="I34" s="37">
        <v>1</v>
      </c>
      <c r="J34" s="37">
        <v>11</v>
      </c>
      <c r="K34" s="37">
        <v>11</v>
      </c>
      <c r="L34" s="37"/>
      <c r="M34" s="37">
        <f t="shared" si="20"/>
        <v>20</v>
      </c>
      <c r="N34" s="37">
        <f t="shared" si="1"/>
        <v>18</v>
      </c>
      <c r="O34" s="37">
        <f t="shared" si="2"/>
        <v>20</v>
      </c>
      <c r="P34" s="37">
        <f t="shared" si="3"/>
        <v>20</v>
      </c>
      <c r="Q34" s="38">
        <v>2000</v>
      </c>
      <c r="S34" s="5">
        <f t="shared" si="4"/>
        <v>5546449.2484737504</v>
      </c>
      <c r="T34" s="5">
        <f t="shared" si="5"/>
        <v>5546449.2484737504</v>
      </c>
      <c r="U34" s="5">
        <f t="shared" si="6"/>
        <v>4991804.3236263748</v>
      </c>
      <c r="V34" s="5">
        <f t="shared" si="7"/>
        <v>5546449.2484737504</v>
      </c>
      <c r="W34" s="5">
        <f t="shared" si="8"/>
        <v>5546449.2484737504</v>
      </c>
      <c r="X34" s="5">
        <f t="shared" si="9"/>
        <v>5546449.2484737504</v>
      </c>
      <c r="Y34" s="5">
        <f t="shared" si="10"/>
        <v>5638789.8748250427</v>
      </c>
      <c r="Z34" s="5">
        <f t="shared" si="11"/>
        <v>5638789.8748250427</v>
      </c>
      <c r="AA34" s="5">
        <f t="shared" si="12"/>
        <v>5638789.8748250427</v>
      </c>
      <c r="AB34" s="5">
        <f t="shared" si="13"/>
        <v>5638789.8748250427</v>
      </c>
      <c r="AC34" s="5">
        <f t="shared" si="14"/>
        <v>5638789.8748250427</v>
      </c>
      <c r="AD34" s="5">
        <f t="shared" si="15"/>
        <v>5638789.8748250427</v>
      </c>
      <c r="AF34" s="5">
        <f t="shared" si="21"/>
        <v>66556789.8149454</v>
      </c>
      <c r="AG34" s="48">
        <f t="shared" si="16"/>
        <v>1</v>
      </c>
      <c r="AH34" s="48">
        <f t="shared" si="17"/>
        <v>1</v>
      </c>
      <c r="AI34">
        <v>0.08</v>
      </c>
      <c r="AL34" s="48" t="b">
        <f t="shared" si="18"/>
        <v>1</v>
      </c>
      <c r="AN34" s="57">
        <f t="shared" si="19"/>
        <v>5651831.7841947507</v>
      </c>
    </row>
    <row r="35" spans="1:40" customFormat="1" ht="23.1">
      <c r="A35" s="110"/>
      <c r="B35" s="33" t="s">
        <v>17</v>
      </c>
      <c r="C35" s="33" t="s">
        <v>15</v>
      </c>
      <c r="D35" s="16">
        <v>0.52410000000000001</v>
      </c>
      <c r="E35" s="16">
        <v>0.47589999999999999</v>
      </c>
      <c r="F35" s="35" t="s">
        <v>160</v>
      </c>
      <c r="G35" s="37"/>
      <c r="H35" s="37"/>
      <c r="I35" s="37">
        <v>1</v>
      </c>
      <c r="J35" s="37">
        <v>11</v>
      </c>
      <c r="K35" s="37">
        <v>11</v>
      </c>
      <c r="L35" s="37"/>
      <c r="M35" s="37">
        <f t="shared" si="20"/>
        <v>12</v>
      </c>
      <c r="N35" s="37">
        <f t="shared" si="1"/>
        <v>18</v>
      </c>
      <c r="O35" s="37">
        <f t="shared" si="2"/>
        <v>15</v>
      </c>
      <c r="P35" s="37">
        <f t="shared" si="3"/>
        <v>20</v>
      </c>
      <c r="Q35" s="38">
        <v>2000</v>
      </c>
      <c r="S35" s="5">
        <f t="shared" si="4"/>
        <v>4159836.9363553124</v>
      </c>
      <c r="T35" s="5">
        <f t="shared" si="5"/>
        <v>5546449.2484737504</v>
      </c>
      <c r="U35" s="5">
        <f t="shared" si="6"/>
        <v>4991804.3236263748</v>
      </c>
      <c r="V35" s="5">
        <f t="shared" si="7"/>
        <v>5546449.2484737504</v>
      </c>
      <c r="W35" s="5">
        <f t="shared" si="8"/>
        <v>5546449.2484737504</v>
      </c>
      <c r="X35" s="5">
        <f t="shared" si="9"/>
        <v>5546449.2484737504</v>
      </c>
      <c r="Y35" s="5">
        <f t="shared" si="10"/>
        <v>5638789.8748250427</v>
      </c>
      <c r="Z35" s="5">
        <f t="shared" si="11"/>
        <v>5638789.8748250427</v>
      </c>
      <c r="AA35" s="5">
        <f t="shared" si="12"/>
        <v>5638789.8748250427</v>
      </c>
      <c r="AB35" s="5">
        <f t="shared" si="13"/>
        <v>5638789.8748250427</v>
      </c>
      <c r="AC35" s="5">
        <f t="shared" si="14"/>
        <v>5638789.8748250427</v>
      </c>
      <c r="AD35" s="5">
        <f t="shared" si="15"/>
        <v>3383273.9248950253</v>
      </c>
      <c r="AF35" s="5">
        <f t="shared" si="21"/>
        <v>62914661.552896939</v>
      </c>
      <c r="AG35" s="48">
        <f t="shared" si="16"/>
        <v>0</v>
      </c>
      <c r="AH35" s="48">
        <f t="shared" si="17"/>
        <v>0</v>
      </c>
      <c r="AI35">
        <v>0.08</v>
      </c>
      <c r="AL35" s="48" t="b">
        <f t="shared" si="18"/>
        <v>1</v>
      </c>
      <c r="AN35" s="57">
        <f t="shared" si="19"/>
        <v>4238873.8381460626</v>
      </c>
    </row>
    <row r="36" spans="1:40" customFormat="1" ht="34.5">
      <c r="A36" s="110"/>
      <c r="B36" s="33" t="s">
        <v>18</v>
      </c>
      <c r="C36" s="33" t="s">
        <v>15</v>
      </c>
      <c r="D36" s="16">
        <v>0.52410000000000001</v>
      </c>
      <c r="E36" s="16">
        <v>0.47589999999999999</v>
      </c>
      <c r="F36" s="35" t="s">
        <v>160</v>
      </c>
      <c r="G36" s="37"/>
      <c r="H36" s="37"/>
      <c r="I36" s="37">
        <v>1</v>
      </c>
      <c r="J36" s="37">
        <v>11</v>
      </c>
      <c r="K36" s="37">
        <v>11</v>
      </c>
      <c r="L36" s="37"/>
      <c r="M36" s="37">
        <f t="shared" si="20"/>
        <v>12</v>
      </c>
      <c r="N36" s="37">
        <f t="shared" si="1"/>
        <v>18</v>
      </c>
      <c r="O36" s="37">
        <f t="shared" si="2"/>
        <v>15</v>
      </c>
      <c r="P36" s="37">
        <f t="shared" si="3"/>
        <v>20</v>
      </c>
      <c r="Q36" s="38">
        <v>2000</v>
      </c>
      <c r="S36" s="5">
        <f t="shared" si="4"/>
        <v>4159836.9363553124</v>
      </c>
      <c r="T36" s="5">
        <f t="shared" si="5"/>
        <v>5546449.2484737504</v>
      </c>
      <c r="U36" s="5">
        <f t="shared" si="6"/>
        <v>4991804.3236263748</v>
      </c>
      <c r="V36" s="5">
        <f t="shared" si="7"/>
        <v>5546449.2484737504</v>
      </c>
      <c r="W36" s="5">
        <f t="shared" si="8"/>
        <v>5546449.2484737504</v>
      </c>
      <c r="X36" s="5">
        <f t="shared" si="9"/>
        <v>5546449.2484737504</v>
      </c>
      <c r="Y36" s="5">
        <f t="shared" si="10"/>
        <v>5638789.8748250427</v>
      </c>
      <c r="Z36" s="5">
        <f t="shared" si="11"/>
        <v>5638789.8748250427</v>
      </c>
      <c r="AA36" s="5">
        <f t="shared" si="12"/>
        <v>5638789.8748250427</v>
      </c>
      <c r="AB36" s="5">
        <f t="shared" si="13"/>
        <v>5638789.8748250427</v>
      </c>
      <c r="AC36" s="5">
        <f t="shared" si="14"/>
        <v>5638789.8748250427</v>
      </c>
      <c r="AD36" s="5">
        <f t="shared" si="15"/>
        <v>3383273.9248950253</v>
      </c>
      <c r="AF36" s="5">
        <f t="shared" si="21"/>
        <v>62914661.552896939</v>
      </c>
      <c r="AG36" s="48">
        <f t="shared" si="16"/>
        <v>0</v>
      </c>
      <c r="AH36" s="48">
        <f t="shared" si="17"/>
        <v>0</v>
      </c>
      <c r="AI36">
        <v>0.08</v>
      </c>
      <c r="AL36" s="48" t="b">
        <f t="shared" si="18"/>
        <v>1</v>
      </c>
      <c r="AN36" s="57">
        <f t="shared" si="19"/>
        <v>4238873.8381460626</v>
      </c>
    </row>
    <row r="37" spans="1:40" customFormat="1" ht="34.5">
      <c r="A37" s="110"/>
      <c r="B37" s="33" t="s">
        <v>19</v>
      </c>
      <c r="C37" s="33" t="s">
        <v>15</v>
      </c>
      <c r="D37" s="16">
        <v>0.52410000000000001</v>
      </c>
      <c r="E37" s="16">
        <v>0.47589999999999999</v>
      </c>
      <c r="F37" s="35" t="s">
        <v>160</v>
      </c>
      <c r="G37" s="37"/>
      <c r="H37" s="37"/>
      <c r="I37" s="37">
        <v>1</v>
      </c>
      <c r="J37" s="37">
        <v>11</v>
      </c>
      <c r="K37" s="37">
        <v>11</v>
      </c>
      <c r="L37" s="37"/>
      <c r="M37" s="37">
        <f t="shared" si="20"/>
        <v>12</v>
      </c>
      <c r="N37" s="37">
        <f t="shared" si="1"/>
        <v>18</v>
      </c>
      <c r="O37" s="37">
        <f>IF(AND(G37=1,J37&lt;24),20,IF(AND(G37=1,J37=24),30,15))</f>
        <v>15</v>
      </c>
      <c r="P37" s="37">
        <f t="shared" si="3"/>
        <v>20</v>
      </c>
      <c r="Q37" s="38">
        <v>2000</v>
      </c>
      <c r="S37" s="5">
        <f t="shared" si="4"/>
        <v>4159836.9363553124</v>
      </c>
      <c r="T37" s="5">
        <f t="shared" si="5"/>
        <v>5546449.2484737504</v>
      </c>
      <c r="U37" s="5">
        <f t="shared" si="6"/>
        <v>4991804.3236263748</v>
      </c>
      <c r="V37" s="5">
        <f t="shared" si="7"/>
        <v>5546449.2484737504</v>
      </c>
      <c r="W37" s="5">
        <f t="shared" si="8"/>
        <v>5546449.2484737504</v>
      </c>
      <c r="X37" s="5">
        <f t="shared" si="9"/>
        <v>5546449.2484737504</v>
      </c>
      <c r="Y37" s="5">
        <f t="shared" si="10"/>
        <v>5638789.8748250427</v>
      </c>
      <c r="Z37" s="5">
        <f t="shared" si="11"/>
        <v>5638789.8748250427</v>
      </c>
      <c r="AA37" s="5">
        <f t="shared" si="12"/>
        <v>5638789.8748250427</v>
      </c>
      <c r="AB37" s="5">
        <f t="shared" si="13"/>
        <v>5638789.8748250427</v>
      </c>
      <c r="AC37" s="5">
        <f t="shared" si="14"/>
        <v>5638789.8748250427</v>
      </c>
      <c r="AD37" s="5">
        <f t="shared" si="15"/>
        <v>3383273.9248950253</v>
      </c>
      <c r="AF37" s="5">
        <f t="shared" si="21"/>
        <v>62914661.552896939</v>
      </c>
      <c r="AG37" s="48">
        <f t="shared" si="16"/>
        <v>0</v>
      </c>
      <c r="AH37" s="48">
        <f t="shared" si="17"/>
        <v>0</v>
      </c>
      <c r="AI37">
        <v>0.08</v>
      </c>
      <c r="AL37" s="48" t="b">
        <f t="shared" si="18"/>
        <v>1</v>
      </c>
      <c r="AN37" s="57">
        <f t="shared" si="19"/>
        <v>4238873.8381460626</v>
      </c>
    </row>
    <row r="38" spans="1:40" customFormat="1" ht="57.6">
      <c r="A38" s="110"/>
      <c r="B38" s="33" t="s">
        <v>20</v>
      </c>
      <c r="C38" s="33" t="s">
        <v>21</v>
      </c>
      <c r="D38" s="16">
        <v>0.52410000000000001</v>
      </c>
      <c r="E38" s="16">
        <v>0.47589999999999999</v>
      </c>
      <c r="F38" s="35" t="s">
        <v>160</v>
      </c>
      <c r="G38" s="37">
        <v>1</v>
      </c>
      <c r="H38" s="37"/>
      <c r="I38" s="37">
        <v>1</v>
      </c>
      <c r="J38" s="37">
        <v>12</v>
      </c>
      <c r="K38" s="37">
        <v>12</v>
      </c>
      <c r="L38" s="37"/>
      <c r="M38" s="37">
        <f t="shared" si="20"/>
        <v>20</v>
      </c>
      <c r="N38" s="37">
        <f t="shared" si="1"/>
        <v>18</v>
      </c>
      <c r="O38" s="37">
        <f t="shared" si="2"/>
        <v>20</v>
      </c>
      <c r="P38" s="37">
        <f t="shared" si="3"/>
        <v>20</v>
      </c>
      <c r="Q38" s="38">
        <v>2000</v>
      </c>
      <c r="S38" s="5">
        <f t="shared" si="4"/>
        <v>6050671.9074259093</v>
      </c>
      <c r="T38" s="5">
        <f t="shared" si="5"/>
        <v>6050671.9074259093</v>
      </c>
      <c r="U38" s="5">
        <f t="shared" si="6"/>
        <v>5445604.7166833179</v>
      </c>
      <c r="V38" s="5">
        <f t="shared" si="7"/>
        <v>6050671.9074259093</v>
      </c>
      <c r="W38" s="5">
        <f t="shared" si="8"/>
        <v>6050671.9074259093</v>
      </c>
      <c r="X38" s="5">
        <f t="shared" si="9"/>
        <v>6050671.9074259093</v>
      </c>
      <c r="Y38" s="5">
        <f t="shared" si="10"/>
        <v>6151407.1361727742</v>
      </c>
      <c r="Z38" s="5">
        <f t="shared" si="11"/>
        <v>6151407.1361727742</v>
      </c>
      <c r="AA38" s="5">
        <f t="shared" si="12"/>
        <v>6151407.1361727742</v>
      </c>
      <c r="AB38" s="5">
        <f t="shared" si="13"/>
        <v>6151407.1361727742</v>
      </c>
      <c r="AC38" s="5">
        <f t="shared" si="14"/>
        <v>6151407.1361727742</v>
      </c>
      <c r="AD38" s="5">
        <f t="shared" si="15"/>
        <v>6151407.1361727742</v>
      </c>
      <c r="AF38" s="5">
        <f t="shared" si="21"/>
        <v>72607407.070849493</v>
      </c>
      <c r="AG38" s="48">
        <f t="shared" si="16"/>
        <v>1</v>
      </c>
      <c r="AH38" s="48">
        <f t="shared" si="17"/>
        <v>1</v>
      </c>
      <c r="AI38">
        <v>0.08</v>
      </c>
      <c r="AL38" s="48" t="b">
        <f t="shared" si="18"/>
        <v>1</v>
      </c>
      <c r="AN38" s="57">
        <f t="shared" si="19"/>
        <v>6165634.6736670006</v>
      </c>
    </row>
    <row r="39" spans="1:40" customFormat="1" ht="34.5">
      <c r="A39" s="110"/>
      <c r="B39" s="33" t="s">
        <v>22</v>
      </c>
      <c r="C39" s="33" t="s">
        <v>23</v>
      </c>
      <c r="D39" s="16">
        <v>0.52410000000000001</v>
      </c>
      <c r="E39" s="16">
        <v>0.47589999999999999</v>
      </c>
      <c r="F39" s="35" t="s">
        <v>160</v>
      </c>
      <c r="G39" s="37">
        <v>1</v>
      </c>
      <c r="H39" s="37"/>
      <c r="I39" s="37">
        <v>1</v>
      </c>
      <c r="J39" s="37">
        <v>12</v>
      </c>
      <c r="K39" s="37">
        <v>12</v>
      </c>
      <c r="L39" s="37"/>
      <c r="M39" s="37">
        <f t="shared" si="20"/>
        <v>20</v>
      </c>
      <c r="N39" s="37">
        <f t="shared" si="1"/>
        <v>18</v>
      </c>
      <c r="O39" s="37">
        <f t="shared" si="2"/>
        <v>20</v>
      </c>
      <c r="P39" s="37">
        <f t="shared" si="3"/>
        <v>20</v>
      </c>
      <c r="Q39" s="38">
        <v>2000</v>
      </c>
      <c r="S39" s="5">
        <f t="shared" si="4"/>
        <v>6050671.9074259093</v>
      </c>
      <c r="T39" s="5">
        <f t="shared" si="5"/>
        <v>6050671.9074259093</v>
      </c>
      <c r="U39" s="5">
        <f t="shared" si="6"/>
        <v>5445604.7166833179</v>
      </c>
      <c r="V39" s="5">
        <f t="shared" si="7"/>
        <v>6050671.9074259093</v>
      </c>
      <c r="W39" s="5">
        <f t="shared" si="8"/>
        <v>6050671.9074259093</v>
      </c>
      <c r="X39" s="5">
        <f t="shared" si="9"/>
        <v>6050671.9074259093</v>
      </c>
      <c r="Y39" s="5">
        <f t="shared" si="10"/>
        <v>6151407.1361727742</v>
      </c>
      <c r="Z39" s="5">
        <f t="shared" si="11"/>
        <v>6151407.1361727742</v>
      </c>
      <c r="AA39" s="5">
        <f t="shared" si="12"/>
        <v>6151407.1361727742</v>
      </c>
      <c r="AB39" s="5">
        <f t="shared" si="13"/>
        <v>6151407.1361727742</v>
      </c>
      <c r="AC39" s="5">
        <f t="shared" si="14"/>
        <v>6151407.1361727742</v>
      </c>
      <c r="AD39" s="5">
        <f t="shared" si="15"/>
        <v>6151407.1361727742</v>
      </c>
      <c r="AF39" s="5">
        <f t="shared" si="21"/>
        <v>72607407.070849493</v>
      </c>
      <c r="AG39" s="48">
        <f t="shared" si="16"/>
        <v>1</v>
      </c>
      <c r="AH39" s="48">
        <f t="shared" si="17"/>
        <v>1</v>
      </c>
      <c r="AI39">
        <v>0.08</v>
      </c>
      <c r="AL39" s="48" t="b">
        <f t="shared" si="18"/>
        <v>1</v>
      </c>
      <c r="AN39" s="57">
        <f t="shared" si="19"/>
        <v>6165634.6736670006</v>
      </c>
    </row>
    <row r="40" spans="1:40" ht="36.75" customHeight="1">
      <c r="A40" s="110"/>
      <c r="B40" s="33" t="s">
        <v>24</v>
      </c>
      <c r="C40" s="33" t="s">
        <v>25</v>
      </c>
      <c r="D40" s="16">
        <v>0.52410000000000001</v>
      </c>
      <c r="E40" s="16">
        <v>0.47589999999999999</v>
      </c>
      <c r="F40" s="35" t="s">
        <v>160</v>
      </c>
      <c r="G40" s="37">
        <v>1</v>
      </c>
      <c r="H40" s="37"/>
      <c r="I40" s="37">
        <v>1</v>
      </c>
      <c r="J40" s="37">
        <v>12</v>
      </c>
      <c r="K40" s="37">
        <v>11</v>
      </c>
      <c r="L40" s="37">
        <v>1</v>
      </c>
      <c r="M40" s="37">
        <f t="shared" si="20"/>
        <v>20</v>
      </c>
      <c r="N40" s="37">
        <f t="shared" si="1"/>
        <v>18</v>
      </c>
      <c r="O40" s="37">
        <f t="shared" si="2"/>
        <v>20</v>
      </c>
      <c r="P40" s="37">
        <f t="shared" si="3"/>
        <v>20</v>
      </c>
      <c r="Q40" s="38">
        <v>2000</v>
      </c>
      <c r="S40" s="5">
        <f t="shared" si="4"/>
        <v>6202702.5183048351</v>
      </c>
      <c r="T40" s="5">
        <f t="shared" si="5"/>
        <v>6202702.5183048351</v>
      </c>
      <c r="U40" s="5">
        <f t="shared" si="6"/>
        <v>5582432.2664743522</v>
      </c>
      <c r="V40" s="5">
        <f t="shared" si="7"/>
        <v>6202702.5183048351</v>
      </c>
      <c r="W40" s="5">
        <f t="shared" si="8"/>
        <v>6202702.5183048351</v>
      </c>
      <c r="X40" s="5">
        <f t="shared" si="9"/>
        <v>6202702.5183048351</v>
      </c>
      <c r="Y40" s="5">
        <f t="shared" si="10"/>
        <v>6305968.8441922693</v>
      </c>
      <c r="Z40" s="5">
        <f t="shared" si="11"/>
        <v>6305968.8441922693</v>
      </c>
      <c r="AA40" s="5">
        <f t="shared" si="12"/>
        <v>6305968.8441922693</v>
      </c>
      <c r="AB40" s="5">
        <f t="shared" si="13"/>
        <v>6305968.8441922693</v>
      </c>
      <c r="AC40" s="5">
        <f t="shared" si="14"/>
        <v>6305968.8441922693</v>
      </c>
      <c r="AD40" s="5">
        <f t="shared" si="15"/>
        <v>6305968.8441922693</v>
      </c>
      <c r="AF40" s="5">
        <f t="shared" si="21"/>
        <v>74431757.923152134</v>
      </c>
      <c r="AG40" s="48">
        <f t="shared" si="16"/>
        <v>1</v>
      </c>
      <c r="AH40" s="48">
        <f t="shared" si="17"/>
        <v>1</v>
      </c>
      <c r="AI40" s="48">
        <v>0.08</v>
      </c>
      <c r="AL40" s="48" t="b">
        <f t="shared" si="18"/>
        <v>1</v>
      </c>
      <c r="AN40" s="57">
        <f t="shared" si="19"/>
        <v>6320553.8661526265</v>
      </c>
    </row>
    <row r="41" spans="1:40" customFormat="1" ht="23.1">
      <c r="A41" s="110"/>
      <c r="B41" s="33" t="s">
        <v>26</v>
      </c>
      <c r="C41" s="33" t="s">
        <v>23</v>
      </c>
      <c r="D41" s="16">
        <v>0.52410000000000001</v>
      </c>
      <c r="E41" s="16">
        <v>0.47589999999999999</v>
      </c>
      <c r="F41" s="35" t="s">
        <v>160</v>
      </c>
      <c r="G41" s="37">
        <v>1</v>
      </c>
      <c r="H41" s="37"/>
      <c r="I41" s="37">
        <v>1</v>
      </c>
      <c r="J41" s="37">
        <v>12</v>
      </c>
      <c r="K41" s="37">
        <v>12</v>
      </c>
      <c r="L41" s="37"/>
      <c r="M41" s="37">
        <f t="shared" si="20"/>
        <v>20</v>
      </c>
      <c r="N41" s="37">
        <f t="shared" si="1"/>
        <v>18</v>
      </c>
      <c r="O41" s="37">
        <f t="shared" si="2"/>
        <v>20</v>
      </c>
      <c r="P41" s="37">
        <f t="shared" si="3"/>
        <v>20</v>
      </c>
      <c r="Q41" s="38">
        <v>2000</v>
      </c>
      <c r="S41" s="5">
        <f t="shared" si="4"/>
        <v>6050671.9074259093</v>
      </c>
      <c r="T41" s="5">
        <f t="shared" si="5"/>
        <v>6050671.9074259093</v>
      </c>
      <c r="U41" s="5">
        <f t="shared" si="6"/>
        <v>5445604.7166833179</v>
      </c>
      <c r="V41" s="5">
        <f t="shared" si="7"/>
        <v>6050671.9074259093</v>
      </c>
      <c r="W41" s="5">
        <f t="shared" si="8"/>
        <v>6050671.9074259093</v>
      </c>
      <c r="X41" s="5">
        <f t="shared" si="9"/>
        <v>6050671.9074259093</v>
      </c>
      <c r="Y41" s="5">
        <f t="shared" si="10"/>
        <v>6151407.1361727742</v>
      </c>
      <c r="Z41" s="5">
        <f t="shared" si="11"/>
        <v>6151407.1361727742</v>
      </c>
      <c r="AA41" s="5">
        <f t="shared" si="12"/>
        <v>6151407.1361727742</v>
      </c>
      <c r="AB41" s="5">
        <f t="shared" si="13"/>
        <v>6151407.1361727742</v>
      </c>
      <c r="AC41" s="5">
        <f t="shared" si="14"/>
        <v>6151407.1361727742</v>
      </c>
      <c r="AD41" s="5">
        <f t="shared" si="15"/>
        <v>6151407.1361727742</v>
      </c>
      <c r="AF41" s="5">
        <f t="shared" si="21"/>
        <v>72607407.070849493</v>
      </c>
      <c r="AG41" s="48">
        <f t="shared" si="16"/>
        <v>1</v>
      </c>
      <c r="AH41" s="48">
        <f t="shared" si="17"/>
        <v>1</v>
      </c>
      <c r="AI41">
        <v>0.08</v>
      </c>
      <c r="AL41" s="48" t="b">
        <f t="shared" si="18"/>
        <v>1</v>
      </c>
      <c r="AN41" s="57">
        <f t="shared" si="19"/>
        <v>6165634.6736670006</v>
      </c>
    </row>
    <row r="42" spans="1:40" customFormat="1" ht="23.1">
      <c r="A42" s="110"/>
      <c r="B42" s="33" t="s">
        <v>27</v>
      </c>
      <c r="C42" s="33" t="s">
        <v>23</v>
      </c>
      <c r="D42" s="16">
        <v>0.52410000000000001</v>
      </c>
      <c r="E42" s="16">
        <v>0.47589999999999999</v>
      </c>
      <c r="F42" s="35" t="s">
        <v>160</v>
      </c>
      <c r="G42" s="37">
        <v>1</v>
      </c>
      <c r="H42" s="37"/>
      <c r="I42" s="37">
        <v>1</v>
      </c>
      <c r="J42" s="37">
        <v>12</v>
      </c>
      <c r="K42" s="37">
        <v>12</v>
      </c>
      <c r="L42" s="37"/>
      <c r="M42" s="37">
        <f t="shared" si="20"/>
        <v>20</v>
      </c>
      <c r="N42" s="37">
        <f t="shared" si="1"/>
        <v>18</v>
      </c>
      <c r="O42" s="37">
        <f t="shared" si="2"/>
        <v>20</v>
      </c>
      <c r="P42" s="37">
        <f t="shared" si="3"/>
        <v>20</v>
      </c>
      <c r="Q42" s="38">
        <v>2000</v>
      </c>
      <c r="S42" s="5">
        <f t="shared" si="4"/>
        <v>6050671.9074259093</v>
      </c>
      <c r="T42" s="5">
        <f t="shared" si="5"/>
        <v>6050671.9074259093</v>
      </c>
      <c r="U42" s="5">
        <f t="shared" si="6"/>
        <v>5445604.7166833179</v>
      </c>
      <c r="V42" s="5">
        <f t="shared" si="7"/>
        <v>6050671.9074259093</v>
      </c>
      <c r="W42" s="5">
        <f t="shared" si="8"/>
        <v>6050671.9074259093</v>
      </c>
      <c r="X42" s="5">
        <f t="shared" si="9"/>
        <v>6050671.9074259093</v>
      </c>
      <c r="Y42" s="5">
        <f t="shared" si="10"/>
        <v>6151407.1361727742</v>
      </c>
      <c r="Z42" s="5">
        <f t="shared" si="11"/>
        <v>6151407.1361727742</v>
      </c>
      <c r="AA42" s="5">
        <f t="shared" si="12"/>
        <v>6151407.1361727742</v>
      </c>
      <c r="AB42" s="5">
        <f t="shared" si="13"/>
        <v>6151407.1361727742</v>
      </c>
      <c r="AC42" s="5">
        <f t="shared" si="14"/>
        <v>6151407.1361727742</v>
      </c>
      <c r="AD42" s="5">
        <f t="shared" si="15"/>
        <v>6151407.1361727742</v>
      </c>
      <c r="AF42" s="5">
        <f t="shared" si="21"/>
        <v>72607407.070849493</v>
      </c>
      <c r="AG42" s="48">
        <f t="shared" si="16"/>
        <v>1</v>
      </c>
      <c r="AH42" s="48">
        <f t="shared" si="17"/>
        <v>1</v>
      </c>
      <c r="AI42">
        <v>0.08</v>
      </c>
      <c r="AL42" s="48" t="b">
        <f t="shared" si="18"/>
        <v>1</v>
      </c>
      <c r="AN42" s="57">
        <f t="shared" si="19"/>
        <v>6165634.6736670006</v>
      </c>
    </row>
    <row r="43" spans="1:40" ht="24.75" customHeight="1">
      <c r="A43" s="110"/>
      <c r="B43" s="33" t="s">
        <v>27</v>
      </c>
      <c r="C43" s="33" t="s">
        <v>25</v>
      </c>
      <c r="D43" s="16">
        <v>0.52410000000000001</v>
      </c>
      <c r="E43" s="16">
        <v>0.47589999999999999</v>
      </c>
      <c r="F43" s="35" t="s">
        <v>160</v>
      </c>
      <c r="G43" s="37">
        <v>1</v>
      </c>
      <c r="H43" s="37"/>
      <c r="I43" s="37">
        <v>1</v>
      </c>
      <c r="J43" s="37">
        <v>12</v>
      </c>
      <c r="K43" s="37">
        <v>11</v>
      </c>
      <c r="L43" s="37">
        <v>1</v>
      </c>
      <c r="M43" s="37">
        <f t="shared" si="20"/>
        <v>20</v>
      </c>
      <c r="N43" s="37">
        <f t="shared" si="1"/>
        <v>18</v>
      </c>
      <c r="O43" s="37">
        <f t="shared" si="2"/>
        <v>20</v>
      </c>
      <c r="P43" s="37">
        <f t="shared" si="3"/>
        <v>20</v>
      </c>
      <c r="Q43" s="38">
        <v>2000</v>
      </c>
      <c r="S43" s="5">
        <f t="shared" si="4"/>
        <v>6202702.5183048351</v>
      </c>
      <c r="T43" s="5">
        <f t="shared" si="5"/>
        <v>6202702.5183048351</v>
      </c>
      <c r="U43" s="5">
        <f t="shared" si="6"/>
        <v>5582432.2664743522</v>
      </c>
      <c r="V43" s="5">
        <f t="shared" si="7"/>
        <v>6202702.5183048351</v>
      </c>
      <c r="W43" s="5">
        <f t="shared" si="8"/>
        <v>6202702.5183048351</v>
      </c>
      <c r="X43" s="5">
        <f t="shared" si="9"/>
        <v>6202702.5183048351</v>
      </c>
      <c r="Y43" s="5">
        <f t="shared" si="10"/>
        <v>6305968.8441922693</v>
      </c>
      <c r="Z43" s="5">
        <f t="shared" si="11"/>
        <v>6305968.8441922693</v>
      </c>
      <c r="AA43" s="5">
        <f t="shared" si="12"/>
        <v>6305968.8441922693</v>
      </c>
      <c r="AB43" s="5">
        <f t="shared" si="13"/>
        <v>6305968.8441922693</v>
      </c>
      <c r="AC43" s="5">
        <f t="shared" si="14"/>
        <v>6305968.8441922693</v>
      </c>
      <c r="AD43" s="5">
        <f t="shared" si="15"/>
        <v>6305968.8441922693</v>
      </c>
      <c r="AF43" s="5">
        <f t="shared" si="21"/>
        <v>74431757.923152134</v>
      </c>
      <c r="AG43" s="48">
        <f t="shared" si="16"/>
        <v>1</v>
      </c>
      <c r="AH43" s="48">
        <f t="shared" si="17"/>
        <v>1</v>
      </c>
      <c r="AI43" s="48">
        <v>0.08</v>
      </c>
      <c r="AL43" s="48" t="b">
        <f t="shared" si="18"/>
        <v>1</v>
      </c>
      <c r="AN43" s="57">
        <f t="shared" si="19"/>
        <v>6320553.8661526265</v>
      </c>
    </row>
    <row r="44" spans="1:40" customFormat="1" ht="34.5">
      <c r="A44" s="110"/>
      <c r="B44" s="33" t="s">
        <v>28</v>
      </c>
      <c r="C44" s="33" t="s">
        <v>21</v>
      </c>
      <c r="D44" s="16">
        <v>0.52410000000000001</v>
      </c>
      <c r="E44" s="16">
        <v>0.47589999999999999</v>
      </c>
      <c r="F44" s="35" t="s">
        <v>160</v>
      </c>
      <c r="G44" s="37"/>
      <c r="H44" s="37"/>
      <c r="I44" s="37">
        <v>1</v>
      </c>
      <c r="J44" s="37">
        <v>12</v>
      </c>
      <c r="K44" s="37">
        <v>12</v>
      </c>
      <c r="L44" s="37"/>
      <c r="M44" s="37">
        <f t="shared" si="20"/>
        <v>12</v>
      </c>
      <c r="N44" s="37">
        <f t="shared" si="1"/>
        <v>18</v>
      </c>
      <c r="O44" s="37">
        <f t="shared" si="2"/>
        <v>15</v>
      </c>
      <c r="P44" s="37">
        <f t="shared" si="3"/>
        <v>20</v>
      </c>
      <c r="Q44" s="38">
        <v>2000</v>
      </c>
      <c r="S44" s="5">
        <f t="shared" si="4"/>
        <v>4538003.9305694317</v>
      </c>
      <c r="T44" s="5">
        <f t="shared" si="5"/>
        <v>6050671.9074259093</v>
      </c>
      <c r="U44" s="5">
        <f t="shared" si="6"/>
        <v>5445604.7166833179</v>
      </c>
      <c r="V44" s="5">
        <f t="shared" si="7"/>
        <v>6050671.9074259093</v>
      </c>
      <c r="W44" s="5">
        <f t="shared" si="8"/>
        <v>6050671.9074259093</v>
      </c>
      <c r="X44" s="5">
        <f t="shared" si="9"/>
        <v>6050671.9074259093</v>
      </c>
      <c r="Y44" s="5">
        <f t="shared" si="10"/>
        <v>6151407.1361727742</v>
      </c>
      <c r="Z44" s="5">
        <f t="shared" si="11"/>
        <v>6151407.1361727742</v>
      </c>
      <c r="AA44" s="5">
        <f t="shared" si="12"/>
        <v>6151407.1361727742</v>
      </c>
      <c r="AB44" s="5">
        <f t="shared" si="13"/>
        <v>6151407.1361727742</v>
      </c>
      <c r="AC44" s="5">
        <f t="shared" si="14"/>
        <v>6151407.1361727742</v>
      </c>
      <c r="AD44" s="5">
        <f t="shared" si="15"/>
        <v>3690844.281703664</v>
      </c>
      <c r="AF44" s="5">
        <f t="shared" si="21"/>
        <v>68634176.239523903</v>
      </c>
      <c r="AG44" s="48">
        <f t="shared" si="16"/>
        <v>0</v>
      </c>
      <c r="AH44" s="48">
        <f t="shared" si="17"/>
        <v>0</v>
      </c>
      <c r="AI44">
        <v>0.08</v>
      </c>
      <c r="AL44" s="48" t="b">
        <f t="shared" si="18"/>
        <v>1</v>
      </c>
      <c r="AN44" s="57">
        <f t="shared" si="19"/>
        <v>4624226.0052502509</v>
      </c>
    </row>
    <row r="45" spans="1:40" customFormat="1" ht="23.1">
      <c r="A45" s="110"/>
      <c r="B45" s="33" t="s">
        <v>29</v>
      </c>
      <c r="C45" s="33" t="s">
        <v>21</v>
      </c>
      <c r="D45" s="16">
        <v>0.52410000000000001</v>
      </c>
      <c r="E45" s="16">
        <v>0.47589999999999999</v>
      </c>
      <c r="F45" s="35" t="s">
        <v>160</v>
      </c>
      <c r="G45" s="37"/>
      <c r="H45" s="37"/>
      <c r="I45" s="37">
        <v>1</v>
      </c>
      <c r="J45" s="37">
        <v>12</v>
      </c>
      <c r="K45" s="37">
        <v>12</v>
      </c>
      <c r="L45" s="37"/>
      <c r="M45" s="37">
        <f t="shared" si="20"/>
        <v>12</v>
      </c>
      <c r="N45" s="37">
        <f t="shared" si="1"/>
        <v>18</v>
      </c>
      <c r="O45" s="37">
        <f t="shared" si="2"/>
        <v>15</v>
      </c>
      <c r="P45" s="37">
        <f t="shared" si="3"/>
        <v>20</v>
      </c>
      <c r="Q45" s="38">
        <v>2000</v>
      </c>
      <c r="S45" s="5">
        <f t="shared" si="4"/>
        <v>4538003.9305694317</v>
      </c>
      <c r="T45" s="5">
        <f t="shared" si="5"/>
        <v>6050671.9074259093</v>
      </c>
      <c r="U45" s="5">
        <f t="shared" si="6"/>
        <v>5445604.7166833179</v>
      </c>
      <c r="V45" s="5">
        <f t="shared" si="7"/>
        <v>6050671.9074259093</v>
      </c>
      <c r="W45" s="5">
        <f t="shared" si="8"/>
        <v>6050671.9074259093</v>
      </c>
      <c r="X45" s="5">
        <f t="shared" si="9"/>
        <v>6050671.9074259093</v>
      </c>
      <c r="Y45" s="5">
        <f t="shared" si="10"/>
        <v>6151407.1361727742</v>
      </c>
      <c r="Z45" s="5">
        <f t="shared" si="11"/>
        <v>6151407.1361727742</v>
      </c>
      <c r="AA45" s="5">
        <f t="shared" si="12"/>
        <v>6151407.1361727742</v>
      </c>
      <c r="AB45" s="5">
        <f t="shared" si="13"/>
        <v>6151407.1361727742</v>
      </c>
      <c r="AC45" s="5">
        <f t="shared" si="14"/>
        <v>6151407.1361727742</v>
      </c>
      <c r="AD45" s="5">
        <f t="shared" si="15"/>
        <v>3690844.281703664</v>
      </c>
      <c r="AF45" s="5">
        <f t="shared" si="21"/>
        <v>68634176.239523903</v>
      </c>
      <c r="AG45" s="48">
        <f t="shared" si="16"/>
        <v>0</v>
      </c>
      <c r="AH45" s="48">
        <f t="shared" si="17"/>
        <v>0</v>
      </c>
      <c r="AI45">
        <v>0.08</v>
      </c>
      <c r="AL45" s="48" t="b">
        <f t="shared" si="18"/>
        <v>1</v>
      </c>
      <c r="AN45" s="57">
        <f t="shared" si="19"/>
        <v>4624226.0052502509</v>
      </c>
    </row>
    <row r="46" spans="1:40" customFormat="1" ht="34.5">
      <c r="A46" s="110"/>
      <c r="B46" s="33" t="s">
        <v>30</v>
      </c>
      <c r="C46" s="33" t="s">
        <v>21</v>
      </c>
      <c r="D46" s="16">
        <v>0.52410000000000001</v>
      </c>
      <c r="E46" s="16">
        <v>0.47589999999999999</v>
      </c>
      <c r="F46" s="35" t="s">
        <v>160</v>
      </c>
      <c r="G46" s="37">
        <v>1</v>
      </c>
      <c r="H46" s="37"/>
      <c r="I46" s="37">
        <v>1</v>
      </c>
      <c r="J46" s="37">
        <v>12</v>
      </c>
      <c r="K46" s="37">
        <v>12</v>
      </c>
      <c r="L46" s="37"/>
      <c r="M46" s="37">
        <f t="shared" si="20"/>
        <v>20</v>
      </c>
      <c r="N46" s="37">
        <f t="shared" si="1"/>
        <v>18</v>
      </c>
      <c r="O46" s="37">
        <f t="shared" si="2"/>
        <v>20</v>
      </c>
      <c r="P46" s="37">
        <f t="shared" si="3"/>
        <v>20</v>
      </c>
      <c r="Q46" s="38">
        <v>2000</v>
      </c>
      <c r="S46" s="5">
        <f t="shared" si="4"/>
        <v>6050671.9074259093</v>
      </c>
      <c r="T46" s="5">
        <f t="shared" si="5"/>
        <v>6050671.9074259093</v>
      </c>
      <c r="U46" s="5">
        <f t="shared" si="6"/>
        <v>5445604.7166833179</v>
      </c>
      <c r="V46" s="5">
        <f t="shared" si="7"/>
        <v>6050671.9074259093</v>
      </c>
      <c r="W46" s="5">
        <f t="shared" si="8"/>
        <v>6050671.9074259093</v>
      </c>
      <c r="X46" s="5">
        <f t="shared" si="9"/>
        <v>6050671.9074259093</v>
      </c>
      <c r="Y46" s="5">
        <f t="shared" si="10"/>
        <v>6151407.1361727742</v>
      </c>
      <c r="Z46" s="5">
        <f t="shared" si="11"/>
        <v>6151407.1361727742</v>
      </c>
      <c r="AA46" s="5">
        <f t="shared" si="12"/>
        <v>6151407.1361727742</v>
      </c>
      <c r="AB46" s="5">
        <f t="shared" si="13"/>
        <v>6151407.1361727742</v>
      </c>
      <c r="AC46" s="5">
        <f t="shared" si="14"/>
        <v>6151407.1361727742</v>
      </c>
      <c r="AD46" s="5">
        <f t="shared" si="15"/>
        <v>6151407.1361727742</v>
      </c>
      <c r="AF46" s="5">
        <f t="shared" si="21"/>
        <v>72607407.070849493</v>
      </c>
      <c r="AG46" s="48">
        <f t="shared" si="16"/>
        <v>1</v>
      </c>
      <c r="AH46" s="48">
        <f t="shared" si="17"/>
        <v>1</v>
      </c>
      <c r="AI46">
        <v>0.08</v>
      </c>
      <c r="AL46" s="48" t="b">
        <f t="shared" si="18"/>
        <v>1</v>
      </c>
      <c r="AN46" s="57">
        <f t="shared" si="19"/>
        <v>6165634.6736670006</v>
      </c>
    </row>
    <row r="47" spans="1:40" customFormat="1" ht="23.1">
      <c r="A47" s="110"/>
      <c r="B47" s="33" t="s">
        <v>31</v>
      </c>
      <c r="C47" s="33" t="s">
        <v>21</v>
      </c>
      <c r="D47" s="16">
        <v>0.52410000000000001</v>
      </c>
      <c r="E47" s="16">
        <v>0.47589999999999999</v>
      </c>
      <c r="F47" s="35" t="s">
        <v>160</v>
      </c>
      <c r="G47" s="37"/>
      <c r="H47" s="37"/>
      <c r="I47" s="37">
        <v>1</v>
      </c>
      <c r="J47" s="37">
        <v>12</v>
      </c>
      <c r="K47" s="37">
        <v>12</v>
      </c>
      <c r="L47" s="37"/>
      <c r="M47" s="37">
        <f t="shared" si="20"/>
        <v>12</v>
      </c>
      <c r="N47" s="37">
        <f t="shared" si="1"/>
        <v>18</v>
      </c>
      <c r="O47" s="37">
        <f t="shared" si="2"/>
        <v>15</v>
      </c>
      <c r="P47" s="37">
        <f t="shared" si="3"/>
        <v>20</v>
      </c>
      <c r="Q47" s="38">
        <v>2000</v>
      </c>
      <c r="S47" s="5">
        <f t="shared" si="4"/>
        <v>4538003.9305694317</v>
      </c>
      <c r="T47" s="5">
        <f t="shared" si="5"/>
        <v>6050671.9074259093</v>
      </c>
      <c r="U47" s="5">
        <f t="shared" si="6"/>
        <v>5445604.7166833179</v>
      </c>
      <c r="V47" s="5">
        <f t="shared" si="7"/>
        <v>6050671.9074259093</v>
      </c>
      <c r="W47" s="5">
        <f t="shared" si="8"/>
        <v>6050671.9074259093</v>
      </c>
      <c r="X47" s="5">
        <f t="shared" si="9"/>
        <v>6050671.9074259093</v>
      </c>
      <c r="Y47" s="5">
        <f t="shared" si="10"/>
        <v>6151407.1361727742</v>
      </c>
      <c r="Z47" s="5">
        <f t="shared" si="11"/>
        <v>6151407.1361727742</v>
      </c>
      <c r="AA47" s="5">
        <f t="shared" si="12"/>
        <v>6151407.1361727742</v>
      </c>
      <c r="AB47" s="5">
        <f t="shared" si="13"/>
        <v>6151407.1361727742</v>
      </c>
      <c r="AC47" s="5">
        <f t="shared" si="14"/>
        <v>6151407.1361727742</v>
      </c>
      <c r="AD47" s="5">
        <f t="shared" si="15"/>
        <v>3690844.281703664</v>
      </c>
      <c r="AF47" s="5">
        <f t="shared" si="21"/>
        <v>68634176.239523903</v>
      </c>
      <c r="AG47" s="48">
        <f t="shared" si="16"/>
        <v>0</v>
      </c>
      <c r="AH47" s="48">
        <f t="shared" si="17"/>
        <v>0</v>
      </c>
      <c r="AI47">
        <v>0.08</v>
      </c>
      <c r="AL47" s="48" t="b">
        <f t="shared" si="18"/>
        <v>1</v>
      </c>
      <c r="AN47" s="57">
        <f t="shared" si="19"/>
        <v>4624226.0052502509</v>
      </c>
    </row>
    <row r="48" spans="1:40" ht="36.75" customHeight="1">
      <c r="A48" s="110"/>
      <c r="B48" s="33" t="s">
        <v>32</v>
      </c>
      <c r="C48" s="33" t="s">
        <v>9</v>
      </c>
      <c r="D48" s="16">
        <v>0.52410000000000001</v>
      </c>
      <c r="E48" s="16">
        <v>0.47589999999999999</v>
      </c>
      <c r="F48" s="35" t="s">
        <v>160</v>
      </c>
      <c r="G48" s="37">
        <v>1</v>
      </c>
      <c r="H48" s="37">
        <v>1</v>
      </c>
      <c r="I48" s="37">
        <v>1</v>
      </c>
      <c r="J48" s="37">
        <v>24</v>
      </c>
      <c r="K48" s="37">
        <v>13</v>
      </c>
      <c r="L48" s="37">
        <v>11</v>
      </c>
      <c r="M48" s="37">
        <f t="shared" si="20"/>
        <v>30</v>
      </c>
      <c r="N48" s="37">
        <f t="shared" si="1"/>
        <v>30</v>
      </c>
      <c r="O48" s="37">
        <f t="shared" si="2"/>
        <v>30</v>
      </c>
      <c r="P48" s="37">
        <f t="shared" si="3"/>
        <v>30</v>
      </c>
      <c r="Q48" s="38">
        <v>6000</v>
      </c>
      <c r="S48" s="5">
        <f t="shared" si="4"/>
        <v>20664840.801780004</v>
      </c>
      <c r="T48" s="5">
        <f t="shared" si="5"/>
        <v>20664840.801780004</v>
      </c>
      <c r="U48" s="5">
        <f t="shared" si="6"/>
        <v>20664840.801780004</v>
      </c>
      <c r="V48" s="5">
        <f t="shared" si="7"/>
        <v>20664840.801780004</v>
      </c>
      <c r="W48" s="5">
        <f t="shared" si="8"/>
        <v>20664840.801780004</v>
      </c>
      <c r="X48" s="5">
        <f t="shared" si="9"/>
        <v>20664840.801780004</v>
      </c>
      <c r="Y48" s="5">
        <f t="shared" si="10"/>
        <v>21008809.590840004</v>
      </c>
      <c r="Z48" s="5">
        <f t="shared" si="11"/>
        <v>21008809.590840004</v>
      </c>
      <c r="AA48" s="5">
        <f t="shared" si="12"/>
        <v>21008809.590840004</v>
      </c>
      <c r="AB48" s="5">
        <f t="shared" si="13"/>
        <v>21008809.590840004</v>
      </c>
      <c r="AC48" s="5">
        <f t="shared" si="14"/>
        <v>21008809.590840004</v>
      </c>
      <c r="AD48" s="5">
        <f t="shared" si="15"/>
        <v>21008809.590840004</v>
      </c>
      <c r="AF48" s="5">
        <f t="shared" si="21"/>
        <v>250041902.35572007</v>
      </c>
      <c r="AG48" s="48">
        <f t="shared" si="16"/>
        <v>1</v>
      </c>
      <c r="AH48" s="48">
        <f t="shared" si="17"/>
        <v>1</v>
      </c>
      <c r="AI48" s="48">
        <v>0.08</v>
      </c>
      <c r="AL48" s="48" t="b">
        <f t="shared" si="18"/>
        <v>1</v>
      </c>
      <c r="AN48" s="57">
        <f t="shared" si="19"/>
        <v>21057472.777013823</v>
      </c>
    </row>
    <row r="49" spans="1:40" ht="24.75" customHeight="1">
      <c r="A49" s="110" t="s">
        <v>33</v>
      </c>
      <c r="B49" s="33" t="s">
        <v>34</v>
      </c>
      <c r="C49" s="33" t="s">
        <v>35</v>
      </c>
      <c r="D49" s="16">
        <v>0.52410000000000001</v>
      </c>
      <c r="E49" s="16">
        <v>0.47589999999999999</v>
      </c>
      <c r="F49" s="35" t="s">
        <v>160</v>
      </c>
      <c r="G49" s="37">
        <v>1</v>
      </c>
      <c r="H49" s="37">
        <v>1</v>
      </c>
      <c r="I49" s="37">
        <v>1</v>
      </c>
      <c r="J49" s="37">
        <v>24</v>
      </c>
      <c r="K49" s="37">
        <v>13</v>
      </c>
      <c r="L49" s="37">
        <v>11</v>
      </c>
      <c r="M49" s="37">
        <f t="shared" si="20"/>
        <v>30</v>
      </c>
      <c r="N49" s="37">
        <f t="shared" si="1"/>
        <v>30</v>
      </c>
      <c r="O49" s="37">
        <f t="shared" si="2"/>
        <v>30</v>
      </c>
      <c r="P49" s="37">
        <f t="shared" si="3"/>
        <v>30</v>
      </c>
      <c r="Q49" s="38">
        <v>6000</v>
      </c>
      <c r="S49" s="5">
        <f t="shared" si="4"/>
        <v>21047523.038850002</v>
      </c>
      <c r="T49" s="5">
        <f t="shared" si="5"/>
        <v>21047523.038850002</v>
      </c>
      <c r="U49" s="5">
        <f t="shared" si="6"/>
        <v>21047523.038850002</v>
      </c>
      <c r="V49" s="5">
        <f t="shared" si="7"/>
        <v>21047523.038850002</v>
      </c>
      <c r="W49" s="5">
        <f t="shared" si="8"/>
        <v>21047523.038850002</v>
      </c>
      <c r="X49" s="5">
        <f t="shared" si="9"/>
        <v>21047523.038850002</v>
      </c>
      <c r="Y49" s="5">
        <f t="shared" si="10"/>
        <v>21397861.620300002</v>
      </c>
      <c r="Z49" s="5">
        <f t="shared" si="11"/>
        <v>21397861.620300002</v>
      </c>
      <c r="AA49" s="5">
        <f t="shared" si="12"/>
        <v>21397861.620300002</v>
      </c>
      <c r="AB49" s="5">
        <f t="shared" si="13"/>
        <v>21397861.620300002</v>
      </c>
      <c r="AC49" s="5">
        <f t="shared" si="14"/>
        <v>21397861.620300002</v>
      </c>
      <c r="AD49" s="5">
        <f t="shared" si="15"/>
        <v>21397861.620300002</v>
      </c>
      <c r="AF49" s="5">
        <f t="shared" si="21"/>
        <v>254672307.9549</v>
      </c>
      <c r="AG49" s="48">
        <f t="shared" si="16"/>
        <v>1</v>
      </c>
      <c r="AH49" s="48">
        <f t="shared" si="17"/>
        <v>1</v>
      </c>
      <c r="AI49" s="48">
        <v>0.1</v>
      </c>
      <c r="AL49" s="48" t="b">
        <f t="shared" si="18"/>
        <v>1</v>
      </c>
      <c r="AN49" s="57">
        <f t="shared" si="19"/>
        <v>21447425.976588149</v>
      </c>
    </row>
    <row r="50" spans="1:40" ht="24.75" customHeight="1">
      <c r="A50" s="110"/>
      <c r="B50" s="33" t="s">
        <v>36</v>
      </c>
      <c r="C50" s="33" t="s">
        <v>35</v>
      </c>
      <c r="D50" s="16">
        <v>0.52410000000000001</v>
      </c>
      <c r="E50" s="16">
        <v>0.47589999999999999</v>
      </c>
      <c r="F50" s="35" t="s">
        <v>160</v>
      </c>
      <c r="G50" s="37">
        <v>1</v>
      </c>
      <c r="H50" s="37">
        <v>1</v>
      </c>
      <c r="I50" s="37">
        <v>1</v>
      </c>
      <c r="J50" s="37">
        <v>24</v>
      </c>
      <c r="K50" s="37">
        <v>13</v>
      </c>
      <c r="L50" s="37">
        <v>11</v>
      </c>
      <c r="M50" s="37">
        <f t="shared" si="20"/>
        <v>30</v>
      </c>
      <c r="N50" s="37">
        <f t="shared" si="1"/>
        <v>30</v>
      </c>
      <c r="O50" s="37">
        <f t="shared" si="2"/>
        <v>30</v>
      </c>
      <c r="P50" s="37">
        <f t="shared" si="3"/>
        <v>30</v>
      </c>
      <c r="Q50" s="38">
        <v>6000</v>
      </c>
      <c r="S50" s="5">
        <f t="shared" si="4"/>
        <v>21047523.038850002</v>
      </c>
      <c r="T50" s="5">
        <f t="shared" si="5"/>
        <v>21047523.038850002</v>
      </c>
      <c r="U50" s="5">
        <f t="shared" si="6"/>
        <v>21047523.038850002</v>
      </c>
      <c r="V50" s="5">
        <f t="shared" si="7"/>
        <v>21047523.038850002</v>
      </c>
      <c r="W50" s="5">
        <f t="shared" si="8"/>
        <v>21047523.038850002</v>
      </c>
      <c r="X50" s="5">
        <f t="shared" si="9"/>
        <v>21047523.038850002</v>
      </c>
      <c r="Y50" s="5">
        <f t="shared" si="10"/>
        <v>21397861.620300002</v>
      </c>
      <c r="Z50" s="5">
        <f t="shared" si="11"/>
        <v>21397861.620300002</v>
      </c>
      <c r="AA50" s="5">
        <f t="shared" si="12"/>
        <v>21397861.620300002</v>
      </c>
      <c r="AB50" s="5">
        <f t="shared" si="13"/>
        <v>21397861.620300002</v>
      </c>
      <c r="AC50" s="5">
        <f t="shared" si="14"/>
        <v>21397861.620300002</v>
      </c>
      <c r="AD50" s="5">
        <f t="shared" si="15"/>
        <v>21397861.620300002</v>
      </c>
      <c r="AF50" s="5">
        <f t="shared" si="21"/>
        <v>254672307.9549</v>
      </c>
      <c r="AG50" s="48">
        <f t="shared" si="16"/>
        <v>1</v>
      </c>
      <c r="AH50" s="48">
        <f t="shared" si="17"/>
        <v>1</v>
      </c>
      <c r="AI50" s="48">
        <v>0.1</v>
      </c>
      <c r="AL50" s="48" t="b">
        <f t="shared" si="18"/>
        <v>1</v>
      </c>
      <c r="AN50" s="57">
        <f t="shared" si="19"/>
        <v>21447425.976588149</v>
      </c>
    </row>
    <row r="51" spans="1:40" ht="24.75" customHeight="1">
      <c r="A51" s="110" t="s">
        <v>37</v>
      </c>
      <c r="B51" s="40" t="s">
        <v>38</v>
      </c>
      <c r="C51" s="33" t="s">
        <v>35</v>
      </c>
      <c r="D51" s="16">
        <v>0.52410000000000001</v>
      </c>
      <c r="E51" s="16">
        <v>0.47589999999999999</v>
      </c>
      <c r="F51" s="35" t="s">
        <v>160</v>
      </c>
      <c r="G51" s="37">
        <v>1</v>
      </c>
      <c r="H51" s="37">
        <v>1</v>
      </c>
      <c r="I51" s="37">
        <v>1</v>
      </c>
      <c r="J51" s="37">
        <v>24</v>
      </c>
      <c r="K51" s="37">
        <v>13</v>
      </c>
      <c r="L51" s="37">
        <v>11</v>
      </c>
      <c r="M51" s="37">
        <f t="shared" si="20"/>
        <v>30</v>
      </c>
      <c r="N51" s="37">
        <f t="shared" si="1"/>
        <v>30</v>
      </c>
      <c r="O51" s="37">
        <f t="shared" si="2"/>
        <v>30</v>
      </c>
      <c r="P51" s="37">
        <f t="shared" si="3"/>
        <v>30</v>
      </c>
      <c r="Q51" s="38">
        <v>6000</v>
      </c>
      <c r="S51" s="5">
        <f t="shared" si="4"/>
        <v>21047523.038850002</v>
      </c>
      <c r="T51" s="5">
        <f t="shared" si="5"/>
        <v>21047523.038850002</v>
      </c>
      <c r="U51" s="5">
        <f t="shared" si="6"/>
        <v>21047523.038850002</v>
      </c>
      <c r="V51" s="5">
        <f t="shared" si="7"/>
        <v>21047523.038850002</v>
      </c>
      <c r="W51" s="5">
        <f t="shared" si="8"/>
        <v>21047523.038850002</v>
      </c>
      <c r="X51" s="5">
        <f t="shared" si="9"/>
        <v>21047523.038850002</v>
      </c>
      <c r="Y51" s="5">
        <f t="shared" si="10"/>
        <v>21397861.620300002</v>
      </c>
      <c r="Z51" s="5">
        <f t="shared" si="11"/>
        <v>21397861.620300002</v>
      </c>
      <c r="AA51" s="5">
        <f t="shared" si="12"/>
        <v>21397861.620300002</v>
      </c>
      <c r="AB51" s="5">
        <f t="shared" si="13"/>
        <v>21397861.620300002</v>
      </c>
      <c r="AC51" s="5">
        <f t="shared" si="14"/>
        <v>21397861.620300002</v>
      </c>
      <c r="AD51" s="5">
        <f t="shared" si="15"/>
        <v>21397861.620300002</v>
      </c>
      <c r="AF51" s="5">
        <f t="shared" si="21"/>
        <v>254672307.9549</v>
      </c>
      <c r="AG51" s="48">
        <f t="shared" si="16"/>
        <v>1</v>
      </c>
      <c r="AH51" s="48">
        <f t="shared" si="17"/>
        <v>1</v>
      </c>
      <c r="AI51" s="48">
        <v>0.1</v>
      </c>
      <c r="AL51" s="48" t="b">
        <f t="shared" si="18"/>
        <v>1</v>
      </c>
      <c r="AN51" s="57">
        <f t="shared" si="19"/>
        <v>21447425.976588149</v>
      </c>
    </row>
    <row r="52" spans="1:40" customFormat="1" ht="23.1">
      <c r="A52" s="110"/>
      <c r="B52" s="33" t="s">
        <v>39</v>
      </c>
      <c r="C52" s="33" t="s">
        <v>40</v>
      </c>
      <c r="D52" s="16">
        <v>0.52410000000000001</v>
      </c>
      <c r="E52" s="16">
        <v>0.47589999999999999</v>
      </c>
      <c r="F52" s="35" t="s">
        <v>160</v>
      </c>
      <c r="G52" s="37"/>
      <c r="H52" s="37"/>
      <c r="I52" s="37">
        <v>1</v>
      </c>
      <c r="J52" s="37">
        <v>12</v>
      </c>
      <c r="K52" s="37">
        <v>12</v>
      </c>
      <c r="L52" s="37"/>
      <c r="M52" s="37">
        <f t="shared" si="20"/>
        <v>12</v>
      </c>
      <c r="N52" s="37">
        <f t="shared" si="1"/>
        <v>18</v>
      </c>
      <c r="O52" s="37">
        <f t="shared" si="2"/>
        <v>15</v>
      </c>
      <c r="P52" s="37">
        <f t="shared" si="3"/>
        <v>20</v>
      </c>
      <c r="Q52" s="38">
        <v>2000</v>
      </c>
      <c r="S52" s="5">
        <f t="shared" si="4"/>
        <v>4538003.9305694317</v>
      </c>
      <c r="T52" s="5">
        <f t="shared" si="5"/>
        <v>6050671.9074259093</v>
      </c>
      <c r="U52" s="5">
        <f t="shared" si="6"/>
        <v>5445604.7166833179</v>
      </c>
      <c r="V52" s="5">
        <f t="shared" si="7"/>
        <v>6050671.9074259093</v>
      </c>
      <c r="W52" s="5">
        <f t="shared" si="8"/>
        <v>6050671.9074259093</v>
      </c>
      <c r="X52" s="5">
        <f t="shared" si="9"/>
        <v>6050671.9074259093</v>
      </c>
      <c r="Y52" s="5">
        <f t="shared" si="10"/>
        <v>6151407.1361727742</v>
      </c>
      <c r="Z52" s="5">
        <f t="shared" si="11"/>
        <v>6151407.1361727742</v>
      </c>
      <c r="AA52" s="5">
        <f t="shared" si="12"/>
        <v>6151407.1361727742</v>
      </c>
      <c r="AB52" s="5">
        <f t="shared" si="13"/>
        <v>6151407.1361727742</v>
      </c>
      <c r="AC52" s="5">
        <f t="shared" si="14"/>
        <v>6151407.1361727742</v>
      </c>
      <c r="AD52" s="5">
        <f t="shared" si="15"/>
        <v>3690844.281703664</v>
      </c>
      <c r="AF52" s="5">
        <f t="shared" si="21"/>
        <v>68634176.239523903</v>
      </c>
      <c r="AG52" s="48">
        <f t="shared" si="16"/>
        <v>0</v>
      </c>
      <c r="AH52" s="48">
        <f t="shared" si="17"/>
        <v>0</v>
      </c>
      <c r="AI52">
        <v>0.08</v>
      </c>
      <c r="AL52" s="48" t="b">
        <f t="shared" si="18"/>
        <v>1</v>
      </c>
      <c r="AN52" s="57">
        <f t="shared" si="19"/>
        <v>4624226.0052502509</v>
      </c>
    </row>
    <row r="53" spans="1:40" ht="36.75" customHeight="1">
      <c r="A53" s="110" t="s">
        <v>41</v>
      </c>
      <c r="B53" s="33" t="s">
        <v>42</v>
      </c>
      <c r="C53" s="33" t="s">
        <v>43</v>
      </c>
      <c r="D53" s="16">
        <v>0.52410000000000001</v>
      </c>
      <c r="E53" s="16">
        <v>0.47589999999999999</v>
      </c>
      <c r="F53" s="37" t="s">
        <v>160</v>
      </c>
      <c r="G53" s="37">
        <v>1</v>
      </c>
      <c r="H53" s="37">
        <v>1</v>
      </c>
      <c r="I53" s="37">
        <v>1</v>
      </c>
      <c r="J53" s="37">
        <v>24</v>
      </c>
      <c r="K53" s="37">
        <v>13</v>
      </c>
      <c r="L53" s="37">
        <v>11</v>
      </c>
      <c r="M53" s="37">
        <f t="shared" si="20"/>
        <v>30</v>
      </c>
      <c r="N53" s="37">
        <f t="shared" si="1"/>
        <v>30</v>
      </c>
      <c r="O53" s="37">
        <f t="shared" si="2"/>
        <v>30</v>
      </c>
      <c r="P53" s="37">
        <f t="shared" si="3"/>
        <v>30</v>
      </c>
      <c r="Q53" s="38">
        <v>6000</v>
      </c>
      <c r="S53" s="5">
        <f t="shared" si="4"/>
        <v>21047523.038850002</v>
      </c>
      <c r="T53" s="5">
        <f t="shared" si="5"/>
        <v>21047523.038850002</v>
      </c>
      <c r="U53" s="5">
        <f t="shared" si="6"/>
        <v>21047523.038850002</v>
      </c>
      <c r="V53" s="5">
        <f t="shared" si="7"/>
        <v>21047523.038850002</v>
      </c>
      <c r="W53" s="5">
        <f t="shared" si="8"/>
        <v>21047523.038850002</v>
      </c>
      <c r="X53" s="5">
        <f t="shared" si="9"/>
        <v>21047523.038850002</v>
      </c>
      <c r="Y53" s="5">
        <f t="shared" si="10"/>
        <v>21397861.620300002</v>
      </c>
      <c r="Z53" s="5">
        <f t="shared" si="11"/>
        <v>21397861.620300002</v>
      </c>
      <c r="AA53" s="5">
        <f t="shared" si="12"/>
        <v>21397861.620300002</v>
      </c>
      <c r="AB53" s="5">
        <f t="shared" si="13"/>
        <v>21397861.620300002</v>
      </c>
      <c r="AC53" s="5">
        <f t="shared" si="14"/>
        <v>21397861.620300002</v>
      </c>
      <c r="AD53" s="5">
        <f t="shared" si="15"/>
        <v>21397861.620300002</v>
      </c>
      <c r="AF53" s="5">
        <f t="shared" si="21"/>
        <v>254672307.9549</v>
      </c>
      <c r="AG53" s="48">
        <f t="shared" si="16"/>
        <v>1</v>
      </c>
      <c r="AH53" s="48">
        <f t="shared" si="17"/>
        <v>1</v>
      </c>
      <c r="AI53" s="48">
        <v>0.1</v>
      </c>
      <c r="AL53" s="48" t="b">
        <f t="shared" si="18"/>
        <v>1</v>
      </c>
      <c r="AN53" s="57">
        <f t="shared" si="19"/>
        <v>21447425.976588149</v>
      </c>
    </row>
    <row r="54" spans="1:40" customFormat="1" ht="24.75" customHeight="1">
      <c r="A54" s="110"/>
      <c r="B54" s="33" t="s">
        <v>44</v>
      </c>
      <c r="C54" s="33" t="s">
        <v>21</v>
      </c>
      <c r="D54" s="16">
        <v>0.52410000000000001</v>
      </c>
      <c r="E54" s="16">
        <v>0.47589999999999999</v>
      </c>
      <c r="F54" s="37" t="s">
        <v>160</v>
      </c>
      <c r="G54" s="37"/>
      <c r="H54" s="37"/>
      <c r="I54" s="37">
        <v>1</v>
      </c>
      <c r="J54" s="37">
        <v>12</v>
      </c>
      <c r="K54" s="37">
        <v>12</v>
      </c>
      <c r="L54" s="37"/>
      <c r="M54" s="37">
        <f t="shared" si="20"/>
        <v>12</v>
      </c>
      <c r="N54" s="37">
        <f t="shared" si="1"/>
        <v>18</v>
      </c>
      <c r="O54" s="37">
        <f t="shared" si="2"/>
        <v>15</v>
      </c>
      <c r="P54" s="37">
        <f t="shared" si="3"/>
        <v>20</v>
      </c>
      <c r="Q54" s="43">
        <v>6000</v>
      </c>
      <c r="S54" s="5">
        <f t="shared" si="4"/>
        <v>4538952.8019540478</v>
      </c>
      <c r="T54" s="5">
        <f t="shared" si="5"/>
        <v>6051937.0692720637</v>
      </c>
      <c r="U54" s="5">
        <f t="shared" si="6"/>
        <v>5446743.3623448573</v>
      </c>
      <c r="V54" s="5">
        <f t="shared" si="7"/>
        <v>6051937.0692720637</v>
      </c>
      <c r="W54" s="5">
        <f t="shared" si="8"/>
        <v>6051937.0692720637</v>
      </c>
      <c r="X54" s="5">
        <f t="shared" si="9"/>
        <v>6051937.0692720637</v>
      </c>
      <c r="Y54" s="5">
        <f t="shared" si="10"/>
        <v>6152672.2980189277</v>
      </c>
      <c r="Z54" s="5">
        <f t="shared" si="11"/>
        <v>6152672.2980189277</v>
      </c>
      <c r="AA54" s="5">
        <f t="shared" si="12"/>
        <v>6152672.2980189277</v>
      </c>
      <c r="AB54" s="5">
        <f t="shared" si="13"/>
        <v>6152672.2980189277</v>
      </c>
      <c r="AC54" s="5">
        <f t="shared" si="14"/>
        <v>6152672.2980189277</v>
      </c>
      <c r="AD54" s="5">
        <f t="shared" si="15"/>
        <v>3691603.3788113566</v>
      </c>
      <c r="AF54" s="5">
        <f t="shared" si="21"/>
        <v>68648409.310293138</v>
      </c>
      <c r="AG54" s="48">
        <f t="shared" si="16"/>
        <v>0</v>
      </c>
      <c r="AH54" s="48">
        <f t="shared" si="17"/>
        <v>0</v>
      </c>
      <c r="AI54">
        <v>0.08</v>
      </c>
      <c r="AL54" s="48" t="b">
        <f t="shared" si="18"/>
        <v>1</v>
      </c>
      <c r="AN54" s="57">
        <f t="shared" si="19"/>
        <v>4625192.9051911738</v>
      </c>
    </row>
    <row r="55" spans="1:40" ht="24.75" customHeight="1">
      <c r="A55" s="32" t="s">
        <v>45</v>
      </c>
      <c r="B55" s="33" t="s">
        <v>46</v>
      </c>
      <c r="C55" s="33" t="s">
        <v>35</v>
      </c>
      <c r="D55" s="16">
        <v>0.52410000000000001</v>
      </c>
      <c r="E55" s="16">
        <v>0.47589999999999999</v>
      </c>
      <c r="F55" s="37" t="s">
        <v>160</v>
      </c>
      <c r="G55" s="37">
        <v>1</v>
      </c>
      <c r="H55" s="37">
        <v>1</v>
      </c>
      <c r="I55" s="37">
        <v>1</v>
      </c>
      <c r="J55" s="37">
        <v>24</v>
      </c>
      <c r="K55" s="37">
        <v>13</v>
      </c>
      <c r="L55" s="37">
        <v>11</v>
      </c>
      <c r="M55" s="37">
        <f t="shared" si="20"/>
        <v>30</v>
      </c>
      <c r="N55" s="37">
        <f t="shared" si="1"/>
        <v>30</v>
      </c>
      <c r="O55" s="37">
        <f t="shared" si="2"/>
        <v>30</v>
      </c>
      <c r="P55" s="37">
        <f t="shared" si="3"/>
        <v>30</v>
      </c>
      <c r="Q55" s="38">
        <v>6000</v>
      </c>
      <c r="S55" s="5">
        <f t="shared" si="4"/>
        <v>21047523.038850002</v>
      </c>
      <c r="T55" s="5">
        <f t="shared" si="5"/>
        <v>21047523.038850002</v>
      </c>
      <c r="U55" s="5">
        <f t="shared" si="6"/>
        <v>21047523.038850002</v>
      </c>
      <c r="V55" s="5">
        <f t="shared" si="7"/>
        <v>21047523.038850002</v>
      </c>
      <c r="W55" s="5">
        <f t="shared" si="8"/>
        <v>21047523.038850002</v>
      </c>
      <c r="X55" s="5">
        <f t="shared" si="9"/>
        <v>21047523.038850002</v>
      </c>
      <c r="Y55" s="5">
        <f t="shared" si="10"/>
        <v>21397861.620300002</v>
      </c>
      <c r="Z55" s="5">
        <f t="shared" si="11"/>
        <v>21397861.620300002</v>
      </c>
      <c r="AA55" s="5">
        <f t="shared" si="12"/>
        <v>21397861.620300002</v>
      </c>
      <c r="AB55" s="5">
        <f t="shared" si="13"/>
        <v>21397861.620300002</v>
      </c>
      <c r="AC55" s="5">
        <f t="shared" si="14"/>
        <v>21397861.620300002</v>
      </c>
      <c r="AD55" s="5">
        <f t="shared" si="15"/>
        <v>21397861.620300002</v>
      </c>
      <c r="AF55" s="5">
        <f t="shared" si="21"/>
        <v>254672307.9549</v>
      </c>
      <c r="AG55" s="48">
        <f t="shared" si="16"/>
        <v>1</v>
      </c>
      <c r="AH55" s="48">
        <f t="shared" si="17"/>
        <v>1</v>
      </c>
      <c r="AI55" s="48">
        <v>0.1</v>
      </c>
      <c r="AL55" s="48" t="b">
        <f t="shared" si="18"/>
        <v>1</v>
      </c>
      <c r="AN55" s="57">
        <f t="shared" si="19"/>
        <v>21447425.976588149</v>
      </c>
    </row>
    <row r="56" spans="1:40" ht="24.75" customHeight="1">
      <c r="A56" s="110" t="s">
        <v>47</v>
      </c>
      <c r="B56" s="40" t="s">
        <v>48</v>
      </c>
      <c r="C56" s="33" t="s">
        <v>49</v>
      </c>
      <c r="D56" s="16">
        <v>0.52410000000000001</v>
      </c>
      <c r="E56" s="16">
        <v>0.47589999999999999</v>
      </c>
      <c r="F56" s="35" t="s">
        <v>160</v>
      </c>
      <c r="G56" s="37">
        <v>1</v>
      </c>
      <c r="H56" s="37"/>
      <c r="I56" s="37">
        <v>1</v>
      </c>
      <c r="J56" s="37">
        <v>24</v>
      </c>
      <c r="K56" s="37">
        <v>13</v>
      </c>
      <c r="L56" s="37">
        <v>11</v>
      </c>
      <c r="M56" s="37">
        <f t="shared" si="20"/>
        <v>30</v>
      </c>
      <c r="N56" s="37">
        <v>23</v>
      </c>
      <c r="O56" s="37">
        <f t="shared" si="2"/>
        <v>30</v>
      </c>
      <c r="P56" s="37">
        <f t="shared" si="3"/>
        <v>30</v>
      </c>
      <c r="Q56" s="38">
        <v>6000</v>
      </c>
      <c r="S56" s="5">
        <f t="shared" si="4"/>
        <v>21047523.038850002</v>
      </c>
      <c r="T56" s="5">
        <f t="shared" si="5"/>
        <v>21047523.038850002</v>
      </c>
      <c r="U56" s="5">
        <f t="shared" si="6"/>
        <v>16136434.329785002</v>
      </c>
      <c r="V56" s="5">
        <f t="shared" si="7"/>
        <v>21047523.038850002</v>
      </c>
      <c r="W56" s="5">
        <f t="shared" si="8"/>
        <v>21047523.038850002</v>
      </c>
      <c r="X56" s="5">
        <f t="shared" si="9"/>
        <v>21047523.038850002</v>
      </c>
      <c r="Y56" s="5">
        <f t="shared" si="10"/>
        <v>21397861.620300002</v>
      </c>
      <c r="Z56" s="5">
        <f t="shared" si="11"/>
        <v>21397861.620300002</v>
      </c>
      <c r="AA56" s="5">
        <f t="shared" si="12"/>
        <v>21397861.620300002</v>
      </c>
      <c r="AB56" s="5">
        <f t="shared" si="13"/>
        <v>21397861.620300002</v>
      </c>
      <c r="AC56" s="5">
        <f t="shared" si="14"/>
        <v>21397861.620300002</v>
      </c>
      <c r="AD56" s="5">
        <f t="shared" si="15"/>
        <v>21397861.620300002</v>
      </c>
      <c r="AF56" s="5">
        <f t="shared" si="21"/>
        <v>249761219.24583501</v>
      </c>
      <c r="AG56" s="48">
        <f t="shared" si="16"/>
        <v>1</v>
      </c>
      <c r="AH56" s="48">
        <f t="shared" si="17"/>
        <v>1</v>
      </c>
      <c r="AI56" s="48">
        <v>0.1</v>
      </c>
      <c r="AL56" s="48" t="b">
        <f t="shared" si="18"/>
        <v>1</v>
      </c>
      <c r="AN56" s="57">
        <f t="shared" si="19"/>
        <v>21447425.976588149</v>
      </c>
    </row>
    <row r="57" spans="1:40" ht="24.75" customHeight="1">
      <c r="A57" s="110"/>
      <c r="B57" s="40" t="s">
        <v>50</v>
      </c>
      <c r="C57" s="33" t="s">
        <v>49</v>
      </c>
      <c r="D57" s="16">
        <v>0.52410000000000001</v>
      </c>
      <c r="E57" s="16">
        <v>0.47589999999999999</v>
      </c>
      <c r="F57" s="35" t="s">
        <v>160</v>
      </c>
      <c r="G57" s="37">
        <v>1</v>
      </c>
      <c r="H57" s="37">
        <v>1</v>
      </c>
      <c r="I57" s="37">
        <v>1</v>
      </c>
      <c r="J57" s="37">
        <v>24</v>
      </c>
      <c r="K57" s="37">
        <v>13</v>
      </c>
      <c r="L57" s="37">
        <v>11</v>
      </c>
      <c r="M57" s="37">
        <f t="shared" si="20"/>
        <v>30</v>
      </c>
      <c r="N57" s="37">
        <f t="shared" si="1"/>
        <v>30</v>
      </c>
      <c r="O57" s="37">
        <f t="shared" si="2"/>
        <v>30</v>
      </c>
      <c r="P57" s="37">
        <f t="shared" si="3"/>
        <v>30</v>
      </c>
      <c r="Q57" s="38">
        <v>6000</v>
      </c>
      <c r="S57" s="5">
        <f t="shared" si="4"/>
        <v>21047523.038850002</v>
      </c>
      <c r="T57" s="5">
        <f t="shared" si="5"/>
        <v>21047523.038850002</v>
      </c>
      <c r="U57" s="5">
        <f t="shared" si="6"/>
        <v>21047523.038850002</v>
      </c>
      <c r="V57" s="5">
        <f t="shared" si="7"/>
        <v>21047523.038850002</v>
      </c>
      <c r="W57" s="5">
        <f t="shared" si="8"/>
        <v>21047523.038850002</v>
      </c>
      <c r="X57" s="5">
        <f t="shared" si="9"/>
        <v>21047523.038850002</v>
      </c>
      <c r="Y57" s="5">
        <f t="shared" si="10"/>
        <v>21397861.620300002</v>
      </c>
      <c r="Z57" s="5">
        <f t="shared" si="11"/>
        <v>21397861.620300002</v>
      </c>
      <c r="AA57" s="5">
        <f t="shared" si="12"/>
        <v>21397861.620300002</v>
      </c>
      <c r="AB57" s="5">
        <f t="shared" si="13"/>
        <v>21397861.620300002</v>
      </c>
      <c r="AC57" s="5">
        <f t="shared" si="14"/>
        <v>21397861.620300002</v>
      </c>
      <c r="AD57" s="5">
        <f t="shared" si="15"/>
        <v>21397861.620300002</v>
      </c>
      <c r="AF57" s="5">
        <f t="shared" si="21"/>
        <v>254672307.9549</v>
      </c>
      <c r="AG57" s="48">
        <f t="shared" si="16"/>
        <v>1</v>
      </c>
      <c r="AH57" s="48">
        <f t="shared" si="17"/>
        <v>1</v>
      </c>
      <c r="AI57" s="48">
        <v>0.1</v>
      </c>
      <c r="AL57" s="48" t="b">
        <f t="shared" si="18"/>
        <v>1</v>
      </c>
      <c r="AN57" s="57">
        <f t="shared" si="19"/>
        <v>21447425.976588149</v>
      </c>
    </row>
    <row r="58" spans="1:40" ht="24.75" customHeight="1">
      <c r="A58" s="110" t="s">
        <v>51</v>
      </c>
      <c r="B58" s="33" t="s">
        <v>52</v>
      </c>
      <c r="C58" s="33" t="s">
        <v>35</v>
      </c>
      <c r="D58" s="16">
        <v>0.52410000000000001</v>
      </c>
      <c r="E58" s="16">
        <v>0.47589999999999999</v>
      </c>
      <c r="F58" s="35" t="s">
        <v>160</v>
      </c>
      <c r="G58" s="37">
        <v>1</v>
      </c>
      <c r="H58" s="37">
        <v>1</v>
      </c>
      <c r="I58" s="37">
        <v>1</v>
      </c>
      <c r="J58" s="37">
        <v>24</v>
      </c>
      <c r="K58" s="37">
        <v>13</v>
      </c>
      <c r="L58" s="37">
        <v>11</v>
      </c>
      <c r="M58" s="37">
        <f t="shared" si="20"/>
        <v>30</v>
      </c>
      <c r="N58" s="37">
        <f t="shared" si="1"/>
        <v>30</v>
      </c>
      <c r="O58" s="37">
        <f t="shared" si="2"/>
        <v>30</v>
      </c>
      <c r="P58" s="37">
        <f t="shared" si="3"/>
        <v>30</v>
      </c>
      <c r="Q58" s="38">
        <v>6000</v>
      </c>
      <c r="S58" s="5">
        <f t="shared" si="4"/>
        <v>21047523.038850002</v>
      </c>
      <c r="T58" s="5">
        <f t="shared" si="5"/>
        <v>21047523.038850002</v>
      </c>
      <c r="U58" s="5">
        <f t="shared" si="6"/>
        <v>21047523.038850002</v>
      </c>
      <c r="V58" s="5">
        <f t="shared" si="7"/>
        <v>21047523.038850002</v>
      </c>
      <c r="W58" s="5">
        <f t="shared" si="8"/>
        <v>21047523.038850002</v>
      </c>
      <c r="X58" s="5">
        <f t="shared" si="9"/>
        <v>21047523.038850002</v>
      </c>
      <c r="Y58" s="5">
        <f t="shared" si="10"/>
        <v>21397861.620300002</v>
      </c>
      <c r="Z58" s="5">
        <f t="shared" si="11"/>
        <v>21397861.620300002</v>
      </c>
      <c r="AA58" s="5">
        <f t="shared" si="12"/>
        <v>21397861.620300002</v>
      </c>
      <c r="AB58" s="5">
        <f t="shared" si="13"/>
        <v>21397861.620300002</v>
      </c>
      <c r="AC58" s="5">
        <f t="shared" si="14"/>
        <v>21397861.620300002</v>
      </c>
      <c r="AD58" s="5">
        <f t="shared" si="15"/>
        <v>21397861.620300002</v>
      </c>
      <c r="AF58" s="5">
        <f t="shared" si="21"/>
        <v>254672307.9549</v>
      </c>
      <c r="AG58" s="48">
        <f t="shared" si="16"/>
        <v>1</v>
      </c>
      <c r="AH58" s="48">
        <f t="shared" si="17"/>
        <v>1</v>
      </c>
      <c r="AI58" s="48">
        <v>0.1</v>
      </c>
      <c r="AL58" s="48" t="b">
        <f t="shared" si="18"/>
        <v>1</v>
      </c>
      <c r="AN58" s="57">
        <f t="shared" si="19"/>
        <v>21447425.976588149</v>
      </c>
    </row>
    <row r="59" spans="1:40" ht="24.75" customHeight="1">
      <c r="A59" s="110"/>
      <c r="B59" s="33" t="s">
        <v>53</v>
      </c>
      <c r="C59" s="33" t="s">
        <v>35</v>
      </c>
      <c r="D59" s="16">
        <v>0.52410000000000001</v>
      </c>
      <c r="E59" s="16">
        <v>0.47589999999999999</v>
      </c>
      <c r="F59" s="35" t="s">
        <v>160</v>
      </c>
      <c r="G59" s="37">
        <v>1</v>
      </c>
      <c r="H59" s="37">
        <v>1</v>
      </c>
      <c r="I59" s="37">
        <v>1</v>
      </c>
      <c r="J59" s="37">
        <v>24</v>
      </c>
      <c r="K59" s="37">
        <v>13</v>
      </c>
      <c r="L59" s="37">
        <v>11</v>
      </c>
      <c r="M59" s="37">
        <f t="shared" si="20"/>
        <v>30</v>
      </c>
      <c r="N59" s="37">
        <f t="shared" si="1"/>
        <v>30</v>
      </c>
      <c r="O59" s="37">
        <f t="shared" si="2"/>
        <v>30</v>
      </c>
      <c r="P59" s="37">
        <f t="shared" si="3"/>
        <v>30</v>
      </c>
      <c r="Q59" s="38">
        <v>6000</v>
      </c>
      <c r="S59" s="5">
        <f t="shared" si="4"/>
        <v>21047523.038850002</v>
      </c>
      <c r="T59" s="5">
        <f t="shared" si="5"/>
        <v>21047523.038850002</v>
      </c>
      <c r="U59" s="5">
        <f t="shared" si="6"/>
        <v>21047523.038850002</v>
      </c>
      <c r="V59" s="5">
        <f t="shared" si="7"/>
        <v>21047523.038850002</v>
      </c>
      <c r="W59" s="5">
        <f t="shared" si="8"/>
        <v>21047523.038850002</v>
      </c>
      <c r="X59" s="5">
        <f t="shared" si="9"/>
        <v>21047523.038850002</v>
      </c>
      <c r="Y59" s="5">
        <f t="shared" si="10"/>
        <v>21397861.620300002</v>
      </c>
      <c r="Z59" s="5">
        <f t="shared" si="11"/>
        <v>21397861.620300002</v>
      </c>
      <c r="AA59" s="5">
        <f t="shared" si="12"/>
        <v>21397861.620300002</v>
      </c>
      <c r="AB59" s="5">
        <f t="shared" si="13"/>
        <v>21397861.620300002</v>
      </c>
      <c r="AC59" s="5">
        <f t="shared" si="14"/>
        <v>21397861.620300002</v>
      </c>
      <c r="AD59" s="5">
        <f t="shared" si="15"/>
        <v>21397861.620300002</v>
      </c>
      <c r="AF59" s="5">
        <f t="shared" si="21"/>
        <v>254672307.9549</v>
      </c>
      <c r="AG59" s="48">
        <f t="shared" si="16"/>
        <v>1</v>
      </c>
      <c r="AH59" s="48">
        <f t="shared" si="17"/>
        <v>1</v>
      </c>
      <c r="AI59" s="48">
        <v>0.1</v>
      </c>
      <c r="AL59" s="48" t="b">
        <f t="shared" si="18"/>
        <v>1</v>
      </c>
      <c r="AN59" s="57">
        <f t="shared" si="19"/>
        <v>21447425.976588149</v>
      </c>
    </row>
    <row r="60" spans="1:40" ht="36.75" customHeight="1">
      <c r="A60" s="110"/>
      <c r="B60" s="33" t="s">
        <v>54</v>
      </c>
      <c r="C60" s="33" t="s">
        <v>55</v>
      </c>
      <c r="D60" s="16">
        <v>0.52410000000000001</v>
      </c>
      <c r="E60" s="16">
        <v>0.47589999999999999</v>
      </c>
      <c r="F60" s="35" t="s">
        <v>163</v>
      </c>
      <c r="G60" s="37">
        <v>1</v>
      </c>
      <c r="H60" s="37">
        <v>1</v>
      </c>
      <c r="I60" s="37">
        <v>1</v>
      </c>
      <c r="J60" s="37">
        <v>24</v>
      </c>
      <c r="K60" s="37">
        <v>13</v>
      </c>
      <c r="L60" s="37">
        <v>11</v>
      </c>
      <c r="M60" s="37">
        <f t="shared" si="20"/>
        <v>30</v>
      </c>
      <c r="N60" s="37">
        <f t="shared" si="1"/>
        <v>30</v>
      </c>
      <c r="O60" s="37">
        <f t="shared" si="2"/>
        <v>30</v>
      </c>
      <c r="P60" s="37">
        <f t="shared" si="3"/>
        <v>30</v>
      </c>
      <c r="Q60" s="38">
        <v>6000</v>
      </c>
      <c r="S60" s="5">
        <f t="shared" si="4"/>
        <v>20664840.801780004</v>
      </c>
      <c r="T60" s="5">
        <f t="shared" si="5"/>
        <v>20664840.801780004</v>
      </c>
      <c r="U60" s="5">
        <f t="shared" si="6"/>
        <v>20664840.801780004</v>
      </c>
      <c r="V60" s="5">
        <f t="shared" si="7"/>
        <v>20664840.801780004</v>
      </c>
      <c r="W60" s="5">
        <f t="shared" si="8"/>
        <v>20664840.801780004</v>
      </c>
      <c r="X60" s="5">
        <f t="shared" si="9"/>
        <v>20664840.801780004</v>
      </c>
      <c r="Y60" s="5">
        <f t="shared" si="10"/>
        <v>21008809.590840004</v>
      </c>
      <c r="Z60" s="5">
        <f t="shared" si="11"/>
        <v>21008809.590840004</v>
      </c>
      <c r="AA60" s="5">
        <f t="shared" si="12"/>
        <v>21008809.590840004</v>
      </c>
      <c r="AB60" s="5">
        <f t="shared" si="13"/>
        <v>21008809.590840004</v>
      </c>
      <c r="AC60" s="5">
        <f t="shared" si="14"/>
        <v>21008809.590840004</v>
      </c>
      <c r="AD60" s="5">
        <f t="shared" si="15"/>
        <v>21008809.590840004</v>
      </c>
      <c r="AF60" s="5">
        <f t="shared" si="21"/>
        <v>250041902.35572007</v>
      </c>
      <c r="AG60" s="48">
        <f t="shared" si="16"/>
        <v>1</v>
      </c>
      <c r="AH60" s="48">
        <f t="shared" si="17"/>
        <v>1</v>
      </c>
      <c r="AI60" s="48">
        <v>0.08</v>
      </c>
      <c r="AL60" s="48" t="b">
        <f t="shared" si="18"/>
        <v>1</v>
      </c>
      <c r="AN60" s="57">
        <f t="shared" si="19"/>
        <v>21057472.777013823</v>
      </c>
    </row>
    <row r="61" spans="1:40" ht="24.75" customHeight="1">
      <c r="A61" s="110"/>
      <c r="B61" s="33" t="s">
        <v>56</v>
      </c>
      <c r="C61" s="33" t="s">
        <v>35</v>
      </c>
      <c r="D61" s="16">
        <v>0.52410000000000001</v>
      </c>
      <c r="E61" s="16">
        <v>0.47589999999999999</v>
      </c>
      <c r="F61" s="35" t="s">
        <v>160</v>
      </c>
      <c r="G61" s="37">
        <v>1</v>
      </c>
      <c r="H61" s="37">
        <v>1</v>
      </c>
      <c r="I61" s="37">
        <v>1</v>
      </c>
      <c r="J61" s="37">
        <v>24</v>
      </c>
      <c r="K61" s="37">
        <v>13</v>
      </c>
      <c r="L61" s="37">
        <v>11</v>
      </c>
      <c r="M61" s="37">
        <f t="shared" si="20"/>
        <v>30</v>
      </c>
      <c r="N61" s="37">
        <f t="shared" si="1"/>
        <v>30</v>
      </c>
      <c r="O61" s="37">
        <f t="shared" si="2"/>
        <v>30</v>
      </c>
      <c r="P61" s="37">
        <f t="shared" si="3"/>
        <v>30</v>
      </c>
      <c r="Q61" s="38">
        <v>6000</v>
      </c>
      <c r="S61" s="5">
        <f t="shared" si="4"/>
        <v>21047523.038850002</v>
      </c>
      <c r="T61" s="5">
        <f t="shared" si="5"/>
        <v>21047523.038850002</v>
      </c>
      <c r="U61" s="5">
        <f t="shared" si="6"/>
        <v>21047523.038850002</v>
      </c>
      <c r="V61" s="5">
        <f t="shared" si="7"/>
        <v>21047523.038850002</v>
      </c>
      <c r="W61" s="5">
        <f t="shared" si="8"/>
        <v>21047523.038850002</v>
      </c>
      <c r="X61" s="5">
        <f t="shared" si="9"/>
        <v>21047523.038850002</v>
      </c>
      <c r="Y61" s="5">
        <f t="shared" si="10"/>
        <v>21397861.620300002</v>
      </c>
      <c r="Z61" s="5">
        <f t="shared" si="11"/>
        <v>21397861.620300002</v>
      </c>
      <c r="AA61" s="5">
        <f t="shared" si="12"/>
        <v>21397861.620300002</v>
      </c>
      <c r="AB61" s="5">
        <f t="shared" si="13"/>
        <v>21397861.620300002</v>
      </c>
      <c r="AC61" s="5">
        <f t="shared" si="14"/>
        <v>21397861.620300002</v>
      </c>
      <c r="AD61" s="5">
        <f t="shared" si="15"/>
        <v>21397861.620300002</v>
      </c>
      <c r="AF61" s="5">
        <f t="shared" si="21"/>
        <v>254672307.9549</v>
      </c>
      <c r="AG61" s="48">
        <f t="shared" si="16"/>
        <v>1</v>
      </c>
      <c r="AH61" s="48">
        <f t="shared" si="17"/>
        <v>1</v>
      </c>
      <c r="AI61" s="48">
        <v>0.1</v>
      </c>
      <c r="AL61" s="48" t="b">
        <f t="shared" si="18"/>
        <v>1</v>
      </c>
      <c r="AN61" s="57">
        <f t="shared" si="19"/>
        <v>21447425.976588149</v>
      </c>
    </row>
    <row r="62" spans="1:40" ht="24.75" customHeight="1">
      <c r="A62" s="110"/>
      <c r="B62" s="33" t="s">
        <v>57</v>
      </c>
      <c r="C62" s="33" t="s">
        <v>58</v>
      </c>
      <c r="D62" s="16">
        <v>0.52410000000000001</v>
      </c>
      <c r="E62" s="16">
        <v>0.47589999999999999</v>
      </c>
      <c r="F62" s="35" t="s">
        <v>160</v>
      </c>
      <c r="G62" s="37">
        <v>1</v>
      </c>
      <c r="H62" s="37">
        <v>1</v>
      </c>
      <c r="I62" s="37">
        <v>1</v>
      </c>
      <c r="J62" s="37">
        <v>24</v>
      </c>
      <c r="K62" s="37">
        <v>13</v>
      </c>
      <c r="L62" s="37">
        <v>11</v>
      </c>
      <c r="M62" s="37">
        <v>10</v>
      </c>
      <c r="N62" s="37">
        <v>10</v>
      </c>
      <c r="O62" s="37">
        <v>10</v>
      </c>
      <c r="P62" s="37">
        <f t="shared" si="3"/>
        <v>10</v>
      </c>
      <c r="Q62" s="38">
        <v>6000</v>
      </c>
      <c r="S62" s="5">
        <f>+((((((($B$21*$C$21)+Q62)*D62/30)*O62)/11*L62))+(((((($B$21*$C$21)+Q62)*E62/30)*O62)/13*K62)))*(I62)*(1+$AI62)</f>
        <v>7015841.0129500013</v>
      </c>
      <c r="T62" s="5">
        <f t="shared" si="5"/>
        <v>7015841.0129500013</v>
      </c>
      <c r="U62" s="5">
        <f t="shared" si="6"/>
        <v>7015841.0129500013</v>
      </c>
      <c r="V62" s="5">
        <f t="shared" si="7"/>
        <v>7015841.0129500013</v>
      </c>
      <c r="W62" s="5">
        <f t="shared" si="8"/>
        <v>7015841.0129500013</v>
      </c>
      <c r="X62" s="5">
        <f t="shared" si="9"/>
        <v>7015841.0129500013</v>
      </c>
      <c r="Y62" s="5">
        <f t="shared" si="10"/>
        <v>7132620.5401000008</v>
      </c>
      <c r="Z62" s="5">
        <f t="shared" si="11"/>
        <v>7132620.5401000008</v>
      </c>
      <c r="AA62" s="5">
        <f t="shared" si="12"/>
        <v>7132620.5401000008</v>
      </c>
      <c r="AB62" s="5">
        <f t="shared" si="13"/>
        <v>7132620.5401000008</v>
      </c>
      <c r="AC62" s="5">
        <f t="shared" si="14"/>
        <v>7132620.5401000008</v>
      </c>
      <c r="AD62" s="5">
        <f t="shared" si="15"/>
        <v>7132620.5401000008</v>
      </c>
      <c r="AF62" s="5">
        <f t="shared" si="21"/>
        <v>84890769.318300039</v>
      </c>
      <c r="AG62" s="48">
        <f t="shared" si="16"/>
        <v>1</v>
      </c>
      <c r="AH62" s="48">
        <f t="shared" si="17"/>
        <v>1</v>
      </c>
      <c r="AI62" s="48">
        <v>0.1</v>
      </c>
      <c r="AL62" s="48" t="b">
        <f t="shared" si="18"/>
        <v>1</v>
      </c>
      <c r="AN62" s="57">
        <f t="shared" si="19"/>
        <v>7149141.9921960505</v>
      </c>
    </row>
    <row r="63" spans="1:40" customFormat="1" ht="36.75" customHeight="1">
      <c r="A63" s="110"/>
      <c r="B63" s="33" t="s">
        <v>57</v>
      </c>
      <c r="C63" s="33" t="s">
        <v>59</v>
      </c>
      <c r="D63" s="16">
        <v>0.52410000000000001</v>
      </c>
      <c r="E63" s="16">
        <v>0.47589999999999999</v>
      </c>
      <c r="F63" s="35" t="s">
        <v>160</v>
      </c>
      <c r="G63" s="37">
        <v>1</v>
      </c>
      <c r="H63" s="37">
        <v>1</v>
      </c>
      <c r="I63" s="37">
        <v>1</v>
      </c>
      <c r="J63" s="37">
        <v>12</v>
      </c>
      <c r="K63" s="37">
        <v>1</v>
      </c>
      <c r="L63" s="37">
        <v>11</v>
      </c>
      <c r="M63" s="37">
        <f t="shared" si="20"/>
        <v>20</v>
      </c>
      <c r="N63" s="37">
        <f t="shared" si="1"/>
        <v>20</v>
      </c>
      <c r="O63" s="37">
        <f t="shared" si="2"/>
        <v>20</v>
      </c>
      <c r="P63" s="37">
        <f t="shared" si="3"/>
        <v>20</v>
      </c>
      <c r="Q63" s="38">
        <v>2000</v>
      </c>
      <c r="S63" s="5">
        <f t="shared" si="4"/>
        <v>7866027.3053736128</v>
      </c>
      <c r="T63" s="5">
        <f t="shared" si="5"/>
        <v>7866027.3053736128</v>
      </c>
      <c r="U63" s="5">
        <f t="shared" si="6"/>
        <v>7866027.3053736128</v>
      </c>
      <c r="V63" s="5">
        <f t="shared" si="7"/>
        <v>7866027.3053736128</v>
      </c>
      <c r="W63" s="5">
        <f t="shared" si="8"/>
        <v>7866027.3053736128</v>
      </c>
      <c r="X63" s="5">
        <f t="shared" si="9"/>
        <v>7866027.3053736128</v>
      </c>
      <c r="Y63" s="5">
        <f t="shared" si="10"/>
        <v>7996985.6637277342</v>
      </c>
      <c r="Z63" s="5">
        <f t="shared" si="11"/>
        <v>7996985.6637277342</v>
      </c>
      <c r="AA63" s="5">
        <f t="shared" si="12"/>
        <v>7996985.6637277342</v>
      </c>
      <c r="AB63" s="5">
        <f t="shared" si="13"/>
        <v>7996985.6637277342</v>
      </c>
      <c r="AC63" s="5">
        <f t="shared" si="14"/>
        <v>7996985.6637277342</v>
      </c>
      <c r="AD63" s="5">
        <f t="shared" si="15"/>
        <v>7996985.6637277342</v>
      </c>
      <c r="AF63" s="5">
        <f t="shared" si="21"/>
        <v>95178077.814608052</v>
      </c>
      <c r="AG63" s="48">
        <f t="shared" si="16"/>
        <v>1</v>
      </c>
      <c r="AH63" s="48">
        <f t="shared" si="17"/>
        <v>1</v>
      </c>
      <c r="AI63">
        <v>0.1</v>
      </c>
      <c r="AL63" s="48" t="b">
        <f t="shared" si="18"/>
        <v>1</v>
      </c>
      <c r="AN63" s="57">
        <f t="shared" si="19"/>
        <v>8015481.8241757108</v>
      </c>
    </row>
    <row r="64" spans="1:40" customFormat="1" ht="23.1">
      <c r="A64" s="110"/>
      <c r="B64" s="33" t="s">
        <v>60</v>
      </c>
      <c r="C64" s="33" t="s">
        <v>13</v>
      </c>
      <c r="D64" s="16">
        <v>0.52410000000000001</v>
      </c>
      <c r="E64" s="16">
        <v>0.47589999999999999</v>
      </c>
      <c r="F64" s="35" t="s">
        <v>160</v>
      </c>
      <c r="G64" s="37">
        <v>1</v>
      </c>
      <c r="H64" s="37"/>
      <c r="I64" s="37">
        <v>1</v>
      </c>
      <c r="J64" s="37">
        <v>9</v>
      </c>
      <c r="K64" s="37">
        <v>9</v>
      </c>
      <c r="L64" s="37"/>
      <c r="M64" s="37">
        <f t="shared" si="20"/>
        <v>20</v>
      </c>
      <c r="N64" s="37">
        <f t="shared" si="1"/>
        <v>18</v>
      </c>
      <c r="O64" s="37">
        <f t="shared" si="2"/>
        <v>20</v>
      </c>
      <c r="P64" s="37">
        <f t="shared" si="3"/>
        <v>20</v>
      </c>
      <c r="Q64" s="38">
        <v>2000</v>
      </c>
      <c r="S64" s="5">
        <f t="shared" si="4"/>
        <v>4538003.9305694317</v>
      </c>
      <c r="T64" s="5">
        <f t="shared" si="5"/>
        <v>4538003.9305694317</v>
      </c>
      <c r="U64" s="5">
        <f t="shared" si="6"/>
        <v>4084203.5375124887</v>
      </c>
      <c r="V64" s="5">
        <f t="shared" si="7"/>
        <v>4538003.9305694317</v>
      </c>
      <c r="W64" s="5">
        <f t="shared" si="8"/>
        <v>4538003.9305694317</v>
      </c>
      <c r="X64" s="5">
        <f t="shared" si="9"/>
        <v>4538003.9305694317</v>
      </c>
      <c r="Y64" s="5">
        <f t="shared" si="10"/>
        <v>4613555.3521295805</v>
      </c>
      <c r="Z64" s="5">
        <f t="shared" si="11"/>
        <v>4613555.3521295805</v>
      </c>
      <c r="AA64" s="5">
        <f t="shared" si="12"/>
        <v>4613555.3521295805</v>
      </c>
      <c r="AB64" s="5">
        <f t="shared" si="13"/>
        <v>4613555.3521295805</v>
      </c>
      <c r="AC64" s="5">
        <f t="shared" si="14"/>
        <v>4613555.3521295805</v>
      </c>
      <c r="AD64" s="5">
        <f t="shared" si="15"/>
        <v>4613555.3521295805</v>
      </c>
      <c r="AF64" s="5">
        <f t="shared" si="21"/>
        <v>54455555.303137124</v>
      </c>
      <c r="AG64" s="48">
        <f t="shared" si="16"/>
        <v>1</v>
      </c>
      <c r="AH64" s="48">
        <f t="shared" si="17"/>
        <v>1</v>
      </c>
      <c r="AI64">
        <v>0.08</v>
      </c>
      <c r="AL64" s="48" t="b">
        <f t="shared" si="18"/>
        <v>1</v>
      </c>
      <c r="AN64" s="57">
        <f t="shared" si="19"/>
        <v>4624226.0052502509</v>
      </c>
    </row>
    <row r="65" spans="1:40" customFormat="1" ht="23.1">
      <c r="A65" s="110"/>
      <c r="B65" s="33" t="s">
        <v>61</v>
      </c>
      <c r="C65" s="33" t="s">
        <v>62</v>
      </c>
      <c r="D65" s="16">
        <v>0.52410000000000001</v>
      </c>
      <c r="E65" s="16">
        <v>0.47589999999999999</v>
      </c>
      <c r="F65" s="35" t="s">
        <v>160</v>
      </c>
      <c r="G65" s="37">
        <v>1</v>
      </c>
      <c r="H65" s="37"/>
      <c r="I65" s="37">
        <v>1</v>
      </c>
      <c r="J65" s="37">
        <v>9</v>
      </c>
      <c r="K65" s="37">
        <v>9</v>
      </c>
      <c r="L65" s="37"/>
      <c r="M65" s="37">
        <f t="shared" si="20"/>
        <v>20</v>
      </c>
      <c r="N65" s="37">
        <f t="shared" si="1"/>
        <v>18</v>
      </c>
      <c r="O65" s="37">
        <f t="shared" si="2"/>
        <v>20</v>
      </c>
      <c r="P65" s="37">
        <f t="shared" si="3"/>
        <v>20</v>
      </c>
      <c r="Q65" s="38">
        <v>2000</v>
      </c>
      <c r="S65" s="5">
        <f t="shared" si="4"/>
        <v>4538003.9305694317</v>
      </c>
      <c r="T65" s="5">
        <f t="shared" si="5"/>
        <v>4538003.9305694317</v>
      </c>
      <c r="U65" s="5">
        <f t="shared" si="6"/>
        <v>4084203.5375124887</v>
      </c>
      <c r="V65" s="5">
        <f t="shared" si="7"/>
        <v>4538003.9305694317</v>
      </c>
      <c r="W65" s="5">
        <f t="shared" si="8"/>
        <v>4538003.9305694317</v>
      </c>
      <c r="X65" s="5">
        <f t="shared" si="9"/>
        <v>4538003.9305694317</v>
      </c>
      <c r="Y65" s="5">
        <f t="shared" si="10"/>
        <v>4613555.3521295805</v>
      </c>
      <c r="Z65" s="5">
        <f t="shared" si="11"/>
        <v>4613555.3521295805</v>
      </c>
      <c r="AA65" s="5">
        <f t="shared" si="12"/>
        <v>4613555.3521295805</v>
      </c>
      <c r="AB65" s="5">
        <f t="shared" si="13"/>
        <v>4613555.3521295805</v>
      </c>
      <c r="AC65" s="5">
        <f t="shared" si="14"/>
        <v>4613555.3521295805</v>
      </c>
      <c r="AD65" s="5">
        <f t="shared" si="15"/>
        <v>4613555.3521295805</v>
      </c>
      <c r="AF65" s="5">
        <f t="shared" si="21"/>
        <v>54455555.303137124</v>
      </c>
      <c r="AG65" s="48">
        <f t="shared" si="16"/>
        <v>1</v>
      </c>
      <c r="AH65" s="48">
        <f t="shared" si="17"/>
        <v>1</v>
      </c>
      <c r="AI65">
        <v>0.08</v>
      </c>
      <c r="AL65" s="48" t="b">
        <f t="shared" si="18"/>
        <v>1</v>
      </c>
      <c r="AN65" s="57">
        <f t="shared" si="19"/>
        <v>4624226.0052502509</v>
      </c>
    </row>
    <row r="66" spans="1:40" customFormat="1" ht="24.75" customHeight="1">
      <c r="A66" s="110"/>
      <c r="B66" s="33" t="s">
        <v>63</v>
      </c>
      <c r="C66" s="33" t="s">
        <v>13</v>
      </c>
      <c r="D66" s="16">
        <v>0.52410000000000001</v>
      </c>
      <c r="E66" s="16">
        <v>0.47589999999999999</v>
      </c>
      <c r="F66" s="35" t="s">
        <v>160</v>
      </c>
      <c r="G66" s="37">
        <v>1</v>
      </c>
      <c r="H66" s="37"/>
      <c r="I66" s="37">
        <v>1</v>
      </c>
      <c r="J66" s="37">
        <v>9</v>
      </c>
      <c r="K66" s="37">
        <v>9</v>
      </c>
      <c r="L66" s="37"/>
      <c r="M66" s="37">
        <f t="shared" si="20"/>
        <v>20</v>
      </c>
      <c r="N66" s="37">
        <f t="shared" si="1"/>
        <v>18</v>
      </c>
      <c r="O66" s="37">
        <f t="shared" si="2"/>
        <v>20</v>
      </c>
      <c r="P66" s="37">
        <f t="shared" si="3"/>
        <v>20</v>
      </c>
      <c r="Q66" s="38">
        <v>2000</v>
      </c>
      <c r="S66" s="5">
        <f t="shared" si="4"/>
        <v>4538003.9305694317</v>
      </c>
      <c r="T66" s="5">
        <f t="shared" si="5"/>
        <v>4538003.9305694317</v>
      </c>
      <c r="U66" s="5">
        <f t="shared" si="6"/>
        <v>4084203.5375124887</v>
      </c>
      <c r="V66" s="5">
        <f t="shared" si="7"/>
        <v>4538003.9305694317</v>
      </c>
      <c r="W66" s="5">
        <f t="shared" si="8"/>
        <v>4538003.9305694317</v>
      </c>
      <c r="X66" s="5">
        <f t="shared" si="9"/>
        <v>4538003.9305694317</v>
      </c>
      <c r="Y66" s="5">
        <f t="shared" si="10"/>
        <v>4613555.3521295805</v>
      </c>
      <c r="Z66" s="5">
        <f t="shared" si="11"/>
        <v>4613555.3521295805</v>
      </c>
      <c r="AA66" s="5">
        <f t="shared" si="12"/>
        <v>4613555.3521295805</v>
      </c>
      <c r="AB66" s="5">
        <f t="shared" si="13"/>
        <v>4613555.3521295805</v>
      </c>
      <c r="AC66" s="5">
        <f t="shared" si="14"/>
        <v>4613555.3521295805</v>
      </c>
      <c r="AD66" s="5">
        <f t="shared" si="15"/>
        <v>4613555.3521295805</v>
      </c>
      <c r="AF66" s="5">
        <f t="shared" si="21"/>
        <v>54455555.303137124</v>
      </c>
      <c r="AG66" s="48">
        <f t="shared" si="16"/>
        <v>1</v>
      </c>
      <c r="AH66" s="48">
        <f t="shared" si="17"/>
        <v>1</v>
      </c>
      <c r="AI66">
        <v>0.08</v>
      </c>
      <c r="AL66" s="48" t="b">
        <f t="shared" si="18"/>
        <v>1</v>
      </c>
      <c r="AN66" s="57">
        <f t="shared" si="19"/>
        <v>4624226.0052502509</v>
      </c>
    </row>
    <row r="67" spans="1:40" customFormat="1" ht="23.1">
      <c r="A67" s="110"/>
      <c r="B67" s="33" t="s">
        <v>64</v>
      </c>
      <c r="C67" s="33" t="s">
        <v>65</v>
      </c>
      <c r="D67" s="16">
        <v>0.52410000000000001</v>
      </c>
      <c r="E67" s="16">
        <v>0.47589999999999999</v>
      </c>
      <c r="F67" s="35" t="s">
        <v>160</v>
      </c>
      <c r="G67" s="37">
        <v>1</v>
      </c>
      <c r="H67" s="37"/>
      <c r="I67" s="37">
        <v>1</v>
      </c>
      <c r="J67" s="37">
        <v>12</v>
      </c>
      <c r="K67" s="37">
        <v>12</v>
      </c>
      <c r="L67" s="37"/>
      <c r="M67" s="37">
        <f t="shared" si="20"/>
        <v>20</v>
      </c>
      <c r="N67" s="37">
        <f t="shared" si="1"/>
        <v>18</v>
      </c>
      <c r="O67" s="37">
        <f t="shared" si="2"/>
        <v>20</v>
      </c>
      <c r="P67" s="37">
        <f t="shared" si="3"/>
        <v>20</v>
      </c>
      <c r="Q67" s="38">
        <v>2000</v>
      </c>
      <c r="S67" s="5">
        <f t="shared" si="4"/>
        <v>6050671.9074259093</v>
      </c>
      <c r="T67" s="5">
        <f t="shared" si="5"/>
        <v>6050671.9074259093</v>
      </c>
      <c r="U67" s="5">
        <f t="shared" si="6"/>
        <v>5445604.7166833179</v>
      </c>
      <c r="V67" s="5">
        <f t="shared" si="7"/>
        <v>6050671.9074259093</v>
      </c>
      <c r="W67" s="5">
        <f t="shared" si="8"/>
        <v>6050671.9074259093</v>
      </c>
      <c r="X67" s="5">
        <f t="shared" si="9"/>
        <v>6050671.9074259093</v>
      </c>
      <c r="Y67" s="5">
        <f t="shared" si="10"/>
        <v>6151407.1361727742</v>
      </c>
      <c r="Z67" s="5">
        <f t="shared" si="11"/>
        <v>6151407.1361727742</v>
      </c>
      <c r="AA67" s="5">
        <f t="shared" si="12"/>
        <v>6151407.1361727742</v>
      </c>
      <c r="AB67" s="5">
        <f t="shared" si="13"/>
        <v>6151407.1361727742</v>
      </c>
      <c r="AC67" s="5">
        <f t="shared" si="14"/>
        <v>6151407.1361727742</v>
      </c>
      <c r="AD67" s="5">
        <f t="shared" si="15"/>
        <v>6151407.1361727742</v>
      </c>
      <c r="AF67" s="5">
        <f t="shared" si="21"/>
        <v>72607407.070849493</v>
      </c>
      <c r="AG67" s="48">
        <f t="shared" si="16"/>
        <v>1</v>
      </c>
      <c r="AH67" s="48">
        <f t="shared" si="17"/>
        <v>1</v>
      </c>
      <c r="AI67">
        <v>0.08</v>
      </c>
      <c r="AL67" s="48" t="b">
        <f t="shared" si="18"/>
        <v>1</v>
      </c>
      <c r="AN67" s="57">
        <f t="shared" si="19"/>
        <v>6165634.6736670006</v>
      </c>
    </row>
    <row r="68" spans="1:40" customFormat="1" ht="23.1">
      <c r="A68" s="110"/>
      <c r="B68" s="33" t="s">
        <v>66</v>
      </c>
      <c r="C68" s="33" t="s">
        <v>65</v>
      </c>
      <c r="D68" s="16">
        <v>0.52410000000000001</v>
      </c>
      <c r="E68" s="16">
        <v>0.47589999999999999</v>
      </c>
      <c r="F68" s="35" t="s">
        <v>163</v>
      </c>
      <c r="G68" s="37">
        <v>1</v>
      </c>
      <c r="H68" s="37"/>
      <c r="I68" s="37">
        <v>1</v>
      </c>
      <c r="J68" s="37">
        <v>12</v>
      </c>
      <c r="K68" s="37">
        <v>12</v>
      </c>
      <c r="L68" s="37"/>
      <c r="M68" s="37">
        <f t="shared" si="20"/>
        <v>20</v>
      </c>
      <c r="N68" s="37">
        <f t="shared" si="1"/>
        <v>18</v>
      </c>
      <c r="O68" s="37">
        <f t="shared" si="2"/>
        <v>20</v>
      </c>
      <c r="P68" s="37">
        <f t="shared" si="3"/>
        <v>20</v>
      </c>
      <c r="Q68" s="38">
        <v>2000</v>
      </c>
      <c r="S68" s="5">
        <f t="shared" si="4"/>
        <v>6050671.9074259093</v>
      </c>
      <c r="T68" s="5">
        <f t="shared" si="5"/>
        <v>6050671.9074259093</v>
      </c>
      <c r="U68" s="5">
        <f t="shared" si="6"/>
        <v>5445604.7166833179</v>
      </c>
      <c r="V68" s="5">
        <f t="shared" si="7"/>
        <v>6050671.9074259093</v>
      </c>
      <c r="W68" s="5">
        <f t="shared" si="8"/>
        <v>6050671.9074259093</v>
      </c>
      <c r="X68" s="5">
        <f t="shared" si="9"/>
        <v>6050671.9074259093</v>
      </c>
      <c r="Y68" s="5">
        <f t="shared" si="10"/>
        <v>6151407.1361727742</v>
      </c>
      <c r="Z68" s="5">
        <f t="shared" si="11"/>
        <v>6151407.1361727742</v>
      </c>
      <c r="AA68" s="5">
        <f t="shared" si="12"/>
        <v>6151407.1361727742</v>
      </c>
      <c r="AB68" s="5">
        <f t="shared" si="13"/>
        <v>6151407.1361727742</v>
      </c>
      <c r="AC68" s="5">
        <f t="shared" si="14"/>
        <v>6151407.1361727742</v>
      </c>
      <c r="AD68" s="5">
        <f t="shared" si="15"/>
        <v>6151407.1361727742</v>
      </c>
      <c r="AF68" s="5">
        <f t="shared" si="21"/>
        <v>72607407.070849493</v>
      </c>
      <c r="AG68" s="48">
        <f t="shared" si="16"/>
        <v>1</v>
      </c>
      <c r="AH68" s="48">
        <f t="shared" si="17"/>
        <v>1</v>
      </c>
      <c r="AI68">
        <v>0.08</v>
      </c>
      <c r="AL68" s="48" t="b">
        <f t="shared" si="18"/>
        <v>1</v>
      </c>
      <c r="AN68" s="57">
        <f t="shared" si="19"/>
        <v>6165634.6736670006</v>
      </c>
    </row>
    <row r="69" spans="1:40" customFormat="1" ht="24.75" customHeight="1">
      <c r="A69" s="110"/>
      <c r="B69" s="33" t="s">
        <v>67</v>
      </c>
      <c r="C69" s="33" t="s">
        <v>68</v>
      </c>
      <c r="D69" s="16">
        <v>0.52410000000000001</v>
      </c>
      <c r="E69" s="16">
        <v>0.47589999999999999</v>
      </c>
      <c r="F69" s="35" t="s">
        <v>162</v>
      </c>
      <c r="G69" s="37">
        <v>1</v>
      </c>
      <c r="H69" s="37"/>
      <c r="I69" s="37">
        <v>1</v>
      </c>
      <c r="J69" s="37">
        <v>12</v>
      </c>
      <c r="K69" s="37">
        <v>12</v>
      </c>
      <c r="L69" s="37"/>
      <c r="M69" s="37">
        <f t="shared" si="20"/>
        <v>20</v>
      </c>
      <c r="N69" s="37">
        <f t="shared" si="1"/>
        <v>18</v>
      </c>
      <c r="O69" s="37">
        <f t="shared" si="2"/>
        <v>20</v>
      </c>
      <c r="P69" s="37">
        <f t="shared" si="3"/>
        <v>20</v>
      </c>
      <c r="Q69" s="38">
        <v>2000</v>
      </c>
      <c r="S69" s="5">
        <f t="shared" si="4"/>
        <v>6218746.1270766295</v>
      </c>
      <c r="T69" s="5">
        <f t="shared" si="5"/>
        <v>6218746.1270766295</v>
      </c>
      <c r="U69" s="5">
        <f t="shared" si="6"/>
        <v>5596871.5143689662</v>
      </c>
      <c r="V69" s="5">
        <f t="shared" si="7"/>
        <v>6218746.1270766295</v>
      </c>
      <c r="W69" s="5">
        <f t="shared" si="8"/>
        <v>6218746.1270766295</v>
      </c>
      <c r="X69" s="5">
        <f t="shared" si="9"/>
        <v>6218746.1270766295</v>
      </c>
      <c r="Y69" s="5">
        <f t="shared" si="10"/>
        <v>6322279.5566220181</v>
      </c>
      <c r="Z69" s="5">
        <f t="shared" si="11"/>
        <v>6322279.5566220181</v>
      </c>
      <c r="AA69" s="5">
        <f t="shared" si="12"/>
        <v>6322279.5566220181</v>
      </c>
      <c r="AB69" s="5">
        <f t="shared" si="13"/>
        <v>6322279.5566220181</v>
      </c>
      <c r="AC69" s="5">
        <f t="shared" si="14"/>
        <v>6322279.5566220181</v>
      </c>
      <c r="AD69" s="5">
        <f t="shared" si="15"/>
        <v>6322279.5566220181</v>
      </c>
      <c r="AF69" s="5">
        <f t="shared" si="21"/>
        <v>74624279.489484221</v>
      </c>
      <c r="AG69" s="48">
        <f t="shared" si="16"/>
        <v>1</v>
      </c>
      <c r="AH69" s="48">
        <f t="shared" si="17"/>
        <v>1</v>
      </c>
      <c r="AI69">
        <v>0.11</v>
      </c>
      <c r="AL69" s="48" t="b">
        <f t="shared" si="18"/>
        <v>1</v>
      </c>
      <c r="AN69" s="57">
        <f t="shared" si="19"/>
        <v>6336902.3034910848</v>
      </c>
    </row>
    <row r="70" spans="1:40" ht="24.75" customHeight="1">
      <c r="A70" s="110" t="s">
        <v>69</v>
      </c>
      <c r="B70" s="33" t="s">
        <v>70</v>
      </c>
      <c r="C70" s="33" t="s">
        <v>49</v>
      </c>
      <c r="D70" s="16">
        <v>0.52410000000000001</v>
      </c>
      <c r="E70" s="16">
        <v>0.47589999999999999</v>
      </c>
      <c r="F70" s="35" t="s">
        <v>163</v>
      </c>
      <c r="G70" s="37">
        <v>1</v>
      </c>
      <c r="H70" s="37">
        <v>1</v>
      </c>
      <c r="I70" s="37">
        <v>1</v>
      </c>
      <c r="J70" s="37">
        <v>24</v>
      </c>
      <c r="K70" s="37">
        <v>13</v>
      </c>
      <c r="L70" s="37">
        <v>11</v>
      </c>
      <c r="M70" s="37">
        <f t="shared" si="20"/>
        <v>30</v>
      </c>
      <c r="N70" s="37">
        <f t="shared" si="1"/>
        <v>30</v>
      </c>
      <c r="O70" s="37">
        <f t="shared" si="2"/>
        <v>30</v>
      </c>
      <c r="P70" s="37">
        <f t="shared" si="3"/>
        <v>30</v>
      </c>
      <c r="Q70" s="38">
        <v>6000</v>
      </c>
      <c r="S70" s="5">
        <f t="shared" si="4"/>
        <v>21047523.038850002</v>
      </c>
      <c r="T70" s="5">
        <f t="shared" si="5"/>
        <v>21047523.038850002</v>
      </c>
      <c r="U70" s="5">
        <f t="shared" si="6"/>
        <v>21047523.038850002</v>
      </c>
      <c r="V70" s="5">
        <f t="shared" si="7"/>
        <v>21047523.038850002</v>
      </c>
      <c r="W70" s="5">
        <f t="shared" si="8"/>
        <v>21047523.038850002</v>
      </c>
      <c r="X70" s="5">
        <f t="shared" si="9"/>
        <v>21047523.038850002</v>
      </c>
      <c r="Y70" s="5">
        <f t="shared" si="10"/>
        <v>21397861.620300002</v>
      </c>
      <c r="Z70" s="5">
        <f t="shared" si="11"/>
        <v>21397861.620300002</v>
      </c>
      <c r="AA70" s="5">
        <f t="shared" si="12"/>
        <v>21397861.620300002</v>
      </c>
      <c r="AB70" s="5">
        <f t="shared" si="13"/>
        <v>21397861.620300002</v>
      </c>
      <c r="AC70" s="5">
        <f t="shared" si="14"/>
        <v>21397861.620300002</v>
      </c>
      <c r="AD70" s="5">
        <f t="shared" si="15"/>
        <v>21397861.620300002</v>
      </c>
      <c r="AF70" s="5">
        <f t="shared" si="21"/>
        <v>254672307.9549</v>
      </c>
      <c r="AG70" s="48">
        <f t="shared" si="16"/>
        <v>1</v>
      </c>
      <c r="AH70" s="48">
        <f t="shared" si="17"/>
        <v>1</v>
      </c>
      <c r="AI70" s="48">
        <v>0.1</v>
      </c>
      <c r="AL70" s="48" t="b">
        <f t="shared" si="18"/>
        <v>1</v>
      </c>
      <c r="AN70" s="57">
        <f t="shared" si="19"/>
        <v>21447425.976588149</v>
      </c>
    </row>
    <row r="71" spans="1:40" ht="24.75" customHeight="1">
      <c r="A71" s="110"/>
      <c r="B71" s="33" t="s">
        <v>38</v>
      </c>
      <c r="C71" s="33" t="s">
        <v>49</v>
      </c>
      <c r="D71" s="16">
        <v>0.52410000000000001</v>
      </c>
      <c r="E71" s="16">
        <v>0.47589999999999999</v>
      </c>
      <c r="F71" s="35" t="s">
        <v>160</v>
      </c>
      <c r="G71" s="37">
        <v>1</v>
      </c>
      <c r="H71" s="37">
        <v>1</v>
      </c>
      <c r="I71" s="37">
        <v>1</v>
      </c>
      <c r="J71" s="37">
        <v>24</v>
      </c>
      <c r="K71" s="37">
        <v>13</v>
      </c>
      <c r="L71" s="37">
        <v>11</v>
      </c>
      <c r="M71" s="37">
        <f t="shared" si="20"/>
        <v>30</v>
      </c>
      <c r="N71" s="37">
        <f t="shared" si="1"/>
        <v>30</v>
      </c>
      <c r="O71" s="37">
        <f t="shared" si="2"/>
        <v>30</v>
      </c>
      <c r="P71" s="37">
        <f t="shared" si="3"/>
        <v>30</v>
      </c>
      <c r="Q71" s="38">
        <v>6000</v>
      </c>
      <c r="S71" s="5">
        <f t="shared" si="4"/>
        <v>21047523.038850002</v>
      </c>
      <c r="T71" s="5">
        <f t="shared" si="5"/>
        <v>21047523.038850002</v>
      </c>
      <c r="U71" s="5">
        <f t="shared" si="6"/>
        <v>21047523.038850002</v>
      </c>
      <c r="V71" s="5">
        <f t="shared" si="7"/>
        <v>21047523.038850002</v>
      </c>
      <c r="W71" s="5">
        <f t="shared" si="8"/>
        <v>21047523.038850002</v>
      </c>
      <c r="X71" s="5">
        <f t="shared" si="9"/>
        <v>21047523.038850002</v>
      </c>
      <c r="Y71" s="5">
        <f t="shared" si="10"/>
        <v>21397861.620300002</v>
      </c>
      <c r="Z71" s="5">
        <f t="shared" si="11"/>
        <v>21397861.620300002</v>
      </c>
      <c r="AA71" s="5">
        <f t="shared" si="12"/>
        <v>21397861.620300002</v>
      </c>
      <c r="AB71" s="5">
        <f t="shared" si="13"/>
        <v>21397861.620300002</v>
      </c>
      <c r="AC71" s="5">
        <f t="shared" si="14"/>
        <v>21397861.620300002</v>
      </c>
      <c r="AD71" s="5">
        <f t="shared" si="15"/>
        <v>21397861.620300002</v>
      </c>
      <c r="AF71" s="5">
        <f t="shared" si="21"/>
        <v>254672307.9549</v>
      </c>
      <c r="AG71" s="48">
        <f t="shared" si="16"/>
        <v>1</v>
      </c>
      <c r="AH71" s="48">
        <f t="shared" si="17"/>
        <v>1</v>
      </c>
      <c r="AI71" s="48">
        <v>0.1</v>
      </c>
      <c r="AL71" s="48" t="b">
        <f t="shared" si="18"/>
        <v>1</v>
      </c>
      <c r="AN71" s="57">
        <f t="shared" si="19"/>
        <v>21447425.976588149</v>
      </c>
    </row>
    <row r="72" spans="1:40" ht="24.75" customHeight="1">
      <c r="A72" s="110"/>
      <c r="B72" s="33" t="s">
        <v>71</v>
      </c>
      <c r="C72" s="33" t="s">
        <v>49</v>
      </c>
      <c r="D72" s="16">
        <v>0.52410000000000001</v>
      </c>
      <c r="E72" s="16">
        <v>0.47589999999999999</v>
      </c>
      <c r="F72" s="35" t="s">
        <v>160</v>
      </c>
      <c r="G72" s="37">
        <v>1</v>
      </c>
      <c r="H72" s="37">
        <v>1</v>
      </c>
      <c r="I72" s="37">
        <v>1</v>
      </c>
      <c r="J72" s="37">
        <v>24</v>
      </c>
      <c r="K72" s="37">
        <v>13</v>
      </c>
      <c r="L72" s="37">
        <v>11</v>
      </c>
      <c r="M72" s="37">
        <f t="shared" si="20"/>
        <v>30</v>
      </c>
      <c r="N72" s="37">
        <f t="shared" si="1"/>
        <v>30</v>
      </c>
      <c r="O72" s="37">
        <f t="shared" si="2"/>
        <v>30</v>
      </c>
      <c r="P72" s="37">
        <f t="shared" si="3"/>
        <v>30</v>
      </c>
      <c r="Q72" s="38">
        <v>6000</v>
      </c>
      <c r="S72" s="5">
        <f t="shared" si="4"/>
        <v>21047523.038850002</v>
      </c>
      <c r="T72" s="5">
        <f t="shared" si="5"/>
        <v>21047523.038850002</v>
      </c>
      <c r="U72" s="5">
        <f t="shared" si="6"/>
        <v>21047523.038850002</v>
      </c>
      <c r="V72" s="5">
        <f t="shared" si="7"/>
        <v>21047523.038850002</v>
      </c>
      <c r="W72" s="5">
        <f t="shared" si="8"/>
        <v>21047523.038850002</v>
      </c>
      <c r="X72" s="5">
        <f t="shared" si="9"/>
        <v>21047523.038850002</v>
      </c>
      <c r="Y72" s="5">
        <f t="shared" si="10"/>
        <v>21397861.620300002</v>
      </c>
      <c r="Z72" s="5">
        <f t="shared" si="11"/>
        <v>21397861.620300002</v>
      </c>
      <c r="AA72" s="5">
        <f t="shared" si="12"/>
        <v>21397861.620300002</v>
      </c>
      <c r="AB72" s="5">
        <f t="shared" si="13"/>
        <v>21397861.620300002</v>
      </c>
      <c r="AC72" s="5">
        <f t="shared" si="14"/>
        <v>21397861.620300002</v>
      </c>
      <c r="AD72" s="5">
        <f t="shared" si="15"/>
        <v>21397861.620300002</v>
      </c>
      <c r="AF72" s="5">
        <f t="shared" si="21"/>
        <v>254672307.9549</v>
      </c>
      <c r="AG72" s="48">
        <f t="shared" si="16"/>
        <v>1</v>
      </c>
      <c r="AH72" s="48">
        <f t="shared" si="17"/>
        <v>1</v>
      </c>
      <c r="AI72" s="48">
        <v>0.1</v>
      </c>
      <c r="AL72" s="48" t="b">
        <f t="shared" si="18"/>
        <v>1</v>
      </c>
      <c r="AN72" s="57">
        <f t="shared" si="19"/>
        <v>21447425.976588149</v>
      </c>
    </row>
    <row r="73" spans="1:40" customFormat="1" ht="34.5">
      <c r="A73" s="110"/>
      <c r="B73" s="33" t="s">
        <v>72</v>
      </c>
      <c r="C73" s="33" t="s">
        <v>73</v>
      </c>
      <c r="D73" s="16">
        <v>0.52410000000000001</v>
      </c>
      <c r="E73" s="16">
        <v>0.47589999999999999</v>
      </c>
      <c r="F73" s="35" t="s">
        <v>160</v>
      </c>
      <c r="G73" s="37"/>
      <c r="H73" s="37"/>
      <c r="I73" s="37">
        <v>1</v>
      </c>
      <c r="J73" s="37">
        <v>12</v>
      </c>
      <c r="K73" s="37">
        <v>12</v>
      </c>
      <c r="L73" s="37"/>
      <c r="M73" s="37">
        <f t="shared" si="20"/>
        <v>12</v>
      </c>
      <c r="N73" s="37">
        <f t="shared" si="1"/>
        <v>18</v>
      </c>
      <c r="O73" s="37">
        <f t="shared" si="2"/>
        <v>15</v>
      </c>
      <c r="P73" s="37">
        <f t="shared" si="3"/>
        <v>20</v>
      </c>
      <c r="Q73" s="38">
        <v>2000</v>
      </c>
      <c r="S73" s="5">
        <f t="shared" si="4"/>
        <v>4538003.9305694317</v>
      </c>
      <c r="T73" s="5">
        <f t="shared" si="5"/>
        <v>6050671.9074259093</v>
      </c>
      <c r="U73" s="5">
        <f t="shared" si="6"/>
        <v>5445604.7166833179</v>
      </c>
      <c r="V73" s="5">
        <f t="shared" si="7"/>
        <v>6050671.9074259093</v>
      </c>
      <c r="W73" s="5">
        <f t="shared" si="8"/>
        <v>6050671.9074259093</v>
      </c>
      <c r="X73" s="5">
        <f t="shared" si="9"/>
        <v>6050671.9074259093</v>
      </c>
      <c r="Y73" s="5">
        <f t="shared" si="10"/>
        <v>6151407.1361727742</v>
      </c>
      <c r="Z73" s="5">
        <f t="shared" si="11"/>
        <v>6151407.1361727742</v>
      </c>
      <c r="AA73" s="5">
        <f t="shared" si="12"/>
        <v>6151407.1361727742</v>
      </c>
      <c r="AB73" s="5">
        <f t="shared" si="13"/>
        <v>6151407.1361727742</v>
      </c>
      <c r="AC73" s="5">
        <f t="shared" si="14"/>
        <v>6151407.1361727742</v>
      </c>
      <c r="AD73" s="5">
        <f t="shared" si="15"/>
        <v>3690844.281703664</v>
      </c>
      <c r="AF73" s="5">
        <f t="shared" si="21"/>
        <v>68634176.239523903</v>
      </c>
      <c r="AG73" s="48">
        <f t="shared" si="16"/>
        <v>0</v>
      </c>
      <c r="AH73" s="48">
        <f t="shared" si="17"/>
        <v>0</v>
      </c>
      <c r="AI73">
        <v>0.08</v>
      </c>
      <c r="AL73" s="48" t="b">
        <f t="shared" si="18"/>
        <v>1</v>
      </c>
      <c r="AN73" s="57">
        <f t="shared" si="19"/>
        <v>4624226.0052502509</v>
      </c>
    </row>
    <row r="74" spans="1:40" customFormat="1" ht="23.1">
      <c r="A74" s="110"/>
      <c r="B74" s="33" t="s">
        <v>74</v>
      </c>
      <c r="C74" s="33" t="s">
        <v>73</v>
      </c>
      <c r="D74" s="16">
        <v>0.52410000000000001</v>
      </c>
      <c r="E74" s="16">
        <v>0.47589999999999999</v>
      </c>
      <c r="F74" s="35" t="s">
        <v>160</v>
      </c>
      <c r="G74" s="37"/>
      <c r="H74" s="37"/>
      <c r="I74" s="37">
        <v>1</v>
      </c>
      <c r="J74" s="37">
        <v>12</v>
      </c>
      <c r="K74" s="37">
        <v>12</v>
      </c>
      <c r="L74" s="37"/>
      <c r="M74" s="37">
        <f t="shared" si="20"/>
        <v>12</v>
      </c>
      <c r="N74" s="37">
        <f t="shared" si="1"/>
        <v>18</v>
      </c>
      <c r="O74" s="37">
        <f t="shared" si="2"/>
        <v>15</v>
      </c>
      <c r="P74" s="37">
        <f t="shared" si="3"/>
        <v>20</v>
      </c>
      <c r="Q74" s="38">
        <v>2000</v>
      </c>
      <c r="S74" s="5">
        <f t="shared" si="4"/>
        <v>4538003.9305694317</v>
      </c>
      <c r="T74" s="5">
        <f t="shared" si="5"/>
        <v>6050671.9074259093</v>
      </c>
      <c r="U74" s="5">
        <f t="shared" si="6"/>
        <v>5445604.7166833179</v>
      </c>
      <c r="V74" s="5">
        <f t="shared" si="7"/>
        <v>6050671.9074259093</v>
      </c>
      <c r="W74" s="5">
        <f t="shared" si="8"/>
        <v>6050671.9074259093</v>
      </c>
      <c r="X74" s="5">
        <f t="shared" si="9"/>
        <v>6050671.9074259093</v>
      </c>
      <c r="Y74" s="5">
        <f t="shared" si="10"/>
        <v>6151407.1361727742</v>
      </c>
      <c r="Z74" s="5">
        <f t="shared" si="11"/>
        <v>6151407.1361727742</v>
      </c>
      <c r="AA74" s="5">
        <f t="shared" si="12"/>
        <v>6151407.1361727742</v>
      </c>
      <c r="AB74" s="5">
        <f t="shared" si="13"/>
        <v>6151407.1361727742</v>
      </c>
      <c r="AC74" s="5">
        <f t="shared" si="14"/>
        <v>6151407.1361727742</v>
      </c>
      <c r="AD74" s="5">
        <f t="shared" si="15"/>
        <v>3690844.281703664</v>
      </c>
      <c r="AF74" s="5">
        <f t="shared" si="21"/>
        <v>68634176.239523903</v>
      </c>
      <c r="AG74" s="48">
        <f t="shared" si="16"/>
        <v>0</v>
      </c>
      <c r="AH74" s="48">
        <f t="shared" si="17"/>
        <v>0</v>
      </c>
      <c r="AI74">
        <v>0.08</v>
      </c>
      <c r="AL74" s="48" t="b">
        <f t="shared" si="18"/>
        <v>1</v>
      </c>
      <c r="AN74" s="57">
        <f t="shared" si="19"/>
        <v>4624226.0052502509</v>
      </c>
    </row>
    <row r="75" spans="1:40" customFormat="1" ht="23.1">
      <c r="A75" s="110"/>
      <c r="B75" s="33" t="s">
        <v>75</v>
      </c>
      <c r="C75" s="33" t="s">
        <v>76</v>
      </c>
      <c r="D75" s="16">
        <v>0.52410000000000001</v>
      </c>
      <c r="E75" s="16">
        <v>0.47589999999999999</v>
      </c>
      <c r="F75" s="35" t="s">
        <v>162</v>
      </c>
      <c r="G75" s="37"/>
      <c r="H75" s="37"/>
      <c r="I75" s="37">
        <v>1</v>
      </c>
      <c r="J75" s="37">
        <v>12</v>
      </c>
      <c r="K75" s="37">
        <v>12</v>
      </c>
      <c r="L75" s="37"/>
      <c r="M75" s="37">
        <f t="shared" si="20"/>
        <v>12</v>
      </c>
      <c r="N75" s="37">
        <f t="shared" si="1"/>
        <v>18</v>
      </c>
      <c r="O75" s="37">
        <f t="shared" si="2"/>
        <v>15</v>
      </c>
      <c r="P75" s="37">
        <f t="shared" si="3"/>
        <v>20</v>
      </c>
      <c r="Q75" s="38">
        <v>2000</v>
      </c>
      <c r="S75" s="5">
        <f t="shared" si="4"/>
        <v>4664059.5953074722</v>
      </c>
      <c r="T75" s="5">
        <f t="shared" si="5"/>
        <v>6218746.1270766295</v>
      </c>
      <c r="U75" s="5">
        <f t="shared" si="6"/>
        <v>5596871.5143689662</v>
      </c>
      <c r="V75" s="5">
        <f t="shared" si="7"/>
        <v>6218746.1270766295</v>
      </c>
      <c r="W75" s="5">
        <f t="shared" si="8"/>
        <v>6218746.1270766295</v>
      </c>
      <c r="X75" s="5">
        <f t="shared" si="9"/>
        <v>6218746.1270766295</v>
      </c>
      <c r="Y75" s="5">
        <f t="shared" si="10"/>
        <v>6322279.5566220181</v>
      </c>
      <c r="Z75" s="5">
        <f t="shared" si="11"/>
        <v>6322279.5566220181</v>
      </c>
      <c r="AA75" s="5">
        <f t="shared" si="12"/>
        <v>6322279.5566220181</v>
      </c>
      <c r="AB75" s="5">
        <f t="shared" si="13"/>
        <v>6322279.5566220181</v>
      </c>
      <c r="AC75" s="5">
        <f t="shared" si="14"/>
        <v>6322279.5566220181</v>
      </c>
      <c r="AD75" s="5">
        <f t="shared" si="15"/>
        <v>3793367.7339732102</v>
      </c>
      <c r="AF75" s="5">
        <f t="shared" si="21"/>
        <v>70540681.135066271</v>
      </c>
      <c r="AG75" s="48">
        <f t="shared" si="16"/>
        <v>0</v>
      </c>
      <c r="AH75" s="48">
        <f t="shared" si="17"/>
        <v>0</v>
      </c>
      <c r="AI75">
        <v>0.11</v>
      </c>
      <c r="AL75" s="48" t="b">
        <f t="shared" si="18"/>
        <v>1</v>
      </c>
      <c r="AN75" s="57">
        <f t="shared" si="19"/>
        <v>4752676.7276183134</v>
      </c>
    </row>
    <row r="76" spans="1:40" customFormat="1" ht="23.1">
      <c r="A76" s="110"/>
      <c r="B76" s="33" t="s">
        <v>77</v>
      </c>
      <c r="C76" s="33" t="s">
        <v>73</v>
      </c>
      <c r="D76" s="16">
        <v>0.52410000000000001</v>
      </c>
      <c r="E76" s="16">
        <v>0.47589999999999999</v>
      </c>
      <c r="F76" s="35" t="s">
        <v>160</v>
      </c>
      <c r="G76" s="37"/>
      <c r="H76" s="37"/>
      <c r="I76" s="37">
        <v>1</v>
      </c>
      <c r="J76" s="37">
        <v>12</v>
      </c>
      <c r="K76" s="37">
        <v>12</v>
      </c>
      <c r="L76" s="37"/>
      <c r="M76" s="37">
        <f t="shared" si="20"/>
        <v>12</v>
      </c>
      <c r="N76" s="37">
        <f t="shared" si="1"/>
        <v>18</v>
      </c>
      <c r="O76" s="37">
        <f t="shared" si="2"/>
        <v>15</v>
      </c>
      <c r="P76" s="37">
        <f t="shared" si="3"/>
        <v>20</v>
      </c>
      <c r="Q76" s="38">
        <v>2000</v>
      </c>
      <c r="S76" s="5">
        <f t="shared" si="4"/>
        <v>4538003.9305694317</v>
      </c>
      <c r="T76" s="5">
        <f t="shared" si="5"/>
        <v>6050671.9074259093</v>
      </c>
      <c r="U76" s="5">
        <f t="shared" si="6"/>
        <v>5445604.7166833179</v>
      </c>
      <c r="V76" s="5">
        <f t="shared" si="7"/>
        <v>6050671.9074259093</v>
      </c>
      <c r="W76" s="5">
        <f t="shared" si="8"/>
        <v>6050671.9074259093</v>
      </c>
      <c r="X76" s="5">
        <f t="shared" si="9"/>
        <v>6050671.9074259093</v>
      </c>
      <c r="Y76" s="5">
        <f t="shared" si="10"/>
        <v>6151407.1361727742</v>
      </c>
      <c r="Z76" s="5">
        <f t="shared" si="11"/>
        <v>6151407.1361727742</v>
      </c>
      <c r="AA76" s="5">
        <f t="shared" si="12"/>
        <v>6151407.1361727742</v>
      </c>
      <c r="AB76" s="5">
        <f t="shared" si="13"/>
        <v>6151407.1361727742</v>
      </c>
      <c r="AC76" s="5">
        <f t="shared" si="14"/>
        <v>6151407.1361727742</v>
      </c>
      <c r="AD76" s="5">
        <f t="shared" si="15"/>
        <v>3690844.281703664</v>
      </c>
      <c r="AF76" s="5">
        <f t="shared" si="21"/>
        <v>68634176.239523903</v>
      </c>
      <c r="AG76" s="48">
        <f t="shared" si="16"/>
        <v>0</v>
      </c>
      <c r="AH76" s="48">
        <f t="shared" si="17"/>
        <v>0</v>
      </c>
      <c r="AI76">
        <v>0.08</v>
      </c>
      <c r="AL76" s="48" t="b">
        <f t="shared" si="18"/>
        <v>1</v>
      </c>
      <c r="AN76" s="57">
        <f t="shared" si="19"/>
        <v>4624226.0052502509</v>
      </c>
    </row>
    <row r="77" spans="1:40" customFormat="1" ht="23.1">
      <c r="A77" s="110"/>
      <c r="B77" s="33" t="s">
        <v>78</v>
      </c>
      <c r="C77" s="33" t="s">
        <v>73</v>
      </c>
      <c r="D77" s="16">
        <v>0.52410000000000001</v>
      </c>
      <c r="E77" s="16">
        <v>0.47589999999999999</v>
      </c>
      <c r="F77" s="35" t="s">
        <v>160</v>
      </c>
      <c r="G77" s="37"/>
      <c r="H77" s="37"/>
      <c r="I77" s="37">
        <v>1</v>
      </c>
      <c r="J77" s="37">
        <v>12</v>
      </c>
      <c r="K77" s="37">
        <v>12</v>
      </c>
      <c r="L77" s="37"/>
      <c r="M77" s="37">
        <f t="shared" si="20"/>
        <v>12</v>
      </c>
      <c r="N77" s="37">
        <f t="shared" si="1"/>
        <v>18</v>
      </c>
      <c r="O77" s="37">
        <f t="shared" si="2"/>
        <v>15</v>
      </c>
      <c r="P77" s="37">
        <f t="shared" si="3"/>
        <v>20</v>
      </c>
      <c r="Q77" s="38">
        <v>2000</v>
      </c>
      <c r="S77" s="5">
        <f t="shared" si="4"/>
        <v>4538003.9305694317</v>
      </c>
      <c r="T77" s="5">
        <f t="shared" si="5"/>
        <v>6050671.9074259093</v>
      </c>
      <c r="U77" s="5">
        <f t="shared" si="6"/>
        <v>5445604.7166833179</v>
      </c>
      <c r="V77" s="5">
        <f t="shared" si="7"/>
        <v>6050671.9074259093</v>
      </c>
      <c r="W77" s="5">
        <f t="shared" si="8"/>
        <v>6050671.9074259093</v>
      </c>
      <c r="X77" s="5">
        <f t="shared" si="9"/>
        <v>6050671.9074259093</v>
      </c>
      <c r="Y77" s="5">
        <f t="shared" si="10"/>
        <v>6151407.1361727742</v>
      </c>
      <c r="Z77" s="5">
        <f t="shared" si="11"/>
        <v>6151407.1361727742</v>
      </c>
      <c r="AA77" s="5">
        <f t="shared" si="12"/>
        <v>6151407.1361727742</v>
      </c>
      <c r="AB77" s="5">
        <f t="shared" si="13"/>
        <v>6151407.1361727742</v>
      </c>
      <c r="AC77" s="5">
        <f t="shared" si="14"/>
        <v>6151407.1361727742</v>
      </c>
      <c r="AD77" s="5">
        <f t="shared" si="15"/>
        <v>3690844.281703664</v>
      </c>
      <c r="AF77" s="5">
        <f t="shared" si="21"/>
        <v>68634176.239523903</v>
      </c>
      <c r="AG77" s="48">
        <f t="shared" si="16"/>
        <v>0</v>
      </c>
      <c r="AH77" s="48">
        <f t="shared" si="17"/>
        <v>0</v>
      </c>
      <c r="AI77">
        <v>0.08</v>
      </c>
      <c r="AL77" s="48" t="b">
        <f t="shared" si="18"/>
        <v>1</v>
      </c>
      <c r="AN77" s="57">
        <f t="shared" si="19"/>
        <v>4624226.0052502509</v>
      </c>
    </row>
    <row r="78" spans="1:40" customFormat="1" ht="23.1">
      <c r="A78" s="110"/>
      <c r="B78" s="33" t="s">
        <v>79</v>
      </c>
      <c r="C78" s="33" t="s">
        <v>73</v>
      </c>
      <c r="D78" s="16">
        <v>0.52410000000000001</v>
      </c>
      <c r="E78" s="16">
        <v>0.47589999999999999</v>
      </c>
      <c r="F78" s="35" t="s">
        <v>160</v>
      </c>
      <c r="G78" s="37"/>
      <c r="H78" s="37"/>
      <c r="I78" s="37">
        <v>1</v>
      </c>
      <c r="J78" s="37">
        <v>12</v>
      </c>
      <c r="K78" s="37">
        <v>12</v>
      </c>
      <c r="L78" s="37"/>
      <c r="M78" s="37">
        <f t="shared" si="20"/>
        <v>12</v>
      </c>
      <c r="N78" s="37">
        <f t="shared" si="1"/>
        <v>18</v>
      </c>
      <c r="O78" s="37">
        <f t="shared" si="2"/>
        <v>15</v>
      </c>
      <c r="P78" s="37">
        <f t="shared" si="3"/>
        <v>20</v>
      </c>
      <c r="Q78" s="38">
        <v>2000</v>
      </c>
      <c r="S78" s="5">
        <f t="shared" si="4"/>
        <v>4538003.9305694317</v>
      </c>
      <c r="T78" s="5">
        <f t="shared" si="5"/>
        <v>6050671.9074259093</v>
      </c>
      <c r="U78" s="5">
        <f t="shared" si="6"/>
        <v>5445604.7166833179</v>
      </c>
      <c r="V78" s="5">
        <f t="shared" si="7"/>
        <v>6050671.9074259093</v>
      </c>
      <c r="W78" s="5">
        <f t="shared" si="8"/>
        <v>6050671.9074259093</v>
      </c>
      <c r="X78" s="5">
        <f t="shared" si="9"/>
        <v>6050671.9074259093</v>
      </c>
      <c r="Y78" s="5">
        <f t="shared" si="10"/>
        <v>6151407.1361727742</v>
      </c>
      <c r="Z78" s="5">
        <f t="shared" si="11"/>
        <v>6151407.1361727742</v>
      </c>
      <c r="AA78" s="5">
        <f t="shared" si="12"/>
        <v>6151407.1361727742</v>
      </c>
      <c r="AB78" s="5">
        <f t="shared" si="13"/>
        <v>6151407.1361727742</v>
      </c>
      <c r="AC78" s="5">
        <f t="shared" si="14"/>
        <v>6151407.1361727742</v>
      </c>
      <c r="AD78" s="5">
        <f t="shared" si="15"/>
        <v>3690844.281703664</v>
      </c>
      <c r="AF78" s="5">
        <f t="shared" si="21"/>
        <v>68634176.239523903</v>
      </c>
      <c r="AG78" s="48">
        <f t="shared" si="16"/>
        <v>0</v>
      </c>
      <c r="AH78" s="48">
        <f t="shared" si="17"/>
        <v>0</v>
      </c>
      <c r="AI78">
        <v>0.08</v>
      </c>
      <c r="AL78" s="48" t="b">
        <f t="shared" si="18"/>
        <v>1</v>
      </c>
      <c r="AN78" s="57">
        <f t="shared" si="19"/>
        <v>4624226.0052502509</v>
      </c>
    </row>
    <row r="79" spans="1:40" customFormat="1" ht="34.5">
      <c r="A79" s="110"/>
      <c r="B79" s="33" t="s">
        <v>80</v>
      </c>
      <c r="C79" s="33" t="s">
        <v>73</v>
      </c>
      <c r="D79" s="16">
        <v>0.52410000000000001</v>
      </c>
      <c r="E79" s="16">
        <v>0.47589999999999999</v>
      </c>
      <c r="F79" s="35" t="s">
        <v>160</v>
      </c>
      <c r="G79" s="37">
        <v>1</v>
      </c>
      <c r="H79" s="37"/>
      <c r="I79" s="37">
        <v>1</v>
      </c>
      <c r="J79" s="37">
        <v>12</v>
      </c>
      <c r="K79" s="37">
        <v>12</v>
      </c>
      <c r="L79" s="37"/>
      <c r="M79" s="37">
        <f t="shared" si="20"/>
        <v>20</v>
      </c>
      <c r="N79" s="37">
        <f t="shared" si="1"/>
        <v>18</v>
      </c>
      <c r="O79" s="37">
        <f t="shared" si="2"/>
        <v>20</v>
      </c>
      <c r="P79" s="37">
        <f t="shared" si="3"/>
        <v>20</v>
      </c>
      <c r="Q79" s="38">
        <v>2000</v>
      </c>
      <c r="S79" s="5">
        <f t="shared" si="4"/>
        <v>6050671.9074259093</v>
      </c>
      <c r="T79" s="5">
        <f t="shared" si="5"/>
        <v>6050671.9074259093</v>
      </c>
      <c r="U79" s="5">
        <f t="shared" si="6"/>
        <v>5445604.7166833179</v>
      </c>
      <c r="V79" s="5">
        <f t="shared" si="7"/>
        <v>6050671.9074259093</v>
      </c>
      <c r="W79" s="5">
        <f t="shared" si="8"/>
        <v>6050671.9074259093</v>
      </c>
      <c r="X79" s="5">
        <f t="shared" si="9"/>
        <v>6050671.9074259093</v>
      </c>
      <c r="Y79" s="5">
        <f t="shared" si="10"/>
        <v>6151407.1361727742</v>
      </c>
      <c r="Z79" s="5">
        <f t="shared" si="11"/>
        <v>6151407.1361727742</v>
      </c>
      <c r="AA79" s="5">
        <f t="shared" si="12"/>
        <v>6151407.1361727742</v>
      </c>
      <c r="AB79" s="5">
        <f t="shared" si="13"/>
        <v>6151407.1361727742</v>
      </c>
      <c r="AC79" s="5">
        <f t="shared" si="14"/>
        <v>6151407.1361727742</v>
      </c>
      <c r="AD79" s="5">
        <f t="shared" si="15"/>
        <v>6151407.1361727742</v>
      </c>
      <c r="AF79" s="5">
        <f t="shared" si="21"/>
        <v>72607407.070849493</v>
      </c>
      <c r="AG79" s="48">
        <f t="shared" si="16"/>
        <v>1</v>
      </c>
      <c r="AH79" s="48">
        <f t="shared" si="17"/>
        <v>1</v>
      </c>
      <c r="AI79">
        <v>0.08</v>
      </c>
      <c r="AL79" s="48" t="b">
        <f t="shared" si="18"/>
        <v>1</v>
      </c>
      <c r="AN79" s="57">
        <f t="shared" si="19"/>
        <v>6165634.6736670006</v>
      </c>
    </row>
    <row r="80" spans="1:40" customFormat="1" ht="23.1">
      <c r="A80" s="110"/>
      <c r="B80" s="33" t="s">
        <v>81</v>
      </c>
      <c r="C80" s="33" t="s">
        <v>73</v>
      </c>
      <c r="D80" s="16">
        <v>0.52410000000000001</v>
      </c>
      <c r="E80" s="16">
        <v>0.47589999999999999</v>
      </c>
      <c r="F80" s="35" t="s">
        <v>160</v>
      </c>
      <c r="G80" s="37"/>
      <c r="H80" s="37"/>
      <c r="I80" s="37">
        <v>1</v>
      </c>
      <c r="J80" s="37">
        <v>12</v>
      </c>
      <c r="K80" s="37">
        <v>12</v>
      </c>
      <c r="L80" s="37"/>
      <c r="M80" s="37">
        <f t="shared" si="20"/>
        <v>12</v>
      </c>
      <c r="N80" s="37">
        <f t="shared" si="1"/>
        <v>18</v>
      </c>
      <c r="O80" s="37">
        <f t="shared" si="2"/>
        <v>15</v>
      </c>
      <c r="P80" s="37">
        <f t="shared" si="3"/>
        <v>20</v>
      </c>
      <c r="Q80" s="38">
        <v>2000</v>
      </c>
      <c r="S80" s="5">
        <f t="shared" si="4"/>
        <v>4538003.9305694317</v>
      </c>
      <c r="T80" s="5">
        <f t="shared" si="5"/>
        <v>6050671.9074259093</v>
      </c>
      <c r="U80" s="5">
        <f t="shared" si="6"/>
        <v>5445604.7166833179</v>
      </c>
      <c r="V80" s="5">
        <f t="shared" si="7"/>
        <v>6050671.9074259093</v>
      </c>
      <c r="W80" s="5">
        <f t="shared" si="8"/>
        <v>6050671.9074259093</v>
      </c>
      <c r="X80" s="5">
        <f t="shared" si="9"/>
        <v>6050671.9074259093</v>
      </c>
      <c r="Y80" s="5">
        <f t="shared" si="10"/>
        <v>6151407.1361727742</v>
      </c>
      <c r="Z80" s="5">
        <f t="shared" si="11"/>
        <v>6151407.1361727742</v>
      </c>
      <c r="AA80" s="5">
        <f t="shared" si="12"/>
        <v>6151407.1361727742</v>
      </c>
      <c r="AB80" s="5">
        <f t="shared" si="13"/>
        <v>6151407.1361727742</v>
      </c>
      <c r="AC80" s="5">
        <f t="shared" si="14"/>
        <v>6151407.1361727742</v>
      </c>
      <c r="AD80" s="5">
        <f t="shared" si="15"/>
        <v>3690844.281703664</v>
      </c>
      <c r="AF80" s="5">
        <f t="shared" si="21"/>
        <v>68634176.239523903</v>
      </c>
      <c r="AG80" s="48">
        <f t="shared" si="16"/>
        <v>0</v>
      </c>
      <c r="AH80" s="48">
        <f t="shared" si="17"/>
        <v>0</v>
      </c>
      <c r="AI80">
        <v>0.08</v>
      </c>
      <c r="AL80" s="48" t="b">
        <f t="shared" si="18"/>
        <v>1</v>
      </c>
      <c r="AN80" s="57">
        <f t="shared" si="19"/>
        <v>4624226.0052502509</v>
      </c>
    </row>
    <row r="81" spans="1:40" customFormat="1" ht="23.1">
      <c r="A81" s="110"/>
      <c r="B81" s="33" t="s">
        <v>81</v>
      </c>
      <c r="C81" s="33" t="s">
        <v>73</v>
      </c>
      <c r="D81" s="16">
        <v>0.52410000000000001</v>
      </c>
      <c r="E81" s="16">
        <v>0.47589999999999999</v>
      </c>
      <c r="F81" s="35" t="s">
        <v>160</v>
      </c>
      <c r="G81" s="37"/>
      <c r="H81" s="37"/>
      <c r="I81" s="37">
        <v>1</v>
      </c>
      <c r="J81" s="37">
        <v>12</v>
      </c>
      <c r="K81" s="37">
        <v>12</v>
      </c>
      <c r="L81" s="37"/>
      <c r="M81" s="37">
        <f t="shared" si="20"/>
        <v>12</v>
      </c>
      <c r="N81" s="37">
        <f t="shared" si="1"/>
        <v>18</v>
      </c>
      <c r="O81" s="37">
        <f t="shared" si="2"/>
        <v>15</v>
      </c>
      <c r="P81" s="37">
        <f t="shared" si="3"/>
        <v>20</v>
      </c>
      <c r="Q81" s="38">
        <v>2000</v>
      </c>
      <c r="S81" s="5">
        <f t="shared" si="4"/>
        <v>4538003.9305694317</v>
      </c>
      <c r="T81" s="5">
        <f t="shared" si="5"/>
        <v>6050671.9074259093</v>
      </c>
      <c r="U81" s="5">
        <f t="shared" si="6"/>
        <v>5445604.7166833179</v>
      </c>
      <c r="V81" s="5">
        <f t="shared" si="7"/>
        <v>6050671.9074259093</v>
      </c>
      <c r="W81" s="5">
        <f t="shared" si="8"/>
        <v>6050671.9074259093</v>
      </c>
      <c r="X81" s="5">
        <f t="shared" si="9"/>
        <v>6050671.9074259093</v>
      </c>
      <c r="Y81" s="5">
        <f t="shared" si="10"/>
        <v>6151407.1361727742</v>
      </c>
      <c r="Z81" s="5">
        <f t="shared" si="11"/>
        <v>6151407.1361727742</v>
      </c>
      <c r="AA81" s="5">
        <f t="shared" si="12"/>
        <v>6151407.1361727742</v>
      </c>
      <c r="AB81" s="5">
        <f t="shared" si="13"/>
        <v>6151407.1361727742</v>
      </c>
      <c r="AC81" s="5">
        <f t="shared" si="14"/>
        <v>6151407.1361727742</v>
      </c>
      <c r="AD81" s="5">
        <f t="shared" si="15"/>
        <v>3690844.281703664</v>
      </c>
      <c r="AF81" s="5">
        <f t="shared" si="21"/>
        <v>68634176.239523903</v>
      </c>
      <c r="AG81" s="48">
        <f t="shared" si="16"/>
        <v>0</v>
      </c>
      <c r="AH81" s="48">
        <f t="shared" si="17"/>
        <v>0</v>
      </c>
      <c r="AI81">
        <v>0.08</v>
      </c>
      <c r="AL81" s="48" t="b">
        <f t="shared" si="18"/>
        <v>1</v>
      </c>
      <c r="AN81" s="57">
        <f t="shared" si="19"/>
        <v>4624226.0052502509</v>
      </c>
    </row>
    <row r="82" spans="1:40" customFormat="1" ht="23.1">
      <c r="A82" s="110" t="s">
        <v>82</v>
      </c>
      <c r="B82" s="33" t="s">
        <v>38</v>
      </c>
      <c r="C82" s="33" t="s">
        <v>73</v>
      </c>
      <c r="D82" s="16">
        <v>0.52410000000000001</v>
      </c>
      <c r="E82" s="16">
        <v>0.47589999999999999</v>
      </c>
      <c r="F82" s="37" t="s">
        <v>160</v>
      </c>
      <c r="G82" s="37"/>
      <c r="H82" s="37"/>
      <c r="I82" s="37">
        <v>1</v>
      </c>
      <c r="J82" s="37">
        <v>12</v>
      </c>
      <c r="K82" s="37">
        <v>12</v>
      </c>
      <c r="L82" s="37"/>
      <c r="M82" s="37">
        <f t="shared" si="20"/>
        <v>12</v>
      </c>
      <c r="N82" s="37">
        <f t="shared" si="1"/>
        <v>18</v>
      </c>
      <c r="O82" s="37">
        <f t="shared" si="2"/>
        <v>15</v>
      </c>
      <c r="P82" s="37">
        <f t="shared" si="3"/>
        <v>20</v>
      </c>
      <c r="Q82" s="38">
        <v>2000</v>
      </c>
      <c r="S82" s="5">
        <f t="shared" si="4"/>
        <v>4538003.9305694317</v>
      </c>
      <c r="T82" s="5">
        <f t="shared" si="5"/>
        <v>6050671.9074259093</v>
      </c>
      <c r="U82" s="5">
        <f t="shared" si="6"/>
        <v>5445604.7166833179</v>
      </c>
      <c r="V82" s="5">
        <f t="shared" si="7"/>
        <v>6050671.9074259093</v>
      </c>
      <c r="W82" s="5">
        <f t="shared" si="8"/>
        <v>6050671.9074259093</v>
      </c>
      <c r="X82" s="5">
        <f t="shared" si="9"/>
        <v>6050671.9074259093</v>
      </c>
      <c r="Y82" s="5">
        <f t="shared" si="10"/>
        <v>6151407.1361727742</v>
      </c>
      <c r="Z82" s="5">
        <f t="shared" si="11"/>
        <v>6151407.1361727742</v>
      </c>
      <c r="AA82" s="5">
        <f t="shared" si="12"/>
        <v>6151407.1361727742</v>
      </c>
      <c r="AB82" s="5">
        <f t="shared" si="13"/>
        <v>6151407.1361727742</v>
      </c>
      <c r="AC82" s="5">
        <f t="shared" si="14"/>
        <v>6151407.1361727742</v>
      </c>
      <c r="AD82" s="5">
        <f t="shared" si="15"/>
        <v>3690844.281703664</v>
      </c>
      <c r="AF82" s="5">
        <f t="shared" si="21"/>
        <v>68634176.239523903</v>
      </c>
      <c r="AG82" s="48">
        <f t="shared" si="16"/>
        <v>0</v>
      </c>
      <c r="AH82" s="48">
        <f t="shared" si="17"/>
        <v>0</v>
      </c>
      <c r="AI82">
        <v>0.08</v>
      </c>
      <c r="AL82" s="48" t="b">
        <f t="shared" si="18"/>
        <v>1</v>
      </c>
      <c r="AN82" s="57">
        <f t="shared" si="19"/>
        <v>4624226.0052502509</v>
      </c>
    </row>
    <row r="83" spans="1:40" customFormat="1" ht="23.1">
      <c r="A83" s="110"/>
      <c r="B83" s="33" t="s">
        <v>83</v>
      </c>
      <c r="C83" s="33" t="s">
        <v>84</v>
      </c>
      <c r="D83" s="16">
        <v>0.52410000000000001</v>
      </c>
      <c r="E83" s="16">
        <v>0.47589999999999999</v>
      </c>
      <c r="F83" s="37" t="s">
        <v>160</v>
      </c>
      <c r="G83" s="37"/>
      <c r="H83" s="37"/>
      <c r="I83" s="37">
        <v>1</v>
      </c>
      <c r="J83" s="37">
        <v>16</v>
      </c>
      <c r="K83" s="37">
        <v>13</v>
      </c>
      <c r="L83" s="37">
        <v>3</v>
      </c>
      <c r="M83" s="37">
        <f t="shared" si="20"/>
        <v>12</v>
      </c>
      <c r="N83" s="37">
        <f t="shared" si="1"/>
        <v>18</v>
      </c>
      <c r="O83" s="37">
        <f t="shared" si="2"/>
        <v>15</v>
      </c>
      <c r="P83" s="37">
        <f t="shared" si="3"/>
        <v>20</v>
      </c>
      <c r="Q83" s="38">
        <v>4000</v>
      </c>
      <c r="S83" s="5">
        <f t="shared" si="4"/>
        <v>6393409.1251762193</v>
      </c>
      <c r="T83" s="5">
        <f t="shared" si="5"/>
        <v>8524545.5002349596</v>
      </c>
      <c r="U83" s="5">
        <f t="shared" si="6"/>
        <v>7672090.9502114635</v>
      </c>
      <c r="V83" s="5">
        <f t="shared" si="7"/>
        <v>8524545.5002349596</v>
      </c>
      <c r="W83" s="5">
        <f t="shared" si="8"/>
        <v>8524545.5002349596</v>
      </c>
      <c r="X83" s="5">
        <f t="shared" si="9"/>
        <v>8524545.5002349596</v>
      </c>
      <c r="Y83" s="5">
        <f t="shared" si="10"/>
        <v>8666452.4299858231</v>
      </c>
      <c r="Z83" s="5">
        <f t="shared" si="11"/>
        <v>8666452.4299858231</v>
      </c>
      <c r="AA83" s="5">
        <f t="shared" si="12"/>
        <v>8666452.4299858231</v>
      </c>
      <c r="AB83" s="5">
        <f t="shared" si="13"/>
        <v>8666452.4299858231</v>
      </c>
      <c r="AC83" s="5">
        <f t="shared" si="14"/>
        <v>8666452.4299858231</v>
      </c>
      <c r="AD83" s="5">
        <f t="shared" si="15"/>
        <v>5199871.4579914929</v>
      </c>
      <c r="AF83" s="5">
        <f t="shared" si="21"/>
        <v>96695815.684248134</v>
      </c>
      <c r="AG83" s="48">
        <f t="shared" si="16"/>
        <v>0</v>
      </c>
      <c r="AH83" s="48">
        <f t="shared" si="17"/>
        <v>0</v>
      </c>
      <c r="AI83">
        <v>0.08</v>
      </c>
      <c r="AL83" s="48" t="b">
        <f t="shared" si="18"/>
        <v>1</v>
      </c>
      <c r="AN83" s="57">
        <f t="shared" si="19"/>
        <v>6514883.8985545672</v>
      </c>
    </row>
    <row r="84" spans="1:40" ht="23.1">
      <c r="A84" s="110" t="s">
        <v>85</v>
      </c>
      <c r="B84" s="33" t="s">
        <v>86</v>
      </c>
      <c r="C84" s="33" t="s">
        <v>87</v>
      </c>
      <c r="D84" s="16">
        <v>0.52410000000000001</v>
      </c>
      <c r="E84" s="16">
        <v>0.47589999999999999</v>
      </c>
      <c r="F84" s="37" t="s">
        <v>160</v>
      </c>
      <c r="G84" s="37">
        <v>1</v>
      </c>
      <c r="H84" s="37">
        <v>1</v>
      </c>
      <c r="I84" s="37">
        <v>1</v>
      </c>
      <c r="J84" s="37">
        <v>24</v>
      </c>
      <c r="K84" s="37">
        <v>13</v>
      </c>
      <c r="L84" s="37">
        <v>11</v>
      </c>
      <c r="M84" s="37">
        <f t="shared" si="20"/>
        <v>30</v>
      </c>
      <c r="N84" s="37">
        <f t="shared" si="1"/>
        <v>30</v>
      </c>
      <c r="O84" s="37">
        <f t="shared" si="2"/>
        <v>30</v>
      </c>
      <c r="P84" s="37">
        <f t="shared" si="3"/>
        <v>30</v>
      </c>
      <c r="Q84" s="38">
        <v>6000</v>
      </c>
      <c r="S84" s="5">
        <f t="shared" si="4"/>
        <v>21047523.038850002</v>
      </c>
      <c r="T84" s="5">
        <f t="shared" si="5"/>
        <v>21047523.038850002</v>
      </c>
      <c r="U84" s="5">
        <f t="shared" si="6"/>
        <v>21047523.038850002</v>
      </c>
      <c r="V84" s="5">
        <f t="shared" si="7"/>
        <v>21047523.038850002</v>
      </c>
      <c r="W84" s="5">
        <f t="shared" si="8"/>
        <v>21047523.038850002</v>
      </c>
      <c r="X84" s="5">
        <f t="shared" si="9"/>
        <v>21047523.038850002</v>
      </c>
      <c r="Y84" s="5">
        <f t="shared" si="10"/>
        <v>21397861.620300002</v>
      </c>
      <c r="Z84" s="5">
        <f t="shared" si="11"/>
        <v>21397861.620300002</v>
      </c>
      <c r="AA84" s="5">
        <f t="shared" si="12"/>
        <v>21397861.620300002</v>
      </c>
      <c r="AB84" s="5">
        <f t="shared" si="13"/>
        <v>21397861.620300002</v>
      </c>
      <c r="AC84" s="5">
        <f t="shared" si="14"/>
        <v>21397861.620300002</v>
      </c>
      <c r="AD84" s="5">
        <f t="shared" si="15"/>
        <v>21397861.620300002</v>
      </c>
      <c r="AF84" s="5">
        <f t="shared" si="21"/>
        <v>254672307.9549</v>
      </c>
      <c r="AG84" s="48">
        <f t="shared" si="16"/>
        <v>1</v>
      </c>
      <c r="AH84" s="48">
        <f t="shared" si="17"/>
        <v>1</v>
      </c>
      <c r="AI84" s="48">
        <v>0.1</v>
      </c>
      <c r="AL84" s="48" t="b">
        <f t="shared" si="18"/>
        <v>1</v>
      </c>
      <c r="AN84" s="57">
        <f t="shared" si="19"/>
        <v>21447425.976588149</v>
      </c>
    </row>
    <row r="85" spans="1:40" customFormat="1" ht="23.1">
      <c r="A85" s="110"/>
      <c r="B85" s="33" t="s">
        <v>88</v>
      </c>
      <c r="C85" s="33" t="s">
        <v>73</v>
      </c>
      <c r="D85" s="16">
        <v>0.52410000000000001</v>
      </c>
      <c r="E85" s="16">
        <v>0.47589999999999999</v>
      </c>
      <c r="F85" s="37" t="s">
        <v>160</v>
      </c>
      <c r="G85" s="37"/>
      <c r="H85" s="37"/>
      <c r="I85" s="37">
        <v>1</v>
      </c>
      <c r="J85" s="37">
        <v>12</v>
      </c>
      <c r="K85" s="37">
        <v>12</v>
      </c>
      <c r="L85" s="37"/>
      <c r="M85" s="37">
        <f t="shared" si="20"/>
        <v>12</v>
      </c>
      <c r="N85" s="37">
        <f t="shared" si="1"/>
        <v>18</v>
      </c>
      <c r="O85" s="37">
        <f t="shared" si="2"/>
        <v>15</v>
      </c>
      <c r="P85" s="37">
        <f t="shared" si="3"/>
        <v>20</v>
      </c>
      <c r="Q85" s="38">
        <v>2000</v>
      </c>
      <c r="S85" s="5">
        <f t="shared" si="4"/>
        <v>4538003.9305694317</v>
      </c>
      <c r="T85" s="5">
        <f t="shared" si="5"/>
        <v>6050671.9074259093</v>
      </c>
      <c r="U85" s="5">
        <f t="shared" si="6"/>
        <v>5445604.7166833179</v>
      </c>
      <c r="V85" s="5">
        <f t="shared" si="7"/>
        <v>6050671.9074259093</v>
      </c>
      <c r="W85" s="5">
        <f t="shared" si="8"/>
        <v>6050671.9074259093</v>
      </c>
      <c r="X85" s="5">
        <f t="shared" si="9"/>
        <v>6050671.9074259093</v>
      </c>
      <c r="Y85" s="5">
        <f t="shared" si="10"/>
        <v>6151407.1361727742</v>
      </c>
      <c r="Z85" s="5">
        <f t="shared" si="11"/>
        <v>6151407.1361727742</v>
      </c>
      <c r="AA85" s="5">
        <f t="shared" si="12"/>
        <v>6151407.1361727742</v>
      </c>
      <c r="AB85" s="5">
        <f t="shared" si="13"/>
        <v>6151407.1361727742</v>
      </c>
      <c r="AC85" s="5">
        <f t="shared" si="14"/>
        <v>6151407.1361727742</v>
      </c>
      <c r="AD85" s="5">
        <f t="shared" si="15"/>
        <v>3690844.281703664</v>
      </c>
      <c r="AF85" s="5">
        <f t="shared" si="21"/>
        <v>68634176.239523903</v>
      </c>
      <c r="AG85" s="48">
        <f t="shared" si="16"/>
        <v>0</v>
      </c>
      <c r="AH85" s="48">
        <f t="shared" si="17"/>
        <v>0</v>
      </c>
      <c r="AI85">
        <v>0.08</v>
      </c>
      <c r="AL85" s="48" t="b">
        <f t="shared" si="18"/>
        <v>1</v>
      </c>
      <c r="AN85" s="57">
        <f t="shared" si="19"/>
        <v>4624226.0052502509</v>
      </c>
    </row>
    <row r="86" spans="1:40" ht="23.1">
      <c r="A86" s="32" t="s">
        <v>89</v>
      </c>
      <c r="B86" s="33" t="s">
        <v>90</v>
      </c>
      <c r="C86" s="33" t="s">
        <v>87</v>
      </c>
      <c r="D86" s="16">
        <v>0.52410000000000001</v>
      </c>
      <c r="E86" s="16">
        <v>0.47589999999999999</v>
      </c>
      <c r="F86" s="37" t="s">
        <v>160</v>
      </c>
      <c r="G86" s="37">
        <v>2</v>
      </c>
      <c r="H86" s="37">
        <v>2</v>
      </c>
      <c r="I86" s="37">
        <v>2</v>
      </c>
      <c r="J86" s="37">
        <v>24</v>
      </c>
      <c r="K86" s="37">
        <v>13</v>
      </c>
      <c r="L86" s="37">
        <v>11</v>
      </c>
      <c r="M86" s="37">
        <v>30</v>
      </c>
      <c r="N86" s="37">
        <v>30</v>
      </c>
      <c r="O86" s="37">
        <v>30</v>
      </c>
      <c r="P86" s="37">
        <f t="shared" si="3"/>
        <v>30</v>
      </c>
      <c r="Q86" s="38">
        <v>6000</v>
      </c>
      <c r="S86" s="5">
        <f>+(((((((($B$21*$C$21)+Q86)*D86/30)*O86)/11*L86))+(((((($B$21*$C$21)+Q86)*E86/30)*O86)/13*K86)))*(I86))*(1+$AI86)</f>
        <v>42095046.077700004</v>
      </c>
      <c r="T86" s="5">
        <f>+((((((($B$21*$C$21)+Q86)*D86/30)*P86)/11*L86))+(((((($B$21*$C$21)+Q86)*E86/30)*P86)/13*K86)))*(I86)*(1+$AI86)</f>
        <v>42095046.077700004</v>
      </c>
      <c r="U86" s="5">
        <f t="shared" si="6"/>
        <v>42095046.077700004</v>
      </c>
      <c r="V86" s="5">
        <f t="shared" si="7"/>
        <v>42095046.077700004</v>
      </c>
      <c r="W86" s="5">
        <f t="shared" si="8"/>
        <v>42095046.077700004</v>
      </c>
      <c r="X86" s="5">
        <f t="shared" si="9"/>
        <v>42095046.077700004</v>
      </c>
      <c r="Y86" s="5">
        <f t="shared" si="10"/>
        <v>42795723.240600005</v>
      </c>
      <c r="Z86" s="5">
        <f t="shared" si="11"/>
        <v>42795723.240600005</v>
      </c>
      <c r="AA86" s="5">
        <f t="shared" si="12"/>
        <v>42795723.240600005</v>
      </c>
      <c r="AB86" s="5">
        <f t="shared" si="13"/>
        <v>42795723.240600005</v>
      </c>
      <c r="AC86" s="5">
        <f t="shared" si="14"/>
        <v>42795723.240600005</v>
      </c>
      <c r="AD86" s="5">
        <f t="shared" si="15"/>
        <v>42795723.240600005</v>
      </c>
      <c r="AF86" s="5">
        <f t="shared" si="21"/>
        <v>509344615.90979999</v>
      </c>
      <c r="AG86" s="48">
        <f t="shared" si="16"/>
        <v>1</v>
      </c>
      <c r="AH86" s="48">
        <f t="shared" si="17"/>
        <v>1</v>
      </c>
      <c r="AI86" s="48">
        <v>0.1</v>
      </c>
      <c r="AL86" s="48" t="b">
        <f t="shared" si="18"/>
        <v>1</v>
      </c>
      <c r="AN86" s="57">
        <f t="shared" si="19"/>
        <v>42894851.953176297</v>
      </c>
    </row>
    <row r="87" spans="1:40" ht="23.1">
      <c r="A87" s="32" t="s">
        <v>91</v>
      </c>
      <c r="B87" s="33" t="s">
        <v>92</v>
      </c>
      <c r="C87" s="33" t="s">
        <v>93</v>
      </c>
      <c r="D87" s="16">
        <v>0.52410000000000001</v>
      </c>
      <c r="E87" s="16">
        <v>0.47589999999999999</v>
      </c>
      <c r="F87" s="37" t="s">
        <v>160</v>
      </c>
      <c r="G87" s="37">
        <v>1</v>
      </c>
      <c r="H87" s="37">
        <v>1</v>
      </c>
      <c r="I87" s="37">
        <v>1</v>
      </c>
      <c r="J87" s="37">
        <v>24</v>
      </c>
      <c r="K87" s="37">
        <v>13</v>
      </c>
      <c r="L87" s="37">
        <v>11</v>
      </c>
      <c r="M87" s="37">
        <f t="shared" si="20"/>
        <v>30</v>
      </c>
      <c r="N87" s="37">
        <f t="shared" si="1"/>
        <v>30</v>
      </c>
      <c r="O87" s="37">
        <f t="shared" si="2"/>
        <v>30</v>
      </c>
      <c r="P87" s="37">
        <f t="shared" si="3"/>
        <v>30</v>
      </c>
      <c r="Q87" s="38">
        <v>6000</v>
      </c>
      <c r="S87" s="5">
        <f t="shared" si="4"/>
        <v>20664840.801780004</v>
      </c>
      <c r="T87" s="5">
        <f t="shared" si="5"/>
        <v>20664840.801780004</v>
      </c>
      <c r="U87" s="5">
        <f t="shared" si="6"/>
        <v>20664840.801780004</v>
      </c>
      <c r="V87" s="5">
        <f t="shared" si="7"/>
        <v>20664840.801780004</v>
      </c>
      <c r="W87" s="5">
        <f t="shared" si="8"/>
        <v>20664840.801780004</v>
      </c>
      <c r="X87" s="5">
        <f t="shared" si="9"/>
        <v>20664840.801780004</v>
      </c>
      <c r="Y87" s="5">
        <f t="shared" si="10"/>
        <v>21008809.590840004</v>
      </c>
      <c r="Z87" s="5">
        <f t="shared" si="11"/>
        <v>21008809.590840004</v>
      </c>
      <c r="AA87" s="5">
        <f t="shared" si="12"/>
        <v>21008809.590840004</v>
      </c>
      <c r="AB87" s="5">
        <f t="shared" si="13"/>
        <v>21008809.590840004</v>
      </c>
      <c r="AC87" s="5">
        <f t="shared" si="14"/>
        <v>21008809.590840004</v>
      </c>
      <c r="AD87" s="5">
        <f t="shared" si="15"/>
        <v>21008809.590840004</v>
      </c>
      <c r="AF87" s="5">
        <f t="shared" si="21"/>
        <v>250041902.35572007</v>
      </c>
      <c r="AG87" s="48">
        <f t="shared" si="16"/>
        <v>1</v>
      </c>
      <c r="AH87" s="48">
        <f t="shared" si="17"/>
        <v>1</v>
      </c>
      <c r="AI87" s="48">
        <v>0.08</v>
      </c>
      <c r="AL87" s="48" t="b">
        <f t="shared" si="18"/>
        <v>1</v>
      </c>
      <c r="AN87" s="57">
        <f t="shared" si="19"/>
        <v>21057472.777013823</v>
      </c>
    </row>
    <row r="88" spans="1:40" ht="34.5">
      <c r="A88" s="32" t="s">
        <v>94</v>
      </c>
      <c r="B88" s="33" t="s">
        <v>95</v>
      </c>
      <c r="C88" s="33" t="s">
        <v>87</v>
      </c>
      <c r="D88" s="16">
        <v>0.52410000000000001</v>
      </c>
      <c r="E88" s="16">
        <v>0.47589999999999999</v>
      </c>
      <c r="F88" s="37" t="s">
        <v>160</v>
      </c>
      <c r="G88" s="37">
        <v>1</v>
      </c>
      <c r="H88" s="37">
        <v>1</v>
      </c>
      <c r="I88" s="37">
        <v>1</v>
      </c>
      <c r="J88" s="37">
        <v>24</v>
      </c>
      <c r="K88" s="37">
        <v>13</v>
      </c>
      <c r="L88" s="37">
        <v>11</v>
      </c>
      <c r="M88" s="37">
        <f t="shared" si="20"/>
        <v>30</v>
      </c>
      <c r="N88" s="37">
        <f t="shared" si="1"/>
        <v>30</v>
      </c>
      <c r="O88" s="37">
        <f t="shared" si="2"/>
        <v>30</v>
      </c>
      <c r="P88" s="37">
        <f t="shared" si="3"/>
        <v>30</v>
      </c>
      <c r="Q88" s="38">
        <v>6000</v>
      </c>
      <c r="S88" s="5">
        <f t="shared" si="4"/>
        <v>21047523.038850002</v>
      </c>
      <c r="T88" s="5">
        <f t="shared" si="5"/>
        <v>21047523.038850002</v>
      </c>
      <c r="U88" s="5">
        <f t="shared" si="6"/>
        <v>21047523.038850002</v>
      </c>
      <c r="V88" s="5">
        <f t="shared" si="7"/>
        <v>21047523.038850002</v>
      </c>
      <c r="W88" s="5">
        <f t="shared" si="8"/>
        <v>21047523.038850002</v>
      </c>
      <c r="X88" s="5">
        <f t="shared" si="9"/>
        <v>21047523.038850002</v>
      </c>
      <c r="Y88" s="5">
        <f t="shared" si="10"/>
        <v>21397861.620300002</v>
      </c>
      <c r="Z88" s="5">
        <f t="shared" si="11"/>
        <v>21397861.620300002</v>
      </c>
      <c r="AA88" s="5">
        <f t="shared" si="12"/>
        <v>21397861.620300002</v>
      </c>
      <c r="AB88" s="5">
        <f t="shared" si="13"/>
        <v>21397861.620300002</v>
      </c>
      <c r="AC88" s="5">
        <f t="shared" si="14"/>
        <v>21397861.620300002</v>
      </c>
      <c r="AD88" s="5">
        <f t="shared" si="15"/>
        <v>21397861.620300002</v>
      </c>
      <c r="AF88" s="5">
        <f t="shared" si="21"/>
        <v>254672307.9549</v>
      </c>
      <c r="AG88" s="48">
        <f t="shared" si="16"/>
        <v>1</v>
      </c>
      <c r="AH88" s="48">
        <f t="shared" si="17"/>
        <v>1</v>
      </c>
      <c r="AI88" s="48">
        <v>0.1</v>
      </c>
      <c r="AL88" s="48" t="b">
        <f t="shared" si="18"/>
        <v>1</v>
      </c>
      <c r="AN88" s="57">
        <f t="shared" si="19"/>
        <v>21447425.976588149</v>
      </c>
    </row>
    <row r="89" spans="1:40" customFormat="1">
      <c r="A89" s="14"/>
      <c r="B89" s="108" t="s">
        <v>164</v>
      </c>
      <c r="C89" s="108"/>
      <c r="D89" s="109"/>
      <c r="E89" s="109"/>
      <c r="F89" s="109"/>
      <c r="G89" s="44">
        <f>SUM(G29:G88)</f>
        <v>39</v>
      </c>
      <c r="H89" s="44">
        <f>SUM(H29:H88)</f>
        <v>22</v>
      </c>
      <c r="I89" s="44">
        <f>SUM(I29:I88)</f>
        <v>61</v>
      </c>
      <c r="J89" s="37"/>
      <c r="K89" s="37"/>
      <c r="L89" s="37"/>
      <c r="M89" s="37"/>
      <c r="N89" s="37"/>
      <c r="O89" s="37"/>
      <c r="P89" s="37"/>
      <c r="Q89" s="44"/>
      <c r="S89" s="5">
        <f>SUM(S29:S88)</f>
        <v>648047641.39387417</v>
      </c>
      <c r="T89" s="55">
        <f t="shared" ref="T89:AD89" si="22">SUM(T29:T88)</f>
        <v>681146769.03003955</v>
      </c>
      <c r="U89" s="55">
        <f t="shared" si="22"/>
        <v>653655915.73656023</v>
      </c>
      <c r="V89" s="55">
        <f>SUM(V29:V88)</f>
        <v>681146769.03003955</v>
      </c>
      <c r="W89" s="55">
        <f t="shared" si="22"/>
        <v>681146769.03003955</v>
      </c>
      <c r="X89" s="55">
        <f t="shared" si="22"/>
        <v>681146769.03003955</v>
      </c>
      <c r="Y89" s="55">
        <f t="shared" si="22"/>
        <v>692485317.20770264</v>
      </c>
      <c r="Z89" s="55">
        <f t="shared" si="22"/>
        <v>692485317.20770264</v>
      </c>
      <c r="AA89" s="55">
        <f t="shared" si="22"/>
        <v>692485317.20770264</v>
      </c>
      <c r="AB89" s="55">
        <f t="shared" si="22"/>
        <v>692485317.20770264</v>
      </c>
      <c r="AC89" s="55">
        <f t="shared" si="22"/>
        <v>692485317.20770264</v>
      </c>
      <c r="AD89" s="55">
        <f t="shared" si="22"/>
        <v>638645040.62253261</v>
      </c>
      <c r="AE89" s="48"/>
      <c r="AF89" s="57">
        <f>SUM(AF29:AF88)</f>
        <v>8127362259.9116354</v>
      </c>
    </row>
    <row r="90" spans="1:40">
      <c r="AF90" s="56">
        <f>SUM(S89:AD89)</f>
        <v>8127362259.9116392</v>
      </c>
    </row>
    <row r="91" spans="1:40">
      <c r="AI91" s="79">
        <f>10%*19%</f>
        <v>1.9000000000000003E-2</v>
      </c>
    </row>
    <row r="92" spans="1:40">
      <c r="AD92" t="s">
        <v>101</v>
      </c>
      <c r="AE92"/>
      <c r="AF92" s="47">
        <f>+AF90*1.9%</f>
        <v>154419882.93832114</v>
      </c>
    </row>
    <row r="93" spans="1:40">
      <c r="AD93" t="s">
        <v>4</v>
      </c>
      <c r="AE93"/>
      <c r="AF93" s="55">
        <f>+AF92+AF90</f>
        <v>8281782142.8499603</v>
      </c>
    </row>
  </sheetData>
  <autoFilter ref="A28:N89" xr:uid="{6A3F0D7A-C1D9-44AE-B4C8-B2127CFF254E}"/>
  <mergeCells count="15">
    <mergeCell ref="C24:D24"/>
    <mergeCell ref="H14:M14"/>
    <mergeCell ref="A51:A52"/>
    <mergeCell ref="A53:A54"/>
    <mergeCell ref="A56:A57"/>
    <mergeCell ref="A14:F14"/>
    <mergeCell ref="A27:Q27"/>
    <mergeCell ref="S27:AD27"/>
    <mergeCell ref="A29:A48"/>
    <mergeCell ref="A49:A50"/>
    <mergeCell ref="A84:A85"/>
    <mergeCell ref="B89:F89"/>
    <mergeCell ref="A58:A69"/>
    <mergeCell ref="A70:A81"/>
    <mergeCell ref="A82:A83"/>
  </mergeCells>
  <hyperlinks>
    <hyperlink ref="C24" r:id="rId1" xr:uid="{FC1A0FF2-22D1-4ADF-A1B9-14FADBDF5B07}"/>
    <hyperlink ref="C1" r:id="rId2" xr:uid="{0048EFA3-B8EC-4AAE-9CEE-3E879893ADE2}"/>
  </hyperlinks>
  <pageMargins left="0.7" right="0.7" top="0.75" bottom="0.75" header="0.3" footer="0.3"/>
  <pageSetup paperSize="9" orientation="portrait" horizontalDpi="1200" verticalDpi="1200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F491D-26B5-4583-9A71-F188FBA02556}">
  <dimension ref="A1:AN93"/>
  <sheetViews>
    <sheetView topLeftCell="Z86" zoomScale="78" zoomScaleNormal="78" workbookViewId="0">
      <selection activeCell="AF90" sqref="AF90"/>
    </sheetView>
  </sheetViews>
  <sheetFormatPr defaultColWidth="11.42578125" defaultRowHeight="14.45"/>
  <cols>
    <col min="1" max="1" width="19.7109375" style="48" customWidth="1"/>
    <col min="2" max="2" width="15.7109375" style="48" customWidth="1"/>
    <col min="3" max="3" width="29.140625" style="48" customWidth="1"/>
    <col min="4" max="5" width="13.5703125" style="2" bestFit="1" customWidth="1"/>
    <col min="6" max="6" width="18.42578125" style="2" bestFit="1" customWidth="1"/>
    <col min="7" max="7" width="22.7109375" style="2" bestFit="1" customWidth="1"/>
    <col min="8" max="8" width="13" style="2" bestFit="1" customWidth="1"/>
    <col min="9" max="9" width="13.5703125" style="2" bestFit="1" customWidth="1"/>
    <col min="10" max="10" width="12" style="2" bestFit="1" customWidth="1"/>
    <col min="11" max="11" width="12" style="2" customWidth="1"/>
    <col min="12" max="12" width="12.5703125" style="2" bestFit="1" customWidth="1"/>
    <col min="13" max="13" width="13.5703125" style="2" bestFit="1" customWidth="1"/>
    <col min="14" max="14" width="13.42578125" style="48" customWidth="1"/>
    <col min="15" max="15" width="16.140625" style="48" customWidth="1"/>
    <col min="16" max="20" width="17.42578125" style="48" customWidth="1"/>
    <col min="21" max="27" width="17.42578125" style="48" bestFit="1" customWidth="1"/>
    <col min="28" max="28" width="18.5703125" style="48" customWidth="1"/>
    <col min="29" max="29" width="19.140625" style="48" bestFit="1" customWidth="1"/>
    <col min="30" max="30" width="17.28515625" style="48" customWidth="1"/>
    <col min="31" max="31" width="11.42578125" style="48"/>
    <col min="32" max="32" width="20.140625" style="48" customWidth="1"/>
    <col min="33" max="34" width="0" style="48" hidden="1" customWidth="1"/>
    <col min="35" max="35" width="11.42578125" style="48"/>
    <col min="36" max="41" width="0" style="48" hidden="1" customWidth="1"/>
    <col min="42" max="16384" width="11.42578125" style="48"/>
  </cols>
  <sheetData>
    <row r="1" spans="1:6" ht="72.599999999999994">
      <c r="A1" s="25" t="s">
        <v>102</v>
      </c>
      <c r="B1" s="25" t="s">
        <v>171</v>
      </c>
      <c r="C1" s="24" t="s">
        <v>189</v>
      </c>
      <c r="D1" s="50"/>
      <c r="E1" s="51" t="s">
        <v>104</v>
      </c>
    </row>
    <row r="2" spans="1:6" ht="18">
      <c r="A2" s="26" t="s">
        <v>105</v>
      </c>
      <c r="B2" s="4">
        <f>+'2027'!B2*1.04</f>
        <v>6670.56</v>
      </c>
      <c r="D2" s="52"/>
      <c r="E2" s="51"/>
    </row>
    <row r="3" spans="1:6" ht="27">
      <c r="A3" s="27" t="s">
        <v>106</v>
      </c>
      <c r="B3" s="4">
        <f>+'2027'!B3*1.04</f>
        <v>6670.56</v>
      </c>
      <c r="D3" s="53"/>
      <c r="E3" s="51" t="s">
        <v>107</v>
      </c>
    </row>
    <row r="4" spans="1:6" ht="27">
      <c r="A4" s="27" t="s">
        <v>108</v>
      </c>
      <c r="B4" s="4">
        <f>+'2027'!B4*1.04</f>
        <v>6670.56</v>
      </c>
      <c r="D4" s="54"/>
      <c r="E4" s="51" t="s">
        <v>109</v>
      </c>
    </row>
    <row r="5" spans="1:6" ht="18">
      <c r="A5" s="27" t="s">
        <v>110</v>
      </c>
      <c r="B5" s="4">
        <f>+'2027'!B5*1.04</f>
        <v>2223.52</v>
      </c>
    </row>
    <row r="6" spans="1:6" ht="27">
      <c r="A6" s="27" t="s">
        <v>111</v>
      </c>
      <c r="B6" s="4">
        <f>+'2027'!B6*1.04</f>
        <v>4447.04</v>
      </c>
    </row>
    <row r="7" spans="1:6" ht="27">
      <c r="A7" s="27" t="s">
        <v>113</v>
      </c>
      <c r="B7" s="4">
        <f>+'2027'!B7*1.04</f>
        <v>2223.52</v>
      </c>
    </row>
    <row r="8" spans="1:6" ht="18">
      <c r="A8" s="27" t="s">
        <v>114</v>
      </c>
      <c r="B8" s="4">
        <f>+'2027'!B8*1.04</f>
        <v>2223.52</v>
      </c>
    </row>
    <row r="9" spans="1:6" ht="27">
      <c r="A9" s="27" t="s">
        <v>115</v>
      </c>
      <c r="B9" s="4">
        <f>+'2027'!B9*1.04</f>
        <v>2223.52</v>
      </c>
    </row>
    <row r="10" spans="1:6" ht="18">
      <c r="A10" s="27" t="s">
        <v>116</v>
      </c>
      <c r="B10" s="4">
        <f>+'2027'!B10*1.04</f>
        <v>2223.52</v>
      </c>
    </row>
    <row r="11" spans="1:6" ht="18">
      <c r="A11" s="27" t="s">
        <v>117</v>
      </c>
      <c r="B11" s="4">
        <f>+'2027'!B11*1.04</f>
        <v>2223.52</v>
      </c>
    </row>
    <row r="12" spans="1:6" ht="18">
      <c r="A12" s="27" t="s">
        <v>118</v>
      </c>
      <c r="B12" s="4">
        <f>+'2027'!B12*1.04</f>
        <v>2223.52</v>
      </c>
    </row>
    <row r="14" spans="1:6">
      <c r="A14" s="117" t="s">
        <v>119</v>
      </c>
      <c r="B14" s="117"/>
      <c r="C14" s="117"/>
      <c r="D14" s="117"/>
      <c r="E14" s="117"/>
      <c r="F14" s="117"/>
    </row>
    <row r="15" spans="1:6">
      <c r="A15" s="17" t="s">
        <v>120</v>
      </c>
      <c r="B15" s="17" t="s">
        <v>121</v>
      </c>
      <c r="C15" s="17" t="s">
        <v>122</v>
      </c>
      <c r="D15" s="17" t="s">
        <v>123</v>
      </c>
      <c r="E15" s="17" t="s">
        <v>124</v>
      </c>
      <c r="F15" s="17" t="s">
        <v>125</v>
      </c>
    </row>
    <row r="16" spans="1:6" ht="29.1">
      <c r="A16" s="14" t="s">
        <v>128</v>
      </c>
      <c r="B16" s="23">
        <f>+$B$21*C21</f>
        <v>20807863.576110002</v>
      </c>
      <c r="C16" s="22" t="s">
        <v>129</v>
      </c>
      <c r="D16" s="23">
        <v>6000</v>
      </c>
      <c r="E16" s="23">
        <f>+(B16+D16)*8%</f>
        <v>1665109.0860888001</v>
      </c>
      <c r="F16" s="23">
        <f>+B16+E16</f>
        <v>22472972.662198801</v>
      </c>
    </row>
    <row r="17" spans="1:40" ht="29.1">
      <c r="A17" s="14" t="s">
        <v>131</v>
      </c>
      <c r="B17" s="23">
        <f>+B21*C21</f>
        <v>20807863.576110002</v>
      </c>
      <c r="C17" s="22" t="s">
        <v>132</v>
      </c>
      <c r="D17" s="23">
        <v>6000</v>
      </c>
      <c r="E17" s="23">
        <f>+(B17+D17)*10%</f>
        <v>2081386.3576110003</v>
      </c>
      <c r="F17" s="23">
        <f>+B17+E17</f>
        <v>22889249.933721002</v>
      </c>
    </row>
    <row r="18" spans="1:40" ht="29.1">
      <c r="A18" s="14" t="s">
        <v>134</v>
      </c>
      <c r="B18" s="23">
        <f>+B21*C21</f>
        <v>20807863.576110002</v>
      </c>
      <c r="C18" s="22" t="s">
        <v>135</v>
      </c>
      <c r="D18" s="23">
        <v>6000</v>
      </c>
      <c r="E18" s="23">
        <f>+(B18+D18)*11%</f>
        <v>2289524.9933721004</v>
      </c>
      <c r="F18" s="23">
        <f>+B18+E18</f>
        <v>23097388.569482103</v>
      </c>
    </row>
    <row r="20" spans="1:40" ht="26.1">
      <c r="A20" s="19" t="s">
        <v>137</v>
      </c>
      <c r="B20" s="19" t="s">
        <v>138</v>
      </c>
      <c r="C20" s="19" t="s">
        <v>139</v>
      </c>
      <c r="D20" s="20" t="s">
        <v>140</v>
      </c>
    </row>
    <row r="21" spans="1:40" ht="43.5">
      <c r="A21" s="14" t="s">
        <v>141</v>
      </c>
      <c r="B21" s="15">
        <f>'2027'!B21*(1+$B$24)</f>
        <v>2004611.1345000002</v>
      </c>
      <c r="C21" s="13">
        <v>10.38</v>
      </c>
      <c r="D21" s="16">
        <v>0.47589999999999999</v>
      </c>
    </row>
    <row r="22" spans="1:40" ht="43.5">
      <c r="A22" s="14" t="s">
        <v>142</v>
      </c>
      <c r="B22" s="15">
        <f>'2027'!B21*(1+$B$24)</f>
        <v>2004611.1345000002</v>
      </c>
      <c r="C22" s="13">
        <v>10.38</v>
      </c>
      <c r="D22" s="16">
        <v>0.52410000000000001</v>
      </c>
    </row>
    <row r="24" spans="1:40" ht="45" customHeight="1">
      <c r="A24" s="14" t="s">
        <v>175</v>
      </c>
      <c r="B24" s="49">
        <v>7.0000000000000007E-2</v>
      </c>
      <c r="C24" s="115" t="s">
        <v>112</v>
      </c>
      <c r="D24" s="116"/>
    </row>
    <row r="27" spans="1:40">
      <c r="A27" s="112" t="s">
        <v>143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S27" s="114">
        <v>2027</v>
      </c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F27" s="17"/>
      <c r="AG27" s="99"/>
      <c r="AH27" s="99"/>
      <c r="AI27" s="17"/>
    </row>
    <row r="28" spans="1:40" ht="34.5">
      <c r="A28" s="18" t="s">
        <v>1</v>
      </c>
      <c r="B28" s="45" t="s">
        <v>2</v>
      </c>
      <c r="C28" s="45" t="s">
        <v>3</v>
      </c>
      <c r="D28" s="45" t="s">
        <v>144</v>
      </c>
      <c r="E28" s="45" t="s">
        <v>145</v>
      </c>
      <c r="F28" s="45" t="s">
        <v>146</v>
      </c>
      <c r="G28" s="45" t="s">
        <v>147</v>
      </c>
      <c r="H28" s="45" t="s">
        <v>148</v>
      </c>
      <c r="I28" s="45" t="s">
        <v>149</v>
      </c>
      <c r="J28" s="45" t="s">
        <v>150</v>
      </c>
      <c r="K28" s="45" t="s">
        <v>151</v>
      </c>
      <c r="L28" s="45" t="s">
        <v>152</v>
      </c>
      <c r="M28" s="45" t="s">
        <v>153</v>
      </c>
      <c r="N28" s="45" t="s">
        <v>154</v>
      </c>
      <c r="O28" s="45" t="s">
        <v>176</v>
      </c>
      <c r="P28" s="45" t="s">
        <v>155</v>
      </c>
      <c r="Q28" s="46" t="s">
        <v>156</v>
      </c>
      <c r="S28" s="11" t="s">
        <v>177</v>
      </c>
      <c r="T28" s="11" t="s">
        <v>178</v>
      </c>
      <c r="U28" s="11" t="s">
        <v>179</v>
      </c>
      <c r="V28" s="12" t="s">
        <v>180</v>
      </c>
      <c r="W28" s="11" t="s">
        <v>181</v>
      </c>
      <c r="X28" s="11" t="s">
        <v>182</v>
      </c>
      <c r="Y28" s="11" t="s">
        <v>183</v>
      </c>
      <c r="Z28" s="11" t="s">
        <v>184</v>
      </c>
      <c r="AA28" s="11" t="s">
        <v>185</v>
      </c>
      <c r="AB28" s="11" t="s">
        <v>186</v>
      </c>
      <c r="AC28" s="11" t="s">
        <v>187</v>
      </c>
      <c r="AD28" s="11" t="s">
        <v>188</v>
      </c>
      <c r="AF28" s="17" t="s">
        <v>4</v>
      </c>
      <c r="AG28" s="99"/>
      <c r="AH28" s="99"/>
      <c r="AI28" s="17" t="s">
        <v>158</v>
      </c>
    </row>
    <row r="29" spans="1:40" ht="34.5">
      <c r="A29" s="110" t="s">
        <v>5</v>
      </c>
      <c r="B29" s="33" t="s">
        <v>6</v>
      </c>
      <c r="C29" s="33" t="s">
        <v>7</v>
      </c>
      <c r="D29" s="16">
        <v>0.52410000000000001</v>
      </c>
      <c r="E29" s="16">
        <v>0.47589999999999999</v>
      </c>
      <c r="F29" s="35" t="s">
        <v>159</v>
      </c>
      <c r="G29" s="37">
        <v>1</v>
      </c>
      <c r="H29" s="37"/>
      <c r="I29" s="37">
        <v>1</v>
      </c>
      <c r="J29" s="37">
        <v>14</v>
      </c>
      <c r="K29" s="37">
        <v>13</v>
      </c>
      <c r="L29" s="37">
        <v>1</v>
      </c>
      <c r="M29" s="37">
        <v>20</v>
      </c>
      <c r="N29" s="37">
        <f>IF(AND(H29=1,J29&lt;24),20,IF(AND(H29=1,J29=24),30,17))</f>
        <v>17</v>
      </c>
      <c r="O29" s="37">
        <f>IF(AND(G29=1,J29&lt;24),20,IF(AND(G29=1,J29=24),30,15))</f>
        <v>20</v>
      </c>
      <c r="P29" s="37">
        <f>IF(M29=12,20,M29)</f>
        <v>20</v>
      </c>
      <c r="Q29" s="38">
        <v>2000</v>
      </c>
      <c r="S29" s="5">
        <f>+((((((($B$21*$C$21)+Q29)*D29/30)*O29)/11*L29))+(((((($B$21*$C$21)+Q29)*E29/30)*O29)/13*K29)))*(I29)*(1+$AI29)</f>
        <v>7844334.8291880544</v>
      </c>
      <c r="T29" s="5">
        <f>+((((((($B$21*$C$21)+Q29)*D29/30)*P29)/11*L29))+(((((($B$21*$C$21)+Q29)*E29/30)*P29)/13*K29)))*(I29)*(1+$AI29)</f>
        <v>7844334.8291880544</v>
      </c>
      <c r="U29" s="5">
        <f>+((((((($B$21*$C$21)+Q29)*D29/30)*P29)/11*L29))+(((((($B$21*$C$21)+Q29)*E29/30)*P29)/13*K29)))*(I29)*(1+$AI29)</f>
        <v>7844334.8291880544</v>
      </c>
      <c r="V29" s="5">
        <f>+((((((($B$21*$C$21)+Q29)*D29/30)*N29)/11*L29))+(((((($B$21*$C$21)+Q29)*E29/30)*N29)/13*K29)))*(I29)*(1+$AI29)</f>
        <v>6667684.6048098467</v>
      </c>
      <c r="W29" s="5">
        <f>+((((((($B$21*$C$21)+Q29)*D29/30)*P29)/11*L29))+(((((($B$21*$C$21)+Q29)*E29/30)*P29)/13*K29)))*(I29)*(1+$AI29)</f>
        <v>7844334.8291880544</v>
      </c>
      <c r="X29" s="5">
        <f>+((((((($B$21*$C$21)+$Q29)*$D29/30)*$P29)/11*$L29))+(((((($B$21*$C$21)+$Q29)*$E29/30)*$P29)/13*$K29)))*($I29)*(1+$AI29)</f>
        <v>7844334.8291880544</v>
      </c>
      <c r="Y29" s="5">
        <f t="shared" ref="Y29:AC44" si="0">+((((((($B$21*$C$21)+$Q29)*$D29/30)*$P29)/11*$L29))+(((((($B$21*$C$21)+$Q29)*$E29/30)*$P29)/13*$K29)))*($I29)*(1+$AI29)</f>
        <v>7844334.8291880544</v>
      </c>
      <c r="Z29" s="5">
        <f t="shared" si="0"/>
        <v>7844334.8291880544</v>
      </c>
      <c r="AA29" s="5">
        <f>+((((((($B$21*$C$21)+$Q29)*$D29/30)*$P29)/11*$L29))+(((((($B$21*$C$21)+$Q29)*$E29/30)*$P29)/13*$K29)))*($I29)*(1+$AI29)</f>
        <v>7844334.8291880544</v>
      </c>
      <c r="AB29" s="5">
        <f t="shared" si="0"/>
        <v>7844334.8291880544</v>
      </c>
      <c r="AC29" s="5">
        <f t="shared" si="0"/>
        <v>7844334.8291880544</v>
      </c>
      <c r="AD29" s="5">
        <f>+((((((($B$21*$C$21)+$Q29)*$D29/30)*$M29)/11*$L29))+(((((($B$21*$C$21)+$Q29)*$E29/30)*$M29)/13*$K29)))*($I29)*(1+$AI29)</f>
        <v>7844334.8291880544</v>
      </c>
      <c r="AF29" s="31">
        <f>SUM(S29:AD29)</f>
        <v>92955367.725878432</v>
      </c>
      <c r="AG29" s="99">
        <f>IF(AD29=AC29,1,0)</f>
        <v>1</v>
      </c>
      <c r="AH29" s="99">
        <f>IF(G29&gt;=1,1,0)</f>
        <v>1</v>
      </c>
      <c r="AI29" s="99">
        <v>0.08</v>
      </c>
      <c r="AL29" s="48" t="b">
        <f>AG29=AH29</f>
        <v>1</v>
      </c>
      <c r="AN29" s="57">
        <f>S29*(1+1.9%)</f>
        <v>7993377.1909426264</v>
      </c>
    </row>
    <row r="30" spans="1:40" ht="23.1">
      <c r="A30" s="110"/>
      <c r="B30" s="33" t="s">
        <v>8</v>
      </c>
      <c r="C30" s="33" t="s">
        <v>9</v>
      </c>
      <c r="D30" s="16">
        <v>0.52410000000000001</v>
      </c>
      <c r="E30" s="16">
        <v>0.47589999999999999</v>
      </c>
      <c r="F30" s="35" t="s">
        <v>160</v>
      </c>
      <c r="G30" s="37">
        <v>1</v>
      </c>
      <c r="H30" s="37">
        <v>1</v>
      </c>
      <c r="I30" s="37">
        <v>1</v>
      </c>
      <c r="J30" s="37">
        <v>24</v>
      </c>
      <c r="K30" s="37">
        <v>13</v>
      </c>
      <c r="L30" s="37">
        <v>11</v>
      </c>
      <c r="M30" s="37">
        <f>IF(AND(G30=1,J30&lt;24),20,IF(AND(G30=1,J30=24),30,12))</f>
        <v>30</v>
      </c>
      <c r="N30" s="37">
        <f t="shared" ref="N30:N88" si="1">IF(AND(H30=1,J30&lt;24),20,IF(AND(H30=1,J30=24),30,17))</f>
        <v>30</v>
      </c>
      <c r="O30" s="37">
        <f t="shared" ref="O30:O88" si="2">IF(AND(G30=1,J30&lt;24),20,IF(AND(G30=1,J30=24),30,15))</f>
        <v>30</v>
      </c>
      <c r="P30" s="37">
        <f t="shared" ref="P30:P88" si="3">IF(M30=12,20,M30)</f>
        <v>30</v>
      </c>
      <c r="Q30" s="38">
        <v>6000</v>
      </c>
      <c r="S30" s="5">
        <f t="shared" ref="S30:S88" si="4">+((((((($B$21*$C$21)+Q30)*D30/30)*O30)/11*L30))+(((((($B$21*$C$21)+Q30)*E30/30)*O30)/13*K30)))*(I30)*(1+$AI30)</f>
        <v>22478972.662198804</v>
      </c>
      <c r="T30" s="5">
        <f t="shared" ref="T30:T88" si="5">+((((((($B$21*$C$21)+Q30)*D30/30)*P30)/11*L30))+(((((($B$21*$C$21)+Q30)*E30/30)*P30)/13*K30)))*(I30)*(1+$AI30)</f>
        <v>22478972.662198804</v>
      </c>
      <c r="U30" s="5">
        <f t="shared" ref="U30:U88" si="6">+((((((($B$21*$C$21)+Q30)*D30/30)*P30)/11*L30))+(((((($B$21*$C$21)+Q30)*E30/30)*P30)/13*K30)))*(I30)*(1+$AI30)</f>
        <v>22478972.662198804</v>
      </c>
      <c r="V30" s="5">
        <f t="shared" ref="V30:V88" si="7">+((((((($B$21*$C$21)+Q30)*D30/30)*N30)/11*L30))+(((((($B$21*$C$21)+Q30)*E30/30)*N30)/13*K30)))*(I30)*(1+$AI30)</f>
        <v>22478972.662198804</v>
      </c>
      <c r="W30" s="5">
        <f t="shared" ref="W30:W88" si="8">+((((((($B$21*$C$21)+Q30)*D30/30)*P30)/11*L30))+(((((($B$21*$C$21)+Q30)*E30/30)*P30)/13*K30)))*(I30)*(1+$AI30)</f>
        <v>22478972.662198804</v>
      </c>
      <c r="X30" s="5">
        <f t="shared" ref="X30:AC61" si="9">+((((((($B$21*$C$21)+$Q30)*$D30/30)*$P30)/11*$L30))+(((((($B$21*$C$21)+$Q30)*$E30/30)*$P30)/13*$K30)))*($I30)*(1+$AI30)</f>
        <v>22478972.662198804</v>
      </c>
      <c r="Y30" s="5">
        <f t="shared" si="0"/>
        <v>22478972.662198804</v>
      </c>
      <c r="Z30" s="5">
        <f t="shared" si="0"/>
        <v>22478972.662198804</v>
      </c>
      <c r="AA30" s="5">
        <f t="shared" si="0"/>
        <v>22478972.662198804</v>
      </c>
      <c r="AB30" s="5">
        <f t="shared" si="0"/>
        <v>22478972.662198804</v>
      </c>
      <c r="AC30" s="5">
        <f t="shared" si="0"/>
        <v>22478972.662198804</v>
      </c>
      <c r="AD30" s="5">
        <f t="shared" ref="AD30:AD88" si="10">+((((((($B$21*$C$21)+$Q30)*$D30/30)*$M30)/11*$L30))+(((((($B$21*$C$21)+$Q30)*$E30/30)*$M30)/13*$K30)))*($I30)*(1+$AI30)</f>
        <v>22478972.662198804</v>
      </c>
      <c r="AF30" s="31">
        <f>SUM(S30:AD30)</f>
        <v>269747671.94638568</v>
      </c>
      <c r="AG30" s="99">
        <f t="shared" ref="AG30:AG88" si="11">IF(AD30=AC30,1,0)</f>
        <v>1</v>
      </c>
      <c r="AH30" s="99">
        <f t="shared" ref="AH30:AH88" si="12">IF(G30&gt;=1,1,0)</f>
        <v>1</v>
      </c>
      <c r="AI30" s="99">
        <v>0.08</v>
      </c>
      <c r="AL30" s="48" t="b">
        <f t="shared" ref="AL30:AL88" si="13">AG30=AH30</f>
        <v>1</v>
      </c>
    </row>
    <row r="31" spans="1:40" ht="23.1">
      <c r="A31" s="110"/>
      <c r="B31" s="33" t="s">
        <v>10</v>
      </c>
      <c r="C31" s="33" t="s">
        <v>161</v>
      </c>
      <c r="D31" s="16">
        <v>0.52410000000000001</v>
      </c>
      <c r="E31" s="16">
        <v>0.47589999999999999</v>
      </c>
      <c r="F31" s="35" t="s">
        <v>162</v>
      </c>
      <c r="G31" s="37"/>
      <c r="H31" s="37"/>
      <c r="I31" s="37">
        <v>1</v>
      </c>
      <c r="J31" s="37">
        <v>12</v>
      </c>
      <c r="K31" s="37">
        <v>12</v>
      </c>
      <c r="L31" s="37"/>
      <c r="M31" s="37">
        <f t="shared" ref="M31:M43" si="14">IF(AND(G31=1,J31&lt;24),20,IF(AND(G31=1,J31=24),30,12))</f>
        <v>12</v>
      </c>
      <c r="N31" s="37">
        <f t="shared" si="1"/>
        <v>17</v>
      </c>
      <c r="O31" s="37">
        <f t="shared" si="2"/>
        <v>15</v>
      </c>
      <c r="P31" s="37">
        <f t="shared" si="3"/>
        <v>20</v>
      </c>
      <c r="Q31" s="38">
        <v>2000</v>
      </c>
      <c r="R31"/>
      <c r="S31" s="5">
        <f t="shared" si="4"/>
        <v>5073595.2111768611</v>
      </c>
      <c r="T31" s="5">
        <f t="shared" si="5"/>
        <v>6764793.6149024824</v>
      </c>
      <c r="U31" s="5">
        <f t="shared" si="6"/>
        <v>6764793.6149024824</v>
      </c>
      <c r="V31" s="5">
        <f t="shared" si="7"/>
        <v>5750074.5726671098</v>
      </c>
      <c r="W31" s="5">
        <f t="shared" si="8"/>
        <v>6764793.6149024824</v>
      </c>
      <c r="X31" s="5">
        <f t="shared" si="9"/>
        <v>6764793.6149024824</v>
      </c>
      <c r="Y31" s="5">
        <f t="shared" si="0"/>
        <v>6764793.6149024824</v>
      </c>
      <c r="Z31" s="5">
        <f t="shared" si="0"/>
        <v>6764793.6149024824</v>
      </c>
      <c r="AA31" s="5">
        <f t="shared" si="0"/>
        <v>6764793.6149024824</v>
      </c>
      <c r="AB31" s="5">
        <f t="shared" si="0"/>
        <v>6764793.6149024824</v>
      </c>
      <c r="AC31" s="5">
        <f t="shared" si="0"/>
        <v>6764793.6149024824</v>
      </c>
      <c r="AD31" s="5">
        <f t="shared" si="10"/>
        <v>4058876.1689414899</v>
      </c>
      <c r="AE31"/>
      <c r="AF31" s="31">
        <f>SUM(S31:AD31)</f>
        <v>75765688.486907795</v>
      </c>
      <c r="AG31" s="99">
        <f t="shared" si="11"/>
        <v>0</v>
      </c>
      <c r="AH31" s="99">
        <f t="shared" si="12"/>
        <v>0</v>
      </c>
      <c r="AI31" s="98">
        <v>0.11</v>
      </c>
      <c r="AJ31"/>
      <c r="AK31"/>
      <c r="AL31" s="48" t="b">
        <f t="shared" si="13"/>
        <v>1</v>
      </c>
      <c r="AM31"/>
      <c r="AN31"/>
    </row>
    <row r="32" spans="1:40" ht="23.1">
      <c r="A32" s="110"/>
      <c r="B32" s="33" t="s">
        <v>12</v>
      </c>
      <c r="C32" s="33" t="s">
        <v>13</v>
      </c>
      <c r="D32" s="16">
        <v>0.52410000000000001</v>
      </c>
      <c r="E32" s="16">
        <v>0.47589999999999999</v>
      </c>
      <c r="F32" s="35" t="s">
        <v>160</v>
      </c>
      <c r="G32" s="37"/>
      <c r="H32" s="37"/>
      <c r="I32" s="37">
        <v>1</v>
      </c>
      <c r="J32" s="37">
        <v>9</v>
      </c>
      <c r="K32" s="37">
        <v>9</v>
      </c>
      <c r="L32" s="37"/>
      <c r="M32" s="37">
        <f t="shared" si="14"/>
        <v>12</v>
      </c>
      <c r="N32" s="37">
        <f t="shared" si="1"/>
        <v>17</v>
      </c>
      <c r="O32" s="37">
        <f t="shared" si="2"/>
        <v>15</v>
      </c>
      <c r="P32" s="37">
        <f t="shared" si="3"/>
        <v>20</v>
      </c>
      <c r="Q32" s="38">
        <v>2000</v>
      </c>
      <c r="R32"/>
      <c r="S32" s="5">
        <f t="shared" si="4"/>
        <v>3702353.2622101423</v>
      </c>
      <c r="T32" s="5">
        <f t="shared" si="5"/>
        <v>4936471.0162801892</v>
      </c>
      <c r="U32" s="5">
        <f t="shared" si="6"/>
        <v>4936471.0162801892</v>
      </c>
      <c r="V32" s="5">
        <f t="shared" si="7"/>
        <v>4196000.3638381613</v>
      </c>
      <c r="W32" s="5">
        <f t="shared" si="8"/>
        <v>4936471.0162801892</v>
      </c>
      <c r="X32" s="5">
        <f t="shared" si="9"/>
        <v>4936471.0162801892</v>
      </c>
      <c r="Y32" s="5">
        <f t="shared" si="0"/>
        <v>4936471.0162801892</v>
      </c>
      <c r="Z32" s="5">
        <f t="shared" si="0"/>
        <v>4936471.0162801892</v>
      </c>
      <c r="AA32" s="5">
        <f t="shared" si="0"/>
        <v>4936471.0162801892</v>
      </c>
      <c r="AB32" s="5">
        <f t="shared" si="0"/>
        <v>4936471.0162801892</v>
      </c>
      <c r="AC32" s="5">
        <f t="shared" si="0"/>
        <v>4936471.0162801892</v>
      </c>
      <c r="AD32" s="5">
        <f t="shared" si="10"/>
        <v>2961882.6097681141</v>
      </c>
      <c r="AE32"/>
      <c r="AF32" s="31">
        <f t="shared" ref="AF32:AF88" si="15">SUM(S32:AD32)</f>
        <v>55288475.382338122</v>
      </c>
      <c r="AG32" s="99">
        <f t="shared" si="11"/>
        <v>0</v>
      </c>
      <c r="AH32" s="99">
        <f t="shared" si="12"/>
        <v>0</v>
      </c>
      <c r="AI32" s="98">
        <v>0.08</v>
      </c>
      <c r="AJ32"/>
      <c r="AK32"/>
      <c r="AL32" s="48" t="b">
        <f t="shared" si="13"/>
        <v>1</v>
      </c>
      <c r="AM32"/>
      <c r="AN32"/>
    </row>
    <row r="33" spans="1:40" ht="34.5">
      <c r="A33" s="110"/>
      <c r="B33" s="33" t="s">
        <v>14</v>
      </c>
      <c r="C33" s="33" t="s">
        <v>15</v>
      </c>
      <c r="D33" s="16">
        <v>0.52410000000000001</v>
      </c>
      <c r="E33" s="16">
        <v>0.47589999999999999</v>
      </c>
      <c r="F33" s="35" t="s">
        <v>160</v>
      </c>
      <c r="G33" s="37"/>
      <c r="H33" s="37"/>
      <c r="I33" s="37">
        <v>1</v>
      </c>
      <c r="J33" s="37">
        <v>11</v>
      </c>
      <c r="K33" s="37">
        <v>11</v>
      </c>
      <c r="L33" s="37"/>
      <c r="M33" s="37">
        <f t="shared" si="14"/>
        <v>12</v>
      </c>
      <c r="N33" s="37">
        <f t="shared" si="1"/>
        <v>17</v>
      </c>
      <c r="O33" s="37">
        <f t="shared" si="2"/>
        <v>15</v>
      </c>
      <c r="P33" s="37">
        <f t="shared" si="3"/>
        <v>20</v>
      </c>
      <c r="Q33" s="38">
        <v>2000</v>
      </c>
      <c r="R33"/>
      <c r="S33" s="5">
        <f t="shared" si="4"/>
        <v>4525098.4315901734</v>
      </c>
      <c r="T33" s="5">
        <f t="shared" si="5"/>
        <v>6033464.5754535645</v>
      </c>
      <c r="U33" s="5">
        <f t="shared" si="6"/>
        <v>6033464.5754535645</v>
      </c>
      <c r="V33" s="5">
        <f t="shared" si="7"/>
        <v>5128444.8891355311</v>
      </c>
      <c r="W33" s="5">
        <f t="shared" si="8"/>
        <v>6033464.5754535645</v>
      </c>
      <c r="X33" s="5">
        <f t="shared" si="9"/>
        <v>6033464.5754535645</v>
      </c>
      <c r="Y33" s="5">
        <f t="shared" si="0"/>
        <v>6033464.5754535645</v>
      </c>
      <c r="Z33" s="5">
        <f t="shared" si="0"/>
        <v>6033464.5754535645</v>
      </c>
      <c r="AA33" s="5">
        <f t="shared" si="0"/>
        <v>6033464.5754535645</v>
      </c>
      <c r="AB33" s="5">
        <f t="shared" si="0"/>
        <v>6033464.5754535645</v>
      </c>
      <c r="AC33" s="5">
        <f t="shared" si="0"/>
        <v>6033464.5754535645</v>
      </c>
      <c r="AD33" s="5">
        <f t="shared" si="10"/>
        <v>3620078.7452721391</v>
      </c>
      <c r="AE33"/>
      <c r="AF33" s="31">
        <f t="shared" si="15"/>
        <v>67574803.245079935</v>
      </c>
      <c r="AG33" s="99">
        <f t="shared" si="11"/>
        <v>0</v>
      </c>
      <c r="AH33" s="99">
        <f t="shared" si="12"/>
        <v>0</v>
      </c>
      <c r="AI33" s="98">
        <v>0.08</v>
      </c>
      <c r="AJ33"/>
      <c r="AK33"/>
      <c r="AL33" s="48" t="b">
        <f t="shared" si="13"/>
        <v>1</v>
      </c>
      <c r="AM33"/>
      <c r="AN33"/>
    </row>
    <row r="34" spans="1:40" ht="34.5">
      <c r="A34" s="110"/>
      <c r="B34" s="33" t="s">
        <v>16</v>
      </c>
      <c r="C34" s="33" t="s">
        <v>15</v>
      </c>
      <c r="D34" s="16">
        <v>0.52410000000000001</v>
      </c>
      <c r="E34" s="16">
        <v>0.47589999999999999</v>
      </c>
      <c r="F34" s="35" t="s">
        <v>160</v>
      </c>
      <c r="G34" s="37">
        <v>1</v>
      </c>
      <c r="H34" s="37"/>
      <c r="I34" s="37">
        <v>1</v>
      </c>
      <c r="J34" s="37">
        <v>11</v>
      </c>
      <c r="K34" s="37">
        <v>11</v>
      </c>
      <c r="L34" s="37"/>
      <c r="M34" s="37">
        <f>IF(AND(G34=1,J34&lt;24),20,IF(AND(G34=1,J34=24),30,12))</f>
        <v>20</v>
      </c>
      <c r="N34" s="37">
        <f t="shared" si="1"/>
        <v>17</v>
      </c>
      <c r="O34" s="37">
        <f t="shared" si="2"/>
        <v>20</v>
      </c>
      <c r="P34" s="37">
        <f t="shared" si="3"/>
        <v>20</v>
      </c>
      <c r="Q34" s="38">
        <v>2000</v>
      </c>
      <c r="R34"/>
      <c r="S34" s="5">
        <f t="shared" si="4"/>
        <v>6033464.5754535645</v>
      </c>
      <c r="T34" s="5">
        <f t="shared" si="5"/>
        <v>6033464.5754535645</v>
      </c>
      <c r="U34" s="5">
        <f t="shared" si="6"/>
        <v>6033464.5754535645</v>
      </c>
      <c r="V34" s="5">
        <f t="shared" si="7"/>
        <v>5128444.8891355311</v>
      </c>
      <c r="W34" s="5">
        <f t="shared" si="8"/>
        <v>6033464.5754535645</v>
      </c>
      <c r="X34" s="5">
        <f t="shared" si="9"/>
        <v>6033464.5754535645</v>
      </c>
      <c r="Y34" s="5">
        <f t="shared" si="0"/>
        <v>6033464.5754535645</v>
      </c>
      <c r="Z34" s="5">
        <f t="shared" si="0"/>
        <v>6033464.5754535645</v>
      </c>
      <c r="AA34" s="5">
        <f t="shared" si="0"/>
        <v>6033464.5754535645</v>
      </c>
      <c r="AB34" s="5">
        <f t="shared" si="0"/>
        <v>6033464.5754535645</v>
      </c>
      <c r="AC34" s="5">
        <f t="shared" si="0"/>
        <v>6033464.5754535645</v>
      </c>
      <c r="AD34" s="5">
        <f t="shared" si="10"/>
        <v>6033464.5754535645</v>
      </c>
      <c r="AE34"/>
      <c r="AF34" s="31">
        <f t="shared" si="15"/>
        <v>71496555.219124734</v>
      </c>
      <c r="AG34" s="99">
        <f t="shared" si="11"/>
        <v>1</v>
      </c>
      <c r="AH34" s="99">
        <f t="shared" si="12"/>
        <v>1</v>
      </c>
      <c r="AI34" s="98">
        <v>0.08</v>
      </c>
      <c r="AJ34"/>
      <c r="AK34"/>
      <c r="AL34" s="48" t="b">
        <f t="shared" si="13"/>
        <v>1</v>
      </c>
      <c r="AM34"/>
      <c r="AN34"/>
    </row>
    <row r="35" spans="1:40" ht="23.1">
      <c r="A35" s="110"/>
      <c r="B35" s="33" t="s">
        <v>17</v>
      </c>
      <c r="C35" s="33" t="s">
        <v>15</v>
      </c>
      <c r="D35" s="16">
        <v>0.52410000000000001</v>
      </c>
      <c r="E35" s="16">
        <v>0.47589999999999999</v>
      </c>
      <c r="F35" s="35" t="s">
        <v>160</v>
      </c>
      <c r="G35" s="37"/>
      <c r="H35" s="37"/>
      <c r="I35" s="37">
        <v>1</v>
      </c>
      <c r="J35" s="37">
        <v>11</v>
      </c>
      <c r="K35" s="37">
        <v>11</v>
      </c>
      <c r="L35" s="37"/>
      <c r="M35" s="37">
        <f t="shared" si="14"/>
        <v>12</v>
      </c>
      <c r="N35" s="37">
        <f t="shared" si="1"/>
        <v>17</v>
      </c>
      <c r="O35" s="37">
        <f t="shared" si="2"/>
        <v>15</v>
      </c>
      <c r="P35" s="37">
        <f t="shared" si="3"/>
        <v>20</v>
      </c>
      <c r="Q35" s="38">
        <v>2000</v>
      </c>
      <c r="R35"/>
      <c r="S35" s="5">
        <f t="shared" si="4"/>
        <v>4525098.4315901734</v>
      </c>
      <c r="T35" s="5">
        <f t="shared" si="5"/>
        <v>6033464.5754535645</v>
      </c>
      <c r="U35" s="5">
        <f t="shared" si="6"/>
        <v>6033464.5754535645</v>
      </c>
      <c r="V35" s="5">
        <f t="shared" si="7"/>
        <v>5128444.8891355311</v>
      </c>
      <c r="W35" s="5">
        <f t="shared" si="8"/>
        <v>6033464.5754535645</v>
      </c>
      <c r="X35" s="5">
        <f t="shared" si="9"/>
        <v>6033464.5754535645</v>
      </c>
      <c r="Y35" s="5">
        <f t="shared" si="0"/>
        <v>6033464.5754535645</v>
      </c>
      <c r="Z35" s="5">
        <f t="shared" si="0"/>
        <v>6033464.5754535645</v>
      </c>
      <c r="AA35" s="5">
        <f t="shared" si="0"/>
        <v>6033464.5754535645</v>
      </c>
      <c r="AB35" s="5">
        <f t="shared" si="0"/>
        <v>6033464.5754535645</v>
      </c>
      <c r="AC35" s="5">
        <f t="shared" si="0"/>
        <v>6033464.5754535645</v>
      </c>
      <c r="AD35" s="5">
        <f t="shared" si="10"/>
        <v>3620078.7452721391</v>
      </c>
      <c r="AE35"/>
      <c r="AF35" s="31">
        <f t="shared" si="15"/>
        <v>67574803.245079935</v>
      </c>
      <c r="AG35" s="99">
        <f t="shared" si="11"/>
        <v>0</v>
      </c>
      <c r="AH35" s="99">
        <f t="shared" si="12"/>
        <v>0</v>
      </c>
      <c r="AI35" s="98">
        <v>0.08</v>
      </c>
      <c r="AJ35"/>
      <c r="AK35"/>
      <c r="AL35" s="48" t="b">
        <f t="shared" si="13"/>
        <v>1</v>
      </c>
      <c r="AM35"/>
      <c r="AN35"/>
    </row>
    <row r="36" spans="1:40" ht="34.5">
      <c r="A36" s="110"/>
      <c r="B36" s="33" t="s">
        <v>18</v>
      </c>
      <c r="C36" s="33" t="s">
        <v>15</v>
      </c>
      <c r="D36" s="16">
        <v>0.52410000000000001</v>
      </c>
      <c r="E36" s="16">
        <v>0.47589999999999999</v>
      </c>
      <c r="F36" s="35" t="s">
        <v>160</v>
      </c>
      <c r="G36" s="37"/>
      <c r="H36" s="37"/>
      <c r="I36" s="37">
        <v>1</v>
      </c>
      <c r="J36" s="37">
        <v>11</v>
      </c>
      <c r="K36" s="37">
        <v>11</v>
      </c>
      <c r="L36" s="37"/>
      <c r="M36" s="37">
        <f t="shared" si="14"/>
        <v>12</v>
      </c>
      <c r="N36" s="37">
        <f t="shared" si="1"/>
        <v>17</v>
      </c>
      <c r="O36" s="37">
        <f t="shared" si="2"/>
        <v>15</v>
      </c>
      <c r="P36" s="37">
        <f t="shared" si="3"/>
        <v>20</v>
      </c>
      <c r="Q36" s="38">
        <v>2000</v>
      </c>
      <c r="R36"/>
      <c r="S36" s="5">
        <f t="shared" si="4"/>
        <v>4525098.4315901734</v>
      </c>
      <c r="T36" s="5">
        <f t="shared" si="5"/>
        <v>6033464.5754535645</v>
      </c>
      <c r="U36" s="5">
        <f t="shared" si="6"/>
        <v>6033464.5754535645</v>
      </c>
      <c r="V36" s="5">
        <f t="shared" si="7"/>
        <v>5128444.8891355311</v>
      </c>
      <c r="W36" s="5">
        <f t="shared" si="8"/>
        <v>6033464.5754535645</v>
      </c>
      <c r="X36" s="5">
        <f t="shared" si="9"/>
        <v>6033464.5754535645</v>
      </c>
      <c r="Y36" s="5">
        <f t="shared" si="0"/>
        <v>6033464.5754535645</v>
      </c>
      <c r="Z36" s="5">
        <f t="shared" si="0"/>
        <v>6033464.5754535645</v>
      </c>
      <c r="AA36" s="5">
        <f t="shared" si="0"/>
        <v>6033464.5754535645</v>
      </c>
      <c r="AB36" s="5">
        <f t="shared" si="0"/>
        <v>6033464.5754535645</v>
      </c>
      <c r="AC36" s="5">
        <f t="shared" si="0"/>
        <v>6033464.5754535645</v>
      </c>
      <c r="AD36" s="5">
        <f t="shared" si="10"/>
        <v>3620078.7452721391</v>
      </c>
      <c r="AE36"/>
      <c r="AF36" s="31">
        <f t="shared" si="15"/>
        <v>67574803.245079935</v>
      </c>
      <c r="AG36" s="99">
        <f t="shared" si="11"/>
        <v>0</v>
      </c>
      <c r="AH36" s="99">
        <f t="shared" si="12"/>
        <v>0</v>
      </c>
      <c r="AI36" s="98">
        <v>0.08</v>
      </c>
      <c r="AJ36"/>
      <c r="AK36"/>
      <c r="AL36" s="48" t="b">
        <f t="shared" si="13"/>
        <v>1</v>
      </c>
      <c r="AM36"/>
      <c r="AN36"/>
    </row>
    <row r="37" spans="1:40" ht="34.5">
      <c r="A37" s="110"/>
      <c r="B37" s="33" t="s">
        <v>19</v>
      </c>
      <c r="C37" s="33" t="s">
        <v>15</v>
      </c>
      <c r="D37" s="16">
        <v>0.52410000000000001</v>
      </c>
      <c r="E37" s="16">
        <v>0.47589999999999999</v>
      </c>
      <c r="F37" s="35" t="s">
        <v>160</v>
      </c>
      <c r="G37" s="37"/>
      <c r="H37" s="37"/>
      <c r="I37" s="37">
        <v>1</v>
      </c>
      <c r="J37" s="37">
        <v>11</v>
      </c>
      <c r="K37" s="37">
        <v>11</v>
      </c>
      <c r="L37" s="37"/>
      <c r="M37" s="37">
        <f>IF(AND(G37=1,J37&lt;24),20,IF(AND(G37=1,J37=24),30,12))</f>
        <v>12</v>
      </c>
      <c r="N37" s="37">
        <f t="shared" si="1"/>
        <v>17</v>
      </c>
      <c r="O37" s="37">
        <f>IF(AND(G37=1,J37&lt;24),20,IF(AND(G37=1,J37=24),30,15))</f>
        <v>15</v>
      </c>
      <c r="P37" s="37">
        <f t="shared" si="3"/>
        <v>20</v>
      </c>
      <c r="Q37" s="38">
        <v>2000</v>
      </c>
      <c r="R37"/>
      <c r="S37" s="5">
        <f t="shared" si="4"/>
        <v>4525098.4315901734</v>
      </c>
      <c r="T37" s="5">
        <f t="shared" si="5"/>
        <v>6033464.5754535645</v>
      </c>
      <c r="U37" s="5">
        <f t="shared" si="6"/>
        <v>6033464.5754535645</v>
      </c>
      <c r="V37" s="5">
        <f t="shared" si="7"/>
        <v>5128444.8891355311</v>
      </c>
      <c r="W37" s="5">
        <f t="shared" si="8"/>
        <v>6033464.5754535645</v>
      </c>
      <c r="X37" s="5">
        <f t="shared" si="9"/>
        <v>6033464.5754535645</v>
      </c>
      <c r="Y37" s="5">
        <f t="shared" si="0"/>
        <v>6033464.5754535645</v>
      </c>
      <c r="Z37" s="5">
        <f t="shared" si="0"/>
        <v>6033464.5754535645</v>
      </c>
      <c r="AA37" s="5">
        <f t="shared" si="0"/>
        <v>6033464.5754535645</v>
      </c>
      <c r="AB37" s="5">
        <f t="shared" si="0"/>
        <v>6033464.5754535645</v>
      </c>
      <c r="AC37" s="5">
        <f t="shared" si="0"/>
        <v>6033464.5754535645</v>
      </c>
      <c r="AD37" s="5">
        <f t="shared" si="10"/>
        <v>3620078.7452721391</v>
      </c>
      <c r="AE37"/>
      <c r="AF37" s="31">
        <f t="shared" si="15"/>
        <v>67574803.245079935</v>
      </c>
      <c r="AG37" s="99">
        <f t="shared" si="11"/>
        <v>0</v>
      </c>
      <c r="AH37" s="99">
        <f t="shared" si="12"/>
        <v>0</v>
      </c>
      <c r="AI37" s="98">
        <v>0.08</v>
      </c>
      <c r="AJ37"/>
      <c r="AK37"/>
      <c r="AL37" s="48" t="b">
        <f t="shared" si="13"/>
        <v>1</v>
      </c>
      <c r="AM37"/>
      <c r="AN37"/>
    </row>
    <row r="38" spans="1:40" ht="57.6">
      <c r="A38" s="110"/>
      <c r="B38" s="33" t="s">
        <v>20</v>
      </c>
      <c r="C38" s="33" t="s">
        <v>21</v>
      </c>
      <c r="D38" s="16">
        <v>0.52410000000000001</v>
      </c>
      <c r="E38" s="16">
        <v>0.47589999999999999</v>
      </c>
      <c r="F38" s="35" t="s">
        <v>160</v>
      </c>
      <c r="G38" s="37">
        <v>1</v>
      </c>
      <c r="H38" s="37"/>
      <c r="I38" s="37">
        <v>1</v>
      </c>
      <c r="J38" s="37">
        <v>12</v>
      </c>
      <c r="K38" s="37">
        <v>12</v>
      </c>
      <c r="L38" s="37"/>
      <c r="M38" s="37">
        <f t="shared" si="14"/>
        <v>20</v>
      </c>
      <c r="N38" s="37">
        <f t="shared" si="1"/>
        <v>17</v>
      </c>
      <c r="O38" s="37">
        <f t="shared" si="2"/>
        <v>20</v>
      </c>
      <c r="P38" s="37">
        <f t="shared" si="3"/>
        <v>20</v>
      </c>
      <c r="Q38" s="38">
        <v>2000</v>
      </c>
      <c r="R38"/>
      <c r="S38" s="5">
        <f t="shared" si="4"/>
        <v>6581961.3550402531</v>
      </c>
      <c r="T38" s="5">
        <f t="shared" si="5"/>
        <v>6581961.3550402531</v>
      </c>
      <c r="U38" s="5">
        <f t="shared" si="6"/>
        <v>6581961.3550402531</v>
      </c>
      <c r="V38" s="5">
        <f t="shared" si="7"/>
        <v>5594667.1517842151</v>
      </c>
      <c r="W38" s="5">
        <f t="shared" si="8"/>
        <v>6581961.3550402531</v>
      </c>
      <c r="X38" s="5">
        <f t="shared" si="9"/>
        <v>6581961.3550402531</v>
      </c>
      <c r="Y38" s="5">
        <f t="shared" si="0"/>
        <v>6581961.3550402531</v>
      </c>
      <c r="Z38" s="5">
        <f t="shared" si="0"/>
        <v>6581961.3550402531</v>
      </c>
      <c r="AA38" s="5">
        <f t="shared" si="0"/>
        <v>6581961.3550402531</v>
      </c>
      <c r="AB38" s="5">
        <f t="shared" si="0"/>
        <v>6581961.3550402531</v>
      </c>
      <c r="AC38" s="5">
        <f t="shared" si="0"/>
        <v>6581961.3550402531</v>
      </c>
      <c r="AD38" s="5">
        <f t="shared" si="10"/>
        <v>6581961.3550402531</v>
      </c>
      <c r="AE38"/>
      <c r="AF38" s="31">
        <f t="shared" si="15"/>
        <v>77996242.057227001</v>
      </c>
      <c r="AG38" s="99">
        <f t="shared" si="11"/>
        <v>1</v>
      </c>
      <c r="AH38" s="99">
        <f t="shared" si="12"/>
        <v>1</v>
      </c>
      <c r="AI38" s="98">
        <v>0.08</v>
      </c>
      <c r="AJ38"/>
      <c r="AK38"/>
      <c r="AL38" s="48" t="b">
        <f t="shared" si="13"/>
        <v>1</v>
      </c>
      <c r="AM38"/>
      <c r="AN38"/>
    </row>
    <row r="39" spans="1:40" ht="34.5">
      <c r="A39" s="110"/>
      <c r="B39" s="33" t="s">
        <v>22</v>
      </c>
      <c r="C39" s="33" t="s">
        <v>23</v>
      </c>
      <c r="D39" s="16">
        <v>0.52410000000000001</v>
      </c>
      <c r="E39" s="16">
        <v>0.47589999999999999</v>
      </c>
      <c r="F39" s="35" t="s">
        <v>160</v>
      </c>
      <c r="G39" s="37">
        <v>1</v>
      </c>
      <c r="H39" s="37"/>
      <c r="I39" s="37">
        <v>1</v>
      </c>
      <c r="J39" s="37">
        <v>12</v>
      </c>
      <c r="K39" s="37">
        <v>12</v>
      </c>
      <c r="L39" s="37"/>
      <c r="M39" s="37">
        <f t="shared" si="14"/>
        <v>20</v>
      </c>
      <c r="N39" s="37">
        <f t="shared" si="1"/>
        <v>17</v>
      </c>
      <c r="O39" s="37">
        <f t="shared" si="2"/>
        <v>20</v>
      </c>
      <c r="P39" s="37">
        <f t="shared" si="3"/>
        <v>20</v>
      </c>
      <c r="Q39" s="38">
        <v>2000</v>
      </c>
      <c r="R39"/>
      <c r="S39" s="5">
        <f t="shared" si="4"/>
        <v>6581961.3550402531</v>
      </c>
      <c r="T39" s="5">
        <f t="shared" si="5"/>
        <v>6581961.3550402531</v>
      </c>
      <c r="U39" s="5">
        <f t="shared" si="6"/>
        <v>6581961.3550402531</v>
      </c>
      <c r="V39" s="5">
        <f t="shared" si="7"/>
        <v>5594667.1517842151</v>
      </c>
      <c r="W39" s="5">
        <f t="shared" si="8"/>
        <v>6581961.3550402531</v>
      </c>
      <c r="X39" s="5">
        <f t="shared" si="9"/>
        <v>6581961.3550402531</v>
      </c>
      <c r="Y39" s="5">
        <f t="shared" si="0"/>
        <v>6581961.3550402531</v>
      </c>
      <c r="Z39" s="5">
        <f t="shared" si="0"/>
        <v>6581961.3550402531</v>
      </c>
      <c r="AA39" s="5">
        <f t="shared" si="0"/>
        <v>6581961.3550402531</v>
      </c>
      <c r="AB39" s="5">
        <f t="shared" si="0"/>
        <v>6581961.3550402531</v>
      </c>
      <c r="AC39" s="5">
        <f t="shared" si="0"/>
        <v>6581961.3550402531</v>
      </c>
      <c r="AD39" s="5">
        <f t="shared" si="10"/>
        <v>6581961.3550402531</v>
      </c>
      <c r="AE39"/>
      <c r="AF39" s="31">
        <f t="shared" si="15"/>
        <v>77996242.057227001</v>
      </c>
      <c r="AG39" s="99">
        <f t="shared" si="11"/>
        <v>1</v>
      </c>
      <c r="AH39" s="99">
        <f t="shared" si="12"/>
        <v>1</v>
      </c>
      <c r="AI39" s="98">
        <v>0.08</v>
      </c>
      <c r="AJ39"/>
      <c r="AK39"/>
      <c r="AL39" s="48" t="b">
        <f t="shared" si="13"/>
        <v>1</v>
      </c>
      <c r="AM39"/>
      <c r="AN39"/>
    </row>
    <row r="40" spans="1:40" ht="34.5">
      <c r="A40" s="110"/>
      <c r="B40" s="33" t="s">
        <v>24</v>
      </c>
      <c r="C40" s="33" t="s">
        <v>25</v>
      </c>
      <c r="D40" s="16">
        <v>0.52410000000000001</v>
      </c>
      <c r="E40" s="16">
        <v>0.47589999999999999</v>
      </c>
      <c r="F40" s="35" t="s">
        <v>160</v>
      </c>
      <c r="G40" s="37">
        <v>1</v>
      </c>
      <c r="H40" s="37"/>
      <c r="I40" s="37">
        <v>1</v>
      </c>
      <c r="J40" s="37">
        <v>12</v>
      </c>
      <c r="K40" s="37">
        <v>11</v>
      </c>
      <c r="L40" s="37">
        <v>1</v>
      </c>
      <c r="M40" s="37">
        <f>IF(AND(G40=1,J40&lt;24),20,IF(AND(G40=1,J40=24),30,12))</f>
        <v>20</v>
      </c>
      <c r="N40" s="37">
        <f t="shared" si="1"/>
        <v>17</v>
      </c>
      <c r="O40" s="37">
        <f t="shared" si="2"/>
        <v>20</v>
      </c>
      <c r="P40" s="37">
        <f t="shared" si="3"/>
        <v>20</v>
      </c>
      <c r="Q40" s="38">
        <v>2000</v>
      </c>
      <c r="S40" s="5">
        <f t="shared" si="4"/>
        <v>6747341.2700146791</v>
      </c>
      <c r="T40" s="5">
        <f t="shared" si="5"/>
        <v>6747341.2700146791</v>
      </c>
      <c r="U40" s="5">
        <f t="shared" si="6"/>
        <v>6747341.2700146791</v>
      </c>
      <c r="V40" s="5">
        <f t="shared" si="7"/>
        <v>5735240.0795124779</v>
      </c>
      <c r="W40" s="5">
        <f t="shared" si="8"/>
        <v>6747341.2700146791</v>
      </c>
      <c r="X40" s="5">
        <f t="shared" si="9"/>
        <v>6747341.2700146791</v>
      </c>
      <c r="Y40" s="5">
        <f t="shared" si="0"/>
        <v>6747341.2700146791</v>
      </c>
      <c r="Z40" s="5">
        <f t="shared" si="0"/>
        <v>6747341.2700146791</v>
      </c>
      <c r="AA40" s="5">
        <f t="shared" si="0"/>
        <v>6747341.2700146791</v>
      </c>
      <c r="AB40" s="5">
        <f t="shared" si="0"/>
        <v>6747341.2700146791</v>
      </c>
      <c r="AC40" s="5">
        <f t="shared" si="0"/>
        <v>6747341.2700146791</v>
      </c>
      <c r="AD40" s="5">
        <f t="shared" si="10"/>
        <v>6747341.2700146791</v>
      </c>
      <c r="AF40" s="31">
        <f t="shared" si="15"/>
        <v>79955994.049673945</v>
      </c>
      <c r="AG40" s="99">
        <f t="shared" si="11"/>
        <v>1</v>
      </c>
      <c r="AH40" s="99">
        <f t="shared" si="12"/>
        <v>1</v>
      </c>
      <c r="AI40" s="99">
        <v>0.08</v>
      </c>
      <c r="AL40" s="48" t="b">
        <f t="shared" si="13"/>
        <v>1</v>
      </c>
    </row>
    <row r="41" spans="1:40" ht="23.1">
      <c r="A41" s="110"/>
      <c r="B41" s="33" t="s">
        <v>26</v>
      </c>
      <c r="C41" s="33" t="s">
        <v>23</v>
      </c>
      <c r="D41" s="16">
        <v>0.52410000000000001</v>
      </c>
      <c r="E41" s="16">
        <v>0.47589999999999999</v>
      </c>
      <c r="F41" s="35" t="s">
        <v>160</v>
      </c>
      <c r="G41" s="37">
        <v>1</v>
      </c>
      <c r="H41" s="37"/>
      <c r="I41" s="37">
        <v>1</v>
      </c>
      <c r="J41" s="37">
        <v>12</v>
      </c>
      <c r="K41" s="37">
        <v>12</v>
      </c>
      <c r="L41" s="37"/>
      <c r="M41" s="37">
        <f t="shared" si="14"/>
        <v>20</v>
      </c>
      <c r="N41" s="37">
        <f t="shared" si="1"/>
        <v>17</v>
      </c>
      <c r="O41" s="37">
        <f t="shared" si="2"/>
        <v>20</v>
      </c>
      <c r="P41" s="37">
        <f t="shared" si="3"/>
        <v>20</v>
      </c>
      <c r="Q41" s="38">
        <v>2000</v>
      </c>
      <c r="R41"/>
      <c r="S41" s="5">
        <f t="shared" si="4"/>
        <v>6581961.3550402531</v>
      </c>
      <c r="T41" s="5">
        <f t="shared" si="5"/>
        <v>6581961.3550402531</v>
      </c>
      <c r="U41" s="5">
        <f t="shared" si="6"/>
        <v>6581961.3550402531</v>
      </c>
      <c r="V41" s="5">
        <f t="shared" si="7"/>
        <v>5594667.1517842151</v>
      </c>
      <c r="W41" s="5">
        <f t="shared" si="8"/>
        <v>6581961.3550402531</v>
      </c>
      <c r="X41" s="5">
        <f t="shared" si="9"/>
        <v>6581961.3550402531</v>
      </c>
      <c r="Y41" s="5">
        <f t="shared" si="0"/>
        <v>6581961.3550402531</v>
      </c>
      <c r="Z41" s="5">
        <f t="shared" si="0"/>
        <v>6581961.3550402531</v>
      </c>
      <c r="AA41" s="5">
        <f t="shared" si="0"/>
        <v>6581961.3550402531</v>
      </c>
      <c r="AB41" s="5">
        <f t="shared" si="0"/>
        <v>6581961.3550402531</v>
      </c>
      <c r="AC41" s="5">
        <f t="shared" si="0"/>
        <v>6581961.3550402531</v>
      </c>
      <c r="AD41" s="5">
        <f t="shared" si="10"/>
        <v>6581961.3550402531</v>
      </c>
      <c r="AE41"/>
      <c r="AF41" s="31">
        <f t="shared" si="15"/>
        <v>77996242.057227001</v>
      </c>
      <c r="AG41" s="99">
        <f t="shared" si="11"/>
        <v>1</v>
      </c>
      <c r="AH41" s="99">
        <f t="shared" si="12"/>
        <v>1</v>
      </c>
      <c r="AI41" s="98">
        <v>0.08</v>
      </c>
      <c r="AJ41"/>
      <c r="AK41"/>
      <c r="AL41" s="48" t="b">
        <f t="shared" si="13"/>
        <v>1</v>
      </c>
      <c r="AM41"/>
      <c r="AN41"/>
    </row>
    <row r="42" spans="1:40" ht="23.1">
      <c r="A42" s="110"/>
      <c r="B42" s="33" t="s">
        <v>27</v>
      </c>
      <c r="C42" s="33" t="s">
        <v>23</v>
      </c>
      <c r="D42" s="16">
        <v>0.52410000000000001</v>
      </c>
      <c r="E42" s="16">
        <v>0.47589999999999999</v>
      </c>
      <c r="F42" s="35" t="s">
        <v>160</v>
      </c>
      <c r="G42" s="37">
        <v>1</v>
      </c>
      <c r="H42" s="37"/>
      <c r="I42" s="37">
        <v>1</v>
      </c>
      <c r="J42" s="37">
        <v>12</v>
      </c>
      <c r="K42" s="37">
        <v>12</v>
      </c>
      <c r="L42" s="37"/>
      <c r="M42" s="37">
        <f t="shared" si="14"/>
        <v>20</v>
      </c>
      <c r="N42" s="37">
        <f t="shared" si="1"/>
        <v>17</v>
      </c>
      <c r="O42" s="37">
        <f t="shared" si="2"/>
        <v>20</v>
      </c>
      <c r="P42" s="37">
        <f t="shared" si="3"/>
        <v>20</v>
      </c>
      <c r="Q42" s="38">
        <v>2000</v>
      </c>
      <c r="R42"/>
      <c r="S42" s="5">
        <f t="shared" si="4"/>
        <v>6581961.3550402531</v>
      </c>
      <c r="T42" s="5">
        <f t="shared" si="5"/>
        <v>6581961.3550402531</v>
      </c>
      <c r="U42" s="5">
        <f t="shared" si="6"/>
        <v>6581961.3550402531</v>
      </c>
      <c r="V42" s="5">
        <f t="shared" si="7"/>
        <v>5594667.1517842151</v>
      </c>
      <c r="W42" s="5">
        <f t="shared" si="8"/>
        <v>6581961.3550402531</v>
      </c>
      <c r="X42" s="5">
        <f t="shared" si="9"/>
        <v>6581961.3550402531</v>
      </c>
      <c r="Y42" s="5">
        <f t="shared" si="0"/>
        <v>6581961.3550402531</v>
      </c>
      <c r="Z42" s="5">
        <f t="shared" si="0"/>
        <v>6581961.3550402531</v>
      </c>
      <c r="AA42" s="5">
        <f t="shared" si="0"/>
        <v>6581961.3550402531</v>
      </c>
      <c r="AB42" s="5">
        <f t="shared" si="0"/>
        <v>6581961.3550402531</v>
      </c>
      <c r="AC42" s="5">
        <f t="shared" si="0"/>
        <v>6581961.3550402531</v>
      </c>
      <c r="AD42" s="5">
        <f t="shared" si="10"/>
        <v>6581961.3550402531</v>
      </c>
      <c r="AE42"/>
      <c r="AF42" s="31">
        <f t="shared" si="15"/>
        <v>77996242.057227001</v>
      </c>
      <c r="AG42" s="99">
        <f t="shared" si="11"/>
        <v>1</v>
      </c>
      <c r="AH42" s="99">
        <f t="shared" si="12"/>
        <v>1</v>
      </c>
      <c r="AI42" s="98">
        <v>0.08</v>
      </c>
      <c r="AJ42"/>
      <c r="AK42"/>
      <c r="AL42" s="48" t="b">
        <f t="shared" si="13"/>
        <v>1</v>
      </c>
      <c r="AM42"/>
      <c r="AN42"/>
    </row>
    <row r="43" spans="1:40" ht="23.1">
      <c r="A43" s="110"/>
      <c r="B43" s="33" t="s">
        <v>27</v>
      </c>
      <c r="C43" s="33" t="s">
        <v>25</v>
      </c>
      <c r="D43" s="16">
        <v>0.52410000000000001</v>
      </c>
      <c r="E43" s="16">
        <v>0.47589999999999999</v>
      </c>
      <c r="F43" s="35" t="s">
        <v>160</v>
      </c>
      <c r="G43" s="37">
        <v>1</v>
      </c>
      <c r="H43" s="37"/>
      <c r="I43" s="37">
        <v>1</v>
      </c>
      <c r="J43" s="37">
        <v>12</v>
      </c>
      <c r="K43" s="37">
        <v>11</v>
      </c>
      <c r="L43" s="37">
        <v>1</v>
      </c>
      <c r="M43" s="37">
        <f t="shared" si="14"/>
        <v>20</v>
      </c>
      <c r="N43" s="37">
        <f t="shared" si="1"/>
        <v>17</v>
      </c>
      <c r="O43" s="37">
        <f t="shared" si="2"/>
        <v>20</v>
      </c>
      <c r="P43" s="37">
        <f t="shared" si="3"/>
        <v>20</v>
      </c>
      <c r="Q43" s="38">
        <v>2000</v>
      </c>
      <c r="S43" s="5">
        <f t="shared" si="4"/>
        <v>6747341.2700146791</v>
      </c>
      <c r="T43" s="5">
        <f t="shared" si="5"/>
        <v>6747341.2700146791</v>
      </c>
      <c r="U43" s="5">
        <f t="shared" si="6"/>
        <v>6747341.2700146791</v>
      </c>
      <c r="V43" s="5">
        <f t="shared" si="7"/>
        <v>5735240.0795124779</v>
      </c>
      <c r="W43" s="5">
        <f t="shared" si="8"/>
        <v>6747341.2700146791</v>
      </c>
      <c r="X43" s="5">
        <f t="shared" si="9"/>
        <v>6747341.2700146791</v>
      </c>
      <c r="Y43" s="5">
        <f t="shared" si="0"/>
        <v>6747341.2700146791</v>
      </c>
      <c r="Z43" s="5">
        <f t="shared" si="0"/>
        <v>6747341.2700146791</v>
      </c>
      <c r="AA43" s="5">
        <f t="shared" si="0"/>
        <v>6747341.2700146791</v>
      </c>
      <c r="AB43" s="5">
        <f t="shared" si="0"/>
        <v>6747341.2700146791</v>
      </c>
      <c r="AC43" s="5">
        <f t="shared" si="0"/>
        <v>6747341.2700146791</v>
      </c>
      <c r="AD43" s="5">
        <f t="shared" si="10"/>
        <v>6747341.2700146791</v>
      </c>
      <c r="AF43" s="31">
        <f t="shared" si="15"/>
        <v>79955994.049673945</v>
      </c>
      <c r="AG43" s="99">
        <f t="shared" si="11"/>
        <v>1</v>
      </c>
      <c r="AH43" s="99">
        <f t="shared" si="12"/>
        <v>1</v>
      </c>
      <c r="AI43" s="99">
        <v>0.08</v>
      </c>
      <c r="AL43" s="48" t="b">
        <f t="shared" si="13"/>
        <v>1</v>
      </c>
    </row>
    <row r="44" spans="1:40" ht="34.5">
      <c r="A44" s="110"/>
      <c r="B44" s="33" t="s">
        <v>28</v>
      </c>
      <c r="C44" s="33" t="s">
        <v>21</v>
      </c>
      <c r="D44" s="16">
        <v>0.52410000000000001</v>
      </c>
      <c r="E44" s="16">
        <v>0.47589999999999999</v>
      </c>
      <c r="F44" s="35" t="s">
        <v>160</v>
      </c>
      <c r="G44" s="37"/>
      <c r="H44" s="37"/>
      <c r="I44" s="37">
        <v>1</v>
      </c>
      <c r="J44" s="37">
        <v>12</v>
      </c>
      <c r="K44" s="37">
        <v>12</v>
      </c>
      <c r="L44" s="37"/>
      <c r="M44" s="37">
        <f>IF(AND(G44=1,J44&lt;24),20,IF(AND(G44=1,J44=24),30,12))</f>
        <v>12</v>
      </c>
      <c r="N44" s="37">
        <f t="shared" si="1"/>
        <v>17</v>
      </c>
      <c r="O44" s="37">
        <f t="shared" si="2"/>
        <v>15</v>
      </c>
      <c r="P44" s="37">
        <f t="shared" si="3"/>
        <v>20</v>
      </c>
      <c r="Q44" s="38">
        <v>2000</v>
      </c>
      <c r="R44"/>
      <c r="S44" s="5">
        <f t="shared" si="4"/>
        <v>4936471.0162801892</v>
      </c>
      <c r="T44" s="5">
        <f t="shared" si="5"/>
        <v>6581961.3550402531</v>
      </c>
      <c r="U44" s="5">
        <f t="shared" si="6"/>
        <v>6581961.3550402531</v>
      </c>
      <c r="V44" s="5">
        <f t="shared" si="7"/>
        <v>5594667.1517842151</v>
      </c>
      <c r="W44" s="5">
        <f t="shared" si="8"/>
        <v>6581961.3550402531</v>
      </c>
      <c r="X44" s="5">
        <f t="shared" si="9"/>
        <v>6581961.3550402531</v>
      </c>
      <c r="Y44" s="5">
        <f t="shared" si="0"/>
        <v>6581961.3550402531</v>
      </c>
      <c r="Z44" s="5">
        <f t="shared" si="0"/>
        <v>6581961.3550402531</v>
      </c>
      <c r="AA44" s="5">
        <f t="shared" si="0"/>
        <v>6581961.3550402531</v>
      </c>
      <c r="AB44" s="5">
        <f t="shared" si="0"/>
        <v>6581961.3550402531</v>
      </c>
      <c r="AC44" s="5">
        <f t="shared" si="0"/>
        <v>6581961.3550402531</v>
      </c>
      <c r="AD44" s="5">
        <f t="shared" si="10"/>
        <v>3949176.8130241521</v>
      </c>
      <c r="AE44"/>
      <c r="AF44" s="31">
        <f t="shared" si="15"/>
        <v>73717967.176450834</v>
      </c>
      <c r="AG44" s="99">
        <f t="shared" si="11"/>
        <v>0</v>
      </c>
      <c r="AH44" s="99">
        <f t="shared" si="12"/>
        <v>0</v>
      </c>
      <c r="AI44" s="98">
        <v>0.08</v>
      </c>
      <c r="AJ44"/>
      <c r="AK44"/>
      <c r="AL44" s="48" t="b">
        <f t="shared" si="13"/>
        <v>1</v>
      </c>
      <c r="AM44"/>
      <c r="AN44"/>
    </row>
    <row r="45" spans="1:40" ht="23.1">
      <c r="A45" s="110"/>
      <c r="B45" s="33" t="s">
        <v>29</v>
      </c>
      <c r="C45" s="33" t="s">
        <v>21</v>
      </c>
      <c r="D45" s="16">
        <v>0.52410000000000001</v>
      </c>
      <c r="E45" s="16">
        <v>0.47589999999999999</v>
      </c>
      <c r="F45" s="35" t="s">
        <v>160</v>
      </c>
      <c r="G45" s="37"/>
      <c r="H45" s="37"/>
      <c r="I45" s="37">
        <v>1</v>
      </c>
      <c r="J45" s="37">
        <v>12</v>
      </c>
      <c r="K45" s="37">
        <v>12</v>
      </c>
      <c r="L45" s="37"/>
      <c r="M45" s="37">
        <f>IF(AND(G45=1,J45&lt;24),20,IF(AND(G45=1,J45=24),30,12))</f>
        <v>12</v>
      </c>
      <c r="N45" s="37">
        <f t="shared" si="1"/>
        <v>17</v>
      </c>
      <c r="O45" s="37">
        <f t="shared" si="2"/>
        <v>15</v>
      </c>
      <c r="P45" s="37">
        <f t="shared" si="3"/>
        <v>20</v>
      </c>
      <c r="Q45" s="38">
        <v>2000</v>
      </c>
      <c r="R45"/>
      <c r="S45" s="5">
        <f t="shared" si="4"/>
        <v>4936471.0162801892</v>
      </c>
      <c r="T45" s="5">
        <f t="shared" si="5"/>
        <v>6581961.3550402531</v>
      </c>
      <c r="U45" s="5">
        <f t="shared" si="6"/>
        <v>6581961.3550402531</v>
      </c>
      <c r="V45" s="5">
        <f t="shared" si="7"/>
        <v>5594667.1517842151</v>
      </c>
      <c r="W45" s="5">
        <f t="shared" si="8"/>
        <v>6581961.3550402531</v>
      </c>
      <c r="X45" s="5">
        <f t="shared" si="9"/>
        <v>6581961.3550402531</v>
      </c>
      <c r="Y45" s="5">
        <f t="shared" si="9"/>
        <v>6581961.3550402531</v>
      </c>
      <c r="Z45" s="5">
        <f t="shared" si="9"/>
        <v>6581961.3550402531</v>
      </c>
      <c r="AA45" s="5">
        <f t="shared" si="9"/>
        <v>6581961.3550402531</v>
      </c>
      <c r="AB45" s="5">
        <f t="shared" si="9"/>
        <v>6581961.3550402531</v>
      </c>
      <c r="AC45" s="5">
        <f t="shared" si="9"/>
        <v>6581961.3550402531</v>
      </c>
      <c r="AD45" s="5">
        <f t="shared" si="10"/>
        <v>3949176.8130241521</v>
      </c>
      <c r="AE45"/>
      <c r="AF45" s="31">
        <f t="shared" si="15"/>
        <v>73717967.176450834</v>
      </c>
      <c r="AG45" s="99">
        <f t="shared" si="11"/>
        <v>0</v>
      </c>
      <c r="AH45" s="99">
        <f t="shared" si="12"/>
        <v>0</v>
      </c>
      <c r="AI45" s="98">
        <v>0.08</v>
      </c>
      <c r="AJ45"/>
      <c r="AK45"/>
      <c r="AL45" s="48" t="b">
        <f t="shared" si="13"/>
        <v>1</v>
      </c>
      <c r="AM45"/>
      <c r="AN45"/>
    </row>
    <row r="46" spans="1:40" ht="34.5">
      <c r="A46" s="110"/>
      <c r="B46" s="33" t="s">
        <v>30</v>
      </c>
      <c r="C46" s="33" t="s">
        <v>21</v>
      </c>
      <c r="D46" s="16">
        <v>0.52410000000000001</v>
      </c>
      <c r="E46" s="16">
        <v>0.47589999999999999</v>
      </c>
      <c r="F46" s="35" t="s">
        <v>160</v>
      </c>
      <c r="G46" s="37">
        <v>1</v>
      </c>
      <c r="H46" s="37"/>
      <c r="I46" s="37">
        <v>1</v>
      </c>
      <c r="J46" s="37">
        <v>12</v>
      </c>
      <c r="K46" s="37">
        <v>12</v>
      </c>
      <c r="L46" s="37"/>
      <c r="M46" s="37">
        <f t="shared" ref="M46:M48" si="16">IF(AND(G46=1,J46&lt;24),20,IF(AND(G46=1,J46=24),30,12))</f>
        <v>20</v>
      </c>
      <c r="N46" s="37">
        <f t="shared" si="1"/>
        <v>17</v>
      </c>
      <c r="O46" s="37">
        <f t="shared" si="2"/>
        <v>20</v>
      </c>
      <c r="P46" s="37">
        <f t="shared" si="3"/>
        <v>20</v>
      </c>
      <c r="Q46" s="38">
        <v>2000</v>
      </c>
      <c r="R46"/>
      <c r="S46" s="5">
        <f t="shared" si="4"/>
        <v>6581961.3550402531</v>
      </c>
      <c r="T46" s="5">
        <f t="shared" si="5"/>
        <v>6581961.3550402531</v>
      </c>
      <c r="U46" s="5">
        <f t="shared" si="6"/>
        <v>6581961.3550402531</v>
      </c>
      <c r="V46" s="5">
        <f t="shared" si="7"/>
        <v>5594667.1517842151</v>
      </c>
      <c r="W46" s="5">
        <f t="shared" si="8"/>
        <v>6581961.3550402531</v>
      </c>
      <c r="X46" s="5">
        <f t="shared" si="9"/>
        <v>6581961.3550402531</v>
      </c>
      <c r="Y46" s="5">
        <f t="shared" si="9"/>
        <v>6581961.3550402531</v>
      </c>
      <c r="Z46" s="5">
        <f t="shared" si="9"/>
        <v>6581961.3550402531</v>
      </c>
      <c r="AA46" s="5">
        <f t="shared" si="9"/>
        <v>6581961.3550402531</v>
      </c>
      <c r="AB46" s="5">
        <f t="shared" si="9"/>
        <v>6581961.3550402531</v>
      </c>
      <c r="AC46" s="5">
        <f t="shared" si="9"/>
        <v>6581961.3550402531</v>
      </c>
      <c r="AD46" s="5">
        <f t="shared" si="10"/>
        <v>6581961.3550402531</v>
      </c>
      <c r="AE46"/>
      <c r="AF46" s="31">
        <f t="shared" si="15"/>
        <v>77996242.057227001</v>
      </c>
      <c r="AG46" s="99">
        <f t="shared" si="11"/>
        <v>1</v>
      </c>
      <c r="AH46" s="99">
        <f t="shared" si="12"/>
        <v>1</v>
      </c>
      <c r="AI46" s="98">
        <v>0.08</v>
      </c>
      <c r="AJ46"/>
      <c r="AK46"/>
      <c r="AL46" s="48" t="b">
        <f t="shared" si="13"/>
        <v>1</v>
      </c>
      <c r="AM46"/>
      <c r="AN46"/>
    </row>
    <row r="47" spans="1:40" ht="23.1">
      <c r="A47" s="110"/>
      <c r="B47" s="33" t="s">
        <v>31</v>
      </c>
      <c r="C47" s="33" t="s">
        <v>21</v>
      </c>
      <c r="D47" s="16">
        <v>0.52410000000000001</v>
      </c>
      <c r="E47" s="16">
        <v>0.47589999999999999</v>
      </c>
      <c r="F47" s="35" t="s">
        <v>160</v>
      </c>
      <c r="G47" s="37"/>
      <c r="H47" s="37"/>
      <c r="I47" s="37">
        <v>1</v>
      </c>
      <c r="J47" s="37">
        <v>12</v>
      </c>
      <c r="K47" s="37">
        <v>12</v>
      </c>
      <c r="L47" s="37"/>
      <c r="M47" s="37">
        <f t="shared" si="16"/>
        <v>12</v>
      </c>
      <c r="N47" s="37">
        <f t="shared" si="1"/>
        <v>17</v>
      </c>
      <c r="O47" s="37">
        <f t="shared" si="2"/>
        <v>15</v>
      </c>
      <c r="P47" s="37">
        <f t="shared" si="3"/>
        <v>20</v>
      </c>
      <c r="Q47" s="38">
        <v>2000</v>
      </c>
      <c r="R47"/>
      <c r="S47" s="5">
        <f t="shared" si="4"/>
        <v>4936471.0162801892</v>
      </c>
      <c r="T47" s="5">
        <f t="shared" si="5"/>
        <v>6581961.3550402531</v>
      </c>
      <c r="U47" s="5">
        <f t="shared" si="6"/>
        <v>6581961.3550402531</v>
      </c>
      <c r="V47" s="5">
        <f t="shared" si="7"/>
        <v>5594667.1517842151</v>
      </c>
      <c r="W47" s="5">
        <f t="shared" si="8"/>
        <v>6581961.3550402531</v>
      </c>
      <c r="X47" s="5">
        <f t="shared" si="9"/>
        <v>6581961.3550402531</v>
      </c>
      <c r="Y47" s="5">
        <f t="shared" si="9"/>
        <v>6581961.3550402531</v>
      </c>
      <c r="Z47" s="5">
        <f t="shared" si="9"/>
        <v>6581961.3550402531</v>
      </c>
      <c r="AA47" s="5">
        <f t="shared" si="9"/>
        <v>6581961.3550402531</v>
      </c>
      <c r="AB47" s="5">
        <f t="shared" si="9"/>
        <v>6581961.3550402531</v>
      </c>
      <c r="AC47" s="5">
        <f t="shared" si="9"/>
        <v>6581961.3550402531</v>
      </c>
      <c r="AD47" s="5">
        <f t="shared" si="10"/>
        <v>3949176.8130241521</v>
      </c>
      <c r="AE47"/>
      <c r="AF47" s="31">
        <f t="shared" si="15"/>
        <v>73717967.176450834</v>
      </c>
      <c r="AG47" s="99">
        <f t="shared" si="11"/>
        <v>0</v>
      </c>
      <c r="AH47" s="99">
        <f t="shared" si="12"/>
        <v>0</v>
      </c>
      <c r="AI47" s="98">
        <v>0.08</v>
      </c>
      <c r="AJ47"/>
      <c r="AK47"/>
      <c r="AL47" s="48" t="b">
        <f t="shared" si="13"/>
        <v>1</v>
      </c>
      <c r="AM47"/>
      <c r="AN47"/>
    </row>
    <row r="48" spans="1:40" ht="34.5">
      <c r="A48" s="110"/>
      <c r="B48" s="33" t="s">
        <v>32</v>
      </c>
      <c r="C48" s="33" t="s">
        <v>9</v>
      </c>
      <c r="D48" s="16">
        <v>0.52410000000000001</v>
      </c>
      <c r="E48" s="16">
        <v>0.47589999999999999</v>
      </c>
      <c r="F48" s="35" t="s">
        <v>160</v>
      </c>
      <c r="G48" s="37">
        <v>1</v>
      </c>
      <c r="H48" s="37">
        <v>1</v>
      </c>
      <c r="I48" s="37">
        <v>1</v>
      </c>
      <c r="J48" s="37">
        <v>24</v>
      </c>
      <c r="K48" s="37">
        <v>13</v>
      </c>
      <c r="L48" s="37">
        <v>11</v>
      </c>
      <c r="M48" s="37">
        <f t="shared" si="16"/>
        <v>30</v>
      </c>
      <c r="N48" s="37">
        <f t="shared" si="1"/>
        <v>30</v>
      </c>
      <c r="O48" s="37">
        <f t="shared" si="2"/>
        <v>30</v>
      </c>
      <c r="P48" s="37">
        <f t="shared" si="3"/>
        <v>30</v>
      </c>
      <c r="Q48" s="38">
        <v>6000</v>
      </c>
      <c r="S48" s="5">
        <f t="shared" si="4"/>
        <v>22478972.662198804</v>
      </c>
      <c r="T48" s="5">
        <f t="shared" si="5"/>
        <v>22478972.662198804</v>
      </c>
      <c r="U48" s="5">
        <f t="shared" si="6"/>
        <v>22478972.662198804</v>
      </c>
      <c r="V48" s="5">
        <f t="shared" si="7"/>
        <v>22478972.662198804</v>
      </c>
      <c r="W48" s="5">
        <f t="shared" si="8"/>
        <v>22478972.662198804</v>
      </c>
      <c r="X48" s="5">
        <f t="shared" si="9"/>
        <v>22478972.662198804</v>
      </c>
      <c r="Y48" s="5">
        <f t="shared" si="9"/>
        <v>22478972.662198804</v>
      </c>
      <c r="Z48" s="5">
        <f t="shared" si="9"/>
        <v>22478972.662198804</v>
      </c>
      <c r="AA48" s="5">
        <f t="shared" si="9"/>
        <v>22478972.662198804</v>
      </c>
      <c r="AB48" s="5">
        <f t="shared" si="9"/>
        <v>22478972.662198804</v>
      </c>
      <c r="AC48" s="5">
        <f t="shared" si="9"/>
        <v>22478972.662198804</v>
      </c>
      <c r="AD48" s="5">
        <f t="shared" si="10"/>
        <v>22478972.662198804</v>
      </c>
      <c r="AF48" s="31">
        <f t="shared" si="15"/>
        <v>269747671.94638568</v>
      </c>
      <c r="AG48" s="99">
        <f t="shared" si="11"/>
        <v>1</v>
      </c>
      <c r="AH48" s="99">
        <f t="shared" si="12"/>
        <v>1</v>
      </c>
      <c r="AI48" s="99">
        <v>0.08</v>
      </c>
      <c r="AL48" s="48" t="b">
        <f t="shared" si="13"/>
        <v>1</v>
      </c>
    </row>
    <row r="49" spans="1:40" ht="23.1">
      <c r="A49" s="110" t="s">
        <v>33</v>
      </c>
      <c r="B49" s="33" t="s">
        <v>34</v>
      </c>
      <c r="C49" s="33" t="s">
        <v>35</v>
      </c>
      <c r="D49" s="16">
        <v>0.52410000000000001</v>
      </c>
      <c r="E49" s="16">
        <v>0.47589999999999999</v>
      </c>
      <c r="F49" s="35" t="s">
        <v>160</v>
      </c>
      <c r="G49" s="37">
        <v>1</v>
      </c>
      <c r="H49" s="37">
        <v>1</v>
      </c>
      <c r="I49" s="37">
        <v>1</v>
      </c>
      <c r="J49" s="37">
        <v>24</v>
      </c>
      <c r="K49" s="37">
        <v>13</v>
      </c>
      <c r="L49" s="37">
        <v>11</v>
      </c>
      <c r="M49" s="37">
        <f>IF(AND(G49=1,J49&lt;24),20,IF(AND(G49=1,J49=24),30,12))</f>
        <v>30</v>
      </c>
      <c r="N49" s="37">
        <f t="shared" si="1"/>
        <v>30</v>
      </c>
      <c r="O49" s="37">
        <f t="shared" si="2"/>
        <v>30</v>
      </c>
      <c r="P49" s="37">
        <f t="shared" si="3"/>
        <v>30</v>
      </c>
      <c r="Q49" s="38">
        <v>6000</v>
      </c>
      <c r="S49" s="5">
        <f t="shared" si="4"/>
        <v>22895249.933721002</v>
      </c>
      <c r="T49" s="5">
        <f t="shared" si="5"/>
        <v>22895249.933721002</v>
      </c>
      <c r="U49" s="5">
        <f t="shared" si="6"/>
        <v>22895249.933721002</v>
      </c>
      <c r="V49" s="5">
        <f t="shared" si="7"/>
        <v>22895249.933721002</v>
      </c>
      <c r="W49" s="5">
        <f t="shared" si="8"/>
        <v>22895249.933721002</v>
      </c>
      <c r="X49" s="5">
        <f t="shared" si="9"/>
        <v>22895249.933721002</v>
      </c>
      <c r="Y49" s="5">
        <f t="shared" si="9"/>
        <v>22895249.933721002</v>
      </c>
      <c r="Z49" s="5">
        <f t="shared" si="9"/>
        <v>22895249.933721002</v>
      </c>
      <c r="AA49" s="5">
        <f t="shared" si="9"/>
        <v>22895249.933721002</v>
      </c>
      <c r="AB49" s="5">
        <f t="shared" si="9"/>
        <v>22895249.933721002</v>
      </c>
      <c r="AC49" s="5">
        <f t="shared" si="9"/>
        <v>22895249.933721002</v>
      </c>
      <c r="AD49" s="5">
        <f t="shared" si="10"/>
        <v>22895249.933721002</v>
      </c>
      <c r="AF49" s="31">
        <f t="shared" si="15"/>
        <v>274742999.20465201</v>
      </c>
      <c r="AG49" s="99">
        <f t="shared" si="11"/>
        <v>1</v>
      </c>
      <c r="AH49" s="99">
        <f t="shared" si="12"/>
        <v>1</v>
      </c>
      <c r="AI49" s="99">
        <v>0.1</v>
      </c>
      <c r="AL49" s="48" t="b">
        <f t="shared" si="13"/>
        <v>1</v>
      </c>
    </row>
    <row r="50" spans="1:40" ht="23.1">
      <c r="A50" s="110"/>
      <c r="B50" s="33" t="s">
        <v>36</v>
      </c>
      <c r="C50" s="33" t="s">
        <v>35</v>
      </c>
      <c r="D50" s="16">
        <v>0.52410000000000001</v>
      </c>
      <c r="E50" s="16">
        <v>0.47589999999999999</v>
      </c>
      <c r="F50" s="35" t="s">
        <v>160</v>
      </c>
      <c r="G50" s="37">
        <v>1</v>
      </c>
      <c r="H50" s="37">
        <v>1</v>
      </c>
      <c r="I50" s="37">
        <v>1</v>
      </c>
      <c r="J50" s="37">
        <v>24</v>
      </c>
      <c r="K50" s="37">
        <v>13</v>
      </c>
      <c r="L50" s="37">
        <v>11</v>
      </c>
      <c r="M50" s="37">
        <f t="shared" ref="M50:M52" si="17">IF(AND(G50=1,J50&lt;24),20,IF(AND(G50=1,J50=24),30,12))</f>
        <v>30</v>
      </c>
      <c r="N50" s="37">
        <f t="shared" si="1"/>
        <v>30</v>
      </c>
      <c r="O50" s="37">
        <f t="shared" si="2"/>
        <v>30</v>
      </c>
      <c r="P50" s="37">
        <f t="shared" si="3"/>
        <v>30</v>
      </c>
      <c r="Q50" s="38">
        <v>6000</v>
      </c>
      <c r="S50" s="5">
        <f t="shared" si="4"/>
        <v>22895249.933721002</v>
      </c>
      <c r="T50" s="5">
        <f t="shared" si="5"/>
        <v>22895249.933721002</v>
      </c>
      <c r="U50" s="5">
        <f t="shared" si="6"/>
        <v>22895249.933721002</v>
      </c>
      <c r="V50" s="5">
        <f t="shared" si="7"/>
        <v>22895249.933721002</v>
      </c>
      <c r="W50" s="5">
        <f t="shared" si="8"/>
        <v>22895249.933721002</v>
      </c>
      <c r="X50" s="5">
        <f t="shared" si="9"/>
        <v>22895249.933721002</v>
      </c>
      <c r="Y50" s="5">
        <f t="shared" si="9"/>
        <v>22895249.933721002</v>
      </c>
      <c r="Z50" s="5">
        <f t="shared" si="9"/>
        <v>22895249.933721002</v>
      </c>
      <c r="AA50" s="5">
        <f t="shared" si="9"/>
        <v>22895249.933721002</v>
      </c>
      <c r="AB50" s="5">
        <f t="shared" si="9"/>
        <v>22895249.933721002</v>
      </c>
      <c r="AC50" s="5">
        <f t="shared" si="9"/>
        <v>22895249.933721002</v>
      </c>
      <c r="AD50" s="5">
        <f t="shared" si="10"/>
        <v>22895249.933721002</v>
      </c>
      <c r="AF50" s="31">
        <f t="shared" si="15"/>
        <v>274742999.20465201</v>
      </c>
      <c r="AG50" s="99">
        <f t="shared" si="11"/>
        <v>1</v>
      </c>
      <c r="AH50" s="99">
        <f t="shared" si="12"/>
        <v>1</v>
      </c>
      <c r="AI50" s="99">
        <v>0.1</v>
      </c>
      <c r="AL50" s="48" t="b">
        <f t="shared" si="13"/>
        <v>1</v>
      </c>
    </row>
    <row r="51" spans="1:40" ht="23.1">
      <c r="A51" s="110" t="s">
        <v>37</v>
      </c>
      <c r="B51" s="40" t="s">
        <v>38</v>
      </c>
      <c r="C51" s="33" t="s">
        <v>35</v>
      </c>
      <c r="D51" s="16">
        <v>0.52410000000000001</v>
      </c>
      <c r="E51" s="16">
        <v>0.47589999999999999</v>
      </c>
      <c r="F51" s="35" t="s">
        <v>160</v>
      </c>
      <c r="G51" s="37">
        <v>1</v>
      </c>
      <c r="H51" s="37">
        <v>1</v>
      </c>
      <c r="I51" s="37">
        <v>1</v>
      </c>
      <c r="J51" s="37">
        <v>24</v>
      </c>
      <c r="K51" s="37">
        <v>13</v>
      </c>
      <c r="L51" s="37">
        <v>11</v>
      </c>
      <c r="M51" s="37">
        <f t="shared" si="17"/>
        <v>30</v>
      </c>
      <c r="N51" s="37">
        <f t="shared" si="1"/>
        <v>30</v>
      </c>
      <c r="O51" s="37">
        <f t="shared" si="2"/>
        <v>30</v>
      </c>
      <c r="P51" s="37">
        <f t="shared" si="3"/>
        <v>30</v>
      </c>
      <c r="Q51" s="38">
        <v>6000</v>
      </c>
      <c r="S51" s="5">
        <f t="shared" si="4"/>
        <v>22895249.933721002</v>
      </c>
      <c r="T51" s="5">
        <f t="shared" si="5"/>
        <v>22895249.933721002</v>
      </c>
      <c r="U51" s="5">
        <f t="shared" si="6"/>
        <v>22895249.933721002</v>
      </c>
      <c r="V51" s="5">
        <f t="shared" si="7"/>
        <v>22895249.933721002</v>
      </c>
      <c r="W51" s="5">
        <f t="shared" si="8"/>
        <v>22895249.933721002</v>
      </c>
      <c r="X51" s="5">
        <f t="shared" si="9"/>
        <v>22895249.933721002</v>
      </c>
      <c r="Y51" s="5">
        <f t="shared" si="9"/>
        <v>22895249.933721002</v>
      </c>
      <c r="Z51" s="5">
        <f t="shared" si="9"/>
        <v>22895249.933721002</v>
      </c>
      <c r="AA51" s="5">
        <f t="shared" si="9"/>
        <v>22895249.933721002</v>
      </c>
      <c r="AB51" s="5">
        <f t="shared" si="9"/>
        <v>22895249.933721002</v>
      </c>
      <c r="AC51" s="5">
        <f t="shared" si="9"/>
        <v>22895249.933721002</v>
      </c>
      <c r="AD51" s="5">
        <f t="shared" si="10"/>
        <v>22895249.933721002</v>
      </c>
      <c r="AF51" s="31">
        <f t="shared" si="15"/>
        <v>274742999.20465201</v>
      </c>
      <c r="AG51" s="99">
        <f t="shared" si="11"/>
        <v>1</v>
      </c>
      <c r="AH51" s="99">
        <f t="shared" si="12"/>
        <v>1</v>
      </c>
      <c r="AI51" s="99">
        <v>0.1</v>
      </c>
      <c r="AL51" s="48" t="b">
        <f t="shared" si="13"/>
        <v>1</v>
      </c>
    </row>
    <row r="52" spans="1:40" ht="23.1">
      <c r="A52" s="110"/>
      <c r="B52" s="33" t="s">
        <v>39</v>
      </c>
      <c r="C52" s="33" t="s">
        <v>40</v>
      </c>
      <c r="D52" s="16">
        <v>0.52410000000000001</v>
      </c>
      <c r="E52" s="16">
        <v>0.47589999999999999</v>
      </c>
      <c r="F52" s="35" t="s">
        <v>160</v>
      </c>
      <c r="G52" s="37"/>
      <c r="H52" s="37"/>
      <c r="I52" s="37">
        <v>1</v>
      </c>
      <c r="J52" s="37">
        <v>12</v>
      </c>
      <c r="K52" s="37">
        <v>12</v>
      </c>
      <c r="L52" s="37"/>
      <c r="M52" s="37">
        <f t="shared" si="17"/>
        <v>12</v>
      </c>
      <c r="N52" s="37">
        <f t="shared" si="1"/>
        <v>17</v>
      </c>
      <c r="O52" s="37">
        <f t="shared" si="2"/>
        <v>15</v>
      </c>
      <c r="P52" s="37">
        <f t="shared" si="3"/>
        <v>20</v>
      </c>
      <c r="Q52" s="38">
        <v>2000</v>
      </c>
      <c r="R52"/>
      <c r="S52" s="5">
        <f t="shared" si="4"/>
        <v>4936471.0162801892</v>
      </c>
      <c r="T52" s="5">
        <f t="shared" si="5"/>
        <v>6581961.3550402531</v>
      </c>
      <c r="U52" s="5">
        <f t="shared" si="6"/>
        <v>6581961.3550402531</v>
      </c>
      <c r="V52" s="5">
        <f t="shared" si="7"/>
        <v>5594667.1517842151</v>
      </c>
      <c r="W52" s="5">
        <f t="shared" si="8"/>
        <v>6581961.3550402531</v>
      </c>
      <c r="X52" s="5">
        <f t="shared" si="9"/>
        <v>6581961.3550402531</v>
      </c>
      <c r="Y52" s="5">
        <f t="shared" si="9"/>
        <v>6581961.3550402531</v>
      </c>
      <c r="Z52" s="5">
        <f t="shared" si="9"/>
        <v>6581961.3550402531</v>
      </c>
      <c r="AA52" s="5">
        <f t="shared" si="9"/>
        <v>6581961.3550402531</v>
      </c>
      <c r="AB52" s="5">
        <f t="shared" si="9"/>
        <v>6581961.3550402531</v>
      </c>
      <c r="AC52" s="5">
        <f t="shared" si="9"/>
        <v>6581961.3550402531</v>
      </c>
      <c r="AD52" s="5">
        <f t="shared" si="10"/>
        <v>3949176.8130241521</v>
      </c>
      <c r="AE52"/>
      <c r="AF52" s="31">
        <f t="shared" si="15"/>
        <v>73717967.176450834</v>
      </c>
      <c r="AG52" s="99">
        <f t="shared" si="11"/>
        <v>0</v>
      </c>
      <c r="AH52" s="99">
        <f t="shared" si="12"/>
        <v>0</v>
      </c>
      <c r="AI52" s="98">
        <v>0.08</v>
      </c>
      <c r="AJ52"/>
      <c r="AK52"/>
      <c r="AL52" s="48" t="b">
        <f t="shared" si="13"/>
        <v>1</v>
      </c>
      <c r="AM52"/>
      <c r="AN52"/>
    </row>
    <row r="53" spans="1:40" ht="23.1">
      <c r="A53" s="110" t="s">
        <v>41</v>
      </c>
      <c r="B53" s="33" t="s">
        <v>42</v>
      </c>
      <c r="C53" s="33" t="s">
        <v>43</v>
      </c>
      <c r="D53" s="16">
        <v>0.52410000000000001</v>
      </c>
      <c r="E53" s="16">
        <v>0.47589999999999999</v>
      </c>
      <c r="F53" s="37" t="s">
        <v>160</v>
      </c>
      <c r="G53" s="37">
        <v>1</v>
      </c>
      <c r="H53" s="37">
        <v>1</v>
      </c>
      <c r="I53" s="37">
        <v>1</v>
      </c>
      <c r="J53" s="37">
        <v>24</v>
      </c>
      <c r="K53" s="37">
        <v>13</v>
      </c>
      <c r="L53" s="37">
        <v>11</v>
      </c>
      <c r="M53" s="37">
        <f>IF(AND(G53=1,J53&lt;24),20,IF(AND(G53=1,J53=24),30,12))</f>
        <v>30</v>
      </c>
      <c r="N53" s="37">
        <f t="shared" si="1"/>
        <v>30</v>
      </c>
      <c r="O53" s="37">
        <f t="shared" si="2"/>
        <v>30</v>
      </c>
      <c r="P53" s="37">
        <f t="shared" si="3"/>
        <v>30</v>
      </c>
      <c r="Q53" s="38">
        <v>6000</v>
      </c>
      <c r="S53" s="5">
        <f t="shared" si="4"/>
        <v>22895249.933721002</v>
      </c>
      <c r="T53" s="5">
        <f t="shared" si="5"/>
        <v>22895249.933721002</v>
      </c>
      <c r="U53" s="5">
        <f t="shared" si="6"/>
        <v>22895249.933721002</v>
      </c>
      <c r="V53" s="5">
        <f t="shared" si="7"/>
        <v>22895249.933721002</v>
      </c>
      <c r="W53" s="5">
        <f t="shared" si="8"/>
        <v>22895249.933721002</v>
      </c>
      <c r="X53" s="5">
        <f t="shared" si="9"/>
        <v>22895249.933721002</v>
      </c>
      <c r="Y53" s="5">
        <f t="shared" si="9"/>
        <v>22895249.933721002</v>
      </c>
      <c r="Z53" s="5">
        <f t="shared" si="9"/>
        <v>22895249.933721002</v>
      </c>
      <c r="AA53" s="5">
        <f t="shared" si="9"/>
        <v>22895249.933721002</v>
      </c>
      <c r="AB53" s="5">
        <f t="shared" si="9"/>
        <v>22895249.933721002</v>
      </c>
      <c r="AC53" s="5">
        <f t="shared" si="9"/>
        <v>22895249.933721002</v>
      </c>
      <c r="AD53" s="5">
        <f t="shared" si="10"/>
        <v>22895249.933721002</v>
      </c>
      <c r="AF53" s="31">
        <f t="shared" si="15"/>
        <v>274742999.20465201</v>
      </c>
      <c r="AG53" s="99">
        <f t="shared" si="11"/>
        <v>1</v>
      </c>
      <c r="AH53" s="99">
        <f t="shared" si="12"/>
        <v>1</v>
      </c>
      <c r="AI53" s="99">
        <v>0.1</v>
      </c>
      <c r="AL53" s="48" t="b">
        <f t="shared" si="13"/>
        <v>1</v>
      </c>
    </row>
    <row r="54" spans="1:40" ht="23.1">
      <c r="A54" s="110"/>
      <c r="B54" s="33" t="s">
        <v>44</v>
      </c>
      <c r="C54" s="33" t="s">
        <v>21</v>
      </c>
      <c r="D54" s="16">
        <v>0.52410000000000001</v>
      </c>
      <c r="E54" s="16">
        <v>0.47589999999999999</v>
      </c>
      <c r="F54" s="37" t="s">
        <v>160</v>
      </c>
      <c r="G54" s="37"/>
      <c r="H54" s="37"/>
      <c r="I54" s="37">
        <v>1</v>
      </c>
      <c r="J54" s="37">
        <v>12</v>
      </c>
      <c r="K54" s="37">
        <v>12</v>
      </c>
      <c r="L54" s="37"/>
      <c r="M54" s="37">
        <f>IF(AND(G54=1,J54&lt;24),20,IF(AND(G54=1,J54=24),30,12))</f>
        <v>12</v>
      </c>
      <c r="N54" s="37">
        <f t="shared" si="1"/>
        <v>17</v>
      </c>
      <c r="O54" s="37">
        <f t="shared" si="2"/>
        <v>15</v>
      </c>
      <c r="P54" s="37">
        <f t="shared" si="3"/>
        <v>20</v>
      </c>
      <c r="Q54" s="43">
        <v>6000</v>
      </c>
      <c r="R54"/>
      <c r="S54" s="5">
        <f t="shared" si="4"/>
        <v>4937419.8876648042</v>
      </c>
      <c r="T54" s="5">
        <f t="shared" si="5"/>
        <v>6583226.5168864066</v>
      </c>
      <c r="U54" s="5">
        <f t="shared" si="6"/>
        <v>6583226.5168864066</v>
      </c>
      <c r="V54" s="5">
        <f t="shared" si="7"/>
        <v>5595742.5393534452</v>
      </c>
      <c r="W54" s="5">
        <f t="shared" si="8"/>
        <v>6583226.5168864066</v>
      </c>
      <c r="X54" s="5">
        <f t="shared" si="9"/>
        <v>6583226.5168864066</v>
      </c>
      <c r="Y54" s="5">
        <f t="shared" si="9"/>
        <v>6583226.5168864066</v>
      </c>
      <c r="Z54" s="5">
        <f t="shared" si="9"/>
        <v>6583226.5168864066</v>
      </c>
      <c r="AA54" s="5">
        <f t="shared" si="9"/>
        <v>6583226.5168864066</v>
      </c>
      <c r="AB54" s="5">
        <f t="shared" si="9"/>
        <v>6583226.5168864066</v>
      </c>
      <c r="AC54" s="5">
        <f t="shared" si="9"/>
        <v>6583226.5168864066</v>
      </c>
      <c r="AD54" s="5">
        <f t="shared" si="10"/>
        <v>3949935.9101318438</v>
      </c>
      <c r="AE54"/>
      <c r="AF54" s="31">
        <f t="shared" si="15"/>
        <v>73732136.989127755</v>
      </c>
      <c r="AG54" s="99">
        <f t="shared" si="11"/>
        <v>0</v>
      </c>
      <c r="AH54" s="99">
        <f t="shared" si="12"/>
        <v>0</v>
      </c>
      <c r="AI54" s="98">
        <v>0.08</v>
      </c>
      <c r="AJ54"/>
      <c r="AK54"/>
      <c r="AL54" s="48" t="b">
        <f t="shared" si="13"/>
        <v>1</v>
      </c>
      <c r="AM54"/>
      <c r="AN54"/>
    </row>
    <row r="55" spans="1:40" ht="23.1">
      <c r="A55" s="32" t="s">
        <v>45</v>
      </c>
      <c r="B55" s="33" t="s">
        <v>46</v>
      </c>
      <c r="C55" s="33" t="s">
        <v>35</v>
      </c>
      <c r="D55" s="16">
        <v>0.52410000000000001</v>
      </c>
      <c r="E55" s="16">
        <v>0.47589999999999999</v>
      </c>
      <c r="F55" s="37" t="s">
        <v>160</v>
      </c>
      <c r="G55" s="37">
        <v>1</v>
      </c>
      <c r="H55" s="37">
        <v>1</v>
      </c>
      <c r="I55" s="37">
        <v>1</v>
      </c>
      <c r="J55" s="37">
        <v>24</v>
      </c>
      <c r="K55" s="37">
        <v>13</v>
      </c>
      <c r="L55" s="37">
        <v>11</v>
      </c>
      <c r="M55" s="37">
        <f t="shared" ref="M55:M88" si="18">IF(AND(G55=1,J55&lt;24),20,IF(AND(G55=1,J55=24),30,12))</f>
        <v>30</v>
      </c>
      <c r="N55" s="37">
        <f t="shared" si="1"/>
        <v>30</v>
      </c>
      <c r="O55" s="37">
        <f t="shared" si="2"/>
        <v>30</v>
      </c>
      <c r="P55" s="37">
        <f t="shared" si="3"/>
        <v>30</v>
      </c>
      <c r="Q55" s="38">
        <v>6000</v>
      </c>
      <c r="S55" s="5">
        <f t="shared" si="4"/>
        <v>22895249.933721002</v>
      </c>
      <c r="T55" s="5">
        <f t="shared" si="5"/>
        <v>22895249.933721002</v>
      </c>
      <c r="U55" s="5">
        <f t="shared" si="6"/>
        <v>22895249.933721002</v>
      </c>
      <c r="V55" s="5">
        <f t="shared" si="7"/>
        <v>22895249.933721002</v>
      </c>
      <c r="W55" s="5">
        <f t="shared" si="8"/>
        <v>22895249.933721002</v>
      </c>
      <c r="X55" s="5">
        <f t="shared" si="9"/>
        <v>22895249.933721002</v>
      </c>
      <c r="Y55" s="5">
        <f t="shared" si="9"/>
        <v>22895249.933721002</v>
      </c>
      <c r="Z55" s="5">
        <f t="shared" si="9"/>
        <v>22895249.933721002</v>
      </c>
      <c r="AA55" s="5">
        <f t="shared" si="9"/>
        <v>22895249.933721002</v>
      </c>
      <c r="AB55" s="5">
        <f t="shared" si="9"/>
        <v>22895249.933721002</v>
      </c>
      <c r="AC55" s="5">
        <f t="shared" si="9"/>
        <v>22895249.933721002</v>
      </c>
      <c r="AD55" s="5">
        <f t="shared" si="10"/>
        <v>22895249.933721002</v>
      </c>
      <c r="AF55" s="31">
        <f t="shared" si="15"/>
        <v>274742999.20465201</v>
      </c>
      <c r="AG55" s="99">
        <f t="shared" si="11"/>
        <v>1</v>
      </c>
      <c r="AH55" s="99">
        <f t="shared" si="12"/>
        <v>1</v>
      </c>
      <c r="AI55" s="99">
        <v>0.1</v>
      </c>
      <c r="AL55" s="48" t="b">
        <f t="shared" si="13"/>
        <v>1</v>
      </c>
    </row>
    <row r="56" spans="1:40" ht="23.1">
      <c r="A56" s="110" t="s">
        <v>47</v>
      </c>
      <c r="B56" s="40" t="s">
        <v>48</v>
      </c>
      <c r="C56" s="33" t="s">
        <v>49</v>
      </c>
      <c r="D56" s="16">
        <v>0.52410000000000001</v>
      </c>
      <c r="E56" s="16">
        <v>0.47589999999999999</v>
      </c>
      <c r="F56" s="35" t="s">
        <v>160</v>
      </c>
      <c r="G56" s="37">
        <v>1</v>
      </c>
      <c r="H56" s="37"/>
      <c r="I56" s="37">
        <v>1</v>
      </c>
      <c r="J56" s="37">
        <v>24</v>
      </c>
      <c r="K56" s="37">
        <v>13</v>
      </c>
      <c r="L56" s="37">
        <v>11</v>
      </c>
      <c r="M56" s="37">
        <f t="shared" si="18"/>
        <v>30</v>
      </c>
      <c r="N56" s="37">
        <f>IF(AND(H56=1,J56&lt;24),20,IF(AND(H56=1,J56=24),30,23))</f>
        <v>23</v>
      </c>
      <c r="O56" s="37">
        <f t="shared" si="2"/>
        <v>30</v>
      </c>
      <c r="P56" s="37">
        <f t="shared" si="3"/>
        <v>30</v>
      </c>
      <c r="Q56" s="38">
        <v>6000</v>
      </c>
      <c r="S56" s="5">
        <f t="shared" si="4"/>
        <v>22895249.933721002</v>
      </c>
      <c r="T56" s="5">
        <f t="shared" si="5"/>
        <v>22895249.933721002</v>
      </c>
      <c r="U56" s="5">
        <f t="shared" si="6"/>
        <v>22895249.933721002</v>
      </c>
      <c r="V56" s="5">
        <f t="shared" si="7"/>
        <v>17553024.949186102</v>
      </c>
      <c r="W56" s="5">
        <f t="shared" si="8"/>
        <v>22895249.933721002</v>
      </c>
      <c r="X56" s="5">
        <f t="shared" si="9"/>
        <v>22895249.933721002</v>
      </c>
      <c r="Y56" s="5">
        <f t="shared" si="9"/>
        <v>22895249.933721002</v>
      </c>
      <c r="Z56" s="5">
        <f t="shared" si="9"/>
        <v>22895249.933721002</v>
      </c>
      <c r="AA56" s="5">
        <f t="shared" si="9"/>
        <v>22895249.933721002</v>
      </c>
      <c r="AB56" s="5">
        <f t="shared" si="9"/>
        <v>22895249.933721002</v>
      </c>
      <c r="AC56" s="5">
        <f t="shared" si="9"/>
        <v>22895249.933721002</v>
      </c>
      <c r="AD56" s="5">
        <f t="shared" si="10"/>
        <v>22895249.933721002</v>
      </c>
      <c r="AF56" s="31">
        <f t="shared" si="15"/>
        <v>269400774.22011715</v>
      </c>
      <c r="AG56" s="99">
        <f t="shared" si="11"/>
        <v>1</v>
      </c>
      <c r="AH56" s="99">
        <f t="shared" si="12"/>
        <v>1</v>
      </c>
      <c r="AI56" s="99">
        <v>0.1</v>
      </c>
      <c r="AL56" s="48" t="b">
        <f t="shared" si="13"/>
        <v>1</v>
      </c>
    </row>
    <row r="57" spans="1:40" ht="23.1">
      <c r="A57" s="110"/>
      <c r="B57" s="40" t="s">
        <v>50</v>
      </c>
      <c r="C57" s="33" t="s">
        <v>49</v>
      </c>
      <c r="D57" s="16">
        <v>0.52410000000000001</v>
      </c>
      <c r="E57" s="16">
        <v>0.47589999999999999</v>
      </c>
      <c r="F57" s="35" t="s">
        <v>160</v>
      </c>
      <c r="G57" s="37">
        <v>1</v>
      </c>
      <c r="H57" s="37">
        <v>1</v>
      </c>
      <c r="I57" s="37">
        <v>1</v>
      </c>
      <c r="J57" s="37">
        <v>24</v>
      </c>
      <c r="K57" s="37">
        <v>13</v>
      </c>
      <c r="L57" s="37">
        <v>11</v>
      </c>
      <c r="M57" s="37">
        <f t="shared" si="18"/>
        <v>30</v>
      </c>
      <c r="N57" s="37">
        <f t="shared" si="1"/>
        <v>30</v>
      </c>
      <c r="O57" s="37">
        <f t="shared" si="2"/>
        <v>30</v>
      </c>
      <c r="P57" s="37">
        <f t="shared" si="3"/>
        <v>30</v>
      </c>
      <c r="Q57" s="38">
        <v>6000</v>
      </c>
      <c r="S57" s="5">
        <f t="shared" si="4"/>
        <v>22895249.933721002</v>
      </c>
      <c r="T57" s="5">
        <f t="shared" si="5"/>
        <v>22895249.933721002</v>
      </c>
      <c r="U57" s="5">
        <f t="shared" si="6"/>
        <v>22895249.933721002</v>
      </c>
      <c r="V57" s="5">
        <f t="shared" si="7"/>
        <v>22895249.933721002</v>
      </c>
      <c r="W57" s="5">
        <f t="shared" si="8"/>
        <v>22895249.933721002</v>
      </c>
      <c r="X57" s="5">
        <f t="shared" si="9"/>
        <v>22895249.933721002</v>
      </c>
      <c r="Y57" s="5">
        <f t="shared" si="9"/>
        <v>22895249.933721002</v>
      </c>
      <c r="Z57" s="5">
        <f t="shared" si="9"/>
        <v>22895249.933721002</v>
      </c>
      <c r="AA57" s="5">
        <f t="shared" si="9"/>
        <v>22895249.933721002</v>
      </c>
      <c r="AB57" s="5">
        <f t="shared" si="9"/>
        <v>22895249.933721002</v>
      </c>
      <c r="AC57" s="5">
        <f t="shared" si="9"/>
        <v>22895249.933721002</v>
      </c>
      <c r="AD57" s="5">
        <f t="shared" si="10"/>
        <v>22895249.933721002</v>
      </c>
      <c r="AF57" s="31">
        <f t="shared" si="15"/>
        <v>274742999.20465201</v>
      </c>
      <c r="AG57" s="99">
        <f t="shared" si="11"/>
        <v>1</v>
      </c>
      <c r="AH57" s="99">
        <f t="shared" si="12"/>
        <v>1</v>
      </c>
      <c r="AI57" s="99">
        <v>0.1</v>
      </c>
      <c r="AL57" s="48" t="b">
        <f t="shared" si="13"/>
        <v>1</v>
      </c>
    </row>
    <row r="58" spans="1:40" ht="23.1">
      <c r="A58" s="110" t="s">
        <v>51</v>
      </c>
      <c r="B58" s="33" t="s">
        <v>52</v>
      </c>
      <c r="C58" s="33" t="s">
        <v>35</v>
      </c>
      <c r="D58" s="16">
        <v>0.52410000000000001</v>
      </c>
      <c r="E58" s="16">
        <v>0.47589999999999999</v>
      </c>
      <c r="F58" s="35" t="s">
        <v>160</v>
      </c>
      <c r="G58" s="37">
        <v>1</v>
      </c>
      <c r="H58" s="37">
        <v>1</v>
      </c>
      <c r="I58" s="37">
        <v>1</v>
      </c>
      <c r="J58" s="37">
        <v>24</v>
      </c>
      <c r="K58" s="37">
        <v>13</v>
      </c>
      <c r="L58" s="37">
        <v>11</v>
      </c>
      <c r="M58" s="37">
        <f>IF(AND(G58=1,J58&lt;24),20,IF(AND(G58=1,J58=24),30,12))</f>
        <v>30</v>
      </c>
      <c r="N58" s="37">
        <f t="shared" si="1"/>
        <v>30</v>
      </c>
      <c r="O58" s="37">
        <f t="shared" si="2"/>
        <v>30</v>
      </c>
      <c r="P58" s="37">
        <f t="shared" si="3"/>
        <v>30</v>
      </c>
      <c r="Q58" s="38">
        <v>6000</v>
      </c>
      <c r="S58" s="5">
        <f t="shared" si="4"/>
        <v>22895249.933721002</v>
      </c>
      <c r="T58" s="5">
        <f t="shared" si="5"/>
        <v>22895249.933721002</v>
      </c>
      <c r="U58" s="5">
        <f t="shared" si="6"/>
        <v>22895249.933721002</v>
      </c>
      <c r="V58" s="5">
        <f t="shared" si="7"/>
        <v>22895249.933721002</v>
      </c>
      <c r="W58" s="5">
        <f t="shared" si="8"/>
        <v>22895249.933721002</v>
      </c>
      <c r="X58" s="5">
        <f t="shared" si="9"/>
        <v>22895249.933721002</v>
      </c>
      <c r="Y58" s="5">
        <f t="shared" si="9"/>
        <v>22895249.933721002</v>
      </c>
      <c r="Z58" s="5">
        <f t="shared" si="9"/>
        <v>22895249.933721002</v>
      </c>
      <c r="AA58" s="5">
        <f t="shared" si="9"/>
        <v>22895249.933721002</v>
      </c>
      <c r="AB58" s="5">
        <f t="shared" si="9"/>
        <v>22895249.933721002</v>
      </c>
      <c r="AC58" s="5">
        <f t="shared" si="9"/>
        <v>22895249.933721002</v>
      </c>
      <c r="AD58" s="5">
        <f t="shared" si="10"/>
        <v>22895249.933721002</v>
      </c>
      <c r="AF58" s="31">
        <f t="shared" si="15"/>
        <v>274742999.20465201</v>
      </c>
      <c r="AG58" s="99">
        <f t="shared" si="11"/>
        <v>1</v>
      </c>
      <c r="AH58" s="99">
        <f t="shared" si="12"/>
        <v>1</v>
      </c>
      <c r="AI58" s="99">
        <v>0.1</v>
      </c>
      <c r="AL58" s="48" t="b">
        <f t="shared" si="13"/>
        <v>1</v>
      </c>
    </row>
    <row r="59" spans="1:40" ht="23.1">
      <c r="A59" s="110"/>
      <c r="B59" s="33" t="s">
        <v>53</v>
      </c>
      <c r="C59" s="33" t="s">
        <v>35</v>
      </c>
      <c r="D59" s="16">
        <v>0.52410000000000001</v>
      </c>
      <c r="E59" s="16">
        <v>0.47589999999999999</v>
      </c>
      <c r="F59" s="35" t="s">
        <v>160</v>
      </c>
      <c r="G59" s="37">
        <v>1</v>
      </c>
      <c r="H59" s="37">
        <v>1</v>
      </c>
      <c r="I59" s="37">
        <v>1</v>
      </c>
      <c r="J59" s="37">
        <v>24</v>
      </c>
      <c r="K59" s="37">
        <v>13</v>
      </c>
      <c r="L59" s="37">
        <v>11</v>
      </c>
      <c r="M59" s="37">
        <f t="shared" si="18"/>
        <v>30</v>
      </c>
      <c r="N59" s="37">
        <f t="shared" si="1"/>
        <v>30</v>
      </c>
      <c r="O59" s="37">
        <f t="shared" si="2"/>
        <v>30</v>
      </c>
      <c r="P59" s="37">
        <f t="shared" si="3"/>
        <v>30</v>
      </c>
      <c r="Q59" s="38">
        <v>6000</v>
      </c>
      <c r="S59" s="5">
        <f t="shared" si="4"/>
        <v>22895249.933721002</v>
      </c>
      <c r="T59" s="5">
        <f t="shared" si="5"/>
        <v>22895249.933721002</v>
      </c>
      <c r="U59" s="5">
        <f t="shared" si="6"/>
        <v>22895249.933721002</v>
      </c>
      <c r="V59" s="5">
        <f t="shared" si="7"/>
        <v>22895249.933721002</v>
      </c>
      <c r="W59" s="5">
        <f t="shared" si="8"/>
        <v>22895249.933721002</v>
      </c>
      <c r="X59" s="5">
        <f t="shared" si="9"/>
        <v>22895249.933721002</v>
      </c>
      <c r="Y59" s="5">
        <f t="shared" si="9"/>
        <v>22895249.933721002</v>
      </c>
      <c r="Z59" s="5">
        <f t="shared" si="9"/>
        <v>22895249.933721002</v>
      </c>
      <c r="AA59" s="5">
        <f t="shared" si="9"/>
        <v>22895249.933721002</v>
      </c>
      <c r="AB59" s="5">
        <f t="shared" si="9"/>
        <v>22895249.933721002</v>
      </c>
      <c r="AC59" s="5">
        <f t="shared" si="9"/>
        <v>22895249.933721002</v>
      </c>
      <c r="AD59" s="5">
        <f t="shared" si="10"/>
        <v>22895249.933721002</v>
      </c>
      <c r="AF59" s="31">
        <f t="shared" si="15"/>
        <v>274742999.20465201</v>
      </c>
      <c r="AG59" s="99">
        <f t="shared" si="11"/>
        <v>1</v>
      </c>
      <c r="AH59" s="99">
        <f t="shared" si="12"/>
        <v>1</v>
      </c>
      <c r="AI59" s="99">
        <v>0.1</v>
      </c>
      <c r="AL59" s="48" t="b">
        <f t="shared" si="13"/>
        <v>1</v>
      </c>
    </row>
    <row r="60" spans="1:40" ht="34.5">
      <c r="A60" s="110"/>
      <c r="B60" s="33" t="s">
        <v>54</v>
      </c>
      <c r="C60" s="33" t="s">
        <v>55</v>
      </c>
      <c r="D60" s="16">
        <v>0.52410000000000001</v>
      </c>
      <c r="E60" s="16">
        <v>0.47589999999999999</v>
      </c>
      <c r="F60" s="35" t="s">
        <v>163</v>
      </c>
      <c r="G60" s="37">
        <v>1</v>
      </c>
      <c r="H60" s="37">
        <v>1</v>
      </c>
      <c r="I60" s="37">
        <v>1</v>
      </c>
      <c r="J60" s="37">
        <v>24</v>
      </c>
      <c r="K60" s="37">
        <v>13</v>
      </c>
      <c r="L60" s="37">
        <v>11</v>
      </c>
      <c r="M60" s="37">
        <f t="shared" si="18"/>
        <v>30</v>
      </c>
      <c r="N60" s="37">
        <f t="shared" si="1"/>
        <v>30</v>
      </c>
      <c r="O60" s="37">
        <f t="shared" si="2"/>
        <v>30</v>
      </c>
      <c r="P60" s="37">
        <f t="shared" si="3"/>
        <v>30</v>
      </c>
      <c r="Q60" s="38">
        <v>6000</v>
      </c>
      <c r="S60" s="5">
        <f t="shared" si="4"/>
        <v>22478972.662198804</v>
      </c>
      <c r="T60" s="5">
        <f t="shared" si="5"/>
        <v>22478972.662198804</v>
      </c>
      <c r="U60" s="5">
        <f t="shared" si="6"/>
        <v>22478972.662198804</v>
      </c>
      <c r="V60" s="5">
        <f t="shared" si="7"/>
        <v>22478972.662198804</v>
      </c>
      <c r="W60" s="5">
        <f t="shared" si="8"/>
        <v>22478972.662198804</v>
      </c>
      <c r="X60" s="5">
        <f t="shared" si="9"/>
        <v>22478972.662198804</v>
      </c>
      <c r="Y60" s="5">
        <f t="shared" si="9"/>
        <v>22478972.662198804</v>
      </c>
      <c r="Z60" s="5">
        <f t="shared" si="9"/>
        <v>22478972.662198804</v>
      </c>
      <c r="AA60" s="5">
        <f t="shared" si="9"/>
        <v>22478972.662198804</v>
      </c>
      <c r="AB60" s="5">
        <f t="shared" si="9"/>
        <v>22478972.662198804</v>
      </c>
      <c r="AC60" s="5">
        <f t="shared" si="9"/>
        <v>22478972.662198804</v>
      </c>
      <c r="AD60" s="5">
        <f t="shared" si="10"/>
        <v>22478972.662198804</v>
      </c>
      <c r="AF60" s="31">
        <f t="shared" si="15"/>
        <v>269747671.94638568</v>
      </c>
      <c r="AG60" s="99">
        <f t="shared" si="11"/>
        <v>1</v>
      </c>
      <c r="AH60" s="99">
        <f t="shared" si="12"/>
        <v>1</v>
      </c>
      <c r="AI60" s="99">
        <v>0.08</v>
      </c>
      <c r="AL60" s="48" t="b">
        <f t="shared" si="13"/>
        <v>1</v>
      </c>
    </row>
    <row r="61" spans="1:40" ht="23.1">
      <c r="A61" s="110"/>
      <c r="B61" s="33" t="s">
        <v>56</v>
      </c>
      <c r="C61" s="33" t="s">
        <v>35</v>
      </c>
      <c r="D61" s="16">
        <v>0.52410000000000001</v>
      </c>
      <c r="E61" s="16">
        <v>0.47589999999999999</v>
      </c>
      <c r="F61" s="35" t="s">
        <v>160</v>
      </c>
      <c r="G61" s="37">
        <v>1</v>
      </c>
      <c r="H61" s="37">
        <v>1</v>
      </c>
      <c r="I61" s="37">
        <v>1</v>
      </c>
      <c r="J61" s="37">
        <v>24</v>
      </c>
      <c r="K61" s="37">
        <v>13</v>
      </c>
      <c r="L61" s="37">
        <v>11</v>
      </c>
      <c r="M61" s="37">
        <f t="shared" si="18"/>
        <v>30</v>
      </c>
      <c r="N61" s="37">
        <f t="shared" si="1"/>
        <v>30</v>
      </c>
      <c r="O61" s="37">
        <f t="shared" si="2"/>
        <v>30</v>
      </c>
      <c r="P61" s="37">
        <f t="shared" si="3"/>
        <v>30</v>
      </c>
      <c r="Q61" s="38">
        <v>6000</v>
      </c>
      <c r="S61" s="5">
        <f t="shared" si="4"/>
        <v>22895249.933721002</v>
      </c>
      <c r="T61" s="5">
        <f t="shared" si="5"/>
        <v>22895249.933721002</v>
      </c>
      <c r="U61" s="5">
        <f t="shared" si="6"/>
        <v>22895249.933721002</v>
      </c>
      <c r="V61" s="5">
        <f t="shared" si="7"/>
        <v>22895249.933721002</v>
      </c>
      <c r="W61" s="5">
        <f t="shared" si="8"/>
        <v>22895249.933721002</v>
      </c>
      <c r="X61" s="5">
        <f t="shared" si="9"/>
        <v>22895249.933721002</v>
      </c>
      <c r="Y61" s="5">
        <f t="shared" si="9"/>
        <v>22895249.933721002</v>
      </c>
      <c r="Z61" s="5">
        <f t="shared" si="9"/>
        <v>22895249.933721002</v>
      </c>
      <c r="AA61" s="5">
        <f t="shared" si="9"/>
        <v>22895249.933721002</v>
      </c>
      <c r="AB61" s="5">
        <f t="shared" si="9"/>
        <v>22895249.933721002</v>
      </c>
      <c r="AC61" s="5">
        <f t="shared" si="9"/>
        <v>22895249.933721002</v>
      </c>
      <c r="AD61" s="5">
        <f t="shared" si="10"/>
        <v>22895249.933721002</v>
      </c>
      <c r="AF61" s="31">
        <f t="shared" si="15"/>
        <v>274742999.20465201</v>
      </c>
      <c r="AG61" s="99">
        <f t="shared" si="11"/>
        <v>1</v>
      </c>
      <c r="AH61" s="99">
        <f t="shared" si="12"/>
        <v>1</v>
      </c>
      <c r="AI61" s="99">
        <v>0.1</v>
      </c>
      <c r="AL61" s="48" t="b">
        <f t="shared" si="13"/>
        <v>1</v>
      </c>
    </row>
    <row r="62" spans="1:40" ht="23.1">
      <c r="A62" s="110"/>
      <c r="B62" s="33" t="s">
        <v>57</v>
      </c>
      <c r="C62" s="33" t="s">
        <v>58</v>
      </c>
      <c r="D62" s="16">
        <v>0.52410000000000001</v>
      </c>
      <c r="E62" s="16">
        <v>0.47589999999999999</v>
      </c>
      <c r="F62" s="35" t="s">
        <v>160</v>
      </c>
      <c r="G62" s="37">
        <v>1</v>
      </c>
      <c r="H62" s="37">
        <v>1</v>
      </c>
      <c r="I62" s="37">
        <v>1</v>
      </c>
      <c r="J62" s="37">
        <v>24</v>
      </c>
      <c r="K62" s="37">
        <v>13</v>
      </c>
      <c r="L62" s="37">
        <v>11</v>
      </c>
      <c r="M62" s="37">
        <v>10</v>
      </c>
      <c r="N62" s="37">
        <v>10</v>
      </c>
      <c r="O62" s="37">
        <v>10</v>
      </c>
      <c r="P62" s="37">
        <f t="shared" si="3"/>
        <v>10</v>
      </c>
      <c r="Q62" s="38">
        <v>6000</v>
      </c>
      <c r="S62" s="5">
        <f t="shared" si="4"/>
        <v>7631749.9779070001</v>
      </c>
      <c r="T62" s="5">
        <f t="shared" si="5"/>
        <v>7631749.9779070001</v>
      </c>
      <c r="U62" s="5">
        <f t="shared" si="6"/>
        <v>7631749.9779070001</v>
      </c>
      <c r="V62" s="5">
        <f t="shared" si="7"/>
        <v>7631749.9779070001</v>
      </c>
      <c r="W62" s="5">
        <f t="shared" si="8"/>
        <v>7631749.9779070001</v>
      </c>
      <c r="X62" s="5">
        <f t="shared" ref="X62:AC88" si="19">+((((((($B$21*$C$21)+$Q62)*$D62/30)*$P62)/11*$L62))+(((((($B$21*$C$21)+$Q62)*$E62/30)*$P62)/13*$K62)))*($I62)*(1+$AI62)</f>
        <v>7631749.9779070001</v>
      </c>
      <c r="Y62" s="5">
        <f t="shared" si="19"/>
        <v>7631749.9779070001</v>
      </c>
      <c r="Z62" s="5">
        <f t="shared" si="19"/>
        <v>7631749.9779070001</v>
      </c>
      <c r="AA62" s="5">
        <f t="shared" si="19"/>
        <v>7631749.9779070001</v>
      </c>
      <c r="AB62" s="5">
        <f t="shared" si="19"/>
        <v>7631749.9779070001</v>
      </c>
      <c r="AC62" s="5">
        <f t="shared" si="19"/>
        <v>7631749.9779070001</v>
      </c>
      <c r="AD62" s="5">
        <f t="shared" si="10"/>
        <v>7631749.9779070001</v>
      </c>
      <c r="AF62" s="31">
        <f t="shared" si="15"/>
        <v>91580999.734884009</v>
      </c>
      <c r="AG62" s="99">
        <f t="shared" si="11"/>
        <v>1</v>
      </c>
      <c r="AH62" s="99">
        <f t="shared" si="12"/>
        <v>1</v>
      </c>
      <c r="AI62" s="99">
        <v>0.1</v>
      </c>
      <c r="AL62" s="48" t="b">
        <f t="shared" si="13"/>
        <v>1</v>
      </c>
    </row>
    <row r="63" spans="1:40" ht="23.1">
      <c r="A63" s="110"/>
      <c r="B63" s="33" t="s">
        <v>57</v>
      </c>
      <c r="C63" s="33" t="s">
        <v>59</v>
      </c>
      <c r="D63" s="16">
        <v>0.52410000000000001</v>
      </c>
      <c r="E63" s="16">
        <v>0.47589999999999999</v>
      </c>
      <c r="F63" s="35" t="s">
        <v>160</v>
      </c>
      <c r="G63" s="37">
        <v>1</v>
      </c>
      <c r="H63" s="37">
        <v>1</v>
      </c>
      <c r="I63" s="37">
        <v>1</v>
      </c>
      <c r="J63" s="37">
        <v>12</v>
      </c>
      <c r="K63" s="37">
        <v>1</v>
      </c>
      <c r="L63" s="37">
        <v>11</v>
      </c>
      <c r="M63" s="37">
        <f t="shared" si="18"/>
        <v>20</v>
      </c>
      <c r="N63" s="37">
        <f t="shared" si="1"/>
        <v>20</v>
      </c>
      <c r="O63" s="37">
        <f t="shared" si="2"/>
        <v>20</v>
      </c>
      <c r="P63" s="37">
        <f t="shared" si="3"/>
        <v>20</v>
      </c>
      <c r="Q63" s="38">
        <v>2000</v>
      </c>
      <c r="R63"/>
      <c r="S63" s="5">
        <f t="shared" si="4"/>
        <v>8556717.094198931</v>
      </c>
      <c r="T63" s="5">
        <f t="shared" si="5"/>
        <v>8556717.094198931</v>
      </c>
      <c r="U63" s="5">
        <f t="shared" si="6"/>
        <v>8556717.094198931</v>
      </c>
      <c r="V63" s="5">
        <f t="shared" si="7"/>
        <v>8556717.094198931</v>
      </c>
      <c r="W63" s="5">
        <f t="shared" si="8"/>
        <v>8556717.094198931</v>
      </c>
      <c r="X63" s="5">
        <f t="shared" si="19"/>
        <v>8556717.094198931</v>
      </c>
      <c r="Y63" s="5">
        <f t="shared" si="19"/>
        <v>8556717.094198931</v>
      </c>
      <c r="Z63" s="5">
        <f t="shared" si="19"/>
        <v>8556717.094198931</v>
      </c>
      <c r="AA63" s="5">
        <f t="shared" si="19"/>
        <v>8556717.094198931</v>
      </c>
      <c r="AB63" s="5">
        <f t="shared" si="19"/>
        <v>8556717.094198931</v>
      </c>
      <c r="AC63" s="5">
        <f t="shared" si="19"/>
        <v>8556717.094198931</v>
      </c>
      <c r="AD63" s="5">
        <f t="shared" si="10"/>
        <v>8556717.094198931</v>
      </c>
      <c r="AE63"/>
      <c r="AF63" s="31">
        <f t="shared" si="15"/>
        <v>102680605.13038714</v>
      </c>
      <c r="AG63" s="99">
        <f t="shared" si="11"/>
        <v>1</v>
      </c>
      <c r="AH63" s="99">
        <f t="shared" si="12"/>
        <v>1</v>
      </c>
      <c r="AI63" s="98">
        <v>0.1</v>
      </c>
      <c r="AJ63"/>
      <c r="AK63"/>
      <c r="AL63" s="48" t="b">
        <f t="shared" si="13"/>
        <v>1</v>
      </c>
      <c r="AM63"/>
      <c r="AN63"/>
    </row>
    <row r="64" spans="1:40" ht="23.1">
      <c r="A64" s="110"/>
      <c r="B64" s="33" t="s">
        <v>60</v>
      </c>
      <c r="C64" s="33" t="s">
        <v>13</v>
      </c>
      <c r="D64" s="16">
        <v>0.52410000000000001</v>
      </c>
      <c r="E64" s="16">
        <v>0.47589999999999999</v>
      </c>
      <c r="F64" s="35" t="s">
        <v>160</v>
      </c>
      <c r="G64" s="37">
        <v>1</v>
      </c>
      <c r="H64" s="37"/>
      <c r="I64" s="37">
        <v>1</v>
      </c>
      <c r="J64" s="37">
        <v>9</v>
      </c>
      <c r="K64" s="37">
        <v>9</v>
      </c>
      <c r="L64" s="37"/>
      <c r="M64" s="37">
        <f t="shared" si="18"/>
        <v>20</v>
      </c>
      <c r="N64" s="37">
        <f t="shared" si="1"/>
        <v>17</v>
      </c>
      <c r="O64" s="37">
        <f t="shared" si="2"/>
        <v>20</v>
      </c>
      <c r="P64" s="37">
        <f t="shared" si="3"/>
        <v>20</v>
      </c>
      <c r="Q64" s="38">
        <v>2000</v>
      </c>
      <c r="R64"/>
      <c r="S64" s="5">
        <f t="shared" si="4"/>
        <v>4936471.0162801892</v>
      </c>
      <c r="T64" s="5">
        <f t="shared" si="5"/>
        <v>4936471.0162801892</v>
      </c>
      <c r="U64" s="5">
        <f t="shared" si="6"/>
        <v>4936471.0162801892</v>
      </c>
      <c r="V64" s="5">
        <f t="shared" si="7"/>
        <v>4196000.3638381613</v>
      </c>
      <c r="W64" s="5">
        <f t="shared" si="8"/>
        <v>4936471.0162801892</v>
      </c>
      <c r="X64" s="5">
        <f t="shared" si="19"/>
        <v>4936471.0162801892</v>
      </c>
      <c r="Y64" s="5">
        <f t="shared" si="19"/>
        <v>4936471.0162801892</v>
      </c>
      <c r="Z64" s="5">
        <f t="shared" si="19"/>
        <v>4936471.0162801892</v>
      </c>
      <c r="AA64" s="5">
        <f t="shared" si="19"/>
        <v>4936471.0162801892</v>
      </c>
      <c r="AB64" s="5">
        <f t="shared" si="19"/>
        <v>4936471.0162801892</v>
      </c>
      <c r="AC64" s="5">
        <f t="shared" si="19"/>
        <v>4936471.0162801892</v>
      </c>
      <c r="AD64" s="5">
        <f t="shared" si="10"/>
        <v>4936471.0162801892</v>
      </c>
      <c r="AE64"/>
      <c r="AF64" s="31">
        <f t="shared" si="15"/>
        <v>58497181.542920247</v>
      </c>
      <c r="AG64" s="99">
        <f t="shared" si="11"/>
        <v>1</v>
      </c>
      <c r="AH64" s="99">
        <f t="shared" si="12"/>
        <v>1</v>
      </c>
      <c r="AI64" s="98">
        <v>0.08</v>
      </c>
      <c r="AJ64"/>
      <c r="AK64"/>
      <c r="AL64" s="48" t="b">
        <f t="shared" si="13"/>
        <v>1</v>
      </c>
      <c r="AM64"/>
      <c r="AN64"/>
    </row>
    <row r="65" spans="1:40" ht="23.1">
      <c r="A65" s="110"/>
      <c r="B65" s="33" t="s">
        <v>61</v>
      </c>
      <c r="C65" s="33" t="s">
        <v>62</v>
      </c>
      <c r="D65" s="16">
        <v>0.52410000000000001</v>
      </c>
      <c r="E65" s="16">
        <v>0.47589999999999999</v>
      </c>
      <c r="F65" s="35" t="s">
        <v>160</v>
      </c>
      <c r="G65" s="37">
        <v>1</v>
      </c>
      <c r="H65" s="37"/>
      <c r="I65" s="37">
        <v>1</v>
      </c>
      <c r="J65" s="37">
        <v>9</v>
      </c>
      <c r="K65" s="37">
        <v>9</v>
      </c>
      <c r="L65" s="37"/>
      <c r="M65" s="37">
        <f t="shared" si="18"/>
        <v>20</v>
      </c>
      <c r="N65" s="37">
        <f t="shared" si="1"/>
        <v>17</v>
      </c>
      <c r="O65" s="37">
        <f t="shared" si="2"/>
        <v>20</v>
      </c>
      <c r="P65" s="37">
        <f t="shared" si="3"/>
        <v>20</v>
      </c>
      <c r="Q65" s="38">
        <v>2000</v>
      </c>
      <c r="R65"/>
      <c r="S65" s="5">
        <f t="shared" si="4"/>
        <v>4936471.0162801892</v>
      </c>
      <c r="T65" s="5">
        <f t="shared" si="5"/>
        <v>4936471.0162801892</v>
      </c>
      <c r="U65" s="5">
        <f t="shared" si="6"/>
        <v>4936471.0162801892</v>
      </c>
      <c r="V65" s="5">
        <f t="shared" si="7"/>
        <v>4196000.3638381613</v>
      </c>
      <c r="W65" s="5">
        <f t="shared" si="8"/>
        <v>4936471.0162801892</v>
      </c>
      <c r="X65" s="5">
        <f t="shared" si="19"/>
        <v>4936471.0162801892</v>
      </c>
      <c r="Y65" s="5">
        <f t="shared" si="19"/>
        <v>4936471.0162801892</v>
      </c>
      <c r="Z65" s="5">
        <f t="shared" si="19"/>
        <v>4936471.0162801892</v>
      </c>
      <c r="AA65" s="5">
        <f t="shared" si="19"/>
        <v>4936471.0162801892</v>
      </c>
      <c r="AB65" s="5">
        <f t="shared" si="19"/>
        <v>4936471.0162801892</v>
      </c>
      <c r="AC65" s="5">
        <f t="shared" si="19"/>
        <v>4936471.0162801892</v>
      </c>
      <c r="AD65" s="5">
        <f t="shared" si="10"/>
        <v>4936471.0162801892</v>
      </c>
      <c r="AE65"/>
      <c r="AF65" s="31">
        <f t="shared" si="15"/>
        <v>58497181.542920247</v>
      </c>
      <c r="AG65" s="99">
        <f t="shared" si="11"/>
        <v>1</v>
      </c>
      <c r="AH65" s="99">
        <f t="shared" si="12"/>
        <v>1</v>
      </c>
      <c r="AI65" s="98">
        <v>0.08</v>
      </c>
      <c r="AJ65"/>
      <c r="AK65"/>
      <c r="AL65" s="48" t="b">
        <f t="shared" si="13"/>
        <v>1</v>
      </c>
      <c r="AM65"/>
      <c r="AN65"/>
    </row>
    <row r="66" spans="1:40" ht="23.1">
      <c r="A66" s="110"/>
      <c r="B66" s="33" t="s">
        <v>63</v>
      </c>
      <c r="C66" s="33" t="s">
        <v>13</v>
      </c>
      <c r="D66" s="16">
        <v>0.52410000000000001</v>
      </c>
      <c r="E66" s="16">
        <v>0.47589999999999999</v>
      </c>
      <c r="F66" s="35" t="s">
        <v>160</v>
      </c>
      <c r="G66" s="37">
        <v>1</v>
      </c>
      <c r="H66" s="37"/>
      <c r="I66" s="37">
        <v>1</v>
      </c>
      <c r="J66" s="37">
        <v>9</v>
      </c>
      <c r="K66" s="37">
        <v>9</v>
      </c>
      <c r="L66" s="37"/>
      <c r="M66" s="37">
        <f t="shared" si="18"/>
        <v>20</v>
      </c>
      <c r="N66" s="37">
        <f t="shared" si="1"/>
        <v>17</v>
      </c>
      <c r="O66" s="37">
        <f t="shared" si="2"/>
        <v>20</v>
      </c>
      <c r="P66" s="37">
        <f t="shared" si="3"/>
        <v>20</v>
      </c>
      <c r="Q66" s="38">
        <v>2000</v>
      </c>
      <c r="R66"/>
      <c r="S66" s="5">
        <f t="shared" si="4"/>
        <v>4936471.0162801892</v>
      </c>
      <c r="T66" s="5">
        <f t="shared" si="5"/>
        <v>4936471.0162801892</v>
      </c>
      <c r="U66" s="5">
        <f t="shared" si="6"/>
        <v>4936471.0162801892</v>
      </c>
      <c r="V66" s="5">
        <f t="shared" si="7"/>
        <v>4196000.3638381613</v>
      </c>
      <c r="W66" s="5">
        <f t="shared" si="8"/>
        <v>4936471.0162801892</v>
      </c>
      <c r="X66" s="5">
        <f t="shared" si="19"/>
        <v>4936471.0162801892</v>
      </c>
      <c r="Y66" s="5">
        <f t="shared" si="19"/>
        <v>4936471.0162801892</v>
      </c>
      <c r="Z66" s="5">
        <f t="shared" si="19"/>
        <v>4936471.0162801892</v>
      </c>
      <c r="AA66" s="5">
        <f t="shared" si="19"/>
        <v>4936471.0162801892</v>
      </c>
      <c r="AB66" s="5">
        <f t="shared" si="19"/>
        <v>4936471.0162801892</v>
      </c>
      <c r="AC66" s="5">
        <f t="shared" si="19"/>
        <v>4936471.0162801892</v>
      </c>
      <c r="AD66" s="5">
        <f t="shared" si="10"/>
        <v>4936471.0162801892</v>
      </c>
      <c r="AE66"/>
      <c r="AF66" s="31">
        <f t="shared" si="15"/>
        <v>58497181.542920247</v>
      </c>
      <c r="AG66" s="99">
        <f t="shared" si="11"/>
        <v>1</v>
      </c>
      <c r="AH66" s="99">
        <f t="shared" si="12"/>
        <v>1</v>
      </c>
      <c r="AI66" s="98">
        <v>0.08</v>
      </c>
      <c r="AJ66"/>
      <c r="AK66"/>
      <c r="AL66" s="48" t="b">
        <f t="shared" si="13"/>
        <v>1</v>
      </c>
      <c r="AM66"/>
      <c r="AN66"/>
    </row>
    <row r="67" spans="1:40" ht="23.1">
      <c r="A67" s="110"/>
      <c r="B67" s="33" t="s">
        <v>64</v>
      </c>
      <c r="C67" s="33" t="s">
        <v>65</v>
      </c>
      <c r="D67" s="16">
        <v>0.52410000000000001</v>
      </c>
      <c r="E67" s="16">
        <v>0.47589999999999999</v>
      </c>
      <c r="F67" s="35" t="s">
        <v>160</v>
      </c>
      <c r="G67" s="37">
        <v>1</v>
      </c>
      <c r="H67" s="37"/>
      <c r="I67" s="37">
        <v>1</v>
      </c>
      <c r="J67" s="37">
        <v>12</v>
      </c>
      <c r="K67" s="37">
        <v>12</v>
      </c>
      <c r="L67" s="37"/>
      <c r="M67" s="37">
        <f t="shared" si="18"/>
        <v>20</v>
      </c>
      <c r="N67" s="37">
        <f t="shared" si="1"/>
        <v>17</v>
      </c>
      <c r="O67" s="37">
        <f t="shared" si="2"/>
        <v>20</v>
      </c>
      <c r="P67" s="37">
        <f t="shared" si="3"/>
        <v>20</v>
      </c>
      <c r="Q67" s="38">
        <v>2000</v>
      </c>
      <c r="R67"/>
      <c r="S67" s="5">
        <f t="shared" si="4"/>
        <v>6581961.3550402531</v>
      </c>
      <c r="T67" s="5">
        <f t="shared" si="5"/>
        <v>6581961.3550402531</v>
      </c>
      <c r="U67" s="5">
        <f t="shared" si="6"/>
        <v>6581961.3550402531</v>
      </c>
      <c r="V67" s="5">
        <f t="shared" si="7"/>
        <v>5594667.1517842151</v>
      </c>
      <c r="W67" s="5">
        <f t="shared" si="8"/>
        <v>6581961.3550402531</v>
      </c>
      <c r="X67" s="5">
        <f t="shared" si="19"/>
        <v>6581961.3550402531</v>
      </c>
      <c r="Y67" s="5">
        <f t="shared" si="19"/>
        <v>6581961.3550402531</v>
      </c>
      <c r="Z67" s="5">
        <f t="shared" si="19"/>
        <v>6581961.3550402531</v>
      </c>
      <c r="AA67" s="5">
        <f t="shared" si="19"/>
        <v>6581961.3550402531</v>
      </c>
      <c r="AB67" s="5">
        <f t="shared" si="19"/>
        <v>6581961.3550402531</v>
      </c>
      <c r="AC67" s="5">
        <f t="shared" si="19"/>
        <v>6581961.3550402531</v>
      </c>
      <c r="AD67" s="5">
        <f t="shared" si="10"/>
        <v>6581961.3550402531</v>
      </c>
      <c r="AE67"/>
      <c r="AF67" s="31">
        <f t="shared" si="15"/>
        <v>77996242.057227001</v>
      </c>
      <c r="AG67" s="99">
        <f t="shared" si="11"/>
        <v>1</v>
      </c>
      <c r="AH67" s="99">
        <f t="shared" si="12"/>
        <v>1</v>
      </c>
      <c r="AI67" s="98">
        <v>0.08</v>
      </c>
      <c r="AJ67"/>
      <c r="AK67"/>
      <c r="AL67" s="48" t="b">
        <f t="shared" si="13"/>
        <v>1</v>
      </c>
      <c r="AM67"/>
      <c r="AN67"/>
    </row>
    <row r="68" spans="1:40" ht="23.1">
      <c r="A68" s="110"/>
      <c r="B68" s="33" t="s">
        <v>66</v>
      </c>
      <c r="C68" s="33" t="s">
        <v>65</v>
      </c>
      <c r="D68" s="16">
        <v>0.52410000000000001</v>
      </c>
      <c r="E68" s="16">
        <v>0.47589999999999999</v>
      </c>
      <c r="F68" s="35" t="s">
        <v>163</v>
      </c>
      <c r="G68" s="37">
        <v>1</v>
      </c>
      <c r="H68" s="37"/>
      <c r="I68" s="37">
        <v>1</v>
      </c>
      <c r="J68" s="37">
        <v>12</v>
      </c>
      <c r="K68" s="37">
        <v>12</v>
      </c>
      <c r="L68" s="37"/>
      <c r="M68" s="37">
        <f t="shared" si="18"/>
        <v>20</v>
      </c>
      <c r="N68" s="37">
        <f t="shared" si="1"/>
        <v>17</v>
      </c>
      <c r="O68" s="37">
        <f t="shared" si="2"/>
        <v>20</v>
      </c>
      <c r="P68" s="37">
        <f t="shared" si="3"/>
        <v>20</v>
      </c>
      <c r="Q68" s="38">
        <v>2000</v>
      </c>
      <c r="R68"/>
      <c r="S68" s="5">
        <f t="shared" si="4"/>
        <v>6581961.3550402531</v>
      </c>
      <c r="T68" s="5">
        <f t="shared" si="5"/>
        <v>6581961.3550402531</v>
      </c>
      <c r="U68" s="5">
        <f t="shared" si="6"/>
        <v>6581961.3550402531</v>
      </c>
      <c r="V68" s="5">
        <f t="shared" si="7"/>
        <v>5594667.1517842151</v>
      </c>
      <c r="W68" s="5">
        <f t="shared" si="8"/>
        <v>6581961.3550402531</v>
      </c>
      <c r="X68" s="5">
        <f t="shared" si="19"/>
        <v>6581961.3550402531</v>
      </c>
      <c r="Y68" s="5">
        <f t="shared" si="19"/>
        <v>6581961.3550402531</v>
      </c>
      <c r="Z68" s="5">
        <f t="shared" si="19"/>
        <v>6581961.3550402531</v>
      </c>
      <c r="AA68" s="5">
        <f t="shared" si="19"/>
        <v>6581961.3550402531</v>
      </c>
      <c r="AB68" s="5">
        <f t="shared" si="19"/>
        <v>6581961.3550402531</v>
      </c>
      <c r="AC68" s="5">
        <f t="shared" si="19"/>
        <v>6581961.3550402531</v>
      </c>
      <c r="AD68" s="5">
        <f t="shared" si="10"/>
        <v>6581961.3550402531</v>
      </c>
      <c r="AE68"/>
      <c r="AF68" s="31">
        <f t="shared" si="15"/>
        <v>77996242.057227001</v>
      </c>
      <c r="AG68" s="99">
        <f t="shared" si="11"/>
        <v>1</v>
      </c>
      <c r="AH68" s="99">
        <f t="shared" si="12"/>
        <v>1</v>
      </c>
      <c r="AI68" s="98">
        <v>0.08</v>
      </c>
      <c r="AJ68"/>
      <c r="AK68"/>
      <c r="AL68" s="48" t="b">
        <f t="shared" si="13"/>
        <v>1</v>
      </c>
      <c r="AM68"/>
      <c r="AN68"/>
    </row>
    <row r="69" spans="1:40" ht="57.6">
      <c r="A69" s="110"/>
      <c r="B69" s="33" t="s">
        <v>67</v>
      </c>
      <c r="C69" s="33" t="s">
        <v>68</v>
      </c>
      <c r="D69" s="16">
        <v>0.52410000000000001</v>
      </c>
      <c r="E69" s="16">
        <v>0.47589999999999999</v>
      </c>
      <c r="F69" s="35" t="s">
        <v>162</v>
      </c>
      <c r="G69" s="37">
        <v>1</v>
      </c>
      <c r="H69" s="37"/>
      <c r="I69" s="37">
        <v>1</v>
      </c>
      <c r="J69" s="37">
        <v>12</v>
      </c>
      <c r="K69" s="37">
        <v>12</v>
      </c>
      <c r="L69" s="37"/>
      <c r="M69" s="37">
        <f t="shared" si="18"/>
        <v>20</v>
      </c>
      <c r="N69" s="37">
        <f t="shared" si="1"/>
        <v>17</v>
      </c>
      <c r="O69" s="37">
        <f t="shared" si="2"/>
        <v>20</v>
      </c>
      <c r="P69" s="37">
        <f t="shared" si="3"/>
        <v>20</v>
      </c>
      <c r="Q69" s="38">
        <v>2000</v>
      </c>
      <c r="R69"/>
      <c r="S69" s="5">
        <f t="shared" si="4"/>
        <v>6764793.6149024824</v>
      </c>
      <c r="T69" s="5">
        <f t="shared" si="5"/>
        <v>6764793.6149024824</v>
      </c>
      <c r="U69" s="5">
        <f t="shared" si="6"/>
        <v>6764793.6149024824</v>
      </c>
      <c r="V69" s="5">
        <f t="shared" si="7"/>
        <v>5750074.5726671098</v>
      </c>
      <c r="W69" s="5">
        <f t="shared" si="8"/>
        <v>6764793.6149024824</v>
      </c>
      <c r="X69" s="5">
        <f t="shared" si="19"/>
        <v>6764793.6149024824</v>
      </c>
      <c r="Y69" s="5">
        <f t="shared" si="19"/>
        <v>6764793.6149024824</v>
      </c>
      <c r="Z69" s="5">
        <f t="shared" si="19"/>
        <v>6764793.6149024824</v>
      </c>
      <c r="AA69" s="5">
        <f t="shared" si="19"/>
        <v>6764793.6149024824</v>
      </c>
      <c r="AB69" s="5">
        <f t="shared" si="19"/>
        <v>6764793.6149024824</v>
      </c>
      <c r="AC69" s="5">
        <f t="shared" si="19"/>
        <v>6764793.6149024824</v>
      </c>
      <c r="AD69" s="5">
        <f t="shared" si="10"/>
        <v>6764793.6149024824</v>
      </c>
      <c r="AE69"/>
      <c r="AF69" s="31">
        <f t="shared" si="15"/>
        <v>80162804.336594418</v>
      </c>
      <c r="AG69" s="99">
        <f t="shared" si="11"/>
        <v>1</v>
      </c>
      <c r="AH69" s="99">
        <f t="shared" si="12"/>
        <v>1</v>
      </c>
      <c r="AI69" s="98">
        <v>0.11</v>
      </c>
      <c r="AJ69"/>
      <c r="AK69"/>
      <c r="AL69" s="48" t="b">
        <f t="shared" si="13"/>
        <v>1</v>
      </c>
      <c r="AM69"/>
      <c r="AN69"/>
    </row>
    <row r="70" spans="1:40" ht="23.1">
      <c r="A70" s="110" t="s">
        <v>69</v>
      </c>
      <c r="B70" s="33" t="s">
        <v>70</v>
      </c>
      <c r="C70" s="33" t="s">
        <v>49</v>
      </c>
      <c r="D70" s="16">
        <v>0.52410000000000001</v>
      </c>
      <c r="E70" s="16">
        <v>0.47589999999999999</v>
      </c>
      <c r="F70" s="35" t="s">
        <v>163</v>
      </c>
      <c r="G70" s="37">
        <v>1</v>
      </c>
      <c r="H70" s="37">
        <v>1</v>
      </c>
      <c r="I70" s="37">
        <v>1</v>
      </c>
      <c r="J70" s="37">
        <v>24</v>
      </c>
      <c r="K70" s="37">
        <v>13</v>
      </c>
      <c r="L70" s="37">
        <v>11</v>
      </c>
      <c r="M70" s="37">
        <f t="shared" si="18"/>
        <v>30</v>
      </c>
      <c r="N70" s="37">
        <f t="shared" si="1"/>
        <v>30</v>
      </c>
      <c r="O70" s="37">
        <f t="shared" si="2"/>
        <v>30</v>
      </c>
      <c r="P70" s="37">
        <f t="shared" si="3"/>
        <v>30</v>
      </c>
      <c r="Q70" s="38">
        <v>6000</v>
      </c>
      <c r="S70" s="5">
        <f t="shared" si="4"/>
        <v>22895249.933721002</v>
      </c>
      <c r="T70" s="5">
        <f t="shared" si="5"/>
        <v>22895249.933721002</v>
      </c>
      <c r="U70" s="5">
        <f t="shared" si="6"/>
        <v>22895249.933721002</v>
      </c>
      <c r="V70" s="5">
        <f t="shared" si="7"/>
        <v>22895249.933721002</v>
      </c>
      <c r="W70" s="5">
        <f t="shared" si="8"/>
        <v>22895249.933721002</v>
      </c>
      <c r="X70" s="5">
        <f t="shared" si="19"/>
        <v>22895249.933721002</v>
      </c>
      <c r="Y70" s="5">
        <f t="shared" si="19"/>
        <v>22895249.933721002</v>
      </c>
      <c r="Z70" s="5">
        <f t="shared" si="19"/>
        <v>22895249.933721002</v>
      </c>
      <c r="AA70" s="5">
        <f t="shared" si="19"/>
        <v>22895249.933721002</v>
      </c>
      <c r="AB70" s="5">
        <f t="shared" si="19"/>
        <v>22895249.933721002</v>
      </c>
      <c r="AC70" s="5">
        <f t="shared" si="19"/>
        <v>22895249.933721002</v>
      </c>
      <c r="AD70" s="5">
        <f t="shared" si="10"/>
        <v>22895249.933721002</v>
      </c>
      <c r="AF70" s="31">
        <f t="shared" si="15"/>
        <v>274742999.20465201</v>
      </c>
      <c r="AG70" s="99">
        <f t="shared" si="11"/>
        <v>1</v>
      </c>
      <c r="AH70" s="99">
        <f t="shared" si="12"/>
        <v>1</v>
      </c>
      <c r="AI70" s="99">
        <v>0.1</v>
      </c>
      <c r="AL70" s="48" t="b">
        <f t="shared" si="13"/>
        <v>1</v>
      </c>
    </row>
    <row r="71" spans="1:40" ht="23.1">
      <c r="A71" s="110"/>
      <c r="B71" s="33" t="s">
        <v>38</v>
      </c>
      <c r="C71" s="33" t="s">
        <v>49</v>
      </c>
      <c r="D71" s="16">
        <v>0.52410000000000001</v>
      </c>
      <c r="E71" s="16">
        <v>0.47589999999999999</v>
      </c>
      <c r="F71" s="35" t="s">
        <v>160</v>
      </c>
      <c r="G71" s="37">
        <v>1</v>
      </c>
      <c r="H71" s="37">
        <v>1</v>
      </c>
      <c r="I71" s="37">
        <v>1</v>
      </c>
      <c r="J71" s="37">
        <v>24</v>
      </c>
      <c r="K71" s="37">
        <v>13</v>
      </c>
      <c r="L71" s="37">
        <v>11</v>
      </c>
      <c r="M71" s="37">
        <f t="shared" si="18"/>
        <v>30</v>
      </c>
      <c r="N71" s="37">
        <f t="shared" si="1"/>
        <v>30</v>
      </c>
      <c r="O71" s="37">
        <f t="shared" si="2"/>
        <v>30</v>
      </c>
      <c r="P71" s="37">
        <f t="shared" si="3"/>
        <v>30</v>
      </c>
      <c r="Q71" s="38">
        <v>6000</v>
      </c>
      <c r="S71" s="5">
        <f t="shared" si="4"/>
        <v>22895249.933721002</v>
      </c>
      <c r="T71" s="5">
        <f t="shared" si="5"/>
        <v>22895249.933721002</v>
      </c>
      <c r="U71" s="5">
        <f t="shared" si="6"/>
        <v>22895249.933721002</v>
      </c>
      <c r="V71" s="5">
        <f t="shared" si="7"/>
        <v>22895249.933721002</v>
      </c>
      <c r="W71" s="5">
        <f t="shared" si="8"/>
        <v>22895249.933721002</v>
      </c>
      <c r="X71" s="5">
        <f t="shared" si="19"/>
        <v>22895249.933721002</v>
      </c>
      <c r="Y71" s="5">
        <f t="shared" si="19"/>
        <v>22895249.933721002</v>
      </c>
      <c r="Z71" s="5">
        <f t="shared" si="19"/>
        <v>22895249.933721002</v>
      </c>
      <c r="AA71" s="5">
        <f t="shared" si="19"/>
        <v>22895249.933721002</v>
      </c>
      <c r="AB71" s="5">
        <f t="shared" si="19"/>
        <v>22895249.933721002</v>
      </c>
      <c r="AC71" s="5">
        <f t="shared" si="19"/>
        <v>22895249.933721002</v>
      </c>
      <c r="AD71" s="5">
        <f t="shared" si="10"/>
        <v>22895249.933721002</v>
      </c>
      <c r="AF71" s="31">
        <f t="shared" si="15"/>
        <v>274742999.20465201</v>
      </c>
      <c r="AG71" s="99">
        <f t="shared" si="11"/>
        <v>1</v>
      </c>
      <c r="AH71" s="99">
        <f t="shared" si="12"/>
        <v>1</v>
      </c>
      <c r="AI71" s="99">
        <v>0.1</v>
      </c>
      <c r="AL71" s="48" t="b">
        <f t="shared" si="13"/>
        <v>1</v>
      </c>
    </row>
    <row r="72" spans="1:40" ht="23.1">
      <c r="A72" s="110"/>
      <c r="B72" s="33" t="s">
        <v>71</v>
      </c>
      <c r="C72" s="33" t="s">
        <v>49</v>
      </c>
      <c r="D72" s="16">
        <v>0.52410000000000001</v>
      </c>
      <c r="E72" s="16">
        <v>0.47589999999999999</v>
      </c>
      <c r="F72" s="35" t="s">
        <v>160</v>
      </c>
      <c r="G72" s="37">
        <v>1</v>
      </c>
      <c r="H72" s="37">
        <v>1</v>
      </c>
      <c r="I72" s="37">
        <v>1</v>
      </c>
      <c r="J72" s="37">
        <v>24</v>
      </c>
      <c r="K72" s="37">
        <v>13</v>
      </c>
      <c r="L72" s="37">
        <v>11</v>
      </c>
      <c r="M72" s="37">
        <f t="shared" si="18"/>
        <v>30</v>
      </c>
      <c r="N72" s="37">
        <f t="shared" si="1"/>
        <v>30</v>
      </c>
      <c r="O72" s="37">
        <f t="shared" si="2"/>
        <v>30</v>
      </c>
      <c r="P72" s="37">
        <f t="shared" si="3"/>
        <v>30</v>
      </c>
      <c r="Q72" s="38">
        <v>6000</v>
      </c>
      <c r="S72" s="5">
        <f t="shared" si="4"/>
        <v>22895249.933721002</v>
      </c>
      <c r="T72" s="5">
        <f t="shared" si="5"/>
        <v>22895249.933721002</v>
      </c>
      <c r="U72" s="5">
        <f t="shared" si="6"/>
        <v>22895249.933721002</v>
      </c>
      <c r="V72" s="5">
        <f t="shared" si="7"/>
        <v>22895249.933721002</v>
      </c>
      <c r="W72" s="5">
        <f t="shared" si="8"/>
        <v>22895249.933721002</v>
      </c>
      <c r="X72" s="5">
        <f t="shared" si="19"/>
        <v>22895249.933721002</v>
      </c>
      <c r="Y72" s="5">
        <f t="shared" si="19"/>
        <v>22895249.933721002</v>
      </c>
      <c r="Z72" s="5">
        <f t="shared" si="19"/>
        <v>22895249.933721002</v>
      </c>
      <c r="AA72" s="5">
        <f t="shared" si="19"/>
        <v>22895249.933721002</v>
      </c>
      <c r="AB72" s="5">
        <f t="shared" si="19"/>
        <v>22895249.933721002</v>
      </c>
      <c r="AC72" s="5">
        <f t="shared" si="19"/>
        <v>22895249.933721002</v>
      </c>
      <c r="AD72" s="5">
        <f t="shared" si="10"/>
        <v>22895249.933721002</v>
      </c>
      <c r="AF72" s="31">
        <f t="shared" si="15"/>
        <v>274742999.20465201</v>
      </c>
      <c r="AG72" s="99">
        <f t="shared" si="11"/>
        <v>1</v>
      </c>
      <c r="AH72" s="99">
        <f t="shared" si="12"/>
        <v>1</v>
      </c>
      <c r="AI72" s="99">
        <v>0.1</v>
      </c>
      <c r="AL72" s="48" t="b">
        <f t="shared" si="13"/>
        <v>1</v>
      </c>
    </row>
    <row r="73" spans="1:40" ht="34.5">
      <c r="A73" s="110"/>
      <c r="B73" s="33" t="s">
        <v>72</v>
      </c>
      <c r="C73" s="33" t="s">
        <v>73</v>
      </c>
      <c r="D73" s="16">
        <v>0.52410000000000001</v>
      </c>
      <c r="E73" s="16">
        <v>0.47589999999999999</v>
      </c>
      <c r="F73" s="35" t="s">
        <v>160</v>
      </c>
      <c r="G73" s="37"/>
      <c r="H73" s="37"/>
      <c r="I73" s="37">
        <v>1</v>
      </c>
      <c r="J73" s="37">
        <v>12</v>
      </c>
      <c r="K73" s="37">
        <v>12</v>
      </c>
      <c r="L73" s="37"/>
      <c r="M73" s="37">
        <f t="shared" si="18"/>
        <v>12</v>
      </c>
      <c r="N73" s="37">
        <f t="shared" si="1"/>
        <v>17</v>
      </c>
      <c r="O73" s="37">
        <f t="shared" si="2"/>
        <v>15</v>
      </c>
      <c r="P73" s="37">
        <f t="shared" si="3"/>
        <v>20</v>
      </c>
      <c r="Q73" s="38">
        <v>2000</v>
      </c>
      <c r="R73"/>
      <c r="S73" s="5">
        <f t="shared" si="4"/>
        <v>4936471.0162801892</v>
      </c>
      <c r="T73" s="5">
        <f t="shared" si="5"/>
        <v>6581961.3550402531</v>
      </c>
      <c r="U73" s="5">
        <f t="shared" si="6"/>
        <v>6581961.3550402531</v>
      </c>
      <c r="V73" s="5">
        <f t="shared" si="7"/>
        <v>5594667.1517842151</v>
      </c>
      <c r="W73" s="5">
        <f t="shared" si="8"/>
        <v>6581961.3550402531</v>
      </c>
      <c r="X73" s="5">
        <f t="shared" si="19"/>
        <v>6581961.3550402531</v>
      </c>
      <c r="Y73" s="5">
        <f t="shared" si="19"/>
        <v>6581961.3550402531</v>
      </c>
      <c r="Z73" s="5">
        <f t="shared" si="19"/>
        <v>6581961.3550402531</v>
      </c>
      <c r="AA73" s="5">
        <f t="shared" si="19"/>
        <v>6581961.3550402531</v>
      </c>
      <c r="AB73" s="5">
        <f t="shared" si="19"/>
        <v>6581961.3550402531</v>
      </c>
      <c r="AC73" s="5">
        <f t="shared" si="19"/>
        <v>6581961.3550402531</v>
      </c>
      <c r="AD73" s="5">
        <f t="shared" si="10"/>
        <v>3949176.8130241521</v>
      </c>
      <c r="AE73"/>
      <c r="AF73" s="31">
        <f t="shared" si="15"/>
        <v>73717967.176450834</v>
      </c>
      <c r="AG73" s="99">
        <f t="shared" si="11"/>
        <v>0</v>
      </c>
      <c r="AH73" s="99">
        <f t="shared" si="12"/>
        <v>0</v>
      </c>
      <c r="AI73" s="98">
        <v>0.08</v>
      </c>
      <c r="AJ73"/>
      <c r="AK73"/>
      <c r="AL73" s="48" t="b">
        <f t="shared" si="13"/>
        <v>1</v>
      </c>
      <c r="AM73"/>
      <c r="AN73"/>
    </row>
    <row r="74" spans="1:40" ht="23.1">
      <c r="A74" s="110"/>
      <c r="B74" s="33" t="s">
        <v>74</v>
      </c>
      <c r="C74" s="33" t="s">
        <v>73</v>
      </c>
      <c r="D74" s="16">
        <v>0.52410000000000001</v>
      </c>
      <c r="E74" s="16">
        <v>0.47589999999999999</v>
      </c>
      <c r="F74" s="35" t="s">
        <v>160</v>
      </c>
      <c r="G74" s="37"/>
      <c r="H74" s="37"/>
      <c r="I74" s="37">
        <v>1</v>
      </c>
      <c r="J74" s="37">
        <v>12</v>
      </c>
      <c r="K74" s="37">
        <v>12</v>
      </c>
      <c r="L74" s="37"/>
      <c r="M74" s="37">
        <f t="shared" si="18"/>
        <v>12</v>
      </c>
      <c r="N74" s="37">
        <f t="shared" si="1"/>
        <v>17</v>
      </c>
      <c r="O74" s="37">
        <f t="shared" si="2"/>
        <v>15</v>
      </c>
      <c r="P74" s="37">
        <f t="shared" si="3"/>
        <v>20</v>
      </c>
      <c r="Q74" s="38">
        <v>2000</v>
      </c>
      <c r="R74"/>
      <c r="S74" s="5">
        <f t="shared" si="4"/>
        <v>4936471.0162801892</v>
      </c>
      <c r="T74" s="5">
        <f t="shared" si="5"/>
        <v>6581961.3550402531</v>
      </c>
      <c r="U74" s="5">
        <f t="shared" si="6"/>
        <v>6581961.3550402531</v>
      </c>
      <c r="V74" s="5">
        <f t="shared" si="7"/>
        <v>5594667.1517842151</v>
      </c>
      <c r="W74" s="5">
        <f t="shared" si="8"/>
        <v>6581961.3550402531</v>
      </c>
      <c r="X74" s="5">
        <f t="shared" si="19"/>
        <v>6581961.3550402531</v>
      </c>
      <c r="Y74" s="5">
        <f t="shared" si="19"/>
        <v>6581961.3550402531</v>
      </c>
      <c r="Z74" s="5">
        <f t="shared" si="19"/>
        <v>6581961.3550402531</v>
      </c>
      <c r="AA74" s="5">
        <f t="shared" si="19"/>
        <v>6581961.3550402531</v>
      </c>
      <c r="AB74" s="5">
        <f t="shared" si="19"/>
        <v>6581961.3550402531</v>
      </c>
      <c r="AC74" s="5">
        <f t="shared" si="19"/>
        <v>6581961.3550402531</v>
      </c>
      <c r="AD74" s="5">
        <f t="shared" si="10"/>
        <v>3949176.8130241521</v>
      </c>
      <c r="AE74"/>
      <c r="AF74" s="31">
        <f t="shared" si="15"/>
        <v>73717967.176450834</v>
      </c>
      <c r="AG74" s="99">
        <f t="shared" si="11"/>
        <v>0</v>
      </c>
      <c r="AH74" s="99">
        <f t="shared" si="12"/>
        <v>0</v>
      </c>
      <c r="AI74" s="98">
        <v>0.08</v>
      </c>
      <c r="AJ74"/>
      <c r="AK74"/>
      <c r="AL74" s="48" t="b">
        <f t="shared" si="13"/>
        <v>1</v>
      </c>
      <c r="AM74"/>
      <c r="AN74"/>
    </row>
    <row r="75" spans="1:40" ht="23.1">
      <c r="A75" s="110"/>
      <c r="B75" s="33" t="s">
        <v>75</v>
      </c>
      <c r="C75" s="33" t="s">
        <v>76</v>
      </c>
      <c r="D75" s="16">
        <v>0.52410000000000001</v>
      </c>
      <c r="E75" s="16">
        <v>0.47589999999999999</v>
      </c>
      <c r="F75" s="35" t="s">
        <v>162</v>
      </c>
      <c r="G75" s="37"/>
      <c r="H75" s="37"/>
      <c r="I75" s="37">
        <v>1</v>
      </c>
      <c r="J75" s="37">
        <v>12</v>
      </c>
      <c r="K75" s="37">
        <v>12</v>
      </c>
      <c r="L75" s="37"/>
      <c r="M75" s="37">
        <f t="shared" si="18"/>
        <v>12</v>
      </c>
      <c r="N75" s="37">
        <f t="shared" si="1"/>
        <v>17</v>
      </c>
      <c r="O75" s="37">
        <f t="shared" si="2"/>
        <v>15</v>
      </c>
      <c r="P75" s="37">
        <f t="shared" si="3"/>
        <v>20</v>
      </c>
      <c r="Q75" s="38">
        <v>2000</v>
      </c>
      <c r="R75"/>
      <c r="S75" s="5">
        <f t="shared" si="4"/>
        <v>5073595.2111768611</v>
      </c>
      <c r="T75" s="5">
        <f t="shared" si="5"/>
        <v>6764793.6149024824</v>
      </c>
      <c r="U75" s="5">
        <f t="shared" si="6"/>
        <v>6764793.6149024824</v>
      </c>
      <c r="V75" s="5">
        <f t="shared" si="7"/>
        <v>5750074.5726671098</v>
      </c>
      <c r="W75" s="5">
        <f t="shared" si="8"/>
        <v>6764793.6149024824</v>
      </c>
      <c r="X75" s="5">
        <f t="shared" si="19"/>
        <v>6764793.6149024824</v>
      </c>
      <c r="Y75" s="5">
        <f t="shared" si="19"/>
        <v>6764793.6149024824</v>
      </c>
      <c r="Z75" s="5">
        <f t="shared" si="19"/>
        <v>6764793.6149024824</v>
      </c>
      <c r="AA75" s="5">
        <f t="shared" si="19"/>
        <v>6764793.6149024824</v>
      </c>
      <c r="AB75" s="5">
        <f t="shared" si="19"/>
        <v>6764793.6149024824</v>
      </c>
      <c r="AC75" s="5">
        <f t="shared" si="19"/>
        <v>6764793.6149024824</v>
      </c>
      <c r="AD75" s="5">
        <f t="shared" si="10"/>
        <v>4058876.1689414899</v>
      </c>
      <c r="AE75"/>
      <c r="AF75" s="31">
        <f t="shared" si="15"/>
        <v>75765688.486907795</v>
      </c>
      <c r="AG75" s="99">
        <f t="shared" si="11"/>
        <v>0</v>
      </c>
      <c r="AH75" s="99">
        <f t="shared" si="12"/>
        <v>0</v>
      </c>
      <c r="AI75" s="98">
        <v>0.11</v>
      </c>
      <c r="AJ75"/>
      <c r="AK75"/>
      <c r="AL75" s="48" t="b">
        <f t="shared" si="13"/>
        <v>1</v>
      </c>
      <c r="AM75"/>
      <c r="AN75"/>
    </row>
    <row r="76" spans="1:40" ht="23.1">
      <c r="A76" s="110"/>
      <c r="B76" s="33" t="s">
        <v>77</v>
      </c>
      <c r="C76" s="33" t="s">
        <v>73</v>
      </c>
      <c r="D76" s="16">
        <v>0.52410000000000001</v>
      </c>
      <c r="E76" s="16">
        <v>0.47589999999999999</v>
      </c>
      <c r="F76" s="35" t="s">
        <v>160</v>
      </c>
      <c r="G76" s="37"/>
      <c r="H76" s="37"/>
      <c r="I76" s="37">
        <v>1</v>
      </c>
      <c r="J76" s="37">
        <v>12</v>
      </c>
      <c r="K76" s="37">
        <v>12</v>
      </c>
      <c r="L76" s="37"/>
      <c r="M76" s="37">
        <f t="shared" si="18"/>
        <v>12</v>
      </c>
      <c r="N76" s="37">
        <f t="shared" si="1"/>
        <v>17</v>
      </c>
      <c r="O76" s="37">
        <f t="shared" si="2"/>
        <v>15</v>
      </c>
      <c r="P76" s="37">
        <f t="shared" si="3"/>
        <v>20</v>
      </c>
      <c r="Q76" s="38">
        <v>2000</v>
      </c>
      <c r="R76"/>
      <c r="S76" s="5">
        <f t="shared" si="4"/>
        <v>4936471.0162801892</v>
      </c>
      <c r="T76" s="5">
        <f t="shared" si="5"/>
        <v>6581961.3550402531</v>
      </c>
      <c r="U76" s="5">
        <f t="shared" si="6"/>
        <v>6581961.3550402531</v>
      </c>
      <c r="V76" s="5">
        <f t="shared" si="7"/>
        <v>5594667.1517842151</v>
      </c>
      <c r="W76" s="5">
        <f t="shared" si="8"/>
        <v>6581961.3550402531</v>
      </c>
      <c r="X76" s="5">
        <f t="shared" si="19"/>
        <v>6581961.3550402531</v>
      </c>
      <c r="Y76" s="5">
        <f t="shared" si="19"/>
        <v>6581961.3550402531</v>
      </c>
      <c r="Z76" s="5">
        <f t="shared" si="19"/>
        <v>6581961.3550402531</v>
      </c>
      <c r="AA76" s="5">
        <f t="shared" si="19"/>
        <v>6581961.3550402531</v>
      </c>
      <c r="AB76" s="5">
        <f t="shared" si="19"/>
        <v>6581961.3550402531</v>
      </c>
      <c r="AC76" s="5">
        <f t="shared" si="19"/>
        <v>6581961.3550402531</v>
      </c>
      <c r="AD76" s="5">
        <f t="shared" si="10"/>
        <v>3949176.8130241521</v>
      </c>
      <c r="AE76"/>
      <c r="AF76" s="31">
        <f t="shared" si="15"/>
        <v>73717967.176450834</v>
      </c>
      <c r="AG76" s="99">
        <f t="shared" si="11"/>
        <v>0</v>
      </c>
      <c r="AH76" s="99">
        <f t="shared" si="12"/>
        <v>0</v>
      </c>
      <c r="AI76" s="98">
        <v>0.08</v>
      </c>
      <c r="AJ76"/>
      <c r="AK76"/>
      <c r="AL76" s="48" t="b">
        <f t="shared" si="13"/>
        <v>1</v>
      </c>
      <c r="AM76"/>
      <c r="AN76"/>
    </row>
    <row r="77" spans="1:40" ht="23.1">
      <c r="A77" s="110"/>
      <c r="B77" s="33" t="s">
        <v>78</v>
      </c>
      <c r="C77" s="33" t="s">
        <v>73</v>
      </c>
      <c r="D77" s="16">
        <v>0.52410000000000001</v>
      </c>
      <c r="E77" s="16">
        <v>0.47589999999999999</v>
      </c>
      <c r="F77" s="35" t="s">
        <v>160</v>
      </c>
      <c r="G77" s="37"/>
      <c r="H77" s="37"/>
      <c r="I77" s="37">
        <v>1</v>
      </c>
      <c r="J77" s="37">
        <v>12</v>
      </c>
      <c r="K77" s="37">
        <v>12</v>
      </c>
      <c r="L77" s="37"/>
      <c r="M77" s="37">
        <f t="shared" si="18"/>
        <v>12</v>
      </c>
      <c r="N77" s="37">
        <f t="shared" si="1"/>
        <v>17</v>
      </c>
      <c r="O77" s="37">
        <f t="shared" si="2"/>
        <v>15</v>
      </c>
      <c r="P77" s="37">
        <f t="shared" si="3"/>
        <v>20</v>
      </c>
      <c r="Q77" s="38">
        <v>2000</v>
      </c>
      <c r="R77"/>
      <c r="S77" s="5">
        <f t="shared" si="4"/>
        <v>4936471.0162801892</v>
      </c>
      <c r="T77" s="5">
        <f t="shared" si="5"/>
        <v>6581961.3550402531</v>
      </c>
      <c r="U77" s="5">
        <f t="shared" si="6"/>
        <v>6581961.3550402531</v>
      </c>
      <c r="V77" s="5">
        <f t="shared" si="7"/>
        <v>5594667.1517842151</v>
      </c>
      <c r="W77" s="5">
        <f t="shared" si="8"/>
        <v>6581961.3550402531</v>
      </c>
      <c r="X77" s="5">
        <f t="shared" si="19"/>
        <v>6581961.3550402531</v>
      </c>
      <c r="Y77" s="5">
        <f t="shared" si="19"/>
        <v>6581961.3550402531</v>
      </c>
      <c r="Z77" s="5">
        <f t="shared" si="19"/>
        <v>6581961.3550402531</v>
      </c>
      <c r="AA77" s="5">
        <f t="shared" si="19"/>
        <v>6581961.3550402531</v>
      </c>
      <c r="AB77" s="5">
        <f t="shared" si="19"/>
        <v>6581961.3550402531</v>
      </c>
      <c r="AC77" s="5">
        <f t="shared" si="19"/>
        <v>6581961.3550402531</v>
      </c>
      <c r="AD77" s="5">
        <f t="shared" si="10"/>
        <v>3949176.8130241521</v>
      </c>
      <c r="AE77"/>
      <c r="AF77" s="31">
        <f t="shared" si="15"/>
        <v>73717967.176450834</v>
      </c>
      <c r="AG77" s="99">
        <f t="shared" si="11"/>
        <v>0</v>
      </c>
      <c r="AH77" s="99">
        <f t="shared" si="12"/>
        <v>0</v>
      </c>
      <c r="AI77" s="98">
        <v>0.08</v>
      </c>
      <c r="AJ77"/>
      <c r="AK77"/>
      <c r="AL77" s="48" t="b">
        <f t="shared" si="13"/>
        <v>1</v>
      </c>
      <c r="AM77"/>
      <c r="AN77"/>
    </row>
    <row r="78" spans="1:40" ht="23.1">
      <c r="A78" s="110"/>
      <c r="B78" s="33" t="s">
        <v>79</v>
      </c>
      <c r="C78" s="33" t="s">
        <v>73</v>
      </c>
      <c r="D78" s="16">
        <v>0.52410000000000001</v>
      </c>
      <c r="E78" s="16">
        <v>0.47589999999999999</v>
      </c>
      <c r="F78" s="35" t="s">
        <v>160</v>
      </c>
      <c r="G78" s="37"/>
      <c r="H78" s="37"/>
      <c r="I78" s="37">
        <v>1</v>
      </c>
      <c r="J78" s="37">
        <v>12</v>
      </c>
      <c r="K78" s="37">
        <v>12</v>
      </c>
      <c r="L78" s="37"/>
      <c r="M78" s="37">
        <f t="shared" si="18"/>
        <v>12</v>
      </c>
      <c r="N78" s="37">
        <f t="shared" si="1"/>
        <v>17</v>
      </c>
      <c r="O78" s="37">
        <f t="shared" si="2"/>
        <v>15</v>
      </c>
      <c r="P78" s="37">
        <f t="shared" si="3"/>
        <v>20</v>
      </c>
      <c r="Q78" s="38">
        <v>2000</v>
      </c>
      <c r="R78"/>
      <c r="S78" s="5">
        <f t="shared" si="4"/>
        <v>4936471.0162801892</v>
      </c>
      <c r="T78" s="5">
        <f t="shared" si="5"/>
        <v>6581961.3550402531</v>
      </c>
      <c r="U78" s="5">
        <f t="shared" si="6"/>
        <v>6581961.3550402531</v>
      </c>
      <c r="V78" s="5">
        <f t="shared" si="7"/>
        <v>5594667.1517842151</v>
      </c>
      <c r="W78" s="5">
        <f t="shared" si="8"/>
        <v>6581961.3550402531</v>
      </c>
      <c r="X78" s="5">
        <f t="shared" si="19"/>
        <v>6581961.3550402531</v>
      </c>
      <c r="Y78" s="5">
        <f t="shared" si="19"/>
        <v>6581961.3550402531</v>
      </c>
      <c r="Z78" s="5">
        <f t="shared" si="19"/>
        <v>6581961.3550402531</v>
      </c>
      <c r="AA78" s="5">
        <f t="shared" si="19"/>
        <v>6581961.3550402531</v>
      </c>
      <c r="AB78" s="5">
        <f t="shared" si="19"/>
        <v>6581961.3550402531</v>
      </c>
      <c r="AC78" s="5">
        <f t="shared" si="19"/>
        <v>6581961.3550402531</v>
      </c>
      <c r="AD78" s="5">
        <f t="shared" si="10"/>
        <v>3949176.8130241521</v>
      </c>
      <c r="AE78"/>
      <c r="AF78" s="31">
        <f t="shared" si="15"/>
        <v>73717967.176450834</v>
      </c>
      <c r="AG78" s="99">
        <f t="shared" si="11"/>
        <v>0</v>
      </c>
      <c r="AH78" s="99">
        <f t="shared" si="12"/>
        <v>0</v>
      </c>
      <c r="AI78" s="98">
        <v>0.08</v>
      </c>
      <c r="AJ78"/>
      <c r="AK78"/>
      <c r="AL78" s="48" t="b">
        <f t="shared" si="13"/>
        <v>1</v>
      </c>
      <c r="AM78"/>
      <c r="AN78"/>
    </row>
    <row r="79" spans="1:40" ht="34.5">
      <c r="A79" s="110"/>
      <c r="B79" s="33" t="s">
        <v>80</v>
      </c>
      <c r="C79" s="33" t="s">
        <v>73</v>
      </c>
      <c r="D79" s="16">
        <v>0.52410000000000001</v>
      </c>
      <c r="E79" s="16">
        <v>0.47589999999999999</v>
      </c>
      <c r="F79" s="35" t="s">
        <v>160</v>
      </c>
      <c r="G79" s="37">
        <v>1</v>
      </c>
      <c r="H79" s="37"/>
      <c r="I79" s="37">
        <v>1</v>
      </c>
      <c r="J79" s="37">
        <v>12</v>
      </c>
      <c r="K79" s="37">
        <v>12</v>
      </c>
      <c r="L79" s="37"/>
      <c r="M79" s="37">
        <f t="shared" si="18"/>
        <v>20</v>
      </c>
      <c r="N79" s="37">
        <f t="shared" si="1"/>
        <v>17</v>
      </c>
      <c r="O79" s="37">
        <f t="shared" si="2"/>
        <v>20</v>
      </c>
      <c r="P79" s="37">
        <f t="shared" si="3"/>
        <v>20</v>
      </c>
      <c r="Q79" s="38">
        <v>2000</v>
      </c>
      <c r="R79"/>
      <c r="S79" s="5">
        <f t="shared" si="4"/>
        <v>6581961.3550402531</v>
      </c>
      <c r="T79" s="5">
        <f t="shared" si="5"/>
        <v>6581961.3550402531</v>
      </c>
      <c r="U79" s="5">
        <f t="shared" si="6"/>
        <v>6581961.3550402531</v>
      </c>
      <c r="V79" s="5">
        <f t="shared" si="7"/>
        <v>5594667.1517842151</v>
      </c>
      <c r="W79" s="5">
        <f t="shared" si="8"/>
        <v>6581961.3550402531</v>
      </c>
      <c r="X79" s="5">
        <f t="shared" si="19"/>
        <v>6581961.3550402531</v>
      </c>
      <c r="Y79" s="5">
        <f t="shared" si="19"/>
        <v>6581961.3550402531</v>
      </c>
      <c r="Z79" s="5">
        <f t="shared" si="19"/>
        <v>6581961.3550402531</v>
      </c>
      <c r="AA79" s="5">
        <f t="shared" si="19"/>
        <v>6581961.3550402531</v>
      </c>
      <c r="AB79" s="5">
        <f t="shared" si="19"/>
        <v>6581961.3550402531</v>
      </c>
      <c r="AC79" s="5">
        <f t="shared" si="19"/>
        <v>6581961.3550402531</v>
      </c>
      <c r="AD79" s="5">
        <f t="shared" si="10"/>
        <v>6581961.3550402531</v>
      </c>
      <c r="AE79"/>
      <c r="AF79" s="31">
        <f t="shared" si="15"/>
        <v>77996242.057227001</v>
      </c>
      <c r="AG79" s="99">
        <f t="shared" si="11"/>
        <v>1</v>
      </c>
      <c r="AH79" s="99">
        <f t="shared" si="12"/>
        <v>1</v>
      </c>
      <c r="AI79" s="98">
        <v>0.08</v>
      </c>
      <c r="AJ79"/>
      <c r="AK79"/>
      <c r="AL79" s="48" t="b">
        <f t="shared" si="13"/>
        <v>1</v>
      </c>
      <c r="AM79"/>
      <c r="AN79"/>
    </row>
    <row r="80" spans="1:40" ht="23.1">
      <c r="A80" s="110"/>
      <c r="B80" s="33" t="s">
        <v>81</v>
      </c>
      <c r="C80" s="33" t="s">
        <v>73</v>
      </c>
      <c r="D80" s="16">
        <v>0.52410000000000001</v>
      </c>
      <c r="E80" s="16">
        <v>0.47589999999999999</v>
      </c>
      <c r="F80" s="35" t="s">
        <v>160</v>
      </c>
      <c r="G80" s="37"/>
      <c r="H80" s="37"/>
      <c r="I80" s="37">
        <v>1</v>
      </c>
      <c r="J80" s="37">
        <v>12</v>
      </c>
      <c r="K80" s="37">
        <v>12</v>
      </c>
      <c r="L80" s="37"/>
      <c r="M80" s="37">
        <f t="shared" si="18"/>
        <v>12</v>
      </c>
      <c r="N80" s="37">
        <f t="shared" si="1"/>
        <v>17</v>
      </c>
      <c r="O80" s="37">
        <f t="shared" si="2"/>
        <v>15</v>
      </c>
      <c r="P80" s="37">
        <f t="shared" si="3"/>
        <v>20</v>
      </c>
      <c r="Q80" s="38">
        <v>2000</v>
      </c>
      <c r="R80"/>
      <c r="S80" s="5">
        <f t="shared" si="4"/>
        <v>4936471.0162801892</v>
      </c>
      <c r="T80" s="5">
        <f t="shared" si="5"/>
        <v>6581961.3550402531</v>
      </c>
      <c r="U80" s="5">
        <f t="shared" si="6"/>
        <v>6581961.3550402531</v>
      </c>
      <c r="V80" s="5">
        <f t="shared" si="7"/>
        <v>5594667.1517842151</v>
      </c>
      <c r="W80" s="5">
        <f t="shared" si="8"/>
        <v>6581961.3550402531</v>
      </c>
      <c r="X80" s="5">
        <f t="shared" si="19"/>
        <v>6581961.3550402531</v>
      </c>
      <c r="Y80" s="5">
        <f t="shared" si="19"/>
        <v>6581961.3550402531</v>
      </c>
      <c r="Z80" s="5">
        <f t="shared" si="19"/>
        <v>6581961.3550402531</v>
      </c>
      <c r="AA80" s="5">
        <f t="shared" si="19"/>
        <v>6581961.3550402531</v>
      </c>
      <c r="AB80" s="5">
        <f t="shared" si="19"/>
        <v>6581961.3550402531</v>
      </c>
      <c r="AC80" s="5">
        <f t="shared" si="19"/>
        <v>6581961.3550402531</v>
      </c>
      <c r="AD80" s="5">
        <f t="shared" si="10"/>
        <v>3949176.8130241521</v>
      </c>
      <c r="AE80"/>
      <c r="AF80" s="31">
        <f t="shared" si="15"/>
        <v>73717967.176450834</v>
      </c>
      <c r="AG80" s="99">
        <f t="shared" si="11"/>
        <v>0</v>
      </c>
      <c r="AH80" s="99">
        <f t="shared" si="12"/>
        <v>0</v>
      </c>
      <c r="AI80" s="98">
        <v>0.08</v>
      </c>
      <c r="AJ80"/>
      <c r="AK80"/>
      <c r="AL80" s="48" t="b">
        <f t="shared" si="13"/>
        <v>1</v>
      </c>
      <c r="AM80"/>
      <c r="AN80"/>
    </row>
    <row r="81" spans="1:40" ht="23.1">
      <c r="A81" s="110"/>
      <c r="B81" s="33" t="s">
        <v>81</v>
      </c>
      <c r="C81" s="33" t="s">
        <v>73</v>
      </c>
      <c r="D81" s="16">
        <v>0.52410000000000001</v>
      </c>
      <c r="E81" s="16">
        <v>0.47589999999999999</v>
      </c>
      <c r="F81" s="35" t="s">
        <v>160</v>
      </c>
      <c r="G81" s="37"/>
      <c r="H81" s="37"/>
      <c r="I81" s="37">
        <v>1</v>
      </c>
      <c r="J81" s="37">
        <v>12</v>
      </c>
      <c r="K81" s="37">
        <v>12</v>
      </c>
      <c r="L81" s="37"/>
      <c r="M81" s="37">
        <f t="shared" si="18"/>
        <v>12</v>
      </c>
      <c r="N81" s="37">
        <f t="shared" si="1"/>
        <v>17</v>
      </c>
      <c r="O81" s="37">
        <f t="shared" si="2"/>
        <v>15</v>
      </c>
      <c r="P81" s="37">
        <f t="shared" si="3"/>
        <v>20</v>
      </c>
      <c r="Q81" s="38">
        <v>2000</v>
      </c>
      <c r="R81"/>
      <c r="S81" s="5">
        <f t="shared" si="4"/>
        <v>4936471.0162801892</v>
      </c>
      <c r="T81" s="5">
        <f t="shared" si="5"/>
        <v>6581961.3550402531</v>
      </c>
      <c r="U81" s="5">
        <f t="shared" si="6"/>
        <v>6581961.3550402531</v>
      </c>
      <c r="V81" s="5">
        <f t="shared" si="7"/>
        <v>5594667.1517842151</v>
      </c>
      <c r="W81" s="5">
        <f t="shared" si="8"/>
        <v>6581961.3550402531</v>
      </c>
      <c r="X81" s="5">
        <f t="shared" si="19"/>
        <v>6581961.3550402531</v>
      </c>
      <c r="Y81" s="5">
        <f t="shared" si="19"/>
        <v>6581961.3550402531</v>
      </c>
      <c r="Z81" s="5">
        <f t="shared" si="19"/>
        <v>6581961.3550402531</v>
      </c>
      <c r="AA81" s="5">
        <f t="shared" si="19"/>
        <v>6581961.3550402531</v>
      </c>
      <c r="AB81" s="5">
        <f t="shared" si="19"/>
        <v>6581961.3550402531</v>
      </c>
      <c r="AC81" s="5">
        <f t="shared" si="19"/>
        <v>6581961.3550402531</v>
      </c>
      <c r="AD81" s="5">
        <f t="shared" si="10"/>
        <v>3949176.8130241521</v>
      </c>
      <c r="AE81"/>
      <c r="AF81" s="31">
        <f t="shared" si="15"/>
        <v>73717967.176450834</v>
      </c>
      <c r="AG81" s="99">
        <f t="shared" si="11"/>
        <v>0</v>
      </c>
      <c r="AH81" s="99">
        <f t="shared" si="12"/>
        <v>0</v>
      </c>
      <c r="AI81" s="98">
        <v>0.08</v>
      </c>
      <c r="AJ81"/>
      <c r="AK81"/>
      <c r="AL81" s="48" t="b">
        <f t="shared" si="13"/>
        <v>1</v>
      </c>
      <c r="AM81"/>
      <c r="AN81"/>
    </row>
    <row r="82" spans="1:40" ht="23.1">
      <c r="A82" s="110" t="s">
        <v>82</v>
      </c>
      <c r="B82" s="33" t="s">
        <v>38</v>
      </c>
      <c r="C82" s="33" t="s">
        <v>73</v>
      </c>
      <c r="D82" s="16">
        <v>0.52410000000000001</v>
      </c>
      <c r="E82" s="16">
        <v>0.47589999999999999</v>
      </c>
      <c r="F82" s="37" t="s">
        <v>160</v>
      </c>
      <c r="G82" s="37"/>
      <c r="H82" s="37"/>
      <c r="I82" s="37">
        <v>1</v>
      </c>
      <c r="J82" s="37">
        <v>12</v>
      </c>
      <c r="K82" s="37">
        <v>12</v>
      </c>
      <c r="L82" s="37"/>
      <c r="M82" s="37">
        <f t="shared" si="18"/>
        <v>12</v>
      </c>
      <c r="N82" s="37">
        <f t="shared" si="1"/>
        <v>17</v>
      </c>
      <c r="O82" s="37">
        <f t="shared" si="2"/>
        <v>15</v>
      </c>
      <c r="P82" s="37">
        <f t="shared" si="3"/>
        <v>20</v>
      </c>
      <c r="Q82" s="38">
        <v>2000</v>
      </c>
      <c r="R82"/>
      <c r="S82" s="5">
        <f t="shared" si="4"/>
        <v>4936471.0162801892</v>
      </c>
      <c r="T82" s="5">
        <f t="shared" si="5"/>
        <v>6581961.3550402531</v>
      </c>
      <c r="U82" s="5">
        <f t="shared" si="6"/>
        <v>6581961.3550402531</v>
      </c>
      <c r="V82" s="5">
        <f t="shared" si="7"/>
        <v>5594667.1517842151</v>
      </c>
      <c r="W82" s="5">
        <f t="shared" si="8"/>
        <v>6581961.3550402531</v>
      </c>
      <c r="X82" s="5">
        <f t="shared" si="19"/>
        <v>6581961.3550402531</v>
      </c>
      <c r="Y82" s="5">
        <f t="shared" si="19"/>
        <v>6581961.3550402531</v>
      </c>
      <c r="Z82" s="5">
        <f t="shared" si="19"/>
        <v>6581961.3550402531</v>
      </c>
      <c r="AA82" s="5">
        <f t="shared" si="19"/>
        <v>6581961.3550402531</v>
      </c>
      <c r="AB82" s="5">
        <f t="shared" si="19"/>
        <v>6581961.3550402531</v>
      </c>
      <c r="AC82" s="5">
        <f t="shared" si="19"/>
        <v>6581961.3550402531</v>
      </c>
      <c r="AD82" s="5">
        <f t="shared" si="10"/>
        <v>3949176.8130241521</v>
      </c>
      <c r="AE82"/>
      <c r="AF82" s="31">
        <f t="shared" si="15"/>
        <v>73717967.176450834</v>
      </c>
      <c r="AG82" s="99">
        <f t="shared" si="11"/>
        <v>0</v>
      </c>
      <c r="AH82" s="99">
        <f t="shared" si="12"/>
        <v>0</v>
      </c>
      <c r="AI82" s="98">
        <v>0.08</v>
      </c>
      <c r="AJ82"/>
      <c r="AK82"/>
      <c r="AL82" s="48" t="b">
        <f t="shared" si="13"/>
        <v>1</v>
      </c>
      <c r="AM82"/>
      <c r="AN82"/>
    </row>
    <row r="83" spans="1:40" ht="23.1">
      <c r="A83" s="110"/>
      <c r="B83" s="33" t="s">
        <v>83</v>
      </c>
      <c r="C83" s="33" t="s">
        <v>84</v>
      </c>
      <c r="D83" s="16">
        <v>0.52410000000000001</v>
      </c>
      <c r="E83" s="16">
        <v>0.47589999999999999</v>
      </c>
      <c r="F83" s="37" t="s">
        <v>160</v>
      </c>
      <c r="G83" s="37"/>
      <c r="H83" s="37"/>
      <c r="I83" s="37">
        <v>1</v>
      </c>
      <c r="J83" s="37">
        <v>16</v>
      </c>
      <c r="K83" s="37">
        <v>13</v>
      </c>
      <c r="L83" s="37">
        <v>3</v>
      </c>
      <c r="M83" s="37">
        <f t="shared" si="18"/>
        <v>12</v>
      </c>
      <c r="N83" s="37">
        <f t="shared" si="1"/>
        <v>17</v>
      </c>
      <c r="O83" s="37">
        <f t="shared" si="2"/>
        <v>15</v>
      </c>
      <c r="P83" s="37">
        <f t="shared" si="3"/>
        <v>20</v>
      </c>
      <c r="Q83" s="38">
        <v>4000</v>
      </c>
      <c r="R83"/>
      <c r="S83" s="5">
        <f t="shared" si="4"/>
        <v>6954734.5070054401</v>
      </c>
      <c r="T83" s="5">
        <f t="shared" si="5"/>
        <v>9272979.3426739201</v>
      </c>
      <c r="U83" s="5">
        <f t="shared" si="6"/>
        <v>9272979.3426739201</v>
      </c>
      <c r="V83" s="5">
        <f t="shared" si="7"/>
        <v>7882032.4412728315</v>
      </c>
      <c r="W83" s="5">
        <f t="shared" si="8"/>
        <v>9272979.3426739201</v>
      </c>
      <c r="X83" s="5">
        <f t="shared" si="19"/>
        <v>9272979.3426739201</v>
      </c>
      <c r="Y83" s="5">
        <f t="shared" si="19"/>
        <v>9272979.3426739201</v>
      </c>
      <c r="Z83" s="5">
        <f t="shared" si="19"/>
        <v>9272979.3426739201</v>
      </c>
      <c r="AA83" s="5">
        <f t="shared" si="19"/>
        <v>9272979.3426739201</v>
      </c>
      <c r="AB83" s="5">
        <f t="shared" si="19"/>
        <v>9272979.3426739201</v>
      </c>
      <c r="AC83" s="5">
        <f t="shared" si="19"/>
        <v>9272979.3426739201</v>
      </c>
      <c r="AD83" s="5">
        <f t="shared" si="10"/>
        <v>5563787.6056043515</v>
      </c>
      <c r="AE83"/>
      <c r="AF83" s="31">
        <f t="shared" si="15"/>
        <v>103857368.63794792</v>
      </c>
      <c r="AG83" s="99">
        <f t="shared" si="11"/>
        <v>0</v>
      </c>
      <c r="AH83" s="99">
        <f t="shared" si="12"/>
        <v>0</v>
      </c>
      <c r="AI83" s="98">
        <v>0.08</v>
      </c>
      <c r="AJ83"/>
      <c r="AK83"/>
      <c r="AL83" s="48" t="b">
        <f t="shared" si="13"/>
        <v>1</v>
      </c>
      <c r="AM83"/>
      <c r="AN83"/>
    </row>
    <row r="84" spans="1:40" ht="23.1">
      <c r="A84" s="110" t="s">
        <v>85</v>
      </c>
      <c r="B84" s="33" t="s">
        <v>86</v>
      </c>
      <c r="C84" s="33" t="s">
        <v>87</v>
      </c>
      <c r="D84" s="16">
        <v>0.52410000000000001</v>
      </c>
      <c r="E84" s="16">
        <v>0.47589999999999999</v>
      </c>
      <c r="F84" s="37" t="s">
        <v>160</v>
      </c>
      <c r="G84" s="37">
        <v>1</v>
      </c>
      <c r="H84" s="37">
        <v>1</v>
      </c>
      <c r="I84" s="37">
        <v>1</v>
      </c>
      <c r="J84" s="37">
        <v>24</v>
      </c>
      <c r="K84" s="37">
        <v>13</v>
      </c>
      <c r="L84" s="37">
        <v>11</v>
      </c>
      <c r="M84" s="37">
        <f t="shared" si="18"/>
        <v>30</v>
      </c>
      <c r="N84" s="37">
        <f t="shared" si="1"/>
        <v>30</v>
      </c>
      <c r="O84" s="37">
        <f t="shared" si="2"/>
        <v>30</v>
      </c>
      <c r="P84" s="37">
        <f t="shared" si="3"/>
        <v>30</v>
      </c>
      <c r="Q84" s="38">
        <v>6000</v>
      </c>
      <c r="S84" s="5">
        <f t="shared" si="4"/>
        <v>22895249.933721002</v>
      </c>
      <c r="T84" s="5">
        <f t="shared" si="5"/>
        <v>22895249.933721002</v>
      </c>
      <c r="U84" s="5">
        <f t="shared" si="6"/>
        <v>22895249.933721002</v>
      </c>
      <c r="V84" s="5">
        <f t="shared" si="7"/>
        <v>22895249.933721002</v>
      </c>
      <c r="W84" s="5">
        <f t="shared" si="8"/>
        <v>22895249.933721002</v>
      </c>
      <c r="X84" s="5">
        <f t="shared" si="19"/>
        <v>22895249.933721002</v>
      </c>
      <c r="Y84" s="5">
        <f t="shared" si="19"/>
        <v>22895249.933721002</v>
      </c>
      <c r="Z84" s="5">
        <f t="shared" si="19"/>
        <v>22895249.933721002</v>
      </c>
      <c r="AA84" s="5">
        <f t="shared" si="19"/>
        <v>22895249.933721002</v>
      </c>
      <c r="AB84" s="5">
        <f t="shared" si="19"/>
        <v>22895249.933721002</v>
      </c>
      <c r="AC84" s="5">
        <f t="shared" si="19"/>
        <v>22895249.933721002</v>
      </c>
      <c r="AD84" s="5">
        <f t="shared" si="10"/>
        <v>22895249.933721002</v>
      </c>
      <c r="AF84" s="31">
        <f t="shared" si="15"/>
        <v>274742999.20465201</v>
      </c>
      <c r="AG84" s="99">
        <f t="shared" si="11"/>
        <v>1</v>
      </c>
      <c r="AH84" s="99">
        <f t="shared" si="12"/>
        <v>1</v>
      </c>
      <c r="AI84" s="99">
        <v>0.1</v>
      </c>
      <c r="AL84" s="48" t="b">
        <f t="shared" si="13"/>
        <v>1</v>
      </c>
    </row>
    <row r="85" spans="1:40" ht="23.1">
      <c r="A85" s="110"/>
      <c r="B85" s="33" t="s">
        <v>88</v>
      </c>
      <c r="C85" s="33" t="s">
        <v>73</v>
      </c>
      <c r="D85" s="16">
        <v>0.52410000000000001</v>
      </c>
      <c r="E85" s="16">
        <v>0.47589999999999999</v>
      </c>
      <c r="F85" s="37" t="s">
        <v>160</v>
      </c>
      <c r="G85" s="37"/>
      <c r="H85" s="37"/>
      <c r="I85" s="37">
        <v>1</v>
      </c>
      <c r="J85" s="37">
        <v>12</v>
      </c>
      <c r="K85" s="37">
        <v>12</v>
      </c>
      <c r="L85" s="37"/>
      <c r="M85" s="37">
        <f t="shared" si="18"/>
        <v>12</v>
      </c>
      <c r="N85" s="37">
        <f t="shared" si="1"/>
        <v>17</v>
      </c>
      <c r="O85" s="37">
        <f t="shared" si="2"/>
        <v>15</v>
      </c>
      <c r="P85" s="37">
        <f t="shared" si="3"/>
        <v>20</v>
      </c>
      <c r="Q85" s="38">
        <v>2000</v>
      </c>
      <c r="R85"/>
      <c r="S85" s="5">
        <f t="shared" si="4"/>
        <v>4936471.0162801892</v>
      </c>
      <c r="T85" s="5">
        <f t="shared" si="5"/>
        <v>6581961.3550402531</v>
      </c>
      <c r="U85" s="5">
        <f t="shared" si="6"/>
        <v>6581961.3550402531</v>
      </c>
      <c r="V85" s="5">
        <f t="shared" si="7"/>
        <v>5594667.1517842151</v>
      </c>
      <c r="W85" s="5">
        <f t="shared" si="8"/>
        <v>6581961.3550402531</v>
      </c>
      <c r="X85" s="5">
        <f t="shared" si="19"/>
        <v>6581961.3550402531</v>
      </c>
      <c r="Y85" s="5">
        <f t="shared" si="19"/>
        <v>6581961.3550402531</v>
      </c>
      <c r="Z85" s="5">
        <f t="shared" si="19"/>
        <v>6581961.3550402531</v>
      </c>
      <c r="AA85" s="5">
        <f t="shared" si="19"/>
        <v>6581961.3550402531</v>
      </c>
      <c r="AB85" s="5">
        <f t="shared" si="19"/>
        <v>6581961.3550402531</v>
      </c>
      <c r="AC85" s="5">
        <f t="shared" si="19"/>
        <v>6581961.3550402531</v>
      </c>
      <c r="AD85" s="5">
        <f t="shared" si="10"/>
        <v>3949176.8130241521</v>
      </c>
      <c r="AE85"/>
      <c r="AF85" s="31">
        <f t="shared" si="15"/>
        <v>73717967.176450834</v>
      </c>
      <c r="AG85" s="99">
        <f t="shared" si="11"/>
        <v>0</v>
      </c>
      <c r="AH85" s="99">
        <f t="shared" si="12"/>
        <v>0</v>
      </c>
      <c r="AI85" s="98">
        <v>0.08</v>
      </c>
      <c r="AJ85"/>
      <c r="AK85"/>
      <c r="AL85" s="48" t="b">
        <f t="shared" si="13"/>
        <v>1</v>
      </c>
      <c r="AM85"/>
      <c r="AN85"/>
    </row>
    <row r="86" spans="1:40" ht="23.1">
      <c r="A86" s="32" t="s">
        <v>89</v>
      </c>
      <c r="B86" s="33" t="s">
        <v>90</v>
      </c>
      <c r="C86" s="33" t="s">
        <v>87</v>
      </c>
      <c r="D86" s="16">
        <v>0.52410000000000001</v>
      </c>
      <c r="E86" s="16">
        <v>0.47589999999999999</v>
      </c>
      <c r="F86" s="37" t="s">
        <v>160</v>
      </c>
      <c r="G86" s="37">
        <v>2</v>
      </c>
      <c r="H86" s="37">
        <v>2</v>
      </c>
      <c r="I86" s="37">
        <v>2</v>
      </c>
      <c r="J86" s="37">
        <v>24</v>
      </c>
      <c r="K86" s="37">
        <v>13</v>
      </c>
      <c r="L86" s="37">
        <v>11</v>
      </c>
      <c r="M86" s="37">
        <v>30</v>
      </c>
      <c r="N86" s="37">
        <v>30</v>
      </c>
      <c r="O86" s="37">
        <v>30</v>
      </c>
      <c r="P86" s="37">
        <f t="shared" si="3"/>
        <v>30</v>
      </c>
      <c r="Q86" s="38">
        <v>6000</v>
      </c>
      <c r="S86" s="5">
        <f t="shared" si="4"/>
        <v>45790499.867442004</v>
      </c>
      <c r="T86" s="5">
        <f t="shared" si="5"/>
        <v>45790499.867442004</v>
      </c>
      <c r="U86" s="5">
        <f t="shared" si="6"/>
        <v>45790499.867442004</v>
      </c>
      <c r="V86" s="5">
        <f t="shared" si="7"/>
        <v>45790499.867442004</v>
      </c>
      <c r="W86" s="5">
        <f t="shared" si="8"/>
        <v>45790499.867442004</v>
      </c>
      <c r="X86" s="5">
        <f t="shared" si="19"/>
        <v>45790499.867442004</v>
      </c>
      <c r="Y86" s="5">
        <f t="shared" si="19"/>
        <v>45790499.867442004</v>
      </c>
      <c r="Z86" s="5">
        <f t="shared" si="19"/>
        <v>45790499.867442004</v>
      </c>
      <c r="AA86" s="5">
        <f t="shared" si="19"/>
        <v>45790499.867442004</v>
      </c>
      <c r="AB86" s="5">
        <f t="shared" si="19"/>
        <v>45790499.867442004</v>
      </c>
      <c r="AC86" s="5">
        <f t="shared" si="19"/>
        <v>45790499.867442004</v>
      </c>
      <c r="AD86" s="5">
        <f t="shared" si="10"/>
        <v>45790499.867442004</v>
      </c>
      <c r="AF86" s="31">
        <f t="shared" si="15"/>
        <v>549485998.40930402</v>
      </c>
      <c r="AG86" s="99">
        <f t="shared" si="11"/>
        <v>1</v>
      </c>
      <c r="AH86" s="99">
        <f t="shared" si="12"/>
        <v>1</v>
      </c>
      <c r="AI86" s="99">
        <v>0.1</v>
      </c>
      <c r="AL86" s="48" t="b">
        <f t="shared" si="13"/>
        <v>1</v>
      </c>
    </row>
    <row r="87" spans="1:40" ht="23.1">
      <c r="A87" s="32" t="s">
        <v>91</v>
      </c>
      <c r="B87" s="33" t="s">
        <v>92</v>
      </c>
      <c r="C87" s="33" t="s">
        <v>93</v>
      </c>
      <c r="D87" s="16">
        <v>0.52410000000000001</v>
      </c>
      <c r="E87" s="16">
        <v>0.47589999999999999</v>
      </c>
      <c r="F87" s="37" t="s">
        <v>160</v>
      </c>
      <c r="G87" s="37">
        <v>1</v>
      </c>
      <c r="H87" s="37">
        <v>1</v>
      </c>
      <c r="I87" s="37">
        <v>1</v>
      </c>
      <c r="J87" s="37">
        <v>24</v>
      </c>
      <c r="K87" s="37">
        <v>13</v>
      </c>
      <c r="L87" s="37">
        <v>11</v>
      </c>
      <c r="M87" s="37">
        <f t="shared" si="18"/>
        <v>30</v>
      </c>
      <c r="N87" s="37">
        <f t="shared" si="1"/>
        <v>30</v>
      </c>
      <c r="O87" s="37">
        <f t="shared" si="2"/>
        <v>30</v>
      </c>
      <c r="P87" s="37">
        <f t="shared" si="3"/>
        <v>30</v>
      </c>
      <c r="Q87" s="38">
        <v>6000</v>
      </c>
      <c r="S87" s="5">
        <f t="shared" si="4"/>
        <v>22478972.662198804</v>
      </c>
      <c r="T87" s="5">
        <f t="shared" si="5"/>
        <v>22478972.662198804</v>
      </c>
      <c r="U87" s="5">
        <f t="shared" si="6"/>
        <v>22478972.662198804</v>
      </c>
      <c r="V87" s="5">
        <f t="shared" si="7"/>
        <v>22478972.662198804</v>
      </c>
      <c r="W87" s="5">
        <f t="shared" si="8"/>
        <v>22478972.662198804</v>
      </c>
      <c r="X87" s="5">
        <f t="shared" si="19"/>
        <v>22478972.662198804</v>
      </c>
      <c r="Y87" s="5">
        <f t="shared" si="19"/>
        <v>22478972.662198804</v>
      </c>
      <c r="Z87" s="5">
        <f t="shared" si="19"/>
        <v>22478972.662198804</v>
      </c>
      <c r="AA87" s="5">
        <f t="shared" si="19"/>
        <v>22478972.662198804</v>
      </c>
      <c r="AB87" s="5">
        <f t="shared" si="19"/>
        <v>22478972.662198804</v>
      </c>
      <c r="AC87" s="5">
        <f t="shared" si="19"/>
        <v>22478972.662198804</v>
      </c>
      <c r="AD87" s="5">
        <f t="shared" si="10"/>
        <v>22478972.662198804</v>
      </c>
      <c r="AF87" s="31">
        <f t="shared" si="15"/>
        <v>269747671.94638568</v>
      </c>
      <c r="AG87" s="99">
        <f t="shared" si="11"/>
        <v>1</v>
      </c>
      <c r="AH87" s="99">
        <f t="shared" si="12"/>
        <v>1</v>
      </c>
      <c r="AI87" s="99">
        <v>0.08</v>
      </c>
      <c r="AL87" s="48" t="b">
        <f t="shared" si="13"/>
        <v>1</v>
      </c>
    </row>
    <row r="88" spans="1:40" ht="34.5">
      <c r="A88" s="32" t="s">
        <v>94</v>
      </c>
      <c r="B88" s="33" t="s">
        <v>95</v>
      </c>
      <c r="C88" s="33" t="s">
        <v>87</v>
      </c>
      <c r="D88" s="16">
        <v>0.52410000000000001</v>
      </c>
      <c r="E88" s="16">
        <v>0.47589999999999999</v>
      </c>
      <c r="F88" s="37" t="s">
        <v>160</v>
      </c>
      <c r="G88" s="37">
        <v>1</v>
      </c>
      <c r="H88" s="37">
        <v>1</v>
      </c>
      <c r="I88" s="37">
        <v>1</v>
      </c>
      <c r="J88" s="37">
        <v>24</v>
      </c>
      <c r="K88" s="37">
        <v>13</v>
      </c>
      <c r="L88" s="37">
        <v>11</v>
      </c>
      <c r="M88" s="37">
        <f t="shared" si="18"/>
        <v>30</v>
      </c>
      <c r="N88" s="37">
        <f t="shared" si="1"/>
        <v>30</v>
      </c>
      <c r="O88" s="37">
        <f t="shared" si="2"/>
        <v>30</v>
      </c>
      <c r="P88" s="37">
        <f t="shared" si="3"/>
        <v>30</v>
      </c>
      <c r="Q88" s="38">
        <v>6000</v>
      </c>
      <c r="S88" s="5">
        <f t="shared" si="4"/>
        <v>22895249.933721002</v>
      </c>
      <c r="T88" s="5">
        <f t="shared" si="5"/>
        <v>22895249.933721002</v>
      </c>
      <c r="U88" s="5">
        <f t="shared" si="6"/>
        <v>22895249.933721002</v>
      </c>
      <c r="V88" s="5">
        <f t="shared" si="7"/>
        <v>22895249.933721002</v>
      </c>
      <c r="W88" s="5">
        <f t="shared" si="8"/>
        <v>22895249.933721002</v>
      </c>
      <c r="X88" s="5">
        <f t="shared" si="19"/>
        <v>22895249.933721002</v>
      </c>
      <c r="Y88" s="5">
        <f t="shared" si="19"/>
        <v>22895249.933721002</v>
      </c>
      <c r="Z88" s="5">
        <f t="shared" si="19"/>
        <v>22895249.933721002</v>
      </c>
      <c r="AA88" s="5">
        <f t="shared" si="19"/>
        <v>22895249.933721002</v>
      </c>
      <c r="AB88" s="5">
        <f t="shared" si="19"/>
        <v>22895249.933721002</v>
      </c>
      <c r="AC88" s="5">
        <f t="shared" si="19"/>
        <v>22895249.933721002</v>
      </c>
      <c r="AD88" s="5">
        <f t="shared" si="10"/>
        <v>22895249.933721002</v>
      </c>
      <c r="AF88" s="31">
        <f t="shared" si="15"/>
        <v>274742999.20465201</v>
      </c>
      <c r="AG88" s="99">
        <f t="shared" si="11"/>
        <v>1</v>
      </c>
      <c r="AH88" s="99">
        <f t="shared" si="12"/>
        <v>1</v>
      </c>
      <c r="AI88" s="99">
        <v>0.1</v>
      </c>
      <c r="AL88" s="48" t="b">
        <f t="shared" si="13"/>
        <v>1</v>
      </c>
    </row>
    <row r="89" spans="1:40">
      <c r="A89" s="14"/>
      <c r="B89" s="108" t="s">
        <v>164</v>
      </c>
      <c r="C89" s="108"/>
      <c r="D89" s="109"/>
      <c r="E89" s="109"/>
      <c r="F89" s="109"/>
      <c r="G89" s="44">
        <f>SUM(G29:G88)</f>
        <v>39</v>
      </c>
      <c r="H89" s="44">
        <f>SUM(H29:H88)</f>
        <v>22</v>
      </c>
      <c r="I89" s="44">
        <f>SUM(I29:I88)</f>
        <v>61</v>
      </c>
      <c r="J89" s="37"/>
      <c r="K89" s="37"/>
      <c r="L89" s="37"/>
      <c r="M89" s="37"/>
      <c r="N89" s="37"/>
      <c r="O89" s="37"/>
      <c r="P89" s="37"/>
      <c r="Q89" s="44"/>
      <c r="R89"/>
      <c r="S89" s="5">
        <f>SUM(S29:S88)</f>
        <v>704942201.06013131</v>
      </c>
      <c r="T89" s="55">
        <f t="shared" ref="T89:AD89" si="20">SUM(T29:T88)</f>
        <v>740947606.06587768</v>
      </c>
      <c r="U89" s="55">
        <f t="shared" si="20"/>
        <v>740947606.06587768</v>
      </c>
      <c r="V89" s="55">
        <f>SUM(V29:V88)</f>
        <v>698761781.16058421</v>
      </c>
      <c r="W89" s="55">
        <f t="shared" si="20"/>
        <v>740947606.06587768</v>
      </c>
      <c r="X89" s="55">
        <f t="shared" si="20"/>
        <v>740947606.06587768</v>
      </c>
      <c r="Y89" s="55">
        <f t="shared" si="20"/>
        <v>740947606.06587768</v>
      </c>
      <c r="Z89" s="55">
        <f t="shared" si="20"/>
        <v>740947606.06587768</v>
      </c>
      <c r="AA89" s="55">
        <f t="shared" si="20"/>
        <v>740947606.06587768</v>
      </c>
      <c r="AB89" s="55">
        <f t="shared" si="20"/>
        <v>740947606.06587768</v>
      </c>
      <c r="AC89" s="55">
        <f t="shared" si="20"/>
        <v>740947606.06587768</v>
      </c>
      <c r="AD89" s="55">
        <f t="shared" si="20"/>
        <v>683338958.05668414</v>
      </c>
      <c r="AF89" s="80">
        <f>SUM(AF29:AF88)</f>
        <v>8755571394.8702927</v>
      </c>
      <c r="AG89" s="98"/>
      <c r="AH89" s="98"/>
      <c r="AI89" s="98"/>
      <c r="AJ89"/>
      <c r="AK89"/>
      <c r="AL89"/>
      <c r="AM89"/>
      <c r="AN89"/>
    </row>
    <row r="90" spans="1:40">
      <c r="AF90" s="56">
        <f>SUM(S89:AD89)</f>
        <v>8755571394.8703003</v>
      </c>
      <c r="AG90" s="99"/>
      <c r="AH90" s="99"/>
      <c r="AI90" s="99"/>
    </row>
    <row r="91" spans="1:40">
      <c r="AI91" s="79">
        <f>10%*19%</f>
        <v>1.9000000000000003E-2</v>
      </c>
    </row>
    <row r="92" spans="1:40">
      <c r="AD92" t="s">
        <v>101</v>
      </c>
      <c r="AE92"/>
      <c r="AF92" s="47">
        <f>+AF90*1.9%</f>
        <v>166355856.5025357</v>
      </c>
    </row>
    <row r="93" spans="1:40">
      <c r="AD93" t="s">
        <v>4</v>
      </c>
      <c r="AE93"/>
      <c r="AF93" s="55">
        <f>+AF92+AF90</f>
        <v>8921927251.3728352</v>
      </c>
    </row>
  </sheetData>
  <mergeCells count="14">
    <mergeCell ref="S27:AD27"/>
    <mergeCell ref="A29:A48"/>
    <mergeCell ref="A82:A83"/>
    <mergeCell ref="A84:A85"/>
    <mergeCell ref="A14:F14"/>
    <mergeCell ref="C24:D24"/>
    <mergeCell ref="A27:Q27"/>
    <mergeCell ref="B89:F89"/>
    <mergeCell ref="A49:A50"/>
    <mergeCell ref="A51:A52"/>
    <mergeCell ref="A53:A54"/>
    <mergeCell ref="A56:A57"/>
    <mergeCell ref="A58:A69"/>
    <mergeCell ref="A70:A81"/>
  </mergeCells>
  <hyperlinks>
    <hyperlink ref="C24" r:id="rId1" xr:uid="{E80D173B-1686-40F2-B190-860A3FBF6220}"/>
    <hyperlink ref="C1" r:id="rId2" xr:uid="{BC5BF8A5-C797-4BDE-B46E-969A69E7BE61}"/>
  </hyperlinks>
  <pageMargins left="0.7" right="0.7" top="0.75" bottom="0.75" header="0.3" footer="0.3"/>
  <pageSetup paperSize="9" orientation="portrait" horizontalDpi="1200" verticalDpi="120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E038E-3E83-4896-B655-9E92EB48662A}">
  <dimension ref="A1:AN93"/>
  <sheetViews>
    <sheetView topLeftCell="A82" zoomScale="80" zoomScaleNormal="80" workbookViewId="0">
      <selection activeCell="B95" sqref="B95"/>
    </sheetView>
  </sheetViews>
  <sheetFormatPr defaultColWidth="11.42578125" defaultRowHeight="14.45"/>
  <cols>
    <col min="1" max="1" width="19.7109375" style="48" customWidth="1"/>
    <col min="2" max="2" width="15.7109375" style="48" customWidth="1"/>
    <col min="3" max="3" width="29.140625" style="48" customWidth="1"/>
    <col min="4" max="5" width="13.5703125" style="2" bestFit="1" customWidth="1"/>
    <col min="6" max="6" width="18.42578125" style="2" bestFit="1" customWidth="1"/>
    <col min="7" max="7" width="22.7109375" style="2" bestFit="1" customWidth="1"/>
    <col min="8" max="8" width="13" style="2" bestFit="1" customWidth="1"/>
    <col min="9" max="9" width="13.5703125" style="2" bestFit="1" customWidth="1"/>
    <col min="10" max="10" width="12" style="2" bestFit="1" customWidth="1"/>
    <col min="11" max="11" width="12" style="2" customWidth="1"/>
    <col min="12" max="12" width="12.5703125" style="2" bestFit="1" customWidth="1"/>
    <col min="13" max="13" width="13.5703125" style="2" bestFit="1" customWidth="1"/>
    <col min="14" max="14" width="13.42578125" style="48" customWidth="1"/>
    <col min="15" max="15" width="2.7109375" style="48" customWidth="1"/>
    <col min="16" max="20" width="17.42578125" style="48" customWidth="1"/>
    <col min="21" max="27" width="17.42578125" style="48" bestFit="1" customWidth="1"/>
    <col min="28" max="28" width="3.140625" style="48" customWidth="1"/>
    <col min="29" max="29" width="20.28515625" style="48" bestFit="1" customWidth="1"/>
    <col min="30" max="30" width="21.85546875" style="48" customWidth="1"/>
    <col min="31" max="31" width="11.42578125" style="48"/>
    <col min="32" max="32" width="19.7109375" style="48" customWidth="1"/>
    <col min="33" max="34" width="0" style="48" hidden="1" customWidth="1"/>
    <col min="35" max="36" width="11.42578125" style="48"/>
    <col min="37" max="41" width="0" style="48" hidden="1" customWidth="1"/>
    <col min="42" max="16384" width="11.42578125" style="48"/>
  </cols>
  <sheetData>
    <row r="1" spans="1:6" ht="72.599999999999994">
      <c r="A1" s="25" t="s">
        <v>102</v>
      </c>
      <c r="B1" s="25" t="s">
        <v>171</v>
      </c>
      <c r="C1" s="24" t="s">
        <v>189</v>
      </c>
      <c r="D1" s="50"/>
      <c r="E1" s="51" t="s">
        <v>104</v>
      </c>
    </row>
    <row r="2" spans="1:6" ht="18">
      <c r="A2" s="26" t="s">
        <v>105</v>
      </c>
      <c r="B2" s="4">
        <f>+'2028'!B2*1.04</f>
        <v>6937.3824000000004</v>
      </c>
      <c r="D2" s="52"/>
      <c r="E2" s="51"/>
    </row>
    <row r="3" spans="1:6" ht="27">
      <c r="A3" s="27" t="s">
        <v>106</v>
      </c>
      <c r="B3" s="4">
        <f>+'2028'!B3*1.04</f>
        <v>6937.3824000000004</v>
      </c>
      <c r="D3" s="53"/>
      <c r="E3" s="51" t="s">
        <v>107</v>
      </c>
    </row>
    <row r="4" spans="1:6" ht="27">
      <c r="A4" s="27" t="s">
        <v>108</v>
      </c>
      <c r="B4" s="4">
        <f>+'2028'!B4*1.04</f>
        <v>6937.3824000000004</v>
      </c>
      <c r="D4" s="54"/>
      <c r="E4" s="51" t="s">
        <v>109</v>
      </c>
    </row>
    <row r="5" spans="1:6" ht="27">
      <c r="A5" s="27" t="s">
        <v>110</v>
      </c>
      <c r="B5" s="4">
        <f>+'2028'!B5*1.04</f>
        <v>2312.4607999999998</v>
      </c>
    </row>
    <row r="6" spans="1:6" ht="36">
      <c r="A6" s="27" t="s">
        <v>111</v>
      </c>
      <c r="B6" s="4">
        <f>+'2028'!B6*1.04</f>
        <v>4624.9215999999997</v>
      </c>
    </row>
    <row r="7" spans="1:6" ht="27">
      <c r="A7" s="27" t="s">
        <v>113</v>
      </c>
      <c r="B7" s="4">
        <f>+'2028'!B7*1.04</f>
        <v>2312.4607999999998</v>
      </c>
    </row>
    <row r="8" spans="1:6" ht="27">
      <c r="A8" s="27" t="s">
        <v>114</v>
      </c>
      <c r="B8" s="4">
        <f>+'2028'!B8*1.04</f>
        <v>2312.4607999999998</v>
      </c>
    </row>
    <row r="9" spans="1:6" ht="27">
      <c r="A9" s="27" t="s">
        <v>115</v>
      </c>
      <c r="B9" s="4">
        <f>+'2028'!B9*1.04</f>
        <v>2312.4607999999998</v>
      </c>
    </row>
    <row r="10" spans="1:6" ht="27">
      <c r="A10" s="27" t="s">
        <v>116</v>
      </c>
      <c r="B10" s="4">
        <f>+'2028'!B10*1.04</f>
        <v>2312.4607999999998</v>
      </c>
    </row>
    <row r="11" spans="1:6" ht="27">
      <c r="A11" s="27" t="s">
        <v>117</v>
      </c>
      <c r="B11" s="4">
        <f>+'2028'!B11*1.04</f>
        <v>2312.4607999999998</v>
      </c>
    </row>
    <row r="12" spans="1:6" ht="27">
      <c r="A12" s="27" t="s">
        <v>118</v>
      </c>
      <c r="B12" s="4">
        <f>+'2028'!B12*1.04</f>
        <v>2312.4607999999998</v>
      </c>
    </row>
    <row r="14" spans="1:6">
      <c r="A14" s="117" t="s">
        <v>119</v>
      </c>
      <c r="B14" s="117"/>
      <c r="C14" s="117"/>
      <c r="D14" s="117"/>
      <c r="E14" s="117"/>
      <c r="F14" s="117"/>
    </row>
    <row r="15" spans="1:6">
      <c r="A15" s="17" t="s">
        <v>120</v>
      </c>
      <c r="B15" s="17" t="s">
        <v>121</v>
      </c>
      <c r="C15" s="17" t="s">
        <v>122</v>
      </c>
      <c r="D15" s="17" t="s">
        <v>123</v>
      </c>
      <c r="E15" s="17" t="s">
        <v>124</v>
      </c>
      <c r="F15" s="17" t="s">
        <v>125</v>
      </c>
    </row>
    <row r="16" spans="1:6" ht="29.1">
      <c r="A16" s="14" t="s">
        <v>128</v>
      </c>
      <c r="B16" s="23">
        <f>+$B$21*C21</f>
        <v>22264414.026437707</v>
      </c>
      <c r="C16" s="22" t="s">
        <v>129</v>
      </c>
      <c r="D16" s="23">
        <v>6000</v>
      </c>
      <c r="E16" s="23">
        <f>+(B16+D16)*8%</f>
        <v>1781633.1221150167</v>
      </c>
      <c r="F16" s="23">
        <f>+B16+E16</f>
        <v>24046047.148552723</v>
      </c>
    </row>
    <row r="17" spans="1:40" ht="29.1">
      <c r="A17" s="14" t="s">
        <v>131</v>
      </c>
      <c r="B17" s="23">
        <f>+B21*C21</f>
        <v>22264414.026437707</v>
      </c>
      <c r="C17" s="22" t="s">
        <v>132</v>
      </c>
      <c r="D17" s="23">
        <v>6000</v>
      </c>
      <c r="E17" s="23">
        <f>+(B17+D17)*10%</f>
        <v>2227041.4026437709</v>
      </c>
      <c r="F17" s="23">
        <f>+B17+E17</f>
        <v>24491455.429081477</v>
      </c>
    </row>
    <row r="18" spans="1:40" ht="29.1">
      <c r="A18" s="14" t="s">
        <v>134</v>
      </c>
      <c r="B18" s="23">
        <f>+B21*C21</f>
        <v>22264414.026437707</v>
      </c>
      <c r="C18" s="22" t="s">
        <v>135</v>
      </c>
      <c r="D18" s="23">
        <v>6000</v>
      </c>
      <c r="E18" s="23">
        <f>+(B18+D18)*11%</f>
        <v>2449745.5429081479</v>
      </c>
      <c r="F18" s="23">
        <f>+B18+E18</f>
        <v>24714159.569345854</v>
      </c>
    </row>
    <row r="20" spans="1:40" ht="26.1">
      <c r="A20" s="19" t="s">
        <v>137</v>
      </c>
      <c r="B20" s="19" t="s">
        <v>138</v>
      </c>
      <c r="C20" s="19" t="s">
        <v>139</v>
      </c>
      <c r="D20" s="20" t="s">
        <v>140</v>
      </c>
    </row>
    <row r="21" spans="1:40" ht="43.5">
      <c r="A21" s="14" t="s">
        <v>141</v>
      </c>
      <c r="B21" s="15">
        <f>'2028'!B21*(1+$B$24)</f>
        <v>2144933.9139150004</v>
      </c>
      <c r="C21" s="13">
        <v>10.38</v>
      </c>
      <c r="D21" s="16">
        <v>0.47589999999999999</v>
      </c>
    </row>
    <row r="22" spans="1:40" ht="43.5">
      <c r="A22" s="14" t="s">
        <v>142</v>
      </c>
      <c r="B22" s="15">
        <f>'2028'!B22*(1+$B$24)</f>
        <v>2144933.9139150004</v>
      </c>
      <c r="C22" s="13">
        <v>10.38</v>
      </c>
      <c r="D22" s="16">
        <v>0.52410000000000001</v>
      </c>
    </row>
    <row r="24" spans="1:40" ht="45" customHeight="1">
      <c r="A24" s="14" t="s">
        <v>175</v>
      </c>
      <c r="B24" s="49">
        <v>7.0000000000000007E-2</v>
      </c>
      <c r="C24" s="115" t="s">
        <v>112</v>
      </c>
      <c r="D24" s="116"/>
    </row>
    <row r="27" spans="1:40">
      <c r="A27" s="112" t="s">
        <v>143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S27" s="117">
        <v>2027</v>
      </c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99"/>
      <c r="AF27" s="17"/>
      <c r="AG27" s="99"/>
      <c r="AH27" s="99"/>
      <c r="AI27" s="17"/>
    </row>
    <row r="28" spans="1:40" ht="110.1" customHeight="1">
      <c r="A28" s="18" t="s">
        <v>1</v>
      </c>
      <c r="B28" s="45" t="s">
        <v>2</v>
      </c>
      <c r="C28" s="45" t="s">
        <v>3</v>
      </c>
      <c r="D28" s="45" t="s">
        <v>144</v>
      </c>
      <c r="E28" s="45" t="s">
        <v>145</v>
      </c>
      <c r="F28" s="45" t="s">
        <v>146</v>
      </c>
      <c r="G28" s="45" t="s">
        <v>147</v>
      </c>
      <c r="H28" s="45" t="s">
        <v>148</v>
      </c>
      <c r="I28" s="45" t="s">
        <v>149</v>
      </c>
      <c r="J28" s="45" t="s">
        <v>150</v>
      </c>
      <c r="K28" s="45" t="s">
        <v>151</v>
      </c>
      <c r="L28" s="45" t="s">
        <v>152</v>
      </c>
      <c r="M28" s="45" t="s">
        <v>153</v>
      </c>
      <c r="N28" s="45" t="s">
        <v>154</v>
      </c>
      <c r="O28" s="45" t="s">
        <v>176</v>
      </c>
      <c r="P28" s="45" t="s">
        <v>155</v>
      </c>
      <c r="Q28" s="46" t="s">
        <v>156</v>
      </c>
      <c r="S28" s="17" t="s">
        <v>177</v>
      </c>
      <c r="T28" s="17" t="s">
        <v>178</v>
      </c>
      <c r="U28" s="101" t="s">
        <v>179</v>
      </c>
      <c r="V28" s="17" t="s">
        <v>180</v>
      </c>
      <c r="W28" s="17" t="s">
        <v>181</v>
      </c>
      <c r="X28" s="17" t="s">
        <v>182</v>
      </c>
      <c r="Y28" s="17" t="s">
        <v>183</v>
      </c>
      <c r="Z28" s="17" t="s">
        <v>184</v>
      </c>
      <c r="AA28" s="17" t="s">
        <v>185</v>
      </c>
      <c r="AB28" s="17" t="s">
        <v>186</v>
      </c>
      <c r="AC28" s="17" t="s">
        <v>187</v>
      </c>
      <c r="AD28" s="17" t="s">
        <v>188</v>
      </c>
      <c r="AE28" s="99"/>
      <c r="AF28" s="17" t="s">
        <v>4</v>
      </c>
      <c r="AG28" s="99"/>
      <c r="AH28" s="99"/>
      <c r="AI28" s="17" t="s">
        <v>158</v>
      </c>
    </row>
    <row r="29" spans="1:40" ht="34.5">
      <c r="A29" s="110" t="s">
        <v>5</v>
      </c>
      <c r="B29" s="33" t="s">
        <v>6</v>
      </c>
      <c r="C29" s="33" t="s">
        <v>7</v>
      </c>
      <c r="D29" s="16">
        <v>0.52410000000000001</v>
      </c>
      <c r="E29" s="16">
        <v>0.47589999999999999</v>
      </c>
      <c r="F29" s="35" t="s">
        <v>159</v>
      </c>
      <c r="G29" s="37">
        <v>1</v>
      </c>
      <c r="H29" s="37"/>
      <c r="I29" s="37">
        <v>1</v>
      </c>
      <c r="J29" s="37">
        <v>14</v>
      </c>
      <c r="K29" s="37">
        <v>13</v>
      </c>
      <c r="L29" s="37">
        <v>1</v>
      </c>
      <c r="M29" s="37">
        <v>20</v>
      </c>
      <c r="N29" s="37">
        <f>IF(AND(H29=1,J29&lt;24),20,IF(AND(H29=1,J29=24),30,17))</f>
        <v>17</v>
      </c>
      <c r="O29" s="37">
        <f>IF(AND(G29=1,J29&lt;24),20,IF(AND(G29=1,J29=24),30,15))</f>
        <v>20</v>
      </c>
      <c r="P29" s="37">
        <f>IF(M29=13,20,M29)</f>
        <v>20</v>
      </c>
      <c r="Q29" s="104">
        <v>2000</v>
      </c>
      <c r="S29" s="31">
        <f>+((((((($B$21*$C$21)+Q29)*D29/30)*O29)/11*L29))+(((((($B$21*$C$21)+Q29)*E29/30)*O29)/13*K29)))*(I29)*(1+$AI29)</f>
        <v>8393385.4938494023</v>
      </c>
      <c r="T29" s="31">
        <f>+((((((($B$21*$C$21)+Q29)*D29/30)*P29)/11*L29))+(((((($B$21*$C$21)+Q29)*E29/30)*P29)/13*K29)))*(I29)*(1+$AI29)</f>
        <v>8393385.4938494023</v>
      </c>
      <c r="U29" s="31">
        <f>+((((((($B$21*$C$21)+Q29)*D29/30)*N29)/11*L29))+(((((($B$21*$C$21)+Q29)*E29/30)*N29)/13*K29)))*(I29)*(1+$AI29)</f>
        <v>7134377.6697719926</v>
      </c>
      <c r="V29" s="31">
        <f>+((((((($B$21*$C$21)+Q29)*D29/30)*P29)/11*L29))+(((((($B$21*$C$21)+Q29)*E29/30)*P29)/13*K29)))*(I29)*(1+$AI29)</f>
        <v>8393385.4938494023</v>
      </c>
      <c r="W29" s="31">
        <f>+((((((($B$21*$C$21)+Q29)*D29/30)*P29)/11*L29))+(((((($B$21*$C$21)+Q29)*E29/30)*P29)/13*K29)))*(I29)*(1+$AI29)</f>
        <v>8393385.4938494023</v>
      </c>
      <c r="X29" s="31">
        <f>+((((((($B$21*$C$21)+$Q29)*$D29/30)*$P29)/11*$L29))+(((((($B$21*$C$21)+$Q29)*$E29/30)*$P29)/13*$K29)))*($I29)*(1+$AI29)</f>
        <v>8393385.4938494023</v>
      </c>
      <c r="Y29" s="31">
        <f t="shared" ref="Y29:AC44" si="0">+((((((($B$21*$C$21)+$Q29)*$D29/30)*$P29)/11*$L29))+(((((($B$21*$C$21)+$Q29)*$E29/30)*$P29)/13*$K29)))*($I29)*(1+$AI29)</f>
        <v>8393385.4938494023</v>
      </c>
      <c r="Z29" s="31">
        <f t="shared" si="0"/>
        <v>8393385.4938494023</v>
      </c>
      <c r="AA29" s="31">
        <f>+((((((($B$21*$C$21)+$Q29)*$D29/30)*$P29)/11*$L29))+(((((($B$21*$C$21)+$Q29)*$E29/30)*$P29)/13*$K29)))*($I29)*(1+$AI29)</f>
        <v>8393385.4938494023</v>
      </c>
      <c r="AB29" s="31">
        <f t="shared" si="0"/>
        <v>8393385.4938494023</v>
      </c>
      <c r="AC29" s="31">
        <f t="shared" si="0"/>
        <v>8393385.4938494023</v>
      </c>
      <c r="AD29" s="31">
        <f>+((((((($B$21*$C$21)+$Q29)*$D29/30)*$M29)/11*$L29))+(((((($B$21*$C$21)+$Q29)*$E29/30)*$M29)/13*$K29)))*($I29)*(1+$AI29)</f>
        <v>8393385.4938494023</v>
      </c>
      <c r="AE29" s="99"/>
      <c r="AF29" s="31">
        <f>SUM(S29:AD29)</f>
        <v>99461618.102115408</v>
      </c>
      <c r="AG29" s="99">
        <f>IF(AD29=AC29,1,0)</f>
        <v>1</v>
      </c>
      <c r="AH29" s="99">
        <f>IF(G29&gt;=1,1,0)</f>
        <v>1</v>
      </c>
      <c r="AI29" s="102">
        <v>0.08</v>
      </c>
      <c r="AL29" s="48" t="b">
        <f>AG29=AH29</f>
        <v>1</v>
      </c>
      <c r="AN29" s="57">
        <f>S29*(1+1.9%)</f>
        <v>8552859.81823254</v>
      </c>
    </row>
    <row r="30" spans="1:40" ht="23.1">
      <c r="A30" s="110"/>
      <c r="B30" s="33" t="s">
        <v>8</v>
      </c>
      <c r="C30" s="33" t="s">
        <v>9</v>
      </c>
      <c r="D30" s="16">
        <v>0.52410000000000001</v>
      </c>
      <c r="E30" s="16">
        <v>0.47589999999999999</v>
      </c>
      <c r="F30" s="35" t="s">
        <v>160</v>
      </c>
      <c r="G30" s="37">
        <v>1</v>
      </c>
      <c r="H30" s="37">
        <v>1</v>
      </c>
      <c r="I30" s="37">
        <v>1</v>
      </c>
      <c r="J30" s="37">
        <v>24</v>
      </c>
      <c r="K30" s="37">
        <v>13</v>
      </c>
      <c r="L30" s="37">
        <v>11</v>
      </c>
      <c r="M30" s="37">
        <f>IF(AND(G30=1,J30&lt;24),20,IF(AND(G30=1,J30=24),30,13))</f>
        <v>30</v>
      </c>
      <c r="N30" s="37">
        <f t="shared" ref="N30:N52" si="1">IF(AND(H30=1,J30&lt;24),20,IF(AND(H30=1,J30=24),30,17))</f>
        <v>30</v>
      </c>
      <c r="O30" s="37">
        <f t="shared" ref="O30:O88" si="2">IF(AND(G30=1,J30&lt;24),20,IF(AND(G30=1,J30=24),30,15))</f>
        <v>30</v>
      </c>
      <c r="P30" s="37">
        <f t="shared" ref="P30:P88" si="3">IF(M30=13,20,M30)</f>
        <v>30</v>
      </c>
      <c r="Q30" s="104">
        <v>6000</v>
      </c>
      <c r="S30" s="31">
        <f t="shared" ref="S30:S88" si="4">+((((((($B$21*$C$21)+Q30)*D30/30)*O30)/11*L30))+(((((($B$21*$C$21)+Q30)*E30/30)*O30)/13*K30)))*(I30)*(1+$AI30)</f>
        <v>24052047.148552727</v>
      </c>
      <c r="T30" s="31">
        <f t="shared" ref="T30:T88" si="5">+((((((($B$21*$C$21)+Q30)*D30/30)*P30)/11*L30))+(((((($B$21*$C$21)+Q30)*E30/30)*P30)/13*K30)))*(I30)*(1+$AI30)</f>
        <v>24052047.148552727</v>
      </c>
      <c r="U30" s="31">
        <f t="shared" ref="U30:U88" si="6">+((((((($B$21*$C$21)+Q30)*D30/30)*N30)/11*L30))+(((((($B$21*$C$21)+Q30)*E30/30)*N30)/13*K30)))*(I30)*(1+$AI30)</f>
        <v>24052047.148552727</v>
      </c>
      <c r="V30" s="31">
        <f t="shared" ref="V30:V88" si="7">+((((((($B$21*$C$21)+Q30)*D30/30)*P30)/11*L30))+(((((($B$21*$C$21)+Q30)*E30/30)*P30)/13*K30)))*(I30)*(1+$AI30)</f>
        <v>24052047.148552727</v>
      </c>
      <c r="W30" s="31">
        <f t="shared" ref="W30:W88" si="8">+((((((($B$21*$C$21)+Q30)*D30/30)*P30)/11*L30))+(((((($B$21*$C$21)+Q30)*E30/30)*P30)/13*K30)))*(I30)*(1+$AI30)</f>
        <v>24052047.148552727</v>
      </c>
      <c r="X30" s="31">
        <f t="shared" ref="X30:AC61" si="9">+((((((($B$21*$C$21)+$Q30)*$D30/30)*$P30)/11*$L30))+(((((($B$21*$C$21)+$Q30)*$E30/30)*$P30)/13*$K30)))*($I30)*(1+$AI30)</f>
        <v>24052047.148552727</v>
      </c>
      <c r="Y30" s="31">
        <f t="shared" si="0"/>
        <v>24052047.148552727</v>
      </c>
      <c r="Z30" s="31">
        <f t="shared" si="0"/>
        <v>24052047.148552727</v>
      </c>
      <c r="AA30" s="31">
        <f t="shared" si="0"/>
        <v>24052047.148552727</v>
      </c>
      <c r="AB30" s="31">
        <f t="shared" si="0"/>
        <v>24052047.148552727</v>
      </c>
      <c r="AC30" s="31">
        <f t="shared" si="0"/>
        <v>24052047.148552727</v>
      </c>
      <c r="AD30" s="31">
        <f t="shared" ref="AD30:AD88" si="10">+((((((($B$21*$C$21)+$Q30)*$D30/30)*$M30)/11*$L30))+(((((($B$21*$C$21)+$Q30)*$E30/30)*$M30)/13*$K30)))*($I30)*(1+$AI30)</f>
        <v>24052047.148552727</v>
      </c>
      <c r="AE30" s="99"/>
      <c r="AF30" s="31">
        <f>SUM(S30:AD30)</f>
        <v>288624565.78263265</v>
      </c>
      <c r="AG30" s="99">
        <f t="shared" ref="AG30:AG88" si="11">IF(AD30=AC30,1,0)</f>
        <v>1</v>
      </c>
      <c r="AH30" s="99">
        <f t="shared" ref="AH30:AH88" si="12">IF(G30&gt;=1,1,0)</f>
        <v>1</v>
      </c>
      <c r="AI30" s="102">
        <v>0.08</v>
      </c>
      <c r="AL30" s="48" t="b">
        <f t="shared" ref="AL30:AL88" si="13">AG30=AH30</f>
        <v>1</v>
      </c>
    </row>
    <row r="31" spans="1:40" ht="23.1">
      <c r="A31" s="110"/>
      <c r="B31" s="33" t="s">
        <v>10</v>
      </c>
      <c r="C31" s="33" t="s">
        <v>161</v>
      </c>
      <c r="D31" s="16">
        <v>0.52410000000000001</v>
      </c>
      <c r="E31" s="16">
        <v>0.47589999999999999</v>
      </c>
      <c r="F31" s="35" t="s">
        <v>162</v>
      </c>
      <c r="G31" s="37"/>
      <c r="H31" s="37"/>
      <c r="I31" s="37">
        <v>1</v>
      </c>
      <c r="J31" s="37">
        <v>12</v>
      </c>
      <c r="K31" s="37">
        <v>12</v>
      </c>
      <c r="L31" s="37"/>
      <c r="M31" s="37">
        <f t="shared" ref="M31:M60" si="14">IF(AND(G31=1,J31&lt;24),20,IF(AND(G31=1,J31=24),30,13))</f>
        <v>13</v>
      </c>
      <c r="N31" s="37">
        <f t="shared" si="1"/>
        <v>17</v>
      </c>
      <c r="O31" s="37">
        <f t="shared" si="2"/>
        <v>15</v>
      </c>
      <c r="P31" s="37">
        <f t="shared" si="3"/>
        <v>20</v>
      </c>
      <c r="Q31" s="104">
        <v>2000</v>
      </c>
      <c r="R31"/>
      <c r="S31" s="31">
        <f t="shared" si="4"/>
        <v>5428712.7429469349</v>
      </c>
      <c r="T31" s="31">
        <f t="shared" si="5"/>
        <v>7238283.6572625805</v>
      </c>
      <c r="U31" s="31">
        <f t="shared" si="6"/>
        <v>6152541.1086731935</v>
      </c>
      <c r="V31" s="31">
        <f t="shared" si="7"/>
        <v>7238283.6572625805</v>
      </c>
      <c r="W31" s="31">
        <f t="shared" si="8"/>
        <v>7238283.6572625805</v>
      </c>
      <c r="X31" s="31">
        <f t="shared" si="9"/>
        <v>7238283.6572625805</v>
      </c>
      <c r="Y31" s="31">
        <f t="shared" si="0"/>
        <v>7238283.6572625805</v>
      </c>
      <c r="Z31" s="31">
        <f t="shared" si="0"/>
        <v>7238283.6572625805</v>
      </c>
      <c r="AA31" s="31">
        <f t="shared" si="0"/>
        <v>7238283.6572625805</v>
      </c>
      <c r="AB31" s="31">
        <f t="shared" si="0"/>
        <v>7238283.6572625805</v>
      </c>
      <c r="AC31" s="31">
        <f t="shared" si="0"/>
        <v>7238283.6572625805</v>
      </c>
      <c r="AD31" s="31">
        <f t="shared" si="10"/>
        <v>4704884.3772206781</v>
      </c>
      <c r="AE31" s="98"/>
      <c r="AF31" s="31">
        <f>SUM(S31:AD31)</f>
        <v>81430691.144204021</v>
      </c>
      <c r="AG31" s="99">
        <f t="shared" si="11"/>
        <v>0</v>
      </c>
      <c r="AH31" s="99">
        <f t="shared" si="12"/>
        <v>0</v>
      </c>
      <c r="AI31" s="103">
        <v>0.11</v>
      </c>
      <c r="AJ31"/>
      <c r="AK31"/>
      <c r="AL31" s="48" t="b">
        <f t="shared" si="13"/>
        <v>1</v>
      </c>
      <c r="AM31"/>
      <c r="AN31"/>
    </row>
    <row r="32" spans="1:40" ht="23.1">
      <c r="A32" s="110"/>
      <c r="B32" s="33" t="s">
        <v>12</v>
      </c>
      <c r="C32" s="33" t="s">
        <v>13</v>
      </c>
      <c r="D32" s="16">
        <v>0.52410000000000001</v>
      </c>
      <c r="E32" s="16">
        <v>0.47589999999999999</v>
      </c>
      <c r="F32" s="35" t="s">
        <v>160</v>
      </c>
      <c r="G32" s="37"/>
      <c r="H32" s="37"/>
      <c r="I32" s="37">
        <v>1</v>
      </c>
      <c r="J32" s="37">
        <v>9</v>
      </c>
      <c r="K32" s="37">
        <v>9</v>
      </c>
      <c r="L32" s="37"/>
      <c r="M32" s="37">
        <f t="shared" si="14"/>
        <v>13</v>
      </c>
      <c r="N32" s="37">
        <f t="shared" si="1"/>
        <v>17</v>
      </c>
      <c r="O32" s="37">
        <f t="shared" si="2"/>
        <v>15</v>
      </c>
      <c r="P32" s="37">
        <f t="shared" si="3"/>
        <v>20</v>
      </c>
      <c r="Q32" s="104">
        <v>2000</v>
      </c>
      <c r="R32"/>
      <c r="S32" s="31">
        <f t="shared" si="4"/>
        <v>3961493.0826910068</v>
      </c>
      <c r="T32" s="31">
        <f t="shared" si="5"/>
        <v>5281990.7769213421</v>
      </c>
      <c r="U32" s="31">
        <f t="shared" si="6"/>
        <v>4489692.1603831416</v>
      </c>
      <c r="V32" s="31">
        <f t="shared" si="7"/>
        <v>5281990.7769213421</v>
      </c>
      <c r="W32" s="31">
        <f t="shared" si="8"/>
        <v>5281990.7769213421</v>
      </c>
      <c r="X32" s="31">
        <f t="shared" si="9"/>
        <v>5281990.7769213421</v>
      </c>
      <c r="Y32" s="31">
        <f t="shared" si="0"/>
        <v>5281990.7769213421</v>
      </c>
      <c r="Z32" s="31">
        <f t="shared" si="0"/>
        <v>5281990.7769213421</v>
      </c>
      <c r="AA32" s="31">
        <f t="shared" si="0"/>
        <v>5281990.7769213421</v>
      </c>
      <c r="AB32" s="31">
        <f t="shared" si="0"/>
        <v>5281990.7769213421</v>
      </c>
      <c r="AC32" s="31">
        <f t="shared" si="0"/>
        <v>5281990.7769213421</v>
      </c>
      <c r="AD32" s="31">
        <f t="shared" si="10"/>
        <v>3433294.0049988725</v>
      </c>
      <c r="AE32" s="98"/>
      <c r="AF32" s="31">
        <f t="shared" ref="AF32:AF88" si="15">SUM(S32:AD32)</f>
        <v>59422396.240365088</v>
      </c>
      <c r="AG32" s="99">
        <f t="shared" si="11"/>
        <v>0</v>
      </c>
      <c r="AH32" s="99">
        <f t="shared" si="12"/>
        <v>0</v>
      </c>
      <c r="AI32" s="103">
        <v>0.08</v>
      </c>
      <c r="AJ32"/>
      <c r="AK32"/>
      <c r="AL32" s="48" t="b">
        <f t="shared" si="13"/>
        <v>1</v>
      </c>
      <c r="AM32"/>
      <c r="AN32"/>
    </row>
    <row r="33" spans="1:40" ht="34.5">
      <c r="A33" s="110"/>
      <c r="B33" s="33" t="s">
        <v>14</v>
      </c>
      <c r="C33" s="33" t="s">
        <v>15</v>
      </c>
      <c r="D33" s="16">
        <v>0.52410000000000001</v>
      </c>
      <c r="E33" s="16">
        <v>0.47589999999999999</v>
      </c>
      <c r="F33" s="35" t="s">
        <v>160</v>
      </c>
      <c r="G33" s="37"/>
      <c r="H33" s="37"/>
      <c r="I33" s="37">
        <v>1</v>
      </c>
      <c r="J33" s="37">
        <v>11</v>
      </c>
      <c r="K33" s="37">
        <v>11</v>
      </c>
      <c r="L33" s="37"/>
      <c r="M33" s="37">
        <f t="shared" si="14"/>
        <v>13</v>
      </c>
      <c r="N33" s="37">
        <f t="shared" si="1"/>
        <v>17</v>
      </c>
      <c r="O33" s="37">
        <f t="shared" si="2"/>
        <v>15</v>
      </c>
      <c r="P33" s="37">
        <f t="shared" si="3"/>
        <v>20</v>
      </c>
      <c r="Q33" s="104">
        <v>2000</v>
      </c>
      <c r="R33"/>
      <c r="S33" s="31">
        <f t="shared" si="4"/>
        <v>4841824.8788445648</v>
      </c>
      <c r="T33" s="31">
        <f t="shared" si="5"/>
        <v>6455766.5051260861</v>
      </c>
      <c r="U33" s="31">
        <f t="shared" si="6"/>
        <v>5487401.5293571725</v>
      </c>
      <c r="V33" s="31">
        <f t="shared" si="7"/>
        <v>6455766.5051260861</v>
      </c>
      <c r="W33" s="31">
        <f t="shared" si="8"/>
        <v>6455766.5051260861</v>
      </c>
      <c r="X33" s="31">
        <f t="shared" si="9"/>
        <v>6455766.5051260861</v>
      </c>
      <c r="Y33" s="31">
        <f t="shared" si="0"/>
        <v>6455766.5051260861</v>
      </c>
      <c r="Z33" s="31">
        <f t="shared" si="0"/>
        <v>6455766.5051260861</v>
      </c>
      <c r="AA33" s="31">
        <f t="shared" si="0"/>
        <v>6455766.5051260861</v>
      </c>
      <c r="AB33" s="31">
        <f t="shared" si="0"/>
        <v>6455766.5051260861</v>
      </c>
      <c r="AC33" s="31">
        <f t="shared" si="0"/>
        <v>6455766.5051260861</v>
      </c>
      <c r="AD33" s="31">
        <f t="shared" si="10"/>
        <v>4196248.2283319551</v>
      </c>
      <c r="AE33" s="98"/>
      <c r="AF33" s="31">
        <f t="shared" si="15"/>
        <v>72627373.182668477</v>
      </c>
      <c r="AG33" s="99">
        <f t="shared" si="11"/>
        <v>0</v>
      </c>
      <c r="AH33" s="99">
        <f t="shared" si="12"/>
        <v>0</v>
      </c>
      <c r="AI33" s="103">
        <v>0.08</v>
      </c>
      <c r="AJ33"/>
      <c r="AK33"/>
      <c r="AL33" s="48" t="b">
        <f t="shared" si="13"/>
        <v>1</v>
      </c>
      <c r="AM33"/>
      <c r="AN33"/>
    </row>
    <row r="34" spans="1:40" ht="34.5">
      <c r="A34" s="110"/>
      <c r="B34" s="33" t="s">
        <v>16</v>
      </c>
      <c r="C34" s="33" t="s">
        <v>15</v>
      </c>
      <c r="D34" s="16">
        <v>0.52410000000000001</v>
      </c>
      <c r="E34" s="16">
        <v>0.47589999999999999</v>
      </c>
      <c r="F34" s="35" t="s">
        <v>160</v>
      </c>
      <c r="G34" s="37">
        <v>1</v>
      </c>
      <c r="H34" s="37"/>
      <c r="I34" s="37">
        <v>1</v>
      </c>
      <c r="J34" s="37">
        <v>11</v>
      </c>
      <c r="K34" s="37">
        <v>11</v>
      </c>
      <c r="L34" s="37"/>
      <c r="M34" s="37">
        <f t="shared" si="14"/>
        <v>20</v>
      </c>
      <c r="N34" s="37">
        <f t="shared" si="1"/>
        <v>17</v>
      </c>
      <c r="O34" s="37">
        <f t="shared" si="2"/>
        <v>20</v>
      </c>
      <c r="P34" s="37">
        <f t="shared" si="3"/>
        <v>20</v>
      </c>
      <c r="Q34" s="104">
        <v>2000</v>
      </c>
      <c r="R34"/>
      <c r="S34" s="31">
        <f t="shared" si="4"/>
        <v>6455766.5051260861</v>
      </c>
      <c r="T34" s="31">
        <f t="shared" si="5"/>
        <v>6455766.5051260861</v>
      </c>
      <c r="U34" s="31">
        <f t="shared" si="6"/>
        <v>5487401.5293571725</v>
      </c>
      <c r="V34" s="31">
        <f t="shared" si="7"/>
        <v>6455766.5051260861</v>
      </c>
      <c r="W34" s="31">
        <f t="shared" si="8"/>
        <v>6455766.5051260861</v>
      </c>
      <c r="X34" s="31">
        <f t="shared" si="9"/>
        <v>6455766.5051260861</v>
      </c>
      <c r="Y34" s="31">
        <f t="shared" si="0"/>
        <v>6455766.5051260861</v>
      </c>
      <c r="Z34" s="31">
        <f t="shared" si="0"/>
        <v>6455766.5051260861</v>
      </c>
      <c r="AA34" s="31">
        <f t="shared" si="0"/>
        <v>6455766.5051260861</v>
      </c>
      <c r="AB34" s="31">
        <f t="shared" si="0"/>
        <v>6455766.5051260861</v>
      </c>
      <c r="AC34" s="31">
        <f t="shared" si="0"/>
        <v>6455766.5051260861</v>
      </c>
      <c r="AD34" s="31">
        <f t="shared" si="10"/>
        <v>6455766.5051260861</v>
      </c>
      <c r="AE34" s="98"/>
      <c r="AF34" s="31">
        <f t="shared" si="15"/>
        <v>76500833.085744128</v>
      </c>
      <c r="AG34" s="99">
        <f t="shared" si="11"/>
        <v>1</v>
      </c>
      <c r="AH34" s="99">
        <f t="shared" si="12"/>
        <v>1</v>
      </c>
      <c r="AI34" s="103">
        <v>0.08</v>
      </c>
      <c r="AJ34"/>
      <c r="AK34"/>
      <c r="AL34" s="48" t="b">
        <f t="shared" si="13"/>
        <v>1</v>
      </c>
      <c r="AM34"/>
      <c r="AN34"/>
    </row>
    <row r="35" spans="1:40" ht="23.1">
      <c r="A35" s="110"/>
      <c r="B35" s="33" t="s">
        <v>17</v>
      </c>
      <c r="C35" s="33" t="s">
        <v>15</v>
      </c>
      <c r="D35" s="16">
        <v>0.52410000000000001</v>
      </c>
      <c r="E35" s="16">
        <v>0.47589999999999999</v>
      </c>
      <c r="F35" s="35" t="s">
        <v>160</v>
      </c>
      <c r="G35" s="37"/>
      <c r="H35" s="37"/>
      <c r="I35" s="37">
        <v>1</v>
      </c>
      <c r="J35" s="37">
        <v>11</v>
      </c>
      <c r="K35" s="37">
        <v>11</v>
      </c>
      <c r="L35" s="37"/>
      <c r="M35" s="37">
        <f t="shared" si="14"/>
        <v>13</v>
      </c>
      <c r="N35" s="37">
        <f>IF(AND(H35=1,J35&lt;24),20,IF(AND(H35=1,J35=24),30,17))</f>
        <v>17</v>
      </c>
      <c r="O35" s="37">
        <f t="shared" si="2"/>
        <v>15</v>
      </c>
      <c r="P35" s="37">
        <f t="shared" si="3"/>
        <v>20</v>
      </c>
      <c r="Q35" s="104">
        <v>2000</v>
      </c>
      <c r="R35"/>
      <c r="S35" s="31">
        <f t="shared" si="4"/>
        <v>4841824.8788445648</v>
      </c>
      <c r="T35" s="31">
        <f t="shared" si="5"/>
        <v>6455766.5051260861</v>
      </c>
      <c r="U35" s="31">
        <f t="shared" si="6"/>
        <v>5487401.5293571725</v>
      </c>
      <c r="V35" s="31">
        <f t="shared" si="7"/>
        <v>6455766.5051260861</v>
      </c>
      <c r="W35" s="31">
        <f t="shared" si="8"/>
        <v>6455766.5051260861</v>
      </c>
      <c r="X35" s="31">
        <f t="shared" si="9"/>
        <v>6455766.5051260861</v>
      </c>
      <c r="Y35" s="31">
        <f t="shared" si="0"/>
        <v>6455766.5051260861</v>
      </c>
      <c r="Z35" s="31">
        <f t="shared" si="0"/>
        <v>6455766.5051260861</v>
      </c>
      <c r="AA35" s="31">
        <f t="shared" si="0"/>
        <v>6455766.5051260861</v>
      </c>
      <c r="AB35" s="31">
        <f t="shared" si="0"/>
        <v>6455766.5051260861</v>
      </c>
      <c r="AC35" s="31">
        <f t="shared" si="0"/>
        <v>6455766.5051260861</v>
      </c>
      <c r="AD35" s="31">
        <f t="shared" si="10"/>
        <v>4196248.2283319551</v>
      </c>
      <c r="AE35" s="98"/>
      <c r="AF35" s="31">
        <f t="shared" si="15"/>
        <v>72627373.182668477</v>
      </c>
      <c r="AG35" s="99">
        <f t="shared" si="11"/>
        <v>0</v>
      </c>
      <c r="AH35" s="99">
        <f t="shared" si="12"/>
        <v>0</v>
      </c>
      <c r="AI35" s="103">
        <v>0.08</v>
      </c>
      <c r="AJ35"/>
      <c r="AK35"/>
      <c r="AL35" s="48" t="b">
        <f t="shared" si="13"/>
        <v>1</v>
      </c>
      <c r="AM35"/>
      <c r="AN35"/>
    </row>
    <row r="36" spans="1:40" ht="34.5">
      <c r="A36" s="110"/>
      <c r="B36" s="33" t="s">
        <v>18</v>
      </c>
      <c r="C36" s="33" t="s">
        <v>15</v>
      </c>
      <c r="D36" s="16">
        <v>0.52410000000000001</v>
      </c>
      <c r="E36" s="16">
        <v>0.47589999999999999</v>
      </c>
      <c r="F36" s="35" t="s">
        <v>160</v>
      </c>
      <c r="G36" s="37"/>
      <c r="H36" s="37"/>
      <c r="I36" s="37">
        <v>1</v>
      </c>
      <c r="J36" s="37">
        <v>11</v>
      </c>
      <c r="K36" s="37">
        <v>11</v>
      </c>
      <c r="L36" s="37"/>
      <c r="M36" s="37">
        <f t="shared" si="14"/>
        <v>13</v>
      </c>
      <c r="N36" s="37">
        <f t="shared" si="1"/>
        <v>17</v>
      </c>
      <c r="O36" s="37">
        <f t="shared" si="2"/>
        <v>15</v>
      </c>
      <c r="P36" s="37">
        <f t="shared" si="3"/>
        <v>20</v>
      </c>
      <c r="Q36" s="104">
        <v>2000</v>
      </c>
      <c r="R36"/>
      <c r="S36" s="31">
        <f t="shared" si="4"/>
        <v>4841824.8788445648</v>
      </c>
      <c r="T36" s="31">
        <f t="shared" si="5"/>
        <v>6455766.5051260861</v>
      </c>
      <c r="U36" s="31">
        <f t="shared" si="6"/>
        <v>5487401.5293571725</v>
      </c>
      <c r="V36" s="31">
        <f t="shared" si="7"/>
        <v>6455766.5051260861</v>
      </c>
      <c r="W36" s="31">
        <f t="shared" si="8"/>
        <v>6455766.5051260861</v>
      </c>
      <c r="X36" s="31">
        <f t="shared" si="9"/>
        <v>6455766.5051260861</v>
      </c>
      <c r="Y36" s="31">
        <f t="shared" si="0"/>
        <v>6455766.5051260861</v>
      </c>
      <c r="Z36" s="31">
        <f t="shared" si="0"/>
        <v>6455766.5051260861</v>
      </c>
      <c r="AA36" s="31">
        <f t="shared" si="0"/>
        <v>6455766.5051260861</v>
      </c>
      <c r="AB36" s="31">
        <f t="shared" si="0"/>
        <v>6455766.5051260861</v>
      </c>
      <c r="AC36" s="31">
        <f t="shared" si="0"/>
        <v>6455766.5051260861</v>
      </c>
      <c r="AD36" s="31">
        <f t="shared" si="10"/>
        <v>4196248.2283319551</v>
      </c>
      <c r="AE36" s="98"/>
      <c r="AF36" s="31">
        <f t="shared" si="15"/>
        <v>72627373.182668477</v>
      </c>
      <c r="AG36" s="99">
        <f t="shared" si="11"/>
        <v>0</v>
      </c>
      <c r="AH36" s="99">
        <f t="shared" si="12"/>
        <v>0</v>
      </c>
      <c r="AI36" s="103">
        <v>0.08</v>
      </c>
      <c r="AJ36"/>
      <c r="AK36"/>
      <c r="AL36" s="48" t="b">
        <f t="shared" si="13"/>
        <v>1</v>
      </c>
      <c r="AM36"/>
      <c r="AN36"/>
    </row>
    <row r="37" spans="1:40" ht="34.5">
      <c r="A37" s="110"/>
      <c r="B37" s="33" t="s">
        <v>19</v>
      </c>
      <c r="C37" s="33" t="s">
        <v>15</v>
      </c>
      <c r="D37" s="16">
        <v>0.52410000000000001</v>
      </c>
      <c r="E37" s="16">
        <v>0.47589999999999999</v>
      </c>
      <c r="F37" s="35" t="s">
        <v>160</v>
      </c>
      <c r="G37" s="37"/>
      <c r="H37" s="37"/>
      <c r="I37" s="37">
        <v>1</v>
      </c>
      <c r="J37" s="37">
        <v>11</v>
      </c>
      <c r="K37" s="37">
        <v>11</v>
      </c>
      <c r="L37" s="37"/>
      <c r="M37" s="37">
        <f t="shared" si="14"/>
        <v>13</v>
      </c>
      <c r="N37" s="37">
        <f t="shared" si="1"/>
        <v>17</v>
      </c>
      <c r="O37" s="37">
        <f>IF(AND(G37=1,J37&lt;24),20,IF(AND(G37=1,J37=24),30,15))</f>
        <v>15</v>
      </c>
      <c r="P37" s="37">
        <f t="shared" si="3"/>
        <v>20</v>
      </c>
      <c r="Q37" s="104">
        <v>2000</v>
      </c>
      <c r="R37"/>
      <c r="S37" s="31">
        <f t="shared" si="4"/>
        <v>4841824.8788445648</v>
      </c>
      <c r="T37" s="31">
        <f t="shared" si="5"/>
        <v>6455766.5051260861</v>
      </c>
      <c r="U37" s="31">
        <f t="shared" si="6"/>
        <v>5487401.5293571725</v>
      </c>
      <c r="V37" s="31">
        <f t="shared" si="7"/>
        <v>6455766.5051260861</v>
      </c>
      <c r="W37" s="31">
        <f t="shared" si="8"/>
        <v>6455766.5051260861</v>
      </c>
      <c r="X37" s="31">
        <f t="shared" si="9"/>
        <v>6455766.5051260861</v>
      </c>
      <c r="Y37" s="31">
        <f t="shared" si="0"/>
        <v>6455766.5051260861</v>
      </c>
      <c r="Z37" s="31">
        <f t="shared" si="0"/>
        <v>6455766.5051260861</v>
      </c>
      <c r="AA37" s="31">
        <f t="shared" si="0"/>
        <v>6455766.5051260861</v>
      </c>
      <c r="AB37" s="31">
        <f t="shared" si="0"/>
        <v>6455766.5051260861</v>
      </c>
      <c r="AC37" s="31">
        <f t="shared" si="0"/>
        <v>6455766.5051260861</v>
      </c>
      <c r="AD37" s="31">
        <f t="shared" si="10"/>
        <v>4196248.2283319551</v>
      </c>
      <c r="AE37" s="98"/>
      <c r="AF37" s="31">
        <f t="shared" si="15"/>
        <v>72627373.182668477</v>
      </c>
      <c r="AG37" s="99">
        <f t="shared" si="11"/>
        <v>0</v>
      </c>
      <c r="AH37" s="99">
        <f t="shared" si="12"/>
        <v>0</v>
      </c>
      <c r="AI37" s="103">
        <v>0.08</v>
      </c>
      <c r="AJ37"/>
      <c r="AK37"/>
      <c r="AL37" s="48" t="b">
        <f t="shared" si="13"/>
        <v>1</v>
      </c>
      <c r="AM37"/>
      <c r="AN37"/>
    </row>
    <row r="38" spans="1:40" ht="57.6">
      <c r="A38" s="110"/>
      <c r="B38" s="33" t="s">
        <v>20</v>
      </c>
      <c r="C38" s="33" t="s">
        <v>21</v>
      </c>
      <c r="D38" s="16">
        <v>0.52410000000000001</v>
      </c>
      <c r="E38" s="16">
        <v>0.47589999999999999</v>
      </c>
      <c r="F38" s="35" t="s">
        <v>160</v>
      </c>
      <c r="G38" s="37">
        <v>1</v>
      </c>
      <c r="H38" s="37"/>
      <c r="I38" s="37">
        <v>1</v>
      </c>
      <c r="J38" s="37">
        <v>12</v>
      </c>
      <c r="K38" s="37">
        <v>12</v>
      </c>
      <c r="L38" s="37"/>
      <c r="M38" s="37">
        <f>IF(AND(G38=1,J38&lt;24),20,IF(AND(G38=1,J38=24),30,13))</f>
        <v>20</v>
      </c>
      <c r="N38" s="37">
        <f t="shared" si="1"/>
        <v>17</v>
      </c>
      <c r="O38" s="37">
        <f t="shared" si="2"/>
        <v>20</v>
      </c>
      <c r="P38" s="37">
        <f t="shared" si="3"/>
        <v>20</v>
      </c>
      <c r="Q38" s="104">
        <v>2000</v>
      </c>
      <c r="R38"/>
      <c r="S38" s="31">
        <f t="shared" si="4"/>
        <v>7042654.3692284571</v>
      </c>
      <c r="T38" s="31">
        <f t="shared" si="5"/>
        <v>7042654.3692284571</v>
      </c>
      <c r="U38" s="31">
        <f t="shared" si="6"/>
        <v>5986256.2138441885</v>
      </c>
      <c r="V38" s="31">
        <f t="shared" si="7"/>
        <v>7042654.3692284571</v>
      </c>
      <c r="W38" s="31">
        <f t="shared" si="8"/>
        <v>7042654.3692284571</v>
      </c>
      <c r="X38" s="31">
        <f t="shared" si="9"/>
        <v>7042654.3692284571</v>
      </c>
      <c r="Y38" s="31">
        <f t="shared" si="0"/>
        <v>7042654.3692284571</v>
      </c>
      <c r="Z38" s="31">
        <f t="shared" si="0"/>
        <v>7042654.3692284571</v>
      </c>
      <c r="AA38" s="31">
        <f t="shared" si="0"/>
        <v>7042654.3692284571</v>
      </c>
      <c r="AB38" s="31">
        <f t="shared" si="0"/>
        <v>7042654.3692284571</v>
      </c>
      <c r="AC38" s="31">
        <f t="shared" si="0"/>
        <v>7042654.3692284571</v>
      </c>
      <c r="AD38" s="31">
        <f t="shared" si="10"/>
        <v>7042654.3692284571</v>
      </c>
      <c r="AE38" s="98"/>
      <c r="AF38" s="31">
        <f t="shared" si="15"/>
        <v>83455454.275357217</v>
      </c>
      <c r="AG38" s="99">
        <f t="shared" si="11"/>
        <v>1</v>
      </c>
      <c r="AH38" s="99">
        <f t="shared" si="12"/>
        <v>1</v>
      </c>
      <c r="AI38" s="103">
        <v>0.08</v>
      </c>
      <c r="AJ38"/>
      <c r="AK38"/>
      <c r="AL38" s="48" t="b">
        <f t="shared" si="13"/>
        <v>1</v>
      </c>
      <c r="AM38"/>
      <c r="AN38"/>
    </row>
    <row r="39" spans="1:40" ht="34.5">
      <c r="A39" s="110"/>
      <c r="B39" s="33" t="s">
        <v>22</v>
      </c>
      <c r="C39" s="33" t="s">
        <v>23</v>
      </c>
      <c r="D39" s="16">
        <v>0.52410000000000001</v>
      </c>
      <c r="E39" s="16">
        <v>0.47589999999999999</v>
      </c>
      <c r="F39" s="35" t="s">
        <v>160</v>
      </c>
      <c r="G39" s="37">
        <v>1</v>
      </c>
      <c r="H39" s="37"/>
      <c r="I39" s="37">
        <v>1</v>
      </c>
      <c r="J39" s="37">
        <v>12</v>
      </c>
      <c r="K39" s="37">
        <v>12</v>
      </c>
      <c r="L39" s="37"/>
      <c r="M39" s="37">
        <f t="shared" si="14"/>
        <v>20</v>
      </c>
      <c r="N39" s="37">
        <f>IF(AND(H39=1,J39&lt;24),20,IF(AND(H39=1,J39=24),30,17))</f>
        <v>17</v>
      </c>
      <c r="O39" s="37">
        <f t="shared" si="2"/>
        <v>20</v>
      </c>
      <c r="P39" s="37">
        <f t="shared" si="3"/>
        <v>20</v>
      </c>
      <c r="Q39" s="104">
        <v>2000</v>
      </c>
      <c r="R39"/>
      <c r="S39" s="31">
        <f t="shared" si="4"/>
        <v>7042654.3692284571</v>
      </c>
      <c r="T39" s="31">
        <f t="shared" si="5"/>
        <v>7042654.3692284571</v>
      </c>
      <c r="U39" s="31">
        <f t="shared" si="6"/>
        <v>5986256.2138441885</v>
      </c>
      <c r="V39" s="31">
        <f t="shared" si="7"/>
        <v>7042654.3692284571</v>
      </c>
      <c r="W39" s="31">
        <f t="shared" si="8"/>
        <v>7042654.3692284571</v>
      </c>
      <c r="X39" s="31">
        <f t="shared" si="9"/>
        <v>7042654.3692284571</v>
      </c>
      <c r="Y39" s="31">
        <f t="shared" si="0"/>
        <v>7042654.3692284571</v>
      </c>
      <c r="Z39" s="31">
        <f t="shared" si="0"/>
        <v>7042654.3692284571</v>
      </c>
      <c r="AA39" s="31">
        <f t="shared" si="0"/>
        <v>7042654.3692284571</v>
      </c>
      <c r="AB39" s="31">
        <f t="shared" si="0"/>
        <v>7042654.3692284571</v>
      </c>
      <c r="AC39" s="31">
        <f t="shared" si="0"/>
        <v>7042654.3692284571</v>
      </c>
      <c r="AD39" s="31">
        <f t="shared" si="10"/>
        <v>7042654.3692284571</v>
      </c>
      <c r="AE39" s="98"/>
      <c r="AF39" s="31">
        <f t="shared" si="15"/>
        <v>83455454.275357217</v>
      </c>
      <c r="AG39" s="99">
        <f t="shared" si="11"/>
        <v>1</v>
      </c>
      <c r="AH39" s="99">
        <f t="shared" si="12"/>
        <v>1</v>
      </c>
      <c r="AI39" s="103">
        <v>0.08</v>
      </c>
      <c r="AJ39"/>
      <c r="AK39"/>
      <c r="AL39" s="48" t="b">
        <f t="shared" si="13"/>
        <v>1</v>
      </c>
      <c r="AM39"/>
      <c r="AN39"/>
    </row>
    <row r="40" spans="1:40" ht="34.5">
      <c r="A40" s="110"/>
      <c r="B40" s="33" t="s">
        <v>24</v>
      </c>
      <c r="C40" s="33" t="s">
        <v>25</v>
      </c>
      <c r="D40" s="16">
        <v>0.52410000000000001</v>
      </c>
      <c r="E40" s="16">
        <v>0.47589999999999999</v>
      </c>
      <c r="F40" s="35" t="s">
        <v>160</v>
      </c>
      <c r="G40" s="37">
        <v>1</v>
      </c>
      <c r="H40" s="37"/>
      <c r="I40" s="37">
        <v>1</v>
      </c>
      <c r="J40" s="37">
        <v>12</v>
      </c>
      <c r="K40" s="37">
        <v>11</v>
      </c>
      <c r="L40" s="37">
        <v>1</v>
      </c>
      <c r="M40" s="37">
        <f t="shared" si="14"/>
        <v>20</v>
      </c>
      <c r="N40" s="37">
        <f t="shared" si="1"/>
        <v>17</v>
      </c>
      <c r="O40" s="37">
        <f t="shared" si="2"/>
        <v>20</v>
      </c>
      <c r="P40" s="37">
        <f t="shared" si="3"/>
        <v>20</v>
      </c>
      <c r="Q40" s="104">
        <v>2000</v>
      </c>
      <c r="S40" s="31">
        <f t="shared" si="4"/>
        <v>7219609.7656446602</v>
      </c>
      <c r="T40" s="31">
        <f t="shared" si="5"/>
        <v>7219609.7656446602</v>
      </c>
      <c r="U40" s="31">
        <f t="shared" si="6"/>
        <v>6136668.3007979607</v>
      </c>
      <c r="V40" s="31">
        <f t="shared" si="7"/>
        <v>7219609.7656446602</v>
      </c>
      <c r="W40" s="31">
        <f t="shared" si="8"/>
        <v>7219609.7656446602</v>
      </c>
      <c r="X40" s="31">
        <f t="shared" si="9"/>
        <v>7219609.7656446602</v>
      </c>
      <c r="Y40" s="31">
        <f t="shared" si="0"/>
        <v>7219609.7656446602</v>
      </c>
      <c r="Z40" s="31">
        <f t="shared" si="0"/>
        <v>7219609.7656446602</v>
      </c>
      <c r="AA40" s="31">
        <f t="shared" si="0"/>
        <v>7219609.7656446602</v>
      </c>
      <c r="AB40" s="31">
        <f t="shared" si="0"/>
        <v>7219609.7656446602</v>
      </c>
      <c r="AC40" s="31">
        <f t="shared" si="0"/>
        <v>7219609.7656446602</v>
      </c>
      <c r="AD40" s="31">
        <f t="shared" si="10"/>
        <v>7219609.7656446602</v>
      </c>
      <c r="AE40" s="99"/>
      <c r="AF40" s="31">
        <f t="shared" si="15"/>
        <v>85552375.722889215</v>
      </c>
      <c r="AG40" s="99">
        <f t="shared" si="11"/>
        <v>1</v>
      </c>
      <c r="AH40" s="99">
        <f t="shared" si="12"/>
        <v>1</v>
      </c>
      <c r="AI40" s="102">
        <v>0.08</v>
      </c>
      <c r="AL40" s="48" t="b">
        <f t="shared" si="13"/>
        <v>1</v>
      </c>
    </row>
    <row r="41" spans="1:40" ht="23.1">
      <c r="A41" s="110"/>
      <c r="B41" s="33" t="s">
        <v>26</v>
      </c>
      <c r="C41" s="33" t="s">
        <v>23</v>
      </c>
      <c r="D41" s="16">
        <v>0.52410000000000001</v>
      </c>
      <c r="E41" s="16">
        <v>0.47589999999999999</v>
      </c>
      <c r="F41" s="35" t="s">
        <v>160</v>
      </c>
      <c r="G41" s="37">
        <v>1</v>
      </c>
      <c r="H41" s="37"/>
      <c r="I41" s="37">
        <v>1</v>
      </c>
      <c r="J41" s="37">
        <v>12</v>
      </c>
      <c r="K41" s="37">
        <v>12</v>
      </c>
      <c r="L41" s="37"/>
      <c r="M41" s="37">
        <f t="shared" si="14"/>
        <v>20</v>
      </c>
      <c r="N41" s="37">
        <f t="shared" si="1"/>
        <v>17</v>
      </c>
      <c r="O41" s="37">
        <f t="shared" si="2"/>
        <v>20</v>
      </c>
      <c r="P41" s="37">
        <f t="shared" si="3"/>
        <v>20</v>
      </c>
      <c r="Q41" s="104">
        <v>2000</v>
      </c>
      <c r="R41"/>
      <c r="S41" s="31">
        <f t="shared" si="4"/>
        <v>7042654.3692284571</v>
      </c>
      <c r="T41" s="31">
        <f t="shared" si="5"/>
        <v>7042654.3692284571</v>
      </c>
      <c r="U41" s="31">
        <f t="shared" si="6"/>
        <v>5986256.2138441885</v>
      </c>
      <c r="V41" s="31">
        <f t="shared" si="7"/>
        <v>7042654.3692284571</v>
      </c>
      <c r="W41" s="31">
        <f t="shared" si="8"/>
        <v>7042654.3692284571</v>
      </c>
      <c r="X41" s="31">
        <f t="shared" si="9"/>
        <v>7042654.3692284571</v>
      </c>
      <c r="Y41" s="31">
        <f t="shared" si="0"/>
        <v>7042654.3692284571</v>
      </c>
      <c r="Z41" s="31">
        <f t="shared" si="0"/>
        <v>7042654.3692284571</v>
      </c>
      <c r="AA41" s="31">
        <f t="shared" si="0"/>
        <v>7042654.3692284571</v>
      </c>
      <c r="AB41" s="31">
        <f t="shared" si="0"/>
        <v>7042654.3692284571</v>
      </c>
      <c r="AC41" s="31">
        <f t="shared" si="0"/>
        <v>7042654.3692284571</v>
      </c>
      <c r="AD41" s="31">
        <f t="shared" si="10"/>
        <v>7042654.3692284571</v>
      </c>
      <c r="AE41" s="98"/>
      <c r="AF41" s="31">
        <f t="shared" si="15"/>
        <v>83455454.275357217</v>
      </c>
      <c r="AG41" s="99">
        <f t="shared" si="11"/>
        <v>1</v>
      </c>
      <c r="AH41" s="99">
        <f t="shared" si="12"/>
        <v>1</v>
      </c>
      <c r="AI41" s="103">
        <v>0.08</v>
      </c>
      <c r="AJ41"/>
      <c r="AK41"/>
      <c r="AL41" s="48" t="b">
        <f t="shared" si="13"/>
        <v>1</v>
      </c>
      <c r="AM41"/>
      <c r="AN41"/>
    </row>
    <row r="42" spans="1:40" ht="23.1">
      <c r="A42" s="110"/>
      <c r="B42" s="33" t="s">
        <v>27</v>
      </c>
      <c r="C42" s="33" t="s">
        <v>23</v>
      </c>
      <c r="D42" s="16">
        <v>0.52410000000000001</v>
      </c>
      <c r="E42" s="16">
        <v>0.47589999999999999</v>
      </c>
      <c r="F42" s="35" t="s">
        <v>160</v>
      </c>
      <c r="G42" s="37">
        <v>1</v>
      </c>
      <c r="H42" s="37"/>
      <c r="I42" s="37">
        <v>1</v>
      </c>
      <c r="J42" s="37">
        <v>12</v>
      </c>
      <c r="K42" s="37">
        <v>12</v>
      </c>
      <c r="L42" s="37"/>
      <c r="M42" s="37">
        <f t="shared" si="14"/>
        <v>20</v>
      </c>
      <c r="N42" s="37">
        <f t="shared" si="1"/>
        <v>17</v>
      </c>
      <c r="O42" s="37">
        <f t="shared" si="2"/>
        <v>20</v>
      </c>
      <c r="P42" s="37">
        <f t="shared" si="3"/>
        <v>20</v>
      </c>
      <c r="Q42" s="104">
        <v>2000</v>
      </c>
      <c r="R42"/>
      <c r="S42" s="31">
        <f t="shared" si="4"/>
        <v>7042654.3692284571</v>
      </c>
      <c r="T42" s="31">
        <f t="shared" si="5"/>
        <v>7042654.3692284571</v>
      </c>
      <c r="U42" s="31">
        <f t="shared" si="6"/>
        <v>5986256.2138441885</v>
      </c>
      <c r="V42" s="31">
        <f t="shared" si="7"/>
        <v>7042654.3692284571</v>
      </c>
      <c r="W42" s="31">
        <f t="shared" si="8"/>
        <v>7042654.3692284571</v>
      </c>
      <c r="X42" s="31">
        <f t="shared" si="9"/>
        <v>7042654.3692284571</v>
      </c>
      <c r="Y42" s="31">
        <f t="shared" si="0"/>
        <v>7042654.3692284571</v>
      </c>
      <c r="Z42" s="31">
        <f t="shared" si="0"/>
        <v>7042654.3692284571</v>
      </c>
      <c r="AA42" s="31">
        <f t="shared" si="0"/>
        <v>7042654.3692284571</v>
      </c>
      <c r="AB42" s="31">
        <f t="shared" si="0"/>
        <v>7042654.3692284571</v>
      </c>
      <c r="AC42" s="31">
        <f t="shared" si="0"/>
        <v>7042654.3692284571</v>
      </c>
      <c r="AD42" s="31">
        <f t="shared" si="10"/>
        <v>7042654.3692284571</v>
      </c>
      <c r="AE42" s="98"/>
      <c r="AF42" s="31">
        <f t="shared" si="15"/>
        <v>83455454.275357217</v>
      </c>
      <c r="AG42" s="99">
        <f t="shared" si="11"/>
        <v>1</v>
      </c>
      <c r="AH42" s="99">
        <f t="shared" si="12"/>
        <v>1</v>
      </c>
      <c r="AI42" s="103">
        <v>0.08</v>
      </c>
      <c r="AJ42"/>
      <c r="AK42"/>
      <c r="AL42" s="48" t="b">
        <f t="shared" si="13"/>
        <v>1</v>
      </c>
      <c r="AM42"/>
      <c r="AN42"/>
    </row>
    <row r="43" spans="1:40" ht="23.1">
      <c r="A43" s="110"/>
      <c r="B43" s="33" t="s">
        <v>27</v>
      </c>
      <c r="C43" s="33" t="s">
        <v>25</v>
      </c>
      <c r="D43" s="16">
        <v>0.52410000000000001</v>
      </c>
      <c r="E43" s="16">
        <v>0.47589999999999999</v>
      </c>
      <c r="F43" s="35" t="s">
        <v>160</v>
      </c>
      <c r="G43" s="37">
        <v>1</v>
      </c>
      <c r="H43" s="37"/>
      <c r="I43" s="37">
        <v>1</v>
      </c>
      <c r="J43" s="37">
        <v>12</v>
      </c>
      <c r="K43" s="37">
        <v>11</v>
      </c>
      <c r="L43" s="37">
        <v>1</v>
      </c>
      <c r="M43" s="37">
        <f t="shared" si="14"/>
        <v>20</v>
      </c>
      <c r="N43" s="37">
        <f t="shared" si="1"/>
        <v>17</v>
      </c>
      <c r="O43" s="37">
        <f t="shared" si="2"/>
        <v>20</v>
      </c>
      <c r="P43" s="37">
        <f t="shared" si="3"/>
        <v>20</v>
      </c>
      <c r="Q43" s="104">
        <v>2000</v>
      </c>
      <c r="S43" s="31">
        <f t="shared" si="4"/>
        <v>7219609.7656446602</v>
      </c>
      <c r="T43" s="31">
        <f t="shared" si="5"/>
        <v>7219609.7656446602</v>
      </c>
      <c r="U43" s="31">
        <f t="shared" si="6"/>
        <v>6136668.3007979607</v>
      </c>
      <c r="V43" s="31">
        <f t="shared" si="7"/>
        <v>7219609.7656446602</v>
      </c>
      <c r="W43" s="31">
        <f t="shared" si="8"/>
        <v>7219609.7656446602</v>
      </c>
      <c r="X43" s="31">
        <f t="shared" si="9"/>
        <v>7219609.7656446602</v>
      </c>
      <c r="Y43" s="31">
        <f t="shared" si="0"/>
        <v>7219609.7656446602</v>
      </c>
      <c r="Z43" s="31">
        <f t="shared" si="0"/>
        <v>7219609.7656446602</v>
      </c>
      <c r="AA43" s="31">
        <f t="shared" si="0"/>
        <v>7219609.7656446602</v>
      </c>
      <c r="AB43" s="31">
        <f t="shared" si="0"/>
        <v>7219609.7656446602</v>
      </c>
      <c r="AC43" s="31">
        <f t="shared" si="0"/>
        <v>7219609.7656446602</v>
      </c>
      <c r="AD43" s="31">
        <f t="shared" si="10"/>
        <v>7219609.7656446602</v>
      </c>
      <c r="AE43" s="99"/>
      <c r="AF43" s="31">
        <f t="shared" si="15"/>
        <v>85552375.722889215</v>
      </c>
      <c r="AG43" s="99">
        <f t="shared" si="11"/>
        <v>1</v>
      </c>
      <c r="AH43" s="99">
        <f t="shared" si="12"/>
        <v>1</v>
      </c>
      <c r="AI43" s="102">
        <v>0.08</v>
      </c>
      <c r="AL43" s="48" t="b">
        <f t="shared" si="13"/>
        <v>1</v>
      </c>
    </row>
    <row r="44" spans="1:40" ht="34.5">
      <c r="A44" s="110"/>
      <c r="B44" s="33" t="s">
        <v>28</v>
      </c>
      <c r="C44" s="33" t="s">
        <v>21</v>
      </c>
      <c r="D44" s="16">
        <v>0.52410000000000001</v>
      </c>
      <c r="E44" s="16">
        <v>0.47589999999999999</v>
      </c>
      <c r="F44" s="35" t="s">
        <v>160</v>
      </c>
      <c r="G44" s="37"/>
      <c r="H44" s="37"/>
      <c r="I44" s="37">
        <v>1</v>
      </c>
      <c r="J44" s="37">
        <v>12</v>
      </c>
      <c r="K44" s="37">
        <v>12</v>
      </c>
      <c r="L44" s="37"/>
      <c r="M44" s="37">
        <f t="shared" si="14"/>
        <v>13</v>
      </c>
      <c r="N44" s="37">
        <f t="shared" si="1"/>
        <v>17</v>
      </c>
      <c r="O44" s="37">
        <f t="shared" si="2"/>
        <v>15</v>
      </c>
      <c r="P44" s="37">
        <f t="shared" si="3"/>
        <v>20</v>
      </c>
      <c r="Q44" s="104">
        <v>2000</v>
      </c>
      <c r="R44"/>
      <c r="S44" s="31">
        <f t="shared" si="4"/>
        <v>5281990.7769213421</v>
      </c>
      <c r="T44" s="31">
        <f t="shared" si="5"/>
        <v>7042654.3692284571</v>
      </c>
      <c r="U44" s="31">
        <f t="shared" si="6"/>
        <v>5986256.2138441885</v>
      </c>
      <c r="V44" s="31">
        <f t="shared" si="7"/>
        <v>7042654.3692284571</v>
      </c>
      <c r="W44" s="31">
        <f t="shared" si="8"/>
        <v>7042654.3692284571</v>
      </c>
      <c r="X44" s="31">
        <f t="shared" si="9"/>
        <v>7042654.3692284571</v>
      </c>
      <c r="Y44" s="31">
        <f t="shared" si="0"/>
        <v>7042654.3692284571</v>
      </c>
      <c r="Z44" s="31">
        <f t="shared" si="0"/>
        <v>7042654.3692284571</v>
      </c>
      <c r="AA44" s="31">
        <f t="shared" si="0"/>
        <v>7042654.3692284571</v>
      </c>
      <c r="AB44" s="31">
        <f t="shared" si="0"/>
        <v>7042654.3692284571</v>
      </c>
      <c r="AC44" s="31">
        <f t="shared" si="0"/>
        <v>7042654.3692284571</v>
      </c>
      <c r="AD44" s="31">
        <f t="shared" si="10"/>
        <v>4577725.3399984976</v>
      </c>
      <c r="AE44" s="98"/>
      <c r="AF44" s="31">
        <f t="shared" si="15"/>
        <v>79229861.653820142</v>
      </c>
      <c r="AG44" s="99">
        <f t="shared" si="11"/>
        <v>0</v>
      </c>
      <c r="AH44" s="99">
        <f t="shared" si="12"/>
        <v>0</v>
      </c>
      <c r="AI44" s="103">
        <v>0.08</v>
      </c>
      <c r="AJ44"/>
      <c r="AK44"/>
      <c r="AL44" s="48" t="b">
        <f t="shared" si="13"/>
        <v>1</v>
      </c>
      <c r="AM44"/>
      <c r="AN44"/>
    </row>
    <row r="45" spans="1:40" ht="23.1">
      <c r="A45" s="110"/>
      <c r="B45" s="33" t="s">
        <v>29</v>
      </c>
      <c r="C45" s="33" t="s">
        <v>21</v>
      </c>
      <c r="D45" s="16">
        <v>0.52410000000000001</v>
      </c>
      <c r="E45" s="16">
        <v>0.47589999999999999</v>
      </c>
      <c r="F45" s="35" t="s">
        <v>160</v>
      </c>
      <c r="G45" s="37"/>
      <c r="H45" s="37"/>
      <c r="I45" s="37">
        <v>1</v>
      </c>
      <c r="J45" s="37">
        <v>12</v>
      </c>
      <c r="K45" s="37">
        <v>12</v>
      </c>
      <c r="L45" s="37"/>
      <c r="M45" s="37">
        <f t="shared" si="14"/>
        <v>13</v>
      </c>
      <c r="N45" s="37">
        <f>IF(AND(H45=1,J45&lt;24),20,IF(AND(H45=1,J45=24),30,17))</f>
        <v>17</v>
      </c>
      <c r="O45" s="37">
        <f t="shared" si="2"/>
        <v>15</v>
      </c>
      <c r="P45" s="37">
        <f t="shared" si="3"/>
        <v>20</v>
      </c>
      <c r="Q45" s="104">
        <v>2000</v>
      </c>
      <c r="R45"/>
      <c r="S45" s="31">
        <f t="shared" si="4"/>
        <v>5281990.7769213421</v>
      </c>
      <c r="T45" s="31">
        <f t="shared" si="5"/>
        <v>7042654.3692284571</v>
      </c>
      <c r="U45" s="31">
        <f t="shared" si="6"/>
        <v>5986256.2138441885</v>
      </c>
      <c r="V45" s="31">
        <f t="shared" si="7"/>
        <v>7042654.3692284571</v>
      </c>
      <c r="W45" s="31">
        <f t="shared" si="8"/>
        <v>7042654.3692284571</v>
      </c>
      <c r="X45" s="31">
        <f t="shared" si="9"/>
        <v>7042654.3692284571</v>
      </c>
      <c r="Y45" s="31">
        <f t="shared" si="9"/>
        <v>7042654.3692284571</v>
      </c>
      <c r="Z45" s="31">
        <f t="shared" si="9"/>
        <v>7042654.3692284571</v>
      </c>
      <c r="AA45" s="31">
        <f t="shared" si="9"/>
        <v>7042654.3692284571</v>
      </c>
      <c r="AB45" s="31">
        <f t="shared" si="9"/>
        <v>7042654.3692284571</v>
      </c>
      <c r="AC45" s="31">
        <f t="shared" si="9"/>
        <v>7042654.3692284571</v>
      </c>
      <c r="AD45" s="31">
        <f t="shared" si="10"/>
        <v>4577725.3399984976</v>
      </c>
      <c r="AE45" s="98"/>
      <c r="AF45" s="31">
        <f t="shared" si="15"/>
        <v>79229861.653820142</v>
      </c>
      <c r="AG45" s="99">
        <f t="shared" si="11"/>
        <v>0</v>
      </c>
      <c r="AH45" s="99">
        <f t="shared" si="12"/>
        <v>0</v>
      </c>
      <c r="AI45" s="103">
        <v>0.08</v>
      </c>
      <c r="AJ45"/>
      <c r="AK45"/>
      <c r="AL45" s="48" t="b">
        <f t="shared" si="13"/>
        <v>1</v>
      </c>
      <c r="AM45"/>
      <c r="AN45"/>
    </row>
    <row r="46" spans="1:40" ht="34.5">
      <c r="A46" s="110"/>
      <c r="B46" s="33" t="s">
        <v>30</v>
      </c>
      <c r="C46" s="33" t="s">
        <v>21</v>
      </c>
      <c r="D46" s="16">
        <v>0.52410000000000001</v>
      </c>
      <c r="E46" s="16">
        <v>0.47589999999999999</v>
      </c>
      <c r="F46" s="35" t="s">
        <v>160</v>
      </c>
      <c r="G46" s="37">
        <v>1</v>
      </c>
      <c r="H46" s="37"/>
      <c r="I46" s="37">
        <v>1</v>
      </c>
      <c r="J46" s="37">
        <v>12</v>
      </c>
      <c r="K46" s="37">
        <v>12</v>
      </c>
      <c r="L46" s="37"/>
      <c r="M46" s="37">
        <f>IF(AND(G46=1,J46&lt;24),20,IF(AND(G46=1,J46=24),30,13))</f>
        <v>20</v>
      </c>
      <c r="N46" s="37">
        <f t="shared" si="1"/>
        <v>17</v>
      </c>
      <c r="O46" s="37">
        <f t="shared" si="2"/>
        <v>20</v>
      </c>
      <c r="P46" s="37">
        <f t="shared" si="3"/>
        <v>20</v>
      </c>
      <c r="Q46" s="104">
        <v>2000</v>
      </c>
      <c r="R46"/>
      <c r="S46" s="31">
        <f t="shared" si="4"/>
        <v>7042654.3692284571</v>
      </c>
      <c r="T46" s="31">
        <f t="shared" si="5"/>
        <v>7042654.3692284571</v>
      </c>
      <c r="U46" s="31">
        <f t="shared" si="6"/>
        <v>5986256.2138441885</v>
      </c>
      <c r="V46" s="31">
        <f t="shared" si="7"/>
        <v>7042654.3692284571</v>
      </c>
      <c r="W46" s="31">
        <f t="shared" si="8"/>
        <v>7042654.3692284571</v>
      </c>
      <c r="X46" s="31">
        <f t="shared" si="9"/>
        <v>7042654.3692284571</v>
      </c>
      <c r="Y46" s="31">
        <f t="shared" si="9"/>
        <v>7042654.3692284571</v>
      </c>
      <c r="Z46" s="31">
        <f t="shared" si="9"/>
        <v>7042654.3692284571</v>
      </c>
      <c r="AA46" s="31">
        <f t="shared" si="9"/>
        <v>7042654.3692284571</v>
      </c>
      <c r="AB46" s="31">
        <f t="shared" si="9"/>
        <v>7042654.3692284571</v>
      </c>
      <c r="AC46" s="31">
        <f t="shared" si="9"/>
        <v>7042654.3692284571</v>
      </c>
      <c r="AD46" s="31">
        <f t="shared" si="10"/>
        <v>7042654.3692284571</v>
      </c>
      <c r="AE46" s="98"/>
      <c r="AF46" s="31">
        <f t="shared" si="15"/>
        <v>83455454.275357217</v>
      </c>
      <c r="AG46" s="99">
        <f t="shared" si="11"/>
        <v>1</v>
      </c>
      <c r="AH46" s="99">
        <f t="shared" si="12"/>
        <v>1</v>
      </c>
      <c r="AI46" s="103">
        <v>0.08</v>
      </c>
      <c r="AJ46"/>
      <c r="AK46"/>
      <c r="AL46" s="48" t="b">
        <f t="shared" si="13"/>
        <v>1</v>
      </c>
      <c r="AM46"/>
      <c r="AN46"/>
    </row>
    <row r="47" spans="1:40" ht="23.1">
      <c r="A47" s="110"/>
      <c r="B47" s="33" t="s">
        <v>31</v>
      </c>
      <c r="C47" s="33" t="s">
        <v>21</v>
      </c>
      <c r="D47" s="16">
        <v>0.52410000000000001</v>
      </c>
      <c r="E47" s="16">
        <v>0.47589999999999999</v>
      </c>
      <c r="F47" s="35" t="s">
        <v>160</v>
      </c>
      <c r="G47" s="37"/>
      <c r="H47" s="37"/>
      <c r="I47" s="37">
        <v>1</v>
      </c>
      <c r="J47" s="37">
        <v>12</v>
      </c>
      <c r="K47" s="37">
        <v>12</v>
      </c>
      <c r="L47" s="37"/>
      <c r="M47" s="37">
        <f t="shared" si="14"/>
        <v>13</v>
      </c>
      <c r="N47" s="37">
        <f>IF(AND(H47=1,J47&lt;24),20,IF(AND(H47=1,J47=24),30,17))</f>
        <v>17</v>
      </c>
      <c r="O47" s="37">
        <f t="shared" si="2"/>
        <v>15</v>
      </c>
      <c r="P47" s="37">
        <f t="shared" si="3"/>
        <v>20</v>
      </c>
      <c r="Q47" s="104">
        <v>2000</v>
      </c>
      <c r="R47"/>
      <c r="S47" s="31">
        <f t="shared" si="4"/>
        <v>5281990.7769213421</v>
      </c>
      <c r="T47" s="31">
        <f t="shared" si="5"/>
        <v>7042654.3692284571</v>
      </c>
      <c r="U47" s="31">
        <f t="shared" si="6"/>
        <v>5986256.2138441885</v>
      </c>
      <c r="V47" s="31">
        <f t="shared" si="7"/>
        <v>7042654.3692284571</v>
      </c>
      <c r="W47" s="31">
        <f t="shared" si="8"/>
        <v>7042654.3692284571</v>
      </c>
      <c r="X47" s="31">
        <f t="shared" si="9"/>
        <v>7042654.3692284571</v>
      </c>
      <c r="Y47" s="31">
        <f t="shared" si="9"/>
        <v>7042654.3692284571</v>
      </c>
      <c r="Z47" s="31">
        <f t="shared" si="9"/>
        <v>7042654.3692284571</v>
      </c>
      <c r="AA47" s="31">
        <f t="shared" si="9"/>
        <v>7042654.3692284571</v>
      </c>
      <c r="AB47" s="31">
        <f t="shared" si="9"/>
        <v>7042654.3692284571</v>
      </c>
      <c r="AC47" s="31">
        <f t="shared" si="9"/>
        <v>7042654.3692284571</v>
      </c>
      <c r="AD47" s="31">
        <f t="shared" si="10"/>
        <v>4577725.3399984976</v>
      </c>
      <c r="AE47" s="98"/>
      <c r="AF47" s="31">
        <f t="shared" si="15"/>
        <v>79229861.653820142</v>
      </c>
      <c r="AG47" s="99">
        <f t="shared" si="11"/>
        <v>0</v>
      </c>
      <c r="AH47" s="99">
        <f t="shared" si="12"/>
        <v>0</v>
      </c>
      <c r="AI47" s="103">
        <v>0.08</v>
      </c>
      <c r="AJ47"/>
      <c r="AK47"/>
      <c r="AL47" s="48" t="b">
        <f t="shared" si="13"/>
        <v>1</v>
      </c>
      <c r="AM47"/>
      <c r="AN47"/>
    </row>
    <row r="48" spans="1:40" ht="34.5">
      <c r="A48" s="110"/>
      <c r="B48" s="33" t="s">
        <v>32</v>
      </c>
      <c r="C48" s="33" t="s">
        <v>9</v>
      </c>
      <c r="D48" s="16">
        <v>0.52410000000000001</v>
      </c>
      <c r="E48" s="16">
        <v>0.47589999999999999</v>
      </c>
      <c r="F48" s="35" t="s">
        <v>160</v>
      </c>
      <c r="G48" s="37">
        <v>1</v>
      </c>
      <c r="H48" s="37">
        <v>1</v>
      </c>
      <c r="I48" s="37">
        <v>1</v>
      </c>
      <c r="J48" s="37">
        <v>24</v>
      </c>
      <c r="K48" s="37">
        <v>13</v>
      </c>
      <c r="L48" s="37">
        <v>11</v>
      </c>
      <c r="M48" s="37">
        <f t="shared" si="14"/>
        <v>30</v>
      </c>
      <c r="N48" s="37">
        <f t="shared" si="1"/>
        <v>30</v>
      </c>
      <c r="O48" s="37">
        <f t="shared" si="2"/>
        <v>30</v>
      </c>
      <c r="P48" s="37">
        <f t="shared" si="3"/>
        <v>30</v>
      </c>
      <c r="Q48" s="104">
        <v>6000</v>
      </c>
      <c r="S48" s="31">
        <f t="shared" si="4"/>
        <v>24052047.148552727</v>
      </c>
      <c r="T48" s="31">
        <f t="shared" si="5"/>
        <v>24052047.148552727</v>
      </c>
      <c r="U48" s="31">
        <f t="shared" si="6"/>
        <v>24052047.148552727</v>
      </c>
      <c r="V48" s="31">
        <f t="shared" si="7"/>
        <v>24052047.148552727</v>
      </c>
      <c r="W48" s="31">
        <f t="shared" si="8"/>
        <v>24052047.148552727</v>
      </c>
      <c r="X48" s="31">
        <f t="shared" si="9"/>
        <v>24052047.148552727</v>
      </c>
      <c r="Y48" s="31">
        <f t="shared" si="9"/>
        <v>24052047.148552727</v>
      </c>
      <c r="Z48" s="31">
        <f t="shared" si="9"/>
        <v>24052047.148552727</v>
      </c>
      <c r="AA48" s="31">
        <f t="shared" si="9"/>
        <v>24052047.148552727</v>
      </c>
      <c r="AB48" s="31">
        <f t="shared" si="9"/>
        <v>24052047.148552727</v>
      </c>
      <c r="AC48" s="31">
        <f t="shared" si="9"/>
        <v>24052047.148552727</v>
      </c>
      <c r="AD48" s="31">
        <f t="shared" si="10"/>
        <v>24052047.148552727</v>
      </c>
      <c r="AE48" s="99"/>
      <c r="AF48" s="31">
        <f t="shared" si="15"/>
        <v>288624565.78263265</v>
      </c>
      <c r="AG48" s="99">
        <f t="shared" si="11"/>
        <v>1</v>
      </c>
      <c r="AH48" s="99">
        <f t="shared" si="12"/>
        <v>1</v>
      </c>
      <c r="AI48" s="102">
        <v>0.08</v>
      </c>
      <c r="AL48" s="48" t="b">
        <f t="shared" si="13"/>
        <v>1</v>
      </c>
    </row>
    <row r="49" spans="1:40" ht="23.1">
      <c r="A49" s="110" t="s">
        <v>33</v>
      </c>
      <c r="B49" s="33" t="s">
        <v>34</v>
      </c>
      <c r="C49" s="33" t="s">
        <v>35</v>
      </c>
      <c r="D49" s="16">
        <v>0.52410000000000001</v>
      </c>
      <c r="E49" s="16">
        <v>0.47589999999999999</v>
      </c>
      <c r="F49" s="35" t="s">
        <v>160</v>
      </c>
      <c r="G49" s="37">
        <v>1</v>
      </c>
      <c r="H49" s="37">
        <v>1</v>
      </c>
      <c r="I49" s="37">
        <v>1</v>
      </c>
      <c r="J49" s="37">
        <v>24</v>
      </c>
      <c r="K49" s="37">
        <v>13</v>
      </c>
      <c r="L49" s="37">
        <v>11</v>
      </c>
      <c r="M49" s="37">
        <f t="shared" si="14"/>
        <v>30</v>
      </c>
      <c r="N49" s="37">
        <f t="shared" si="1"/>
        <v>30</v>
      </c>
      <c r="O49" s="37">
        <f t="shared" si="2"/>
        <v>30</v>
      </c>
      <c r="P49" s="37">
        <f t="shared" si="3"/>
        <v>30</v>
      </c>
      <c r="Q49" s="104">
        <v>6000</v>
      </c>
      <c r="S49" s="31">
        <f t="shared" si="4"/>
        <v>24497455.429081481</v>
      </c>
      <c r="T49" s="31">
        <f t="shared" si="5"/>
        <v>24497455.429081481</v>
      </c>
      <c r="U49" s="31">
        <f t="shared" si="6"/>
        <v>24497455.429081481</v>
      </c>
      <c r="V49" s="31">
        <f t="shared" si="7"/>
        <v>24497455.429081481</v>
      </c>
      <c r="W49" s="31">
        <f t="shared" si="8"/>
        <v>24497455.429081481</v>
      </c>
      <c r="X49" s="31">
        <f t="shared" si="9"/>
        <v>24497455.429081481</v>
      </c>
      <c r="Y49" s="31">
        <f t="shared" si="9"/>
        <v>24497455.429081481</v>
      </c>
      <c r="Z49" s="31">
        <f t="shared" si="9"/>
        <v>24497455.429081481</v>
      </c>
      <c r="AA49" s="31">
        <f t="shared" si="9"/>
        <v>24497455.429081481</v>
      </c>
      <c r="AB49" s="31">
        <f t="shared" si="9"/>
        <v>24497455.429081481</v>
      </c>
      <c r="AC49" s="31">
        <f t="shared" si="9"/>
        <v>24497455.429081481</v>
      </c>
      <c r="AD49" s="31">
        <f t="shared" si="10"/>
        <v>24497455.429081481</v>
      </c>
      <c r="AE49" s="99"/>
      <c r="AF49" s="31">
        <f t="shared" si="15"/>
        <v>293969465.14897776</v>
      </c>
      <c r="AG49" s="99">
        <f t="shared" si="11"/>
        <v>1</v>
      </c>
      <c r="AH49" s="99">
        <f t="shared" si="12"/>
        <v>1</v>
      </c>
      <c r="AI49" s="102">
        <v>0.1</v>
      </c>
      <c r="AL49" s="48" t="b">
        <f t="shared" si="13"/>
        <v>1</v>
      </c>
    </row>
    <row r="50" spans="1:40" ht="23.1">
      <c r="A50" s="110"/>
      <c r="B50" s="33" t="s">
        <v>36</v>
      </c>
      <c r="C50" s="33" t="s">
        <v>35</v>
      </c>
      <c r="D50" s="16">
        <v>0.52410000000000001</v>
      </c>
      <c r="E50" s="16">
        <v>0.47589999999999999</v>
      </c>
      <c r="F50" s="35" t="s">
        <v>160</v>
      </c>
      <c r="G50" s="37">
        <v>1</v>
      </c>
      <c r="H50" s="37">
        <v>1</v>
      </c>
      <c r="I50" s="37">
        <v>1</v>
      </c>
      <c r="J50" s="37">
        <v>24</v>
      </c>
      <c r="K50" s="37">
        <v>13</v>
      </c>
      <c r="L50" s="37">
        <v>11</v>
      </c>
      <c r="M50" s="37">
        <f t="shared" si="14"/>
        <v>30</v>
      </c>
      <c r="N50" s="37">
        <f t="shared" si="1"/>
        <v>30</v>
      </c>
      <c r="O50" s="37">
        <f t="shared" si="2"/>
        <v>30</v>
      </c>
      <c r="P50" s="37">
        <f t="shared" si="3"/>
        <v>30</v>
      </c>
      <c r="Q50" s="104">
        <v>6000</v>
      </c>
      <c r="S50" s="31">
        <f t="shared" si="4"/>
        <v>24497455.429081481</v>
      </c>
      <c r="T50" s="31">
        <f t="shared" si="5"/>
        <v>24497455.429081481</v>
      </c>
      <c r="U50" s="31">
        <f t="shared" si="6"/>
        <v>24497455.429081481</v>
      </c>
      <c r="V50" s="31">
        <f t="shared" si="7"/>
        <v>24497455.429081481</v>
      </c>
      <c r="W50" s="31">
        <f t="shared" si="8"/>
        <v>24497455.429081481</v>
      </c>
      <c r="X50" s="31">
        <f t="shared" si="9"/>
        <v>24497455.429081481</v>
      </c>
      <c r="Y50" s="31">
        <f t="shared" si="9"/>
        <v>24497455.429081481</v>
      </c>
      <c r="Z50" s="31">
        <f t="shared" si="9"/>
        <v>24497455.429081481</v>
      </c>
      <c r="AA50" s="31">
        <f t="shared" si="9"/>
        <v>24497455.429081481</v>
      </c>
      <c r="AB50" s="31">
        <f t="shared" si="9"/>
        <v>24497455.429081481</v>
      </c>
      <c r="AC50" s="31">
        <f t="shared" si="9"/>
        <v>24497455.429081481</v>
      </c>
      <c r="AD50" s="31">
        <f t="shared" si="10"/>
        <v>24497455.429081481</v>
      </c>
      <c r="AE50" s="99"/>
      <c r="AF50" s="31">
        <f t="shared" si="15"/>
        <v>293969465.14897776</v>
      </c>
      <c r="AG50" s="99">
        <f t="shared" si="11"/>
        <v>1</v>
      </c>
      <c r="AH50" s="99">
        <f t="shared" si="12"/>
        <v>1</v>
      </c>
      <c r="AI50" s="102">
        <v>0.1</v>
      </c>
      <c r="AL50" s="48" t="b">
        <f t="shared" si="13"/>
        <v>1</v>
      </c>
    </row>
    <row r="51" spans="1:40" ht="23.1">
      <c r="A51" s="110" t="s">
        <v>37</v>
      </c>
      <c r="B51" s="40" t="s">
        <v>38</v>
      </c>
      <c r="C51" s="33" t="s">
        <v>35</v>
      </c>
      <c r="D51" s="16">
        <v>0.52410000000000001</v>
      </c>
      <c r="E51" s="16">
        <v>0.47589999999999999</v>
      </c>
      <c r="F51" s="35" t="s">
        <v>160</v>
      </c>
      <c r="G51" s="37">
        <v>1</v>
      </c>
      <c r="H51" s="37">
        <v>1</v>
      </c>
      <c r="I51" s="37">
        <v>1</v>
      </c>
      <c r="J51" s="37">
        <v>24</v>
      </c>
      <c r="K51" s="37">
        <v>13</v>
      </c>
      <c r="L51" s="37">
        <v>11</v>
      </c>
      <c r="M51" s="37">
        <f t="shared" si="14"/>
        <v>30</v>
      </c>
      <c r="N51" s="37">
        <f t="shared" si="1"/>
        <v>30</v>
      </c>
      <c r="O51" s="37">
        <f t="shared" si="2"/>
        <v>30</v>
      </c>
      <c r="P51" s="37">
        <f t="shared" si="3"/>
        <v>30</v>
      </c>
      <c r="Q51" s="104">
        <v>6000</v>
      </c>
      <c r="S51" s="31">
        <f t="shared" si="4"/>
        <v>24497455.429081481</v>
      </c>
      <c r="T51" s="31">
        <f t="shared" si="5"/>
        <v>24497455.429081481</v>
      </c>
      <c r="U51" s="31">
        <f t="shared" si="6"/>
        <v>24497455.429081481</v>
      </c>
      <c r="V51" s="31">
        <f t="shared" si="7"/>
        <v>24497455.429081481</v>
      </c>
      <c r="W51" s="31">
        <f t="shared" si="8"/>
        <v>24497455.429081481</v>
      </c>
      <c r="X51" s="31">
        <f t="shared" si="9"/>
        <v>24497455.429081481</v>
      </c>
      <c r="Y51" s="31">
        <f t="shared" si="9"/>
        <v>24497455.429081481</v>
      </c>
      <c r="Z51" s="31">
        <f t="shared" si="9"/>
        <v>24497455.429081481</v>
      </c>
      <c r="AA51" s="31">
        <f t="shared" si="9"/>
        <v>24497455.429081481</v>
      </c>
      <c r="AB51" s="31">
        <f t="shared" si="9"/>
        <v>24497455.429081481</v>
      </c>
      <c r="AC51" s="31">
        <f t="shared" si="9"/>
        <v>24497455.429081481</v>
      </c>
      <c r="AD51" s="31">
        <f t="shared" si="10"/>
        <v>24497455.429081481</v>
      </c>
      <c r="AE51" s="99"/>
      <c r="AF51" s="31">
        <f t="shared" si="15"/>
        <v>293969465.14897776</v>
      </c>
      <c r="AG51" s="99">
        <f t="shared" si="11"/>
        <v>1</v>
      </c>
      <c r="AH51" s="99">
        <f t="shared" si="12"/>
        <v>1</v>
      </c>
      <c r="AI51" s="102">
        <v>0.1</v>
      </c>
      <c r="AL51" s="48" t="b">
        <f t="shared" si="13"/>
        <v>1</v>
      </c>
    </row>
    <row r="52" spans="1:40" ht="23.1">
      <c r="A52" s="110"/>
      <c r="B52" s="33" t="s">
        <v>39</v>
      </c>
      <c r="C52" s="33" t="s">
        <v>40</v>
      </c>
      <c r="D52" s="16">
        <v>0.52410000000000001</v>
      </c>
      <c r="E52" s="16">
        <v>0.47589999999999999</v>
      </c>
      <c r="F52" s="35" t="s">
        <v>160</v>
      </c>
      <c r="G52" s="37"/>
      <c r="H52" s="37"/>
      <c r="I52" s="37">
        <v>1</v>
      </c>
      <c r="J52" s="37">
        <v>12</v>
      </c>
      <c r="K52" s="37">
        <v>12</v>
      </c>
      <c r="L52" s="37"/>
      <c r="M52" s="37">
        <f t="shared" si="14"/>
        <v>13</v>
      </c>
      <c r="N52" s="37">
        <f t="shared" si="1"/>
        <v>17</v>
      </c>
      <c r="O52" s="37">
        <f t="shared" si="2"/>
        <v>15</v>
      </c>
      <c r="P52" s="37">
        <f t="shared" si="3"/>
        <v>20</v>
      </c>
      <c r="Q52" s="104">
        <v>2000</v>
      </c>
      <c r="R52"/>
      <c r="S52" s="31">
        <f t="shared" si="4"/>
        <v>5281990.7769213421</v>
      </c>
      <c r="T52" s="31">
        <f t="shared" si="5"/>
        <v>7042654.3692284571</v>
      </c>
      <c r="U52" s="31">
        <f t="shared" si="6"/>
        <v>5986256.2138441885</v>
      </c>
      <c r="V52" s="31">
        <f t="shared" si="7"/>
        <v>7042654.3692284571</v>
      </c>
      <c r="W52" s="31">
        <f t="shared" si="8"/>
        <v>7042654.3692284571</v>
      </c>
      <c r="X52" s="31">
        <f t="shared" si="9"/>
        <v>7042654.3692284571</v>
      </c>
      <c r="Y52" s="31">
        <f t="shared" si="9"/>
        <v>7042654.3692284571</v>
      </c>
      <c r="Z52" s="31">
        <f t="shared" si="9"/>
        <v>7042654.3692284571</v>
      </c>
      <c r="AA52" s="31">
        <f t="shared" si="9"/>
        <v>7042654.3692284571</v>
      </c>
      <c r="AB52" s="31">
        <f t="shared" si="9"/>
        <v>7042654.3692284571</v>
      </c>
      <c r="AC52" s="31">
        <f t="shared" si="9"/>
        <v>7042654.3692284571</v>
      </c>
      <c r="AD52" s="31">
        <f t="shared" si="10"/>
        <v>4577725.3399984976</v>
      </c>
      <c r="AE52" s="98"/>
      <c r="AF52" s="31">
        <f t="shared" si="15"/>
        <v>79229861.653820142</v>
      </c>
      <c r="AG52" s="99">
        <f t="shared" si="11"/>
        <v>0</v>
      </c>
      <c r="AH52" s="99">
        <f t="shared" si="12"/>
        <v>0</v>
      </c>
      <c r="AI52" s="103">
        <v>0.08</v>
      </c>
      <c r="AJ52"/>
      <c r="AK52"/>
      <c r="AL52" s="48" t="b">
        <f t="shared" si="13"/>
        <v>1</v>
      </c>
      <c r="AM52"/>
      <c r="AN52"/>
    </row>
    <row r="53" spans="1:40" ht="23.1">
      <c r="A53" s="110" t="s">
        <v>41</v>
      </c>
      <c r="B53" s="33" t="s">
        <v>42</v>
      </c>
      <c r="C53" s="33" t="s">
        <v>43</v>
      </c>
      <c r="D53" s="16">
        <v>0.52410000000000001</v>
      </c>
      <c r="E53" s="16">
        <v>0.47589999999999999</v>
      </c>
      <c r="F53" s="37" t="s">
        <v>160</v>
      </c>
      <c r="G53" s="37">
        <v>1</v>
      </c>
      <c r="H53" s="37">
        <v>1</v>
      </c>
      <c r="I53" s="37">
        <v>1</v>
      </c>
      <c r="J53" s="37">
        <v>24</v>
      </c>
      <c r="K53" s="37">
        <v>13</v>
      </c>
      <c r="L53" s="37">
        <v>11</v>
      </c>
      <c r="M53" s="37">
        <f>IF(AND(G53=1,J53&lt;24),20,IF(AND(G53=1,J53=24),30,13))</f>
        <v>30</v>
      </c>
      <c r="N53" s="37">
        <f>IF(AND(H53=1,J53&lt;24),20,IF(AND(H53=1,J53=24),30,17))</f>
        <v>30</v>
      </c>
      <c r="O53" s="37">
        <f t="shared" si="2"/>
        <v>30</v>
      </c>
      <c r="P53" s="37">
        <f t="shared" si="3"/>
        <v>30</v>
      </c>
      <c r="Q53" s="104">
        <v>6000</v>
      </c>
      <c r="S53" s="31">
        <f t="shared" si="4"/>
        <v>24497455.429081481</v>
      </c>
      <c r="T53" s="31">
        <f t="shared" si="5"/>
        <v>24497455.429081481</v>
      </c>
      <c r="U53" s="31">
        <f t="shared" si="6"/>
        <v>24497455.429081481</v>
      </c>
      <c r="V53" s="31">
        <f t="shared" si="7"/>
        <v>24497455.429081481</v>
      </c>
      <c r="W53" s="31">
        <f t="shared" si="8"/>
        <v>24497455.429081481</v>
      </c>
      <c r="X53" s="31">
        <f t="shared" si="9"/>
        <v>24497455.429081481</v>
      </c>
      <c r="Y53" s="31">
        <f t="shared" si="9"/>
        <v>24497455.429081481</v>
      </c>
      <c r="Z53" s="31">
        <f t="shared" si="9"/>
        <v>24497455.429081481</v>
      </c>
      <c r="AA53" s="31">
        <f t="shared" si="9"/>
        <v>24497455.429081481</v>
      </c>
      <c r="AB53" s="31">
        <f t="shared" si="9"/>
        <v>24497455.429081481</v>
      </c>
      <c r="AC53" s="31">
        <f t="shared" si="9"/>
        <v>24497455.429081481</v>
      </c>
      <c r="AD53" s="31">
        <f t="shared" si="10"/>
        <v>24497455.429081481</v>
      </c>
      <c r="AE53" s="99"/>
      <c r="AF53" s="31">
        <f t="shared" si="15"/>
        <v>293969465.14897776</v>
      </c>
      <c r="AG53" s="99">
        <f t="shared" si="11"/>
        <v>1</v>
      </c>
      <c r="AH53" s="99">
        <f t="shared" si="12"/>
        <v>1</v>
      </c>
      <c r="AI53" s="102">
        <v>0.1</v>
      </c>
      <c r="AL53" s="48" t="b">
        <f t="shared" si="13"/>
        <v>1</v>
      </c>
    </row>
    <row r="54" spans="1:40" ht="23.1">
      <c r="A54" s="110"/>
      <c r="B54" s="33" t="s">
        <v>44</v>
      </c>
      <c r="C54" s="33" t="s">
        <v>21</v>
      </c>
      <c r="D54" s="16">
        <v>0.52410000000000001</v>
      </c>
      <c r="E54" s="16">
        <v>0.47589999999999999</v>
      </c>
      <c r="F54" s="37" t="s">
        <v>160</v>
      </c>
      <c r="G54" s="37"/>
      <c r="H54" s="37"/>
      <c r="I54" s="37">
        <v>1</v>
      </c>
      <c r="J54" s="37">
        <v>12</v>
      </c>
      <c r="K54" s="37">
        <v>12</v>
      </c>
      <c r="L54" s="37"/>
      <c r="M54" s="37">
        <f t="shared" si="14"/>
        <v>13</v>
      </c>
      <c r="N54" s="37">
        <f>IF(AND(H54=1,J54&lt;24),20,IF(AND(H54=1,J54=24),30,17))</f>
        <v>17</v>
      </c>
      <c r="O54" s="37">
        <f t="shared" si="2"/>
        <v>15</v>
      </c>
      <c r="P54" s="37">
        <f t="shared" si="3"/>
        <v>20</v>
      </c>
      <c r="Q54" s="104">
        <v>6000</v>
      </c>
      <c r="R54"/>
      <c r="S54" s="31">
        <f t="shared" si="4"/>
        <v>5282939.6483059572</v>
      </c>
      <c r="T54" s="31">
        <f t="shared" si="5"/>
        <v>7043919.5310746087</v>
      </c>
      <c r="U54" s="31">
        <f t="shared" si="6"/>
        <v>5987331.6014134195</v>
      </c>
      <c r="V54" s="31">
        <f t="shared" si="7"/>
        <v>7043919.5310746087</v>
      </c>
      <c r="W54" s="31">
        <f t="shared" si="8"/>
        <v>7043919.5310746087</v>
      </c>
      <c r="X54" s="31">
        <f t="shared" si="9"/>
        <v>7043919.5310746087</v>
      </c>
      <c r="Y54" s="31">
        <f t="shared" si="9"/>
        <v>7043919.5310746087</v>
      </c>
      <c r="Z54" s="31">
        <f t="shared" si="9"/>
        <v>7043919.5310746087</v>
      </c>
      <c r="AA54" s="31">
        <f t="shared" si="9"/>
        <v>7043919.5310746087</v>
      </c>
      <c r="AB54" s="31">
        <f t="shared" si="9"/>
        <v>7043919.5310746087</v>
      </c>
      <c r="AC54" s="31">
        <f t="shared" si="9"/>
        <v>7043919.5310746087</v>
      </c>
      <c r="AD54" s="31">
        <f t="shared" si="10"/>
        <v>4578547.6951984968</v>
      </c>
      <c r="AE54" s="98"/>
      <c r="AF54" s="31">
        <f t="shared" si="15"/>
        <v>79244094.724589348</v>
      </c>
      <c r="AG54" s="99">
        <f t="shared" si="11"/>
        <v>0</v>
      </c>
      <c r="AH54" s="99">
        <f t="shared" si="12"/>
        <v>0</v>
      </c>
      <c r="AI54" s="103">
        <v>0.08</v>
      </c>
      <c r="AJ54"/>
      <c r="AK54"/>
      <c r="AL54" s="48" t="b">
        <f t="shared" si="13"/>
        <v>1</v>
      </c>
      <c r="AM54"/>
      <c r="AN54"/>
    </row>
    <row r="55" spans="1:40" ht="23.1">
      <c r="A55" s="32" t="s">
        <v>45</v>
      </c>
      <c r="B55" s="33" t="s">
        <v>46</v>
      </c>
      <c r="C55" s="33" t="s">
        <v>35</v>
      </c>
      <c r="D55" s="16">
        <v>0.52410000000000001</v>
      </c>
      <c r="E55" s="16">
        <v>0.47589999999999999</v>
      </c>
      <c r="F55" s="37" t="s">
        <v>160</v>
      </c>
      <c r="G55" s="37">
        <v>1</v>
      </c>
      <c r="H55" s="37">
        <v>1</v>
      </c>
      <c r="I55" s="37">
        <v>1</v>
      </c>
      <c r="J55" s="37">
        <v>24</v>
      </c>
      <c r="K55" s="37">
        <v>13</v>
      </c>
      <c r="L55" s="37">
        <v>11</v>
      </c>
      <c r="M55" s="37">
        <f t="shared" si="14"/>
        <v>30</v>
      </c>
      <c r="N55" s="37">
        <f t="shared" ref="N55:N61" si="16">IF(AND(H55=1,J55&lt;24),20,IF(AND(H55=1,J55=24),30,17))</f>
        <v>30</v>
      </c>
      <c r="O55" s="37">
        <f t="shared" si="2"/>
        <v>30</v>
      </c>
      <c r="P55" s="37">
        <f t="shared" si="3"/>
        <v>30</v>
      </c>
      <c r="Q55" s="104">
        <v>6000</v>
      </c>
      <c r="S55" s="31">
        <f t="shared" si="4"/>
        <v>24497455.429081481</v>
      </c>
      <c r="T55" s="31">
        <f t="shared" si="5"/>
        <v>24497455.429081481</v>
      </c>
      <c r="U55" s="31">
        <f t="shared" si="6"/>
        <v>24497455.429081481</v>
      </c>
      <c r="V55" s="31">
        <f t="shared" si="7"/>
        <v>24497455.429081481</v>
      </c>
      <c r="W55" s="31">
        <f t="shared" si="8"/>
        <v>24497455.429081481</v>
      </c>
      <c r="X55" s="31">
        <f t="shared" si="9"/>
        <v>24497455.429081481</v>
      </c>
      <c r="Y55" s="31">
        <f t="shared" si="9"/>
        <v>24497455.429081481</v>
      </c>
      <c r="Z55" s="31">
        <f t="shared" si="9"/>
        <v>24497455.429081481</v>
      </c>
      <c r="AA55" s="31">
        <f t="shared" si="9"/>
        <v>24497455.429081481</v>
      </c>
      <c r="AB55" s="31">
        <f t="shared" si="9"/>
        <v>24497455.429081481</v>
      </c>
      <c r="AC55" s="31">
        <f t="shared" si="9"/>
        <v>24497455.429081481</v>
      </c>
      <c r="AD55" s="31">
        <f t="shared" si="10"/>
        <v>24497455.429081481</v>
      </c>
      <c r="AE55" s="99"/>
      <c r="AF55" s="31">
        <f t="shared" si="15"/>
        <v>293969465.14897776</v>
      </c>
      <c r="AG55" s="99">
        <f t="shared" si="11"/>
        <v>1</v>
      </c>
      <c r="AH55" s="99">
        <f t="shared" si="12"/>
        <v>1</v>
      </c>
      <c r="AI55" s="102">
        <v>0.1</v>
      </c>
      <c r="AL55" s="48" t="b">
        <f t="shared" si="13"/>
        <v>1</v>
      </c>
    </row>
    <row r="56" spans="1:40" ht="23.1">
      <c r="A56" s="110" t="s">
        <v>47</v>
      </c>
      <c r="B56" s="40" t="s">
        <v>48</v>
      </c>
      <c r="C56" s="33" t="s">
        <v>49</v>
      </c>
      <c r="D56" s="16">
        <v>0.52410000000000001</v>
      </c>
      <c r="E56" s="16">
        <v>0.47589999999999999</v>
      </c>
      <c r="F56" s="35" t="s">
        <v>160</v>
      </c>
      <c r="G56" s="37">
        <v>1</v>
      </c>
      <c r="H56" s="37"/>
      <c r="I56" s="37">
        <v>1</v>
      </c>
      <c r="J56" s="37">
        <v>24</v>
      </c>
      <c r="K56" s="37">
        <v>13</v>
      </c>
      <c r="L56" s="37">
        <v>11</v>
      </c>
      <c r="M56" s="37">
        <f t="shared" si="14"/>
        <v>30</v>
      </c>
      <c r="N56" s="37">
        <v>23</v>
      </c>
      <c r="O56" s="37">
        <f t="shared" si="2"/>
        <v>30</v>
      </c>
      <c r="P56" s="37">
        <f t="shared" si="3"/>
        <v>30</v>
      </c>
      <c r="Q56" s="104">
        <v>6000</v>
      </c>
      <c r="S56" s="31">
        <f t="shared" si="4"/>
        <v>24497455.429081481</v>
      </c>
      <c r="T56" s="31">
        <f t="shared" si="5"/>
        <v>24497455.429081481</v>
      </c>
      <c r="U56" s="31">
        <f t="shared" si="6"/>
        <v>18781382.495629136</v>
      </c>
      <c r="V56" s="31">
        <f t="shared" si="7"/>
        <v>24497455.429081481</v>
      </c>
      <c r="W56" s="31">
        <f t="shared" si="8"/>
        <v>24497455.429081481</v>
      </c>
      <c r="X56" s="31">
        <f t="shared" si="9"/>
        <v>24497455.429081481</v>
      </c>
      <c r="Y56" s="31">
        <f t="shared" si="9"/>
        <v>24497455.429081481</v>
      </c>
      <c r="Z56" s="31">
        <f t="shared" si="9"/>
        <v>24497455.429081481</v>
      </c>
      <c r="AA56" s="31">
        <f t="shared" si="9"/>
        <v>24497455.429081481</v>
      </c>
      <c r="AB56" s="31">
        <f t="shared" si="9"/>
        <v>24497455.429081481</v>
      </c>
      <c r="AC56" s="31">
        <f t="shared" si="9"/>
        <v>24497455.429081481</v>
      </c>
      <c r="AD56" s="31">
        <f t="shared" si="10"/>
        <v>24497455.429081481</v>
      </c>
      <c r="AE56" s="99"/>
      <c r="AF56" s="31">
        <f t="shared" si="15"/>
        <v>288253392.21552539</v>
      </c>
      <c r="AG56" s="99">
        <f t="shared" si="11"/>
        <v>1</v>
      </c>
      <c r="AH56" s="99">
        <f t="shared" si="12"/>
        <v>1</v>
      </c>
      <c r="AI56" s="102">
        <v>0.1</v>
      </c>
      <c r="AL56" s="48" t="b">
        <f t="shared" si="13"/>
        <v>1</v>
      </c>
    </row>
    <row r="57" spans="1:40" ht="23.1">
      <c r="A57" s="110"/>
      <c r="B57" s="40" t="s">
        <v>50</v>
      </c>
      <c r="C57" s="33" t="s">
        <v>49</v>
      </c>
      <c r="D57" s="16">
        <v>0.52410000000000001</v>
      </c>
      <c r="E57" s="16">
        <v>0.47589999999999999</v>
      </c>
      <c r="F57" s="35" t="s">
        <v>160</v>
      </c>
      <c r="G57" s="37">
        <v>1</v>
      </c>
      <c r="H57" s="37">
        <v>1</v>
      </c>
      <c r="I57" s="37">
        <v>1</v>
      </c>
      <c r="J57" s="37">
        <v>24</v>
      </c>
      <c r="K57" s="37">
        <v>13</v>
      </c>
      <c r="L57" s="37">
        <v>11</v>
      </c>
      <c r="M57" s="37">
        <f t="shared" si="14"/>
        <v>30</v>
      </c>
      <c r="N57" s="37">
        <f t="shared" si="16"/>
        <v>30</v>
      </c>
      <c r="O57" s="37">
        <f t="shared" si="2"/>
        <v>30</v>
      </c>
      <c r="P57" s="37">
        <f t="shared" si="3"/>
        <v>30</v>
      </c>
      <c r="Q57" s="104">
        <v>6000</v>
      </c>
      <c r="S57" s="31">
        <f t="shared" si="4"/>
        <v>24497455.429081481</v>
      </c>
      <c r="T57" s="31">
        <f t="shared" si="5"/>
        <v>24497455.429081481</v>
      </c>
      <c r="U57" s="31">
        <f t="shared" si="6"/>
        <v>24497455.429081481</v>
      </c>
      <c r="V57" s="31">
        <f t="shared" si="7"/>
        <v>24497455.429081481</v>
      </c>
      <c r="W57" s="31">
        <f t="shared" si="8"/>
        <v>24497455.429081481</v>
      </c>
      <c r="X57" s="31">
        <f t="shared" si="9"/>
        <v>24497455.429081481</v>
      </c>
      <c r="Y57" s="31">
        <f t="shared" si="9"/>
        <v>24497455.429081481</v>
      </c>
      <c r="Z57" s="31">
        <f t="shared" si="9"/>
        <v>24497455.429081481</v>
      </c>
      <c r="AA57" s="31">
        <f t="shared" si="9"/>
        <v>24497455.429081481</v>
      </c>
      <c r="AB57" s="31">
        <f t="shared" si="9"/>
        <v>24497455.429081481</v>
      </c>
      <c r="AC57" s="31">
        <f t="shared" si="9"/>
        <v>24497455.429081481</v>
      </c>
      <c r="AD57" s="31">
        <f t="shared" si="10"/>
        <v>24497455.429081481</v>
      </c>
      <c r="AE57" s="99"/>
      <c r="AF57" s="31">
        <f t="shared" si="15"/>
        <v>293969465.14897776</v>
      </c>
      <c r="AG57" s="99">
        <f t="shared" si="11"/>
        <v>1</v>
      </c>
      <c r="AH57" s="99">
        <f t="shared" si="12"/>
        <v>1</v>
      </c>
      <c r="AI57" s="102">
        <v>0.1</v>
      </c>
      <c r="AL57" s="48" t="b">
        <f t="shared" si="13"/>
        <v>1</v>
      </c>
    </row>
    <row r="58" spans="1:40" ht="23.1">
      <c r="A58" s="110" t="s">
        <v>51</v>
      </c>
      <c r="B58" s="33" t="s">
        <v>52</v>
      </c>
      <c r="C58" s="33" t="s">
        <v>35</v>
      </c>
      <c r="D58" s="16">
        <v>0.52410000000000001</v>
      </c>
      <c r="E58" s="16">
        <v>0.47589999999999999</v>
      </c>
      <c r="F58" s="35" t="s">
        <v>160</v>
      </c>
      <c r="G58" s="37">
        <v>1</v>
      </c>
      <c r="H58" s="37">
        <v>1</v>
      </c>
      <c r="I58" s="37">
        <v>1</v>
      </c>
      <c r="J58" s="37">
        <v>24</v>
      </c>
      <c r="K58" s="37">
        <v>13</v>
      </c>
      <c r="L58" s="37">
        <v>11</v>
      </c>
      <c r="M58" s="37">
        <f t="shared" si="14"/>
        <v>30</v>
      </c>
      <c r="N58" s="37">
        <f t="shared" si="16"/>
        <v>30</v>
      </c>
      <c r="O58" s="37">
        <f t="shared" si="2"/>
        <v>30</v>
      </c>
      <c r="P58" s="37">
        <f t="shared" si="3"/>
        <v>30</v>
      </c>
      <c r="Q58" s="104">
        <v>6000</v>
      </c>
      <c r="S58" s="31">
        <f t="shared" si="4"/>
        <v>24497455.429081481</v>
      </c>
      <c r="T58" s="31">
        <f t="shared" si="5"/>
        <v>24497455.429081481</v>
      </c>
      <c r="U58" s="31">
        <f t="shared" si="6"/>
        <v>24497455.429081481</v>
      </c>
      <c r="V58" s="31">
        <f t="shared" si="7"/>
        <v>24497455.429081481</v>
      </c>
      <c r="W58" s="31">
        <f t="shared" si="8"/>
        <v>24497455.429081481</v>
      </c>
      <c r="X58" s="31">
        <f t="shared" si="9"/>
        <v>24497455.429081481</v>
      </c>
      <c r="Y58" s="31">
        <f t="shared" si="9"/>
        <v>24497455.429081481</v>
      </c>
      <c r="Z58" s="31">
        <f t="shared" si="9"/>
        <v>24497455.429081481</v>
      </c>
      <c r="AA58" s="31">
        <f t="shared" si="9"/>
        <v>24497455.429081481</v>
      </c>
      <c r="AB58" s="31">
        <f t="shared" si="9"/>
        <v>24497455.429081481</v>
      </c>
      <c r="AC58" s="31">
        <f t="shared" si="9"/>
        <v>24497455.429081481</v>
      </c>
      <c r="AD58" s="31">
        <f t="shared" si="10"/>
        <v>24497455.429081481</v>
      </c>
      <c r="AE58" s="99"/>
      <c r="AF58" s="31">
        <f t="shared" si="15"/>
        <v>293969465.14897776</v>
      </c>
      <c r="AG58" s="99">
        <f t="shared" si="11"/>
        <v>1</v>
      </c>
      <c r="AH58" s="99">
        <f t="shared" si="12"/>
        <v>1</v>
      </c>
      <c r="AI58" s="102">
        <v>0.1</v>
      </c>
      <c r="AL58" s="48" t="b">
        <f t="shared" si="13"/>
        <v>1</v>
      </c>
    </row>
    <row r="59" spans="1:40" ht="23.1">
      <c r="A59" s="110"/>
      <c r="B59" s="33" t="s">
        <v>53</v>
      </c>
      <c r="C59" s="33" t="s">
        <v>35</v>
      </c>
      <c r="D59" s="16">
        <v>0.52410000000000001</v>
      </c>
      <c r="E59" s="16">
        <v>0.47589999999999999</v>
      </c>
      <c r="F59" s="35" t="s">
        <v>160</v>
      </c>
      <c r="G59" s="37">
        <v>1</v>
      </c>
      <c r="H59" s="37">
        <v>1</v>
      </c>
      <c r="I59" s="37">
        <v>1</v>
      </c>
      <c r="J59" s="37">
        <v>24</v>
      </c>
      <c r="K59" s="37">
        <v>13</v>
      </c>
      <c r="L59" s="37">
        <v>11</v>
      </c>
      <c r="M59" s="37">
        <f t="shared" si="14"/>
        <v>30</v>
      </c>
      <c r="N59" s="37">
        <f t="shared" si="16"/>
        <v>30</v>
      </c>
      <c r="O59" s="37">
        <f t="shared" si="2"/>
        <v>30</v>
      </c>
      <c r="P59" s="37">
        <f t="shared" si="3"/>
        <v>30</v>
      </c>
      <c r="Q59" s="104">
        <v>6000</v>
      </c>
      <c r="S59" s="31">
        <f t="shared" si="4"/>
        <v>24497455.429081481</v>
      </c>
      <c r="T59" s="31">
        <f t="shared" si="5"/>
        <v>24497455.429081481</v>
      </c>
      <c r="U59" s="31">
        <f t="shared" si="6"/>
        <v>24497455.429081481</v>
      </c>
      <c r="V59" s="31">
        <f t="shared" si="7"/>
        <v>24497455.429081481</v>
      </c>
      <c r="W59" s="31">
        <f t="shared" si="8"/>
        <v>24497455.429081481</v>
      </c>
      <c r="X59" s="31">
        <f t="shared" si="9"/>
        <v>24497455.429081481</v>
      </c>
      <c r="Y59" s="31">
        <f t="shared" si="9"/>
        <v>24497455.429081481</v>
      </c>
      <c r="Z59" s="31">
        <f t="shared" si="9"/>
        <v>24497455.429081481</v>
      </c>
      <c r="AA59" s="31">
        <f t="shared" si="9"/>
        <v>24497455.429081481</v>
      </c>
      <c r="AB59" s="31">
        <f t="shared" si="9"/>
        <v>24497455.429081481</v>
      </c>
      <c r="AC59" s="31">
        <f t="shared" si="9"/>
        <v>24497455.429081481</v>
      </c>
      <c r="AD59" s="31">
        <f t="shared" si="10"/>
        <v>24497455.429081481</v>
      </c>
      <c r="AE59" s="99"/>
      <c r="AF59" s="31">
        <f t="shared" si="15"/>
        <v>293969465.14897776</v>
      </c>
      <c r="AG59" s="99">
        <f t="shared" si="11"/>
        <v>1</v>
      </c>
      <c r="AH59" s="99">
        <f t="shared" si="12"/>
        <v>1</v>
      </c>
      <c r="AI59" s="102">
        <v>0.1</v>
      </c>
      <c r="AL59" s="48" t="b">
        <f t="shared" si="13"/>
        <v>1</v>
      </c>
    </row>
    <row r="60" spans="1:40" ht="34.5">
      <c r="A60" s="110"/>
      <c r="B60" s="33" t="s">
        <v>54</v>
      </c>
      <c r="C60" s="33" t="s">
        <v>55</v>
      </c>
      <c r="D60" s="16">
        <v>0.52410000000000001</v>
      </c>
      <c r="E60" s="16">
        <v>0.47589999999999999</v>
      </c>
      <c r="F60" s="35" t="s">
        <v>163</v>
      </c>
      <c r="G60" s="37">
        <v>1</v>
      </c>
      <c r="H60" s="37">
        <v>1</v>
      </c>
      <c r="I60" s="37">
        <v>1</v>
      </c>
      <c r="J60" s="37">
        <v>24</v>
      </c>
      <c r="K60" s="37">
        <v>13</v>
      </c>
      <c r="L60" s="37">
        <v>11</v>
      </c>
      <c r="M60" s="37">
        <f t="shared" si="14"/>
        <v>30</v>
      </c>
      <c r="N60" s="37">
        <f>IF(AND(H60=1,J60&lt;24),20,IF(AND(H60=1,J60=24),30,17))</f>
        <v>30</v>
      </c>
      <c r="O60" s="37">
        <f t="shared" si="2"/>
        <v>30</v>
      </c>
      <c r="P60" s="37">
        <f t="shared" si="3"/>
        <v>30</v>
      </c>
      <c r="Q60" s="104">
        <v>6000</v>
      </c>
      <c r="S60" s="31">
        <f t="shared" si="4"/>
        <v>24052047.148552727</v>
      </c>
      <c r="T60" s="31">
        <f t="shared" si="5"/>
        <v>24052047.148552727</v>
      </c>
      <c r="U60" s="31">
        <f t="shared" si="6"/>
        <v>24052047.148552727</v>
      </c>
      <c r="V60" s="31">
        <f t="shared" si="7"/>
        <v>24052047.148552727</v>
      </c>
      <c r="W60" s="31">
        <f t="shared" si="8"/>
        <v>24052047.148552727</v>
      </c>
      <c r="X60" s="31">
        <f t="shared" si="9"/>
        <v>24052047.148552727</v>
      </c>
      <c r="Y60" s="31">
        <f t="shared" si="9"/>
        <v>24052047.148552727</v>
      </c>
      <c r="Z60" s="31">
        <f t="shared" si="9"/>
        <v>24052047.148552727</v>
      </c>
      <c r="AA60" s="31">
        <f t="shared" si="9"/>
        <v>24052047.148552727</v>
      </c>
      <c r="AB60" s="31">
        <f t="shared" si="9"/>
        <v>24052047.148552727</v>
      </c>
      <c r="AC60" s="31">
        <f t="shared" si="9"/>
        <v>24052047.148552727</v>
      </c>
      <c r="AD60" s="31">
        <f t="shared" si="10"/>
        <v>24052047.148552727</v>
      </c>
      <c r="AE60" s="99"/>
      <c r="AF60" s="31">
        <f t="shared" si="15"/>
        <v>288624565.78263265</v>
      </c>
      <c r="AG60" s="99">
        <f t="shared" si="11"/>
        <v>1</v>
      </c>
      <c r="AH60" s="99">
        <f t="shared" si="12"/>
        <v>1</v>
      </c>
      <c r="AI60" s="102">
        <v>0.08</v>
      </c>
      <c r="AL60" s="48" t="b">
        <f t="shared" si="13"/>
        <v>1</v>
      </c>
    </row>
    <row r="61" spans="1:40" ht="23.1">
      <c r="A61" s="110"/>
      <c r="B61" s="33" t="s">
        <v>56</v>
      </c>
      <c r="C61" s="33" t="s">
        <v>35</v>
      </c>
      <c r="D61" s="16">
        <v>0.52410000000000001</v>
      </c>
      <c r="E61" s="16">
        <v>0.47589999999999999</v>
      </c>
      <c r="F61" s="35" t="s">
        <v>160</v>
      </c>
      <c r="G61" s="37">
        <v>1</v>
      </c>
      <c r="H61" s="37">
        <v>1</v>
      </c>
      <c r="I61" s="37">
        <v>1</v>
      </c>
      <c r="J61" s="37">
        <v>24</v>
      </c>
      <c r="K61" s="37">
        <v>13</v>
      </c>
      <c r="L61" s="37">
        <v>11</v>
      </c>
      <c r="M61" s="37">
        <f>IF(AND(G61=1,J61&lt;24),20,IF(AND(G61=1,J61=24),30,13))</f>
        <v>30</v>
      </c>
      <c r="N61" s="37">
        <f t="shared" si="16"/>
        <v>30</v>
      </c>
      <c r="O61" s="37">
        <f t="shared" si="2"/>
        <v>30</v>
      </c>
      <c r="P61" s="37">
        <f t="shared" si="3"/>
        <v>30</v>
      </c>
      <c r="Q61" s="104">
        <v>6000</v>
      </c>
      <c r="S61" s="31">
        <f t="shared" si="4"/>
        <v>24497455.429081481</v>
      </c>
      <c r="T61" s="31">
        <f t="shared" si="5"/>
        <v>24497455.429081481</v>
      </c>
      <c r="U61" s="31">
        <f t="shared" si="6"/>
        <v>24497455.429081481</v>
      </c>
      <c r="V61" s="31">
        <f t="shared" si="7"/>
        <v>24497455.429081481</v>
      </c>
      <c r="W61" s="31">
        <f t="shared" si="8"/>
        <v>24497455.429081481</v>
      </c>
      <c r="X61" s="31">
        <f t="shared" si="9"/>
        <v>24497455.429081481</v>
      </c>
      <c r="Y61" s="31">
        <f t="shared" si="9"/>
        <v>24497455.429081481</v>
      </c>
      <c r="Z61" s="31">
        <f t="shared" si="9"/>
        <v>24497455.429081481</v>
      </c>
      <c r="AA61" s="31">
        <f t="shared" si="9"/>
        <v>24497455.429081481</v>
      </c>
      <c r="AB61" s="31">
        <f t="shared" si="9"/>
        <v>24497455.429081481</v>
      </c>
      <c r="AC61" s="31">
        <f t="shared" si="9"/>
        <v>24497455.429081481</v>
      </c>
      <c r="AD61" s="31">
        <f t="shared" si="10"/>
        <v>24497455.429081481</v>
      </c>
      <c r="AE61" s="99"/>
      <c r="AF61" s="31">
        <f t="shared" si="15"/>
        <v>293969465.14897776</v>
      </c>
      <c r="AG61" s="99">
        <f t="shared" si="11"/>
        <v>1</v>
      </c>
      <c r="AH61" s="99">
        <f t="shared" si="12"/>
        <v>1</v>
      </c>
      <c r="AI61" s="102">
        <v>0.1</v>
      </c>
      <c r="AL61" s="48" t="b">
        <f t="shared" si="13"/>
        <v>1</v>
      </c>
    </row>
    <row r="62" spans="1:40" ht="23.1">
      <c r="A62" s="110"/>
      <c r="B62" s="33" t="s">
        <v>57</v>
      </c>
      <c r="C62" s="33" t="s">
        <v>58</v>
      </c>
      <c r="D62" s="16">
        <v>0.52410000000000001</v>
      </c>
      <c r="E62" s="16">
        <v>0.47589999999999999</v>
      </c>
      <c r="F62" s="35" t="s">
        <v>160</v>
      </c>
      <c r="G62" s="37">
        <v>1</v>
      </c>
      <c r="H62" s="37">
        <v>1</v>
      </c>
      <c r="I62" s="37">
        <v>1</v>
      </c>
      <c r="J62" s="37">
        <v>24</v>
      </c>
      <c r="K62" s="37">
        <v>13</v>
      </c>
      <c r="L62" s="37">
        <v>11</v>
      </c>
      <c r="M62" s="37">
        <v>10</v>
      </c>
      <c r="N62" s="37">
        <v>10</v>
      </c>
      <c r="O62" s="37">
        <v>10</v>
      </c>
      <c r="P62" s="37">
        <f t="shared" si="3"/>
        <v>10</v>
      </c>
      <c r="Q62" s="104">
        <v>6000</v>
      </c>
      <c r="S62" s="31">
        <f t="shared" si="4"/>
        <v>8165818.4763604933</v>
      </c>
      <c r="T62" s="31">
        <f t="shared" si="5"/>
        <v>8165818.4763604933</v>
      </c>
      <c r="U62" s="31">
        <f t="shared" si="6"/>
        <v>8165818.4763604933</v>
      </c>
      <c r="V62" s="31">
        <f t="shared" si="7"/>
        <v>8165818.4763604933</v>
      </c>
      <c r="W62" s="31">
        <f t="shared" si="8"/>
        <v>8165818.4763604933</v>
      </c>
      <c r="X62" s="31">
        <f t="shared" ref="X62:AC88" si="17">+((((((($B$21*$C$21)+$Q62)*$D62/30)*$P62)/11*$L62))+(((((($B$21*$C$21)+$Q62)*$E62/30)*$P62)/13*$K62)))*($I62)*(1+$AI62)</f>
        <v>8165818.4763604933</v>
      </c>
      <c r="Y62" s="31">
        <f t="shared" si="17"/>
        <v>8165818.4763604933</v>
      </c>
      <c r="Z62" s="31">
        <f t="shared" si="17"/>
        <v>8165818.4763604933</v>
      </c>
      <c r="AA62" s="31">
        <f t="shared" si="17"/>
        <v>8165818.4763604933</v>
      </c>
      <c r="AB62" s="31">
        <f t="shared" si="17"/>
        <v>8165818.4763604933</v>
      </c>
      <c r="AC62" s="31">
        <f t="shared" si="17"/>
        <v>8165818.4763604933</v>
      </c>
      <c r="AD62" s="31">
        <f t="shared" si="10"/>
        <v>8165818.4763604933</v>
      </c>
      <c r="AE62" s="99"/>
      <c r="AF62" s="31">
        <f t="shared" si="15"/>
        <v>97989821.716325939</v>
      </c>
      <c r="AG62" s="99">
        <f t="shared" si="11"/>
        <v>1</v>
      </c>
      <c r="AH62" s="99">
        <f t="shared" si="12"/>
        <v>1</v>
      </c>
      <c r="AI62" s="102">
        <v>0.1</v>
      </c>
      <c r="AL62" s="48" t="b">
        <f t="shared" si="13"/>
        <v>1</v>
      </c>
    </row>
    <row r="63" spans="1:40" ht="23.1">
      <c r="A63" s="110"/>
      <c r="B63" s="33" t="s">
        <v>57</v>
      </c>
      <c r="C63" s="33" t="s">
        <v>59</v>
      </c>
      <c r="D63" s="16">
        <v>0.52410000000000001</v>
      </c>
      <c r="E63" s="16">
        <v>0.47589999999999999</v>
      </c>
      <c r="F63" s="35" t="s">
        <v>160</v>
      </c>
      <c r="G63" s="37">
        <v>1</v>
      </c>
      <c r="H63" s="37">
        <v>1</v>
      </c>
      <c r="I63" s="37">
        <v>1</v>
      </c>
      <c r="J63" s="37">
        <v>12</v>
      </c>
      <c r="K63" s="37">
        <v>1</v>
      </c>
      <c r="L63" s="37">
        <v>11</v>
      </c>
      <c r="M63" s="37">
        <f>IF(AND(G63=1,J63&lt;24),20,IF(AND(G63=1,J63=24),30,13))</f>
        <v>20</v>
      </c>
      <c r="N63" s="37">
        <f>IF(AND(H63=1,J63&lt;24),20,IF(AND(H63=1,J63=24),30,17))</f>
        <v>20</v>
      </c>
      <c r="O63" s="37">
        <f t="shared" si="2"/>
        <v>20</v>
      </c>
      <c r="P63" s="37">
        <f t="shared" si="3"/>
        <v>20</v>
      </c>
      <c r="Q63" s="104">
        <v>2000</v>
      </c>
      <c r="R63"/>
      <c r="S63" s="31">
        <f t="shared" si="4"/>
        <v>9155629.7248031124</v>
      </c>
      <c r="T63" s="31">
        <f t="shared" si="5"/>
        <v>9155629.7248031124</v>
      </c>
      <c r="U63" s="31">
        <f t="shared" si="6"/>
        <v>9155629.7248031124</v>
      </c>
      <c r="V63" s="31">
        <f t="shared" si="7"/>
        <v>9155629.7248031124</v>
      </c>
      <c r="W63" s="31">
        <f t="shared" si="8"/>
        <v>9155629.7248031124</v>
      </c>
      <c r="X63" s="31">
        <f t="shared" si="17"/>
        <v>9155629.7248031124</v>
      </c>
      <c r="Y63" s="31">
        <f t="shared" si="17"/>
        <v>9155629.7248031124</v>
      </c>
      <c r="Z63" s="31">
        <f t="shared" si="17"/>
        <v>9155629.7248031124</v>
      </c>
      <c r="AA63" s="31">
        <f t="shared" si="17"/>
        <v>9155629.7248031124</v>
      </c>
      <c r="AB63" s="31">
        <f t="shared" si="17"/>
        <v>9155629.7248031124</v>
      </c>
      <c r="AC63" s="31">
        <f t="shared" si="17"/>
        <v>9155629.7248031124</v>
      </c>
      <c r="AD63" s="31">
        <f t="shared" si="10"/>
        <v>9155629.7248031124</v>
      </c>
      <c r="AE63" s="98"/>
      <c r="AF63" s="31">
        <f t="shared" si="15"/>
        <v>109867556.69763738</v>
      </c>
      <c r="AG63" s="99">
        <f t="shared" si="11"/>
        <v>1</v>
      </c>
      <c r="AH63" s="99">
        <f t="shared" si="12"/>
        <v>1</v>
      </c>
      <c r="AI63" s="103">
        <v>0.1</v>
      </c>
      <c r="AJ63"/>
      <c r="AK63"/>
      <c r="AL63" s="48" t="b">
        <f t="shared" si="13"/>
        <v>1</v>
      </c>
      <c r="AM63"/>
      <c r="AN63"/>
    </row>
    <row r="64" spans="1:40" ht="23.1">
      <c r="A64" s="110"/>
      <c r="B64" s="33" t="s">
        <v>60</v>
      </c>
      <c r="C64" s="33" t="s">
        <v>13</v>
      </c>
      <c r="D64" s="16">
        <v>0.52410000000000001</v>
      </c>
      <c r="E64" s="16">
        <v>0.47589999999999999</v>
      </c>
      <c r="F64" s="35" t="s">
        <v>160</v>
      </c>
      <c r="G64" s="37">
        <v>1</v>
      </c>
      <c r="H64" s="37"/>
      <c r="I64" s="37">
        <v>1</v>
      </c>
      <c r="J64" s="37">
        <v>9</v>
      </c>
      <c r="K64" s="37">
        <v>9</v>
      </c>
      <c r="L64" s="37"/>
      <c r="M64" s="37">
        <f t="shared" ref="M64:M88" si="18">IF(AND(G64=1,J64&lt;24),20,IF(AND(G64=1,J64=24),30,13))</f>
        <v>20</v>
      </c>
      <c r="N64" s="37">
        <f t="shared" ref="N64:N88" si="19">IF(AND(H64=1,J64&lt;24),20,IF(AND(H64=1,J64=24),30,17))</f>
        <v>17</v>
      </c>
      <c r="O64" s="37">
        <f t="shared" si="2"/>
        <v>20</v>
      </c>
      <c r="P64" s="37">
        <f t="shared" si="3"/>
        <v>20</v>
      </c>
      <c r="Q64" s="104">
        <v>2000</v>
      </c>
      <c r="R64"/>
      <c r="S64" s="31">
        <f t="shared" si="4"/>
        <v>5281990.7769213421</v>
      </c>
      <c r="T64" s="31">
        <f t="shared" si="5"/>
        <v>5281990.7769213421</v>
      </c>
      <c r="U64" s="31">
        <f t="shared" si="6"/>
        <v>4489692.1603831416</v>
      </c>
      <c r="V64" s="31">
        <f t="shared" si="7"/>
        <v>5281990.7769213421</v>
      </c>
      <c r="W64" s="31">
        <f t="shared" si="8"/>
        <v>5281990.7769213421</v>
      </c>
      <c r="X64" s="31">
        <f t="shared" si="17"/>
        <v>5281990.7769213421</v>
      </c>
      <c r="Y64" s="31">
        <f t="shared" si="17"/>
        <v>5281990.7769213421</v>
      </c>
      <c r="Z64" s="31">
        <f t="shared" si="17"/>
        <v>5281990.7769213421</v>
      </c>
      <c r="AA64" s="31">
        <f t="shared" si="17"/>
        <v>5281990.7769213421</v>
      </c>
      <c r="AB64" s="31">
        <f t="shared" si="17"/>
        <v>5281990.7769213421</v>
      </c>
      <c r="AC64" s="31">
        <f t="shared" si="17"/>
        <v>5281990.7769213421</v>
      </c>
      <c r="AD64" s="31">
        <f t="shared" si="10"/>
        <v>5281990.7769213421</v>
      </c>
      <c r="AE64" s="98"/>
      <c r="AF64" s="31">
        <f t="shared" si="15"/>
        <v>62591590.70651789</v>
      </c>
      <c r="AG64" s="99">
        <f t="shared" si="11"/>
        <v>1</v>
      </c>
      <c r="AH64" s="99">
        <f t="shared" si="12"/>
        <v>1</v>
      </c>
      <c r="AI64" s="103">
        <v>0.08</v>
      </c>
      <c r="AJ64"/>
      <c r="AK64"/>
      <c r="AL64" s="48" t="b">
        <f t="shared" si="13"/>
        <v>1</v>
      </c>
      <c r="AM64"/>
      <c r="AN64"/>
    </row>
    <row r="65" spans="1:40" ht="23.1">
      <c r="A65" s="110"/>
      <c r="B65" s="33" t="s">
        <v>61</v>
      </c>
      <c r="C65" s="33" t="s">
        <v>62</v>
      </c>
      <c r="D65" s="16">
        <v>0.52410000000000001</v>
      </c>
      <c r="E65" s="16">
        <v>0.47589999999999999</v>
      </c>
      <c r="F65" s="35" t="s">
        <v>160</v>
      </c>
      <c r="G65" s="37">
        <v>1</v>
      </c>
      <c r="H65" s="37"/>
      <c r="I65" s="37">
        <v>1</v>
      </c>
      <c r="J65" s="37">
        <v>9</v>
      </c>
      <c r="K65" s="37">
        <v>9</v>
      </c>
      <c r="L65" s="37"/>
      <c r="M65" s="37">
        <f t="shared" si="18"/>
        <v>20</v>
      </c>
      <c r="N65" s="37">
        <f t="shared" si="19"/>
        <v>17</v>
      </c>
      <c r="O65" s="37">
        <f t="shared" si="2"/>
        <v>20</v>
      </c>
      <c r="P65" s="37">
        <f t="shared" si="3"/>
        <v>20</v>
      </c>
      <c r="Q65" s="104">
        <v>2000</v>
      </c>
      <c r="R65"/>
      <c r="S65" s="31">
        <f t="shared" si="4"/>
        <v>5281990.7769213421</v>
      </c>
      <c r="T65" s="31">
        <f t="shared" si="5"/>
        <v>5281990.7769213421</v>
      </c>
      <c r="U65" s="31">
        <f t="shared" si="6"/>
        <v>4489692.1603831416</v>
      </c>
      <c r="V65" s="31">
        <f t="shared" si="7"/>
        <v>5281990.7769213421</v>
      </c>
      <c r="W65" s="31">
        <f t="shared" si="8"/>
        <v>5281990.7769213421</v>
      </c>
      <c r="X65" s="31">
        <f t="shared" si="17"/>
        <v>5281990.7769213421</v>
      </c>
      <c r="Y65" s="31">
        <f t="shared" si="17"/>
        <v>5281990.7769213421</v>
      </c>
      <c r="Z65" s="31">
        <f t="shared" si="17"/>
        <v>5281990.7769213421</v>
      </c>
      <c r="AA65" s="31">
        <f t="shared" si="17"/>
        <v>5281990.7769213421</v>
      </c>
      <c r="AB65" s="31">
        <f t="shared" si="17"/>
        <v>5281990.7769213421</v>
      </c>
      <c r="AC65" s="31">
        <f t="shared" si="17"/>
        <v>5281990.7769213421</v>
      </c>
      <c r="AD65" s="31">
        <f t="shared" si="10"/>
        <v>5281990.7769213421</v>
      </c>
      <c r="AE65" s="98"/>
      <c r="AF65" s="31">
        <f t="shared" si="15"/>
        <v>62591590.70651789</v>
      </c>
      <c r="AG65" s="99">
        <f t="shared" si="11"/>
        <v>1</v>
      </c>
      <c r="AH65" s="99">
        <f t="shared" si="12"/>
        <v>1</v>
      </c>
      <c r="AI65" s="103">
        <v>0.08</v>
      </c>
      <c r="AJ65"/>
      <c r="AK65"/>
      <c r="AL65" s="48" t="b">
        <f t="shared" si="13"/>
        <v>1</v>
      </c>
      <c r="AM65"/>
      <c r="AN65"/>
    </row>
    <row r="66" spans="1:40" ht="23.1">
      <c r="A66" s="110"/>
      <c r="B66" s="33" t="s">
        <v>63</v>
      </c>
      <c r="C66" s="33" t="s">
        <v>13</v>
      </c>
      <c r="D66" s="16">
        <v>0.52410000000000001</v>
      </c>
      <c r="E66" s="16">
        <v>0.47589999999999999</v>
      </c>
      <c r="F66" s="35" t="s">
        <v>160</v>
      </c>
      <c r="G66" s="37">
        <v>1</v>
      </c>
      <c r="H66" s="37"/>
      <c r="I66" s="37">
        <v>1</v>
      </c>
      <c r="J66" s="37">
        <v>9</v>
      </c>
      <c r="K66" s="37">
        <v>9</v>
      </c>
      <c r="L66" s="37"/>
      <c r="M66" s="37">
        <f t="shared" si="18"/>
        <v>20</v>
      </c>
      <c r="N66" s="37">
        <f t="shared" si="19"/>
        <v>17</v>
      </c>
      <c r="O66" s="37">
        <f t="shared" si="2"/>
        <v>20</v>
      </c>
      <c r="P66" s="37">
        <f t="shared" si="3"/>
        <v>20</v>
      </c>
      <c r="Q66" s="104">
        <v>2000</v>
      </c>
      <c r="R66"/>
      <c r="S66" s="31">
        <f t="shared" si="4"/>
        <v>5281990.7769213421</v>
      </c>
      <c r="T66" s="31">
        <f t="shared" si="5"/>
        <v>5281990.7769213421</v>
      </c>
      <c r="U66" s="31">
        <f t="shared" si="6"/>
        <v>4489692.1603831416</v>
      </c>
      <c r="V66" s="31">
        <f t="shared" si="7"/>
        <v>5281990.7769213421</v>
      </c>
      <c r="W66" s="31">
        <f t="shared" si="8"/>
        <v>5281990.7769213421</v>
      </c>
      <c r="X66" s="31">
        <f t="shared" si="17"/>
        <v>5281990.7769213421</v>
      </c>
      <c r="Y66" s="31">
        <f t="shared" si="17"/>
        <v>5281990.7769213421</v>
      </c>
      <c r="Z66" s="31">
        <f t="shared" si="17"/>
        <v>5281990.7769213421</v>
      </c>
      <c r="AA66" s="31">
        <f t="shared" si="17"/>
        <v>5281990.7769213421</v>
      </c>
      <c r="AB66" s="31">
        <f t="shared" si="17"/>
        <v>5281990.7769213421</v>
      </c>
      <c r="AC66" s="31">
        <f t="shared" si="17"/>
        <v>5281990.7769213421</v>
      </c>
      <c r="AD66" s="31">
        <f t="shared" si="10"/>
        <v>5281990.7769213421</v>
      </c>
      <c r="AE66" s="98"/>
      <c r="AF66" s="31">
        <f t="shared" si="15"/>
        <v>62591590.70651789</v>
      </c>
      <c r="AG66" s="99">
        <f t="shared" si="11"/>
        <v>1</v>
      </c>
      <c r="AH66" s="99">
        <f t="shared" si="12"/>
        <v>1</v>
      </c>
      <c r="AI66" s="103">
        <v>0.08</v>
      </c>
      <c r="AJ66"/>
      <c r="AK66"/>
      <c r="AL66" s="48" t="b">
        <f t="shared" si="13"/>
        <v>1</v>
      </c>
      <c r="AM66"/>
      <c r="AN66"/>
    </row>
    <row r="67" spans="1:40" ht="23.1">
      <c r="A67" s="110"/>
      <c r="B67" s="33" t="s">
        <v>64</v>
      </c>
      <c r="C67" s="33" t="s">
        <v>65</v>
      </c>
      <c r="D67" s="16">
        <v>0.52410000000000001</v>
      </c>
      <c r="E67" s="16">
        <v>0.47589999999999999</v>
      </c>
      <c r="F67" s="35" t="s">
        <v>160</v>
      </c>
      <c r="G67" s="37">
        <v>1</v>
      </c>
      <c r="H67" s="37"/>
      <c r="I67" s="37">
        <v>1</v>
      </c>
      <c r="J67" s="37">
        <v>12</v>
      </c>
      <c r="K67" s="37">
        <v>12</v>
      </c>
      <c r="L67" s="37"/>
      <c r="M67" s="37">
        <f t="shared" si="18"/>
        <v>20</v>
      </c>
      <c r="N67" s="37">
        <f t="shared" si="19"/>
        <v>17</v>
      </c>
      <c r="O67" s="37">
        <f t="shared" si="2"/>
        <v>20</v>
      </c>
      <c r="P67" s="37">
        <f t="shared" si="3"/>
        <v>20</v>
      </c>
      <c r="Q67" s="104">
        <v>2000</v>
      </c>
      <c r="R67"/>
      <c r="S67" s="31">
        <f t="shared" si="4"/>
        <v>7042654.3692284571</v>
      </c>
      <c r="T67" s="31">
        <f t="shared" si="5"/>
        <v>7042654.3692284571</v>
      </c>
      <c r="U67" s="31">
        <f t="shared" si="6"/>
        <v>5986256.2138441885</v>
      </c>
      <c r="V67" s="31">
        <f t="shared" si="7"/>
        <v>7042654.3692284571</v>
      </c>
      <c r="W67" s="31">
        <f t="shared" si="8"/>
        <v>7042654.3692284571</v>
      </c>
      <c r="X67" s="31">
        <f t="shared" si="17"/>
        <v>7042654.3692284571</v>
      </c>
      <c r="Y67" s="31">
        <f t="shared" si="17"/>
        <v>7042654.3692284571</v>
      </c>
      <c r="Z67" s="31">
        <f t="shared" si="17"/>
        <v>7042654.3692284571</v>
      </c>
      <c r="AA67" s="31">
        <f t="shared" si="17"/>
        <v>7042654.3692284571</v>
      </c>
      <c r="AB67" s="31">
        <f t="shared" si="17"/>
        <v>7042654.3692284571</v>
      </c>
      <c r="AC67" s="31">
        <f t="shared" si="17"/>
        <v>7042654.3692284571</v>
      </c>
      <c r="AD67" s="31">
        <f t="shared" si="10"/>
        <v>7042654.3692284571</v>
      </c>
      <c r="AE67" s="98"/>
      <c r="AF67" s="31">
        <f t="shared" si="15"/>
        <v>83455454.275357217</v>
      </c>
      <c r="AG67" s="99">
        <f t="shared" si="11"/>
        <v>1</v>
      </c>
      <c r="AH67" s="99">
        <f t="shared" si="12"/>
        <v>1</v>
      </c>
      <c r="AI67" s="103">
        <v>0.08</v>
      </c>
      <c r="AJ67"/>
      <c r="AK67"/>
      <c r="AL67" s="48" t="b">
        <f t="shared" si="13"/>
        <v>1</v>
      </c>
      <c r="AM67"/>
      <c r="AN67"/>
    </row>
    <row r="68" spans="1:40" ht="23.1">
      <c r="A68" s="110"/>
      <c r="B68" s="33" t="s">
        <v>66</v>
      </c>
      <c r="C68" s="33" t="s">
        <v>65</v>
      </c>
      <c r="D68" s="16">
        <v>0.52410000000000001</v>
      </c>
      <c r="E68" s="16">
        <v>0.47589999999999999</v>
      </c>
      <c r="F68" s="35" t="s">
        <v>163</v>
      </c>
      <c r="G68" s="37">
        <v>1</v>
      </c>
      <c r="H68" s="37"/>
      <c r="I68" s="37">
        <v>1</v>
      </c>
      <c r="J68" s="37">
        <v>12</v>
      </c>
      <c r="K68" s="37">
        <v>12</v>
      </c>
      <c r="L68" s="37"/>
      <c r="M68" s="37">
        <f t="shared" si="18"/>
        <v>20</v>
      </c>
      <c r="N68" s="37">
        <f t="shared" si="19"/>
        <v>17</v>
      </c>
      <c r="O68" s="37">
        <f t="shared" si="2"/>
        <v>20</v>
      </c>
      <c r="P68" s="37">
        <f t="shared" si="3"/>
        <v>20</v>
      </c>
      <c r="Q68" s="104">
        <v>2000</v>
      </c>
      <c r="R68"/>
      <c r="S68" s="31">
        <f t="shared" si="4"/>
        <v>7042654.3692284571</v>
      </c>
      <c r="T68" s="31">
        <f t="shared" si="5"/>
        <v>7042654.3692284571</v>
      </c>
      <c r="U68" s="31">
        <f t="shared" si="6"/>
        <v>5986256.2138441885</v>
      </c>
      <c r="V68" s="31">
        <f t="shared" si="7"/>
        <v>7042654.3692284571</v>
      </c>
      <c r="W68" s="31">
        <f t="shared" si="8"/>
        <v>7042654.3692284571</v>
      </c>
      <c r="X68" s="31">
        <f t="shared" si="17"/>
        <v>7042654.3692284571</v>
      </c>
      <c r="Y68" s="31">
        <f t="shared" si="17"/>
        <v>7042654.3692284571</v>
      </c>
      <c r="Z68" s="31">
        <f t="shared" si="17"/>
        <v>7042654.3692284571</v>
      </c>
      <c r="AA68" s="31">
        <f t="shared" si="17"/>
        <v>7042654.3692284571</v>
      </c>
      <c r="AB68" s="31">
        <f t="shared" si="17"/>
        <v>7042654.3692284571</v>
      </c>
      <c r="AC68" s="31">
        <f t="shared" si="17"/>
        <v>7042654.3692284571</v>
      </c>
      <c r="AD68" s="31">
        <f t="shared" si="10"/>
        <v>7042654.3692284571</v>
      </c>
      <c r="AE68" s="98"/>
      <c r="AF68" s="31">
        <f t="shared" si="15"/>
        <v>83455454.275357217</v>
      </c>
      <c r="AG68" s="99">
        <f t="shared" si="11"/>
        <v>1</v>
      </c>
      <c r="AH68" s="99">
        <f t="shared" si="12"/>
        <v>1</v>
      </c>
      <c r="AI68" s="103">
        <v>0.08</v>
      </c>
      <c r="AJ68"/>
      <c r="AK68"/>
      <c r="AL68" s="48" t="b">
        <f t="shared" si="13"/>
        <v>1</v>
      </c>
      <c r="AM68"/>
      <c r="AN68"/>
    </row>
    <row r="69" spans="1:40" ht="57.6">
      <c r="A69" s="110"/>
      <c r="B69" s="33" t="s">
        <v>67</v>
      </c>
      <c r="C69" s="33" t="s">
        <v>68</v>
      </c>
      <c r="D69" s="16">
        <v>0.52410000000000001</v>
      </c>
      <c r="E69" s="16">
        <v>0.47589999999999999</v>
      </c>
      <c r="F69" s="35" t="s">
        <v>162</v>
      </c>
      <c r="G69" s="37">
        <v>1</v>
      </c>
      <c r="H69" s="37"/>
      <c r="I69" s="37">
        <v>1</v>
      </c>
      <c r="J69" s="37">
        <v>12</v>
      </c>
      <c r="K69" s="37">
        <v>12</v>
      </c>
      <c r="L69" s="37"/>
      <c r="M69" s="37">
        <f t="shared" si="18"/>
        <v>20</v>
      </c>
      <c r="N69" s="37">
        <f t="shared" si="19"/>
        <v>17</v>
      </c>
      <c r="O69" s="37">
        <f t="shared" si="2"/>
        <v>20</v>
      </c>
      <c r="P69" s="37">
        <f t="shared" si="3"/>
        <v>20</v>
      </c>
      <c r="Q69" s="104">
        <v>2000</v>
      </c>
      <c r="R69"/>
      <c r="S69" s="31">
        <f t="shared" si="4"/>
        <v>7238283.6572625805</v>
      </c>
      <c r="T69" s="31">
        <f t="shared" si="5"/>
        <v>7238283.6572625805</v>
      </c>
      <c r="U69" s="31">
        <f t="shared" si="6"/>
        <v>6152541.1086731935</v>
      </c>
      <c r="V69" s="31">
        <f t="shared" si="7"/>
        <v>7238283.6572625805</v>
      </c>
      <c r="W69" s="31">
        <f t="shared" si="8"/>
        <v>7238283.6572625805</v>
      </c>
      <c r="X69" s="31">
        <f t="shared" si="17"/>
        <v>7238283.6572625805</v>
      </c>
      <c r="Y69" s="31">
        <f t="shared" si="17"/>
        <v>7238283.6572625805</v>
      </c>
      <c r="Z69" s="31">
        <f t="shared" si="17"/>
        <v>7238283.6572625805</v>
      </c>
      <c r="AA69" s="31">
        <f t="shared" si="17"/>
        <v>7238283.6572625805</v>
      </c>
      <c r="AB69" s="31">
        <f t="shared" si="17"/>
        <v>7238283.6572625805</v>
      </c>
      <c r="AC69" s="31">
        <f t="shared" si="17"/>
        <v>7238283.6572625805</v>
      </c>
      <c r="AD69" s="31">
        <f t="shared" si="10"/>
        <v>7238283.6572625805</v>
      </c>
      <c r="AE69" s="98"/>
      <c r="AF69" s="31">
        <f t="shared" si="15"/>
        <v>85773661.338561565</v>
      </c>
      <c r="AG69" s="99">
        <f t="shared" si="11"/>
        <v>1</v>
      </c>
      <c r="AH69" s="99">
        <f t="shared" si="12"/>
        <v>1</v>
      </c>
      <c r="AI69" s="103">
        <v>0.11</v>
      </c>
      <c r="AJ69"/>
      <c r="AK69"/>
      <c r="AL69" s="48" t="b">
        <f t="shared" si="13"/>
        <v>1</v>
      </c>
      <c r="AM69"/>
      <c r="AN69"/>
    </row>
    <row r="70" spans="1:40" ht="23.1">
      <c r="A70" s="110" t="s">
        <v>69</v>
      </c>
      <c r="B70" s="33" t="s">
        <v>70</v>
      </c>
      <c r="C70" s="33" t="s">
        <v>49</v>
      </c>
      <c r="D70" s="16">
        <v>0.52410000000000001</v>
      </c>
      <c r="E70" s="16">
        <v>0.47589999999999999</v>
      </c>
      <c r="F70" s="35" t="s">
        <v>163</v>
      </c>
      <c r="G70" s="37">
        <v>1</v>
      </c>
      <c r="H70" s="37">
        <v>1</v>
      </c>
      <c r="I70" s="37">
        <v>1</v>
      </c>
      <c r="J70" s="37">
        <v>24</v>
      </c>
      <c r="K70" s="37">
        <v>13</v>
      </c>
      <c r="L70" s="37">
        <v>11</v>
      </c>
      <c r="M70" s="37">
        <f>IF(AND(G70=1,J70&lt;24),20,IF(AND(G70=1,J70=24),30,13))</f>
        <v>30</v>
      </c>
      <c r="N70" s="37">
        <f>IF(AND(H70=1,J70&lt;24),20,IF(AND(H70=1,J70=24),30,17))</f>
        <v>30</v>
      </c>
      <c r="O70" s="37">
        <f t="shared" si="2"/>
        <v>30</v>
      </c>
      <c r="P70" s="37">
        <f t="shared" si="3"/>
        <v>30</v>
      </c>
      <c r="Q70" s="104">
        <v>6000</v>
      </c>
      <c r="S70" s="31">
        <f t="shared" si="4"/>
        <v>24497455.429081481</v>
      </c>
      <c r="T70" s="31">
        <f t="shared" si="5"/>
        <v>24497455.429081481</v>
      </c>
      <c r="U70" s="31">
        <f t="shared" si="6"/>
        <v>24497455.429081481</v>
      </c>
      <c r="V70" s="31">
        <f t="shared" si="7"/>
        <v>24497455.429081481</v>
      </c>
      <c r="W70" s="31">
        <f t="shared" si="8"/>
        <v>24497455.429081481</v>
      </c>
      <c r="X70" s="31">
        <f t="shared" si="17"/>
        <v>24497455.429081481</v>
      </c>
      <c r="Y70" s="31">
        <f t="shared" si="17"/>
        <v>24497455.429081481</v>
      </c>
      <c r="Z70" s="31">
        <f t="shared" si="17"/>
        <v>24497455.429081481</v>
      </c>
      <c r="AA70" s="31">
        <f t="shared" si="17"/>
        <v>24497455.429081481</v>
      </c>
      <c r="AB70" s="31">
        <f t="shared" si="17"/>
        <v>24497455.429081481</v>
      </c>
      <c r="AC70" s="31">
        <f t="shared" si="17"/>
        <v>24497455.429081481</v>
      </c>
      <c r="AD70" s="31">
        <f t="shared" si="10"/>
        <v>24497455.429081481</v>
      </c>
      <c r="AE70" s="99"/>
      <c r="AF70" s="31">
        <f t="shared" si="15"/>
        <v>293969465.14897776</v>
      </c>
      <c r="AG70" s="99">
        <f t="shared" si="11"/>
        <v>1</v>
      </c>
      <c r="AH70" s="99">
        <f t="shared" si="12"/>
        <v>1</v>
      </c>
      <c r="AI70" s="102">
        <v>0.1</v>
      </c>
      <c r="AL70" s="48" t="b">
        <f t="shared" si="13"/>
        <v>1</v>
      </c>
    </row>
    <row r="71" spans="1:40" ht="23.1">
      <c r="A71" s="110"/>
      <c r="B71" s="33" t="s">
        <v>38</v>
      </c>
      <c r="C71" s="33" t="s">
        <v>49</v>
      </c>
      <c r="D71" s="16">
        <v>0.52410000000000001</v>
      </c>
      <c r="E71" s="16">
        <v>0.47589999999999999</v>
      </c>
      <c r="F71" s="35" t="s">
        <v>160</v>
      </c>
      <c r="G71" s="37">
        <v>1</v>
      </c>
      <c r="H71" s="37">
        <v>1</v>
      </c>
      <c r="I71" s="37">
        <v>1</v>
      </c>
      <c r="J71" s="37">
        <v>24</v>
      </c>
      <c r="K71" s="37">
        <v>13</v>
      </c>
      <c r="L71" s="37">
        <v>11</v>
      </c>
      <c r="M71" s="37">
        <f t="shared" si="18"/>
        <v>30</v>
      </c>
      <c r="N71" s="37">
        <f t="shared" si="19"/>
        <v>30</v>
      </c>
      <c r="O71" s="37">
        <f t="shared" si="2"/>
        <v>30</v>
      </c>
      <c r="P71" s="37">
        <f t="shared" si="3"/>
        <v>30</v>
      </c>
      <c r="Q71" s="104">
        <v>6000</v>
      </c>
      <c r="S71" s="31">
        <f t="shared" si="4"/>
        <v>24497455.429081481</v>
      </c>
      <c r="T71" s="31">
        <f t="shared" si="5"/>
        <v>24497455.429081481</v>
      </c>
      <c r="U71" s="31">
        <f t="shared" si="6"/>
        <v>24497455.429081481</v>
      </c>
      <c r="V71" s="31">
        <f t="shared" si="7"/>
        <v>24497455.429081481</v>
      </c>
      <c r="W71" s="31">
        <f t="shared" si="8"/>
        <v>24497455.429081481</v>
      </c>
      <c r="X71" s="31">
        <f t="shared" si="17"/>
        <v>24497455.429081481</v>
      </c>
      <c r="Y71" s="31">
        <f t="shared" si="17"/>
        <v>24497455.429081481</v>
      </c>
      <c r="Z71" s="31">
        <f t="shared" si="17"/>
        <v>24497455.429081481</v>
      </c>
      <c r="AA71" s="31">
        <f t="shared" si="17"/>
        <v>24497455.429081481</v>
      </c>
      <c r="AB71" s="31">
        <f t="shared" si="17"/>
        <v>24497455.429081481</v>
      </c>
      <c r="AC71" s="31">
        <f t="shared" si="17"/>
        <v>24497455.429081481</v>
      </c>
      <c r="AD71" s="31">
        <f t="shared" si="10"/>
        <v>24497455.429081481</v>
      </c>
      <c r="AE71" s="99"/>
      <c r="AF71" s="31">
        <f t="shared" si="15"/>
        <v>293969465.14897776</v>
      </c>
      <c r="AG71" s="99">
        <f t="shared" si="11"/>
        <v>1</v>
      </c>
      <c r="AH71" s="99">
        <f t="shared" si="12"/>
        <v>1</v>
      </c>
      <c r="AI71" s="102">
        <v>0.1</v>
      </c>
      <c r="AL71" s="48" t="b">
        <f t="shared" si="13"/>
        <v>1</v>
      </c>
    </row>
    <row r="72" spans="1:40" ht="23.1">
      <c r="A72" s="110"/>
      <c r="B72" s="33" t="s">
        <v>71</v>
      </c>
      <c r="C72" s="33" t="s">
        <v>49</v>
      </c>
      <c r="D72" s="16">
        <v>0.52410000000000001</v>
      </c>
      <c r="E72" s="16">
        <v>0.47589999999999999</v>
      </c>
      <c r="F72" s="35" t="s">
        <v>160</v>
      </c>
      <c r="G72" s="37">
        <v>1</v>
      </c>
      <c r="H72" s="37">
        <v>1</v>
      </c>
      <c r="I72" s="37">
        <v>1</v>
      </c>
      <c r="J72" s="37">
        <v>24</v>
      </c>
      <c r="K72" s="37">
        <v>13</v>
      </c>
      <c r="L72" s="37">
        <v>11</v>
      </c>
      <c r="M72" s="37">
        <f t="shared" si="18"/>
        <v>30</v>
      </c>
      <c r="N72" s="37">
        <f t="shared" si="19"/>
        <v>30</v>
      </c>
      <c r="O72" s="37">
        <f t="shared" si="2"/>
        <v>30</v>
      </c>
      <c r="P72" s="37">
        <f t="shared" si="3"/>
        <v>30</v>
      </c>
      <c r="Q72" s="104">
        <v>6000</v>
      </c>
      <c r="S72" s="31">
        <f t="shared" si="4"/>
        <v>24497455.429081481</v>
      </c>
      <c r="T72" s="31">
        <f t="shared" si="5"/>
        <v>24497455.429081481</v>
      </c>
      <c r="U72" s="31">
        <f t="shared" si="6"/>
        <v>24497455.429081481</v>
      </c>
      <c r="V72" s="31">
        <f t="shared" si="7"/>
        <v>24497455.429081481</v>
      </c>
      <c r="W72" s="31">
        <f t="shared" si="8"/>
        <v>24497455.429081481</v>
      </c>
      <c r="X72" s="31">
        <f t="shared" si="17"/>
        <v>24497455.429081481</v>
      </c>
      <c r="Y72" s="31">
        <f t="shared" si="17"/>
        <v>24497455.429081481</v>
      </c>
      <c r="Z72" s="31">
        <f t="shared" si="17"/>
        <v>24497455.429081481</v>
      </c>
      <c r="AA72" s="31">
        <f t="shared" si="17"/>
        <v>24497455.429081481</v>
      </c>
      <c r="AB72" s="31">
        <f t="shared" si="17"/>
        <v>24497455.429081481</v>
      </c>
      <c r="AC72" s="31">
        <f t="shared" si="17"/>
        <v>24497455.429081481</v>
      </c>
      <c r="AD72" s="31">
        <f t="shared" si="10"/>
        <v>24497455.429081481</v>
      </c>
      <c r="AE72" s="99"/>
      <c r="AF72" s="31">
        <f t="shared" si="15"/>
        <v>293969465.14897776</v>
      </c>
      <c r="AG72" s="99">
        <f t="shared" si="11"/>
        <v>1</v>
      </c>
      <c r="AH72" s="99">
        <f t="shared" si="12"/>
        <v>1</v>
      </c>
      <c r="AI72" s="102">
        <v>0.1</v>
      </c>
      <c r="AL72" s="48" t="b">
        <f t="shared" si="13"/>
        <v>1</v>
      </c>
    </row>
    <row r="73" spans="1:40" ht="34.5">
      <c r="A73" s="110"/>
      <c r="B73" s="33" t="s">
        <v>72</v>
      </c>
      <c r="C73" s="33" t="s">
        <v>73</v>
      </c>
      <c r="D73" s="16">
        <v>0.52410000000000001</v>
      </c>
      <c r="E73" s="16">
        <v>0.47589999999999999</v>
      </c>
      <c r="F73" s="35" t="s">
        <v>160</v>
      </c>
      <c r="G73" s="37"/>
      <c r="H73" s="37"/>
      <c r="I73" s="37">
        <v>1</v>
      </c>
      <c r="J73" s="37">
        <v>12</v>
      </c>
      <c r="K73" s="37">
        <v>12</v>
      </c>
      <c r="L73" s="37"/>
      <c r="M73" s="37">
        <f t="shared" si="18"/>
        <v>13</v>
      </c>
      <c r="N73" s="37">
        <f>IF(AND(H73=1,J73&lt;24),20,IF(AND(H73=1,J73=24),30,17))</f>
        <v>17</v>
      </c>
      <c r="O73" s="37">
        <f t="shared" si="2"/>
        <v>15</v>
      </c>
      <c r="P73" s="37">
        <f t="shared" si="3"/>
        <v>20</v>
      </c>
      <c r="Q73" s="104">
        <v>2000</v>
      </c>
      <c r="R73"/>
      <c r="S73" s="31">
        <f t="shared" si="4"/>
        <v>5281990.7769213421</v>
      </c>
      <c r="T73" s="31">
        <f t="shared" si="5"/>
        <v>7042654.3692284571</v>
      </c>
      <c r="U73" s="31">
        <f t="shared" si="6"/>
        <v>5986256.2138441885</v>
      </c>
      <c r="V73" s="31">
        <f t="shared" si="7"/>
        <v>7042654.3692284571</v>
      </c>
      <c r="W73" s="31">
        <f t="shared" si="8"/>
        <v>7042654.3692284571</v>
      </c>
      <c r="X73" s="31">
        <f t="shared" si="17"/>
        <v>7042654.3692284571</v>
      </c>
      <c r="Y73" s="31">
        <f t="shared" si="17"/>
        <v>7042654.3692284571</v>
      </c>
      <c r="Z73" s="31">
        <f t="shared" si="17"/>
        <v>7042654.3692284571</v>
      </c>
      <c r="AA73" s="31">
        <f t="shared" si="17"/>
        <v>7042654.3692284571</v>
      </c>
      <c r="AB73" s="31">
        <f t="shared" si="17"/>
        <v>7042654.3692284571</v>
      </c>
      <c r="AC73" s="31">
        <f t="shared" si="17"/>
        <v>7042654.3692284571</v>
      </c>
      <c r="AD73" s="31">
        <f t="shared" si="10"/>
        <v>4577725.3399984976</v>
      </c>
      <c r="AE73" s="98"/>
      <c r="AF73" s="31">
        <f t="shared" si="15"/>
        <v>79229861.653820142</v>
      </c>
      <c r="AG73" s="99">
        <f t="shared" si="11"/>
        <v>0</v>
      </c>
      <c r="AH73" s="99">
        <f t="shared" si="12"/>
        <v>0</v>
      </c>
      <c r="AI73" s="103">
        <v>0.08</v>
      </c>
      <c r="AJ73"/>
      <c r="AK73"/>
      <c r="AL73" s="48" t="b">
        <f t="shared" si="13"/>
        <v>1</v>
      </c>
      <c r="AM73"/>
      <c r="AN73"/>
    </row>
    <row r="74" spans="1:40" ht="23.1">
      <c r="A74" s="110"/>
      <c r="B74" s="33" t="s">
        <v>74</v>
      </c>
      <c r="C74" s="33" t="s">
        <v>73</v>
      </c>
      <c r="D74" s="16">
        <v>0.52410000000000001</v>
      </c>
      <c r="E74" s="16">
        <v>0.47589999999999999</v>
      </c>
      <c r="F74" s="35" t="s">
        <v>160</v>
      </c>
      <c r="G74" s="37"/>
      <c r="H74" s="37"/>
      <c r="I74" s="37">
        <v>1</v>
      </c>
      <c r="J74" s="37">
        <v>12</v>
      </c>
      <c r="K74" s="37">
        <v>12</v>
      </c>
      <c r="L74" s="37"/>
      <c r="M74" s="37">
        <f t="shared" si="18"/>
        <v>13</v>
      </c>
      <c r="N74" s="37">
        <f t="shared" si="19"/>
        <v>17</v>
      </c>
      <c r="O74" s="37">
        <f t="shared" si="2"/>
        <v>15</v>
      </c>
      <c r="P74" s="37">
        <f t="shared" si="3"/>
        <v>20</v>
      </c>
      <c r="Q74" s="104">
        <v>2000</v>
      </c>
      <c r="R74"/>
      <c r="S74" s="31">
        <f t="shared" si="4"/>
        <v>5281990.7769213421</v>
      </c>
      <c r="T74" s="31">
        <f t="shared" si="5"/>
        <v>7042654.3692284571</v>
      </c>
      <c r="U74" s="31">
        <f t="shared" si="6"/>
        <v>5986256.2138441885</v>
      </c>
      <c r="V74" s="31">
        <f t="shared" si="7"/>
        <v>7042654.3692284571</v>
      </c>
      <c r="W74" s="31">
        <f t="shared" si="8"/>
        <v>7042654.3692284571</v>
      </c>
      <c r="X74" s="31">
        <f t="shared" si="17"/>
        <v>7042654.3692284571</v>
      </c>
      <c r="Y74" s="31">
        <f t="shared" si="17"/>
        <v>7042654.3692284571</v>
      </c>
      <c r="Z74" s="31">
        <f t="shared" si="17"/>
        <v>7042654.3692284571</v>
      </c>
      <c r="AA74" s="31">
        <f t="shared" si="17"/>
        <v>7042654.3692284571</v>
      </c>
      <c r="AB74" s="31">
        <f t="shared" si="17"/>
        <v>7042654.3692284571</v>
      </c>
      <c r="AC74" s="31">
        <f t="shared" si="17"/>
        <v>7042654.3692284571</v>
      </c>
      <c r="AD74" s="31">
        <f t="shared" si="10"/>
        <v>4577725.3399984976</v>
      </c>
      <c r="AE74" s="98"/>
      <c r="AF74" s="31">
        <f t="shared" si="15"/>
        <v>79229861.653820142</v>
      </c>
      <c r="AG74" s="99">
        <f t="shared" si="11"/>
        <v>0</v>
      </c>
      <c r="AH74" s="99">
        <f t="shared" si="12"/>
        <v>0</v>
      </c>
      <c r="AI74" s="103">
        <v>0.08</v>
      </c>
      <c r="AJ74"/>
      <c r="AK74"/>
      <c r="AL74" s="48" t="b">
        <f t="shared" si="13"/>
        <v>1</v>
      </c>
      <c r="AM74"/>
      <c r="AN74"/>
    </row>
    <row r="75" spans="1:40" ht="23.1">
      <c r="A75" s="110"/>
      <c r="B75" s="33" t="s">
        <v>75</v>
      </c>
      <c r="C75" s="33" t="s">
        <v>76</v>
      </c>
      <c r="D75" s="16">
        <v>0.52410000000000001</v>
      </c>
      <c r="E75" s="16">
        <v>0.47589999999999999</v>
      </c>
      <c r="F75" s="35" t="s">
        <v>162</v>
      </c>
      <c r="G75" s="37"/>
      <c r="H75" s="37"/>
      <c r="I75" s="37">
        <v>1</v>
      </c>
      <c r="J75" s="37">
        <v>12</v>
      </c>
      <c r="K75" s="37">
        <v>12</v>
      </c>
      <c r="L75" s="37"/>
      <c r="M75" s="37">
        <f t="shared" si="18"/>
        <v>13</v>
      </c>
      <c r="N75" s="37">
        <f t="shared" si="19"/>
        <v>17</v>
      </c>
      <c r="O75" s="37">
        <f t="shared" si="2"/>
        <v>15</v>
      </c>
      <c r="P75" s="37">
        <f t="shared" si="3"/>
        <v>20</v>
      </c>
      <c r="Q75" s="104">
        <v>2000</v>
      </c>
      <c r="R75"/>
      <c r="S75" s="31">
        <f t="shared" si="4"/>
        <v>5428712.7429469349</v>
      </c>
      <c r="T75" s="31">
        <f t="shared" si="5"/>
        <v>7238283.6572625805</v>
      </c>
      <c r="U75" s="31">
        <f t="shared" si="6"/>
        <v>6152541.1086731935</v>
      </c>
      <c r="V75" s="31">
        <f t="shared" si="7"/>
        <v>7238283.6572625805</v>
      </c>
      <c r="W75" s="31">
        <f t="shared" si="8"/>
        <v>7238283.6572625805</v>
      </c>
      <c r="X75" s="31">
        <f t="shared" si="17"/>
        <v>7238283.6572625805</v>
      </c>
      <c r="Y75" s="31">
        <f t="shared" si="17"/>
        <v>7238283.6572625805</v>
      </c>
      <c r="Z75" s="31">
        <f t="shared" si="17"/>
        <v>7238283.6572625805</v>
      </c>
      <c r="AA75" s="31">
        <f t="shared" si="17"/>
        <v>7238283.6572625805</v>
      </c>
      <c r="AB75" s="31">
        <f t="shared" si="17"/>
        <v>7238283.6572625805</v>
      </c>
      <c r="AC75" s="31">
        <f t="shared" si="17"/>
        <v>7238283.6572625805</v>
      </c>
      <c r="AD75" s="31">
        <f t="shared" si="10"/>
        <v>4704884.3772206781</v>
      </c>
      <c r="AE75" s="98"/>
      <c r="AF75" s="31">
        <f t="shared" si="15"/>
        <v>81430691.144204021</v>
      </c>
      <c r="AG75" s="99">
        <f t="shared" si="11"/>
        <v>0</v>
      </c>
      <c r="AH75" s="99">
        <f t="shared" si="12"/>
        <v>0</v>
      </c>
      <c r="AI75" s="103">
        <v>0.11</v>
      </c>
      <c r="AJ75"/>
      <c r="AK75"/>
      <c r="AL75" s="48" t="b">
        <f t="shared" si="13"/>
        <v>1</v>
      </c>
      <c r="AM75"/>
      <c r="AN75"/>
    </row>
    <row r="76" spans="1:40" ht="23.1">
      <c r="A76" s="110"/>
      <c r="B76" s="33" t="s">
        <v>77</v>
      </c>
      <c r="C76" s="33" t="s">
        <v>73</v>
      </c>
      <c r="D76" s="16">
        <v>0.52410000000000001</v>
      </c>
      <c r="E76" s="16">
        <v>0.47589999999999999</v>
      </c>
      <c r="F76" s="35" t="s">
        <v>160</v>
      </c>
      <c r="G76" s="37"/>
      <c r="H76" s="37"/>
      <c r="I76" s="37">
        <v>1</v>
      </c>
      <c r="J76" s="37">
        <v>12</v>
      </c>
      <c r="K76" s="37">
        <v>12</v>
      </c>
      <c r="L76" s="37"/>
      <c r="M76" s="37">
        <f t="shared" si="18"/>
        <v>13</v>
      </c>
      <c r="N76" s="37">
        <f t="shared" si="19"/>
        <v>17</v>
      </c>
      <c r="O76" s="37">
        <f t="shared" si="2"/>
        <v>15</v>
      </c>
      <c r="P76" s="37">
        <f t="shared" si="3"/>
        <v>20</v>
      </c>
      <c r="Q76" s="104">
        <v>2000</v>
      </c>
      <c r="R76"/>
      <c r="S76" s="31">
        <f t="shared" si="4"/>
        <v>5281990.7769213421</v>
      </c>
      <c r="T76" s="31">
        <f t="shared" si="5"/>
        <v>7042654.3692284571</v>
      </c>
      <c r="U76" s="31">
        <f t="shared" si="6"/>
        <v>5986256.2138441885</v>
      </c>
      <c r="V76" s="31">
        <f t="shared" si="7"/>
        <v>7042654.3692284571</v>
      </c>
      <c r="W76" s="31">
        <f t="shared" si="8"/>
        <v>7042654.3692284571</v>
      </c>
      <c r="X76" s="31">
        <f t="shared" si="17"/>
        <v>7042654.3692284571</v>
      </c>
      <c r="Y76" s="31">
        <f t="shared" si="17"/>
        <v>7042654.3692284571</v>
      </c>
      <c r="Z76" s="31">
        <f t="shared" si="17"/>
        <v>7042654.3692284571</v>
      </c>
      <c r="AA76" s="31">
        <f t="shared" si="17"/>
        <v>7042654.3692284571</v>
      </c>
      <c r="AB76" s="31">
        <f t="shared" si="17"/>
        <v>7042654.3692284571</v>
      </c>
      <c r="AC76" s="31">
        <f t="shared" si="17"/>
        <v>7042654.3692284571</v>
      </c>
      <c r="AD76" s="31">
        <f t="shared" si="10"/>
        <v>4577725.3399984976</v>
      </c>
      <c r="AE76" s="98"/>
      <c r="AF76" s="31">
        <f t="shared" si="15"/>
        <v>79229861.653820142</v>
      </c>
      <c r="AG76" s="99">
        <f t="shared" si="11"/>
        <v>0</v>
      </c>
      <c r="AH76" s="99">
        <f t="shared" si="12"/>
        <v>0</v>
      </c>
      <c r="AI76" s="103">
        <v>0.08</v>
      </c>
      <c r="AJ76"/>
      <c r="AK76"/>
      <c r="AL76" s="48" t="b">
        <f t="shared" si="13"/>
        <v>1</v>
      </c>
      <c r="AM76"/>
      <c r="AN76"/>
    </row>
    <row r="77" spans="1:40" ht="23.1">
      <c r="A77" s="110"/>
      <c r="B77" s="33" t="s">
        <v>78</v>
      </c>
      <c r="C77" s="33" t="s">
        <v>73</v>
      </c>
      <c r="D77" s="16">
        <v>0.52410000000000001</v>
      </c>
      <c r="E77" s="16">
        <v>0.47589999999999999</v>
      </c>
      <c r="F77" s="35" t="s">
        <v>160</v>
      </c>
      <c r="G77" s="37"/>
      <c r="H77" s="37"/>
      <c r="I77" s="37">
        <v>1</v>
      </c>
      <c r="J77" s="37">
        <v>12</v>
      </c>
      <c r="K77" s="37">
        <v>12</v>
      </c>
      <c r="L77" s="37"/>
      <c r="M77" s="37">
        <f>IF(AND(G77=1,J77&lt;24),20,IF(AND(G77=1,J77=24),30,13))</f>
        <v>13</v>
      </c>
      <c r="N77" s="37">
        <f t="shared" si="19"/>
        <v>17</v>
      </c>
      <c r="O77" s="37">
        <f t="shared" si="2"/>
        <v>15</v>
      </c>
      <c r="P77" s="37">
        <f t="shared" si="3"/>
        <v>20</v>
      </c>
      <c r="Q77" s="104">
        <v>2000</v>
      </c>
      <c r="R77"/>
      <c r="S77" s="31">
        <f t="shared" si="4"/>
        <v>5281990.7769213421</v>
      </c>
      <c r="T77" s="31">
        <f t="shared" si="5"/>
        <v>7042654.3692284571</v>
      </c>
      <c r="U77" s="31">
        <f t="shared" si="6"/>
        <v>5986256.2138441885</v>
      </c>
      <c r="V77" s="31">
        <f t="shared" si="7"/>
        <v>7042654.3692284571</v>
      </c>
      <c r="W77" s="31">
        <f t="shared" si="8"/>
        <v>7042654.3692284571</v>
      </c>
      <c r="X77" s="31">
        <f t="shared" si="17"/>
        <v>7042654.3692284571</v>
      </c>
      <c r="Y77" s="31">
        <f t="shared" si="17"/>
        <v>7042654.3692284571</v>
      </c>
      <c r="Z77" s="31">
        <f t="shared" si="17"/>
        <v>7042654.3692284571</v>
      </c>
      <c r="AA77" s="31">
        <f t="shared" si="17"/>
        <v>7042654.3692284571</v>
      </c>
      <c r="AB77" s="31">
        <f t="shared" si="17"/>
        <v>7042654.3692284571</v>
      </c>
      <c r="AC77" s="31">
        <f t="shared" si="17"/>
        <v>7042654.3692284571</v>
      </c>
      <c r="AD77" s="31">
        <f t="shared" si="10"/>
        <v>4577725.3399984976</v>
      </c>
      <c r="AE77" s="98"/>
      <c r="AF77" s="31">
        <f t="shared" si="15"/>
        <v>79229861.653820142</v>
      </c>
      <c r="AG77" s="99">
        <f t="shared" si="11"/>
        <v>0</v>
      </c>
      <c r="AH77" s="99">
        <f t="shared" si="12"/>
        <v>0</v>
      </c>
      <c r="AI77" s="103">
        <v>0.08</v>
      </c>
      <c r="AJ77"/>
      <c r="AK77"/>
      <c r="AL77" s="48" t="b">
        <f t="shared" si="13"/>
        <v>1</v>
      </c>
      <c r="AM77"/>
      <c r="AN77"/>
    </row>
    <row r="78" spans="1:40" ht="23.1">
      <c r="A78" s="110"/>
      <c r="B78" s="33" t="s">
        <v>79</v>
      </c>
      <c r="C78" s="33" t="s">
        <v>73</v>
      </c>
      <c r="D78" s="16">
        <v>0.52410000000000001</v>
      </c>
      <c r="E78" s="16">
        <v>0.47589999999999999</v>
      </c>
      <c r="F78" s="35" t="s">
        <v>160</v>
      </c>
      <c r="G78" s="37"/>
      <c r="H78" s="37"/>
      <c r="I78" s="37">
        <v>1</v>
      </c>
      <c r="J78" s="37">
        <v>12</v>
      </c>
      <c r="K78" s="37">
        <v>12</v>
      </c>
      <c r="L78" s="37"/>
      <c r="M78" s="37">
        <f t="shared" si="18"/>
        <v>13</v>
      </c>
      <c r="N78" s="37">
        <f t="shared" si="19"/>
        <v>17</v>
      </c>
      <c r="O78" s="37">
        <f t="shared" si="2"/>
        <v>15</v>
      </c>
      <c r="P78" s="37">
        <f t="shared" si="3"/>
        <v>20</v>
      </c>
      <c r="Q78" s="104">
        <v>2000</v>
      </c>
      <c r="R78"/>
      <c r="S78" s="31">
        <f t="shared" si="4"/>
        <v>5281990.7769213421</v>
      </c>
      <c r="T78" s="31">
        <f t="shared" si="5"/>
        <v>7042654.3692284571</v>
      </c>
      <c r="U78" s="31">
        <f t="shared" si="6"/>
        <v>5986256.2138441885</v>
      </c>
      <c r="V78" s="31">
        <f t="shared" si="7"/>
        <v>7042654.3692284571</v>
      </c>
      <c r="W78" s="31">
        <f t="shared" si="8"/>
        <v>7042654.3692284571</v>
      </c>
      <c r="X78" s="31">
        <f t="shared" si="17"/>
        <v>7042654.3692284571</v>
      </c>
      <c r="Y78" s="31">
        <f t="shared" si="17"/>
        <v>7042654.3692284571</v>
      </c>
      <c r="Z78" s="31">
        <f t="shared" si="17"/>
        <v>7042654.3692284571</v>
      </c>
      <c r="AA78" s="31">
        <f t="shared" si="17"/>
        <v>7042654.3692284571</v>
      </c>
      <c r="AB78" s="31">
        <f t="shared" si="17"/>
        <v>7042654.3692284571</v>
      </c>
      <c r="AC78" s="31">
        <f t="shared" si="17"/>
        <v>7042654.3692284571</v>
      </c>
      <c r="AD78" s="31">
        <f t="shared" si="10"/>
        <v>4577725.3399984976</v>
      </c>
      <c r="AE78" s="98"/>
      <c r="AF78" s="31">
        <f t="shared" si="15"/>
        <v>79229861.653820142</v>
      </c>
      <c r="AG78" s="99">
        <f t="shared" si="11"/>
        <v>0</v>
      </c>
      <c r="AH78" s="99">
        <f t="shared" si="12"/>
        <v>0</v>
      </c>
      <c r="AI78" s="103">
        <v>0.08</v>
      </c>
      <c r="AJ78"/>
      <c r="AK78"/>
      <c r="AL78" s="48" t="b">
        <f t="shared" si="13"/>
        <v>1</v>
      </c>
      <c r="AM78"/>
      <c r="AN78"/>
    </row>
    <row r="79" spans="1:40" ht="34.5">
      <c r="A79" s="110"/>
      <c r="B79" s="33" t="s">
        <v>80</v>
      </c>
      <c r="C79" s="33" t="s">
        <v>73</v>
      </c>
      <c r="D79" s="16">
        <v>0.52410000000000001</v>
      </c>
      <c r="E79" s="16">
        <v>0.47589999999999999</v>
      </c>
      <c r="F79" s="35" t="s">
        <v>160</v>
      </c>
      <c r="G79" s="37">
        <v>1</v>
      </c>
      <c r="H79" s="37"/>
      <c r="I79" s="37">
        <v>1</v>
      </c>
      <c r="J79" s="37">
        <v>12</v>
      </c>
      <c r="K79" s="37">
        <v>12</v>
      </c>
      <c r="L79" s="37"/>
      <c r="M79" s="37">
        <f t="shared" si="18"/>
        <v>20</v>
      </c>
      <c r="N79" s="37">
        <f t="shared" si="19"/>
        <v>17</v>
      </c>
      <c r="O79" s="37">
        <f t="shared" si="2"/>
        <v>20</v>
      </c>
      <c r="P79" s="37">
        <f t="shared" si="3"/>
        <v>20</v>
      </c>
      <c r="Q79" s="104">
        <v>2000</v>
      </c>
      <c r="R79"/>
      <c r="S79" s="31">
        <f t="shared" si="4"/>
        <v>7042654.3692284571</v>
      </c>
      <c r="T79" s="31">
        <f t="shared" si="5"/>
        <v>7042654.3692284571</v>
      </c>
      <c r="U79" s="31">
        <f t="shared" si="6"/>
        <v>5986256.2138441885</v>
      </c>
      <c r="V79" s="31">
        <f t="shared" si="7"/>
        <v>7042654.3692284571</v>
      </c>
      <c r="W79" s="31">
        <f t="shared" si="8"/>
        <v>7042654.3692284571</v>
      </c>
      <c r="X79" s="31">
        <f t="shared" si="17"/>
        <v>7042654.3692284571</v>
      </c>
      <c r="Y79" s="31">
        <f t="shared" si="17"/>
        <v>7042654.3692284571</v>
      </c>
      <c r="Z79" s="31">
        <f t="shared" si="17"/>
        <v>7042654.3692284571</v>
      </c>
      <c r="AA79" s="31">
        <f t="shared" si="17"/>
        <v>7042654.3692284571</v>
      </c>
      <c r="AB79" s="31">
        <f t="shared" si="17"/>
        <v>7042654.3692284571</v>
      </c>
      <c r="AC79" s="31">
        <f t="shared" si="17"/>
        <v>7042654.3692284571</v>
      </c>
      <c r="AD79" s="31">
        <f t="shared" si="10"/>
        <v>7042654.3692284571</v>
      </c>
      <c r="AE79" s="98"/>
      <c r="AF79" s="31">
        <f t="shared" si="15"/>
        <v>83455454.275357217</v>
      </c>
      <c r="AG79" s="99">
        <f t="shared" si="11"/>
        <v>1</v>
      </c>
      <c r="AH79" s="99">
        <f t="shared" si="12"/>
        <v>1</v>
      </c>
      <c r="AI79" s="103">
        <v>0.08</v>
      </c>
      <c r="AJ79"/>
      <c r="AK79"/>
      <c r="AL79" s="48" t="b">
        <f t="shared" si="13"/>
        <v>1</v>
      </c>
      <c r="AM79"/>
      <c r="AN79"/>
    </row>
    <row r="80" spans="1:40" ht="23.1">
      <c r="A80" s="110"/>
      <c r="B80" s="33" t="s">
        <v>81</v>
      </c>
      <c r="C80" s="33" t="s">
        <v>73</v>
      </c>
      <c r="D80" s="16">
        <v>0.52410000000000001</v>
      </c>
      <c r="E80" s="16">
        <v>0.47589999999999999</v>
      </c>
      <c r="F80" s="35" t="s">
        <v>160</v>
      </c>
      <c r="G80" s="37"/>
      <c r="H80" s="37"/>
      <c r="I80" s="37">
        <v>1</v>
      </c>
      <c r="J80" s="37">
        <v>12</v>
      </c>
      <c r="K80" s="37">
        <v>12</v>
      </c>
      <c r="L80" s="37"/>
      <c r="M80" s="37">
        <f t="shared" si="18"/>
        <v>13</v>
      </c>
      <c r="N80" s="37">
        <f>IF(AND(H80=1,J80&lt;24),20,IF(AND(H80=1,J80=24),30,17))</f>
        <v>17</v>
      </c>
      <c r="O80" s="37">
        <f t="shared" si="2"/>
        <v>15</v>
      </c>
      <c r="P80" s="37">
        <f t="shared" si="3"/>
        <v>20</v>
      </c>
      <c r="Q80" s="104">
        <v>2000</v>
      </c>
      <c r="R80"/>
      <c r="S80" s="31">
        <f t="shared" si="4"/>
        <v>5281990.7769213421</v>
      </c>
      <c r="T80" s="31">
        <f t="shared" si="5"/>
        <v>7042654.3692284571</v>
      </c>
      <c r="U80" s="31">
        <f t="shared" si="6"/>
        <v>5986256.2138441885</v>
      </c>
      <c r="V80" s="31">
        <f t="shared" si="7"/>
        <v>7042654.3692284571</v>
      </c>
      <c r="W80" s="31">
        <f t="shared" si="8"/>
        <v>7042654.3692284571</v>
      </c>
      <c r="X80" s="31">
        <f t="shared" si="17"/>
        <v>7042654.3692284571</v>
      </c>
      <c r="Y80" s="31">
        <f t="shared" si="17"/>
        <v>7042654.3692284571</v>
      </c>
      <c r="Z80" s="31">
        <f t="shared" si="17"/>
        <v>7042654.3692284571</v>
      </c>
      <c r="AA80" s="31">
        <f t="shared" si="17"/>
        <v>7042654.3692284571</v>
      </c>
      <c r="AB80" s="31">
        <f t="shared" si="17"/>
        <v>7042654.3692284571</v>
      </c>
      <c r="AC80" s="31">
        <f t="shared" si="17"/>
        <v>7042654.3692284571</v>
      </c>
      <c r="AD80" s="31">
        <f t="shared" si="10"/>
        <v>4577725.3399984976</v>
      </c>
      <c r="AE80" s="98"/>
      <c r="AF80" s="31">
        <f t="shared" si="15"/>
        <v>79229861.653820142</v>
      </c>
      <c r="AG80" s="99">
        <f t="shared" si="11"/>
        <v>0</v>
      </c>
      <c r="AH80" s="99">
        <f t="shared" si="12"/>
        <v>0</v>
      </c>
      <c r="AI80" s="103">
        <v>0.08</v>
      </c>
      <c r="AJ80"/>
      <c r="AK80"/>
      <c r="AL80" s="48" t="b">
        <f t="shared" si="13"/>
        <v>1</v>
      </c>
      <c r="AM80"/>
      <c r="AN80"/>
    </row>
    <row r="81" spans="1:40" ht="23.1">
      <c r="A81" s="110"/>
      <c r="B81" s="33" t="s">
        <v>81</v>
      </c>
      <c r="C81" s="33" t="s">
        <v>73</v>
      </c>
      <c r="D81" s="16">
        <v>0.52410000000000001</v>
      </c>
      <c r="E81" s="16">
        <v>0.47589999999999999</v>
      </c>
      <c r="F81" s="35" t="s">
        <v>160</v>
      </c>
      <c r="G81" s="37"/>
      <c r="H81" s="37"/>
      <c r="I81" s="37">
        <v>1</v>
      </c>
      <c r="J81" s="37">
        <v>12</v>
      </c>
      <c r="K81" s="37">
        <v>12</v>
      </c>
      <c r="L81" s="37"/>
      <c r="M81" s="37">
        <f t="shared" si="18"/>
        <v>13</v>
      </c>
      <c r="N81" s="37">
        <f t="shared" si="19"/>
        <v>17</v>
      </c>
      <c r="O81" s="37">
        <f t="shared" si="2"/>
        <v>15</v>
      </c>
      <c r="P81" s="37">
        <f t="shared" si="3"/>
        <v>20</v>
      </c>
      <c r="Q81" s="104">
        <v>2000</v>
      </c>
      <c r="R81"/>
      <c r="S81" s="31">
        <f t="shared" si="4"/>
        <v>5281990.7769213421</v>
      </c>
      <c r="T81" s="31">
        <f t="shared" si="5"/>
        <v>7042654.3692284571</v>
      </c>
      <c r="U81" s="31">
        <f t="shared" si="6"/>
        <v>5986256.2138441885</v>
      </c>
      <c r="V81" s="31">
        <f t="shared" si="7"/>
        <v>7042654.3692284571</v>
      </c>
      <c r="W81" s="31">
        <f t="shared" si="8"/>
        <v>7042654.3692284571</v>
      </c>
      <c r="X81" s="31">
        <f t="shared" si="17"/>
        <v>7042654.3692284571</v>
      </c>
      <c r="Y81" s="31">
        <f t="shared" si="17"/>
        <v>7042654.3692284571</v>
      </c>
      <c r="Z81" s="31">
        <f t="shared" si="17"/>
        <v>7042654.3692284571</v>
      </c>
      <c r="AA81" s="31">
        <f t="shared" si="17"/>
        <v>7042654.3692284571</v>
      </c>
      <c r="AB81" s="31">
        <f t="shared" si="17"/>
        <v>7042654.3692284571</v>
      </c>
      <c r="AC81" s="31">
        <f t="shared" si="17"/>
        <v>7042654.3692284571</v>
      </c>
      <c r="AD81" s="31">
        <f t="shared" si="10"/>
        <v>4577725.3399984976</v>
      </c>
      <c r="AE81" s="98"/>
      <c r="AF81" s="31">
        <f t="shared" si="15"/>
        <v>79229861.653820142</v>
      </c>
      <c r="AG81" s="99">
        <f t="shared" si="11"/>
        <v>0</v>
      </c>
      <c r="AH81" s="99">
        <f t="shared" si="12"/>
        <v>0</v>
      </c>
      <c r="AI81" s="103">
        <v>0.08</v>
      </c>
      <c r="AJ81"/>
      <c r="AK81"/>
      <c r="AL81" s="48" t="b">
        <f t="shared" si="13"/>
        <v>1</v>
      </c>
      <c r="AM81"/>
      <c r="AN81"/>
    </row>
    <row r="82" spans="1:40" ht="23.1">
      <c r="A82" s="110" t="s">
        <v>82</v>
      </c>
      <c r="B82" s="33" t="s">
        <v>38</v>
      </c>
      <c r="C82" s="33" t="s">
        <v>73</v>
      </c>
      <c r="D82" s="16">
        <v>0.52410000000000001</v>
      </c>
      <c r="E82" s="16">
        <v>0.47589999999999999</v>
      </c>
      <c r="F82" s="37" t="s">
        <v>160</v>
      </c>
      <c r="G82" s="37"/>
      <c r="H82" s="37"/>
      <c r="I82" s="37">
        <v>1</v>
      </c>
      <c r="J82" s="37">
        <v>12</v>
      </c>
      <c r="K82" s="37">
        <v>12</v>
      </c>
      <c r="L82" s="37"/>
      <c r="M82" s="37">
        <f t="shared" si="18"/>
        <v>13</v>
      </c>
      <c r="N82" s="37">
        <f>IF(AND(H82=1,J82&lt;24),20,IF(AND(H82=1,J82=24),30,17))</f>
        <v>17</v>
      </c>
      <c r="O82" s="37">
        <f t="shared" si="2"/>
        <v>15</v>
      </c>
      <c r="P82" s="37">
        <f t="shared" si="3"/>
        <v>20</v>
      </c>
      <c r="Q82" s="104">
        <v>2000</v>
      </c>
      <c r="R82"/>
      <c r="S82" s="31">
        <f t="shared" si="4"/>
        <v>5281990.7769213421</v>
      </c>
      <c r="T82" s="31">
        <f t="shared" si="5"/>
        <v>7042654.3692284571</v>
      </c>
      <c r="U82" s="31">
        <f t="shared" si="6"/>
        <v>5986256.2138441885</v>
      </c>
      <c r="V82" s="31">
        <f t="shared" si="7"/>
        <v>7042654.3692284571</v>
      </c>
      <c r="W82" s="31">
        <f t="shared" si="8"/>
        <v>7042654.3692284571</v>
      </c>
      <c r="X82" s="31">
        <f t="shared" si="17"/>
        <v>7042654.3692284571</v>
      </c>
      <c r="Y82" s="31">
        <f t="shared" si="17"/>
        <v>7042654.3692284571</v>
      </c>
      <c r="Z82" s="31">
        <f t="shared" si="17"/>
        <v>7042654.3692284571</v>
      </c>
      <c r="AA82" s="31">
        <f t="shared" si="17"/>
        <v>7042654.3692284571</v>
      </c>
      <c r="AB82" s="31">
        <f t="shared" si="17"/>
        <v>7042654.3692284571</v>
      </c>
      <c r="AC82" s="31">
        <f t="shared" si="17"/>
        <v>7042654.3692284571</v>
      </c>
      <c r="AD82" s="31">
        <f t="shared" si="10"/>
        <v>4577725.3399984976</v>
      </c>
      <c r="AE82" s="98"/>
      <c r="AF82" s="31">
        <f t="shared" si="15"/>
        <v>79229861.653820142</v>
      </c>
      <c r="AG82" s="99">
        <f t="shared" si="11"/>
        <v>0</v>
      </c>
      <c r="AH82" s="99">
        <f t="shared" si="12"/>
        <v>0</v>
      </c>
      <c r="AI82" s="103">
        <v>0.08</v>
      </c>
      <c r="AJ82"/>
      <c r="AK82"/>
      <c r="AL82" s="48" t="b">
        <f t="shared" si="13"/>
        <v>1</v>
      </c>
      <c r="AM82"/>
      <c r="AN82"/>
    </row>
    <row r="83" spans="1:40" ht="23.1">
      <c r="A83" s="110"/>
      <c r="B83" s="33" t="s">
        <v>83</v>
      </c>
      <c r="C83" s="33" t="s">
        <v>84</v>
      </c>
      <c r="D83" s="16">
        <v>0.52410000000000001</v>
      </c>
      <c r="E83" s="16">
        <v>0.47589999999999999</v>
      </c>
      <c r="F83" s="37" t="s">
        <v>160</v>
      </c>
      <c r="G83" s="37"/>
      <c r="H83" s="37"/>
      <c r="I83" s="37">
        <v>1</v>
      </c>
      <c r="J83" s="37">
        <v>16</v>
      </c>
      <c r="K83" s="37">
        <v>13</v>
      </c>
      <c r="L83" s="37">
        <v>3</v>
      </c>
      <c r="M83" s="37">
        <f t="shared" si="18"/>
        <v>13</v>
      </c>
      <c r="N83" s="37">
        <f t="shared" si="19"/>
        <v>17</v>
      </c>
      <c r="O83" s="37">
        <f t="shared" si="2"/>
        <v>15</v>
      </c>
      <c r="P83" s="37">
        <f t="shared" si="3"/>
        <v>20</v>
      </c>
      <c r="Q83" s="104">
        <v>4000</v>
      </c>
      <c r="R83"/>
      <c r="S83" s="31">
        <f t="shared" si="4"/>
        <v>7441472.3544376409</v>
      </c>
      <c r="T83" s="31">
        <f t="shared" si="5"/>
        <v>9921963.1392501872</v>
      </c>
      <c r="U83" s="31">
        <f t="shared" si="6"/>
        <v>8433668.6683626603</v>
      </c>
      <c r="V83" s="31">
        <f t="shared" si="7"/>
        <v>9921963.1392501872</v>
      </c>
      <c r="W83" s="31">
        <f t="shared" si="8"/>
        <v>9921963.1392501872</v>
      </c>
      <c r="X83" s="31">
        <f t="shared" si="17"/>
        <v>9921963.1392501872</v>
      </c>
      <c r="Y83" s="31">
        <f t="shared" si="17"/>
        <v>9921963.1392501872</v>
      </c>
      <c r="Z83" s="31">
        <f t="shared" si="17"/>
        <v>9921963.1392501872</v>
      </c>
      <c r="AA83" s="31">
        <f t="shared" si="17"/>
        <v>9921963.1392501872</v>
      </c>
      <c r="AB83" s="31">
        <f t="shared" si="17"/>
        <v>9921963.1392501872</v>
      </c>
      <c r="AC83" s="31">
        <f t="shared" si="17"/>
        <v>9921963.1392501872</v>
      </c>
      <c r="AD83" s="31">
        <f t="shared" si="10"/>
        <v>6449276.0405126233</v>
      </c>
      <c r="AE83" s="98"/>
      <c r="AF83" s="31">
        <f t="shared" si="15"/>
        <v>111622085.31656462</v>
      </c>
      <c r="AG83" s="99">
        <f t="shared" si="11"/>
        <v>0</v>
      </c>
      <c r="AH83" s="99">
        <f t="shared" si="12"/>
        <v>0</v>
      </c>
      <c r="AI83" s="103">
        <v>0.08</v>
      </c>
      <c r="AJ83"/>
      <c r="AK83"/>
      <c r="AL83" s="48" t="b">
        <f t="shared" si="13"/>
        <v>1</v>
      </c>
      <c r="AM83"/>
      <c r="AN83"/>
    </row>
    <row r="84" spans="1:40" ht="23.1">
      <c r="A84" s="110" t="s">
        <v>85</v>
      </c>
      <c r="B84" s="33" t="s">
        <v>86</v>
      </c>
      <c r="C84" s="33" t="s">
        <v>87</v>
      </c>
      <c r="D84" s="16">
        <v>0.52410000000000001</v>
      </c>
      <c r="E84" s="16">
        <v>0.47589999999999999</v>
      </c>
      <c r="F84" s="37" t="s">
        <v>160</v>
      </c>
      <c r="G84" s="37">
        <v>1</v>
      </c>
      <c r="H84" s="37">
        <v>1</v>
      </c>
      <c r="I84" s="37">
        <v>1</v>
      </c>
      <c r="J84" s="37">
        <v>24</v>
      </c>
      <c r="K84" s="37">
        <v>13</v>
      </c>
      <c r="L84" s="37">
        <v>11</v>
      </c>
      <c r="M84" s="37">
        <f t="shared" si="18"/>
        <v>30</v>
      </c>
      <c r="N84" s="37">
        <f t="shared" si="19"/>
        <v>30</v>
      </c>
      <c r="O84" s="37">
        <f t="shared" si="2"/>
        <v>30</v>
      </c>
      <c r="P84" s="37">
        <f t="shared" si="3"/>
        <v>30</v>
      </c>
      <c r="Q84" s="104">
        <v>6000</v>
      </c>
      <c r="S84" s="31">
        <f t="shared" si="4"/>
        <v>24497455.429081481</v>
      </c>
      <c r="T84" s="31">
        <f t="shared" si="5"/>
        <v>24497455.429081481</v>
      </c>
      <c r="U84" s="31">
        <f t="shared" si="6"/>
        <v>24497455.429081481</v>
      </c>
      <c r="V84" s="31">
        <f t="shared" si="7"/>
        <v>24497455.429081481</v>
      </c>
      <c r="W84" s="31">
        <f t="shared" si="8"/>
        <v>24497455.429081481</v>
      </c>
      <c r="X84" s="31">
        <f t="shared" si="17"/>
        <v>24497455.429081481</v>
      </c>
      <c r="Y84" s="31">
        <f t="shared" si="17"/>
        <v>24497455.429081481</v>
      </c>
      <c r="Z84" s="31">
        <f t="shared" si="17"/>
        <v>24497455.429081481</v>
      </c>
      <c r="AA84" s="31">
        <f t="shared" si="17"/>
        <v>24497455.429081481</v>
      </c>
      <c r="AB84" s="31">
        <f t="shared" si="17"/>
        <v>24497455.429081481</v>
      </c>
      <c r="AC84" s="31">
        <f t="shared" si="17"/>
        <v>24497455.429081481</v>
      </c>
      <c r="AD84" s="31">
        <f t="shared" si="10"/>
        <v>24497455.429081481</v>
      </c>
      <c r="AE84" s="99"/>
      <c r="AF84" s="31">
        <f t="shared" si="15"/>
        <v>293969465.14897776</v>
      </c>
      <c r="AG84" s="99">
        <f t="shared" si="11"/>
        <v>1</v>
      </c>
      <c r="AH84" s="99">
        <f t="shared" si="12"/>
        <v>1</v>
      </c>
      <c r="AI84" s="102">
        <v>0.1</v>
      </c>
      <c r="AL84" s="48" t="b">
        <f t="shared" si="13"/>
        <v>1</v>
      </c>
    </row>
    <row r="85" spans="1:40" ht="23.1">
      <c r="A85" s="110"/>
      <c r="B85" s="33" t="s">
        <v>88</v>
      </c>
      <c r="C85" s="33" t="s">
        <v>73</v>
      </c>
      <c r="D85" s="16">
        <v>0.52410000000000001</v>
      </c>
      <c r="E85" s="16">
        <v>0.47589999999999999</v>
      </c>
      <c r="F85" s="37" t="s">
        <v>160</v>
      </c>
      <c r="G85" s="37"/>
      <c r="H85" s="37"/>
      <c r="I85" s="37">
        <v>1</v>
      </c>
      <c r="J85" s="37">
        <v>12</v>
      </c>
      <c r="K85" s="37">
        <v>12</v>
      </c>
      <c r="L85" s="37"/>
      <c r="M85" s="37">
        <f t="shared" si="18"/>
        <v>13</v>
      </c>
      <c r="N85" s="37">
        <f t="shared" si="19"/>
        <v>17</v>
      </c>
      <c r="O85" s="37">
        <f t="shared" si="2"/>
        <v>15</v>
      </c>
      <c r="P85" s="37">
        <f t="shared" si="3"/>
        <v>20</v>
      </c>
      <c r="Q85" s="104">
        <v>2000</v>
      </c>
      <c r="R85"/>
      <c r="S85" s="31">
        <f t="shared" si="4"/>
        <v>5281990.7769213421</v>
      </c>
      <c r="T85" s="31">
        <f t="shared" si="5"/>
        <v>7042654.3692284571</v>
      </c>
      <c r="U85" s="31">
        <f t="shared" si="6"/>
        <v>5986256.2138441885</v>
      </c>
      <c r="V85" s="31">
        <f t="shared" si="7"/>
        <v>7042654.3692284571</v>
      </c>
      <c r="W85" s="31">
        <f t="shared" si="8"/>
        <v>7042654.3692284571</v>
      </c>
      <c r="X85" s="31">
        <f t="shared" si="17"/>
        <v>7042654.3692284571</v>
      </c>
      <c r="Y85" s="31">
        <f t="shared" si="17"/>
        <v>7042654.3692284571</v>
      </c>
      <c r="Z85" s="31">
        <f t="shared" si="17"/>
        <v>7042654.3692284571</v>
      </c>
      <c r="AA85" s="31">
        <f t="shared" si="17"/>
        <v>7042654.3692284571</v>
      </c>
      <c r="AB85" s="31">
        <f t="shared" si="17"/>
        <v>7042654.3692284571</v>
      </c>
      <c r="AC85" s="31">
        <f t="shared" si="17"/>
        <v>7042654.3692284571</v>
      </c>
      <c r="AD85" s="31">
        <f t="shared" si="10"/>
        <v>4577725.3399984976</v>
      </c>
      <c r="AE85" s="98"/>
      <c r="AF85" s="31">
        <f t="shared" si="15"/>
        <v>79229861.653820142</v>
      </c>
      <c r="AG85" s="99">
        <f t="shared" si="11"/>
        <v>0</v>
      </c>
      <c r="AH85" s="99">
        <f t="shared" si="12"/>
        <v>0</v>
      </c>
      <c r="AI85" s="103">
        <v>0.08</v>
      </c>
      <c r="AJ85"/>
      <c r="AK85"/>
      <c r="AL85" s="48" t="b">
        <f t="shared" si="13"/>
        <v>1</v>
      </c>
      <c r="AM85"/>
      <c r="AN85"/>
    </row>
    <row r="86" spans="1:40" ht="23.1">
      <c r="A86" s="32" t="s">
        <v>89</v>
      </c>
      <c r="B86" s="33" t="s">
        <v>90</v>
      </c>
      <c r="C86" s="33" t="s">
        <v>87</v>
      </c>
      <c r="D86" s="16">
        <v>0.52410000000000001</v>
      </c>
      <c r="E86" s="16">
        <v>0.47589999999999999</v>
      </c>
      <c r="F86" s="37" t="s">
        <v>160</v>
      </c>
      <c r="G86" s="37">
        <v>2</v>
      </c>
      <c r="H86" s="37">
        <v>2</v>
      </c>
      <c r="I86" s="37">
        <v>2</v>
      </c>
      <c r="J86" s="37">
        <v>24</v>
      </c>
      <c r="K86" s="37">
        <v>13</v>
      </c>
      <c r="L86" s="37">
        <v>11</v>
      </c>
      <c r="M86" s="37">
        <v>30</v>
      </c>
      <c r="N86" s="37">
        <v>30</v>
      </c>
      <c r="O86" s="37">
        <v>30</v>
      </c>
      <c r="P86" s="37">
        <f t="shared" si="3"/>
        <v>30</v>
      </c>
      <c r="Q86" s="104">
        <v>6000</v>
      </c>
      <c r="S86" s="31">
        <f t="shared" si="4"/>
        <v>48994910.858162962</v>
      </c>
      <c r="T86" s="31">
        <f t="shared" si="5"/>
        <v>48994910.858162962</v>
      </c>
      <c r="U86" s="31">
        <f t="shared" si="6"/>
        <v>48994910.858162962</v>
      </c>
      <c r="V86" s="31">
        <f t="shared" si="7"/>
        <v>48994910.858162962</v>
      </c>
      <c r="W86" s="31">
        <f t="shared" si="8"/>
        <v>48994910.858162962</v>
      </c>
      <c r="X86" s="31">
        <f t="shared" si="17"/>
        <v>48994910.858162962</v>
      </c>
      <c r="Y86" s="31">
        <f t="shared" si="17"/>
        <v>48994910.858162962</v>
      </c>
      <c r="Z86" s="31">
        <f t="shared" si="17"/>
        <v>48994910.858162962</v>
      </c>
      <c r="AA86" s="31">
        <f t="shared" si="17"/>
        <v>48994910.858162962</v>
      </c>
      <c r="AB86" s="31">
        <f t="shared" si="17"/>
        <v>48994910.858162962</v>
      </c>
      <c r="AC86" s="31">
        <f t="shared" si="17"/>
        <v>48994910.858162962</v>
      </c>
      <c r="AD86" s="31">
        <f t="shared" si="10"/>
        <v>48994910.858162962</v>
      </c>
      <c r="AE86" s="99"/>
      <c r="AF86" s="31">
        <f t="shared" si="15"/>
        <v>587938930.29795551</v>
      </c>
      <c r="AG86" s="99">
        <f t="shared" si="11"/>
        <v>1</v>
      </c>
      <c r="AH86" s="99">
        <f t="shared" si="12"/>
        <v>1</v>
      </c>
      <c r="AI86" s="102">
        <v>0.1</v>
      </c>
      <c r="AL86" s="48" t="b">
        <f t="shared" si="13"/>
        <v>1</v>
      </c>
    </row>
    <row r="87" spans="1:40" ht="23.1">
      <c r="A87" s="32" t="s">
        <v>91</v>
      </c>
      <c r="B87" s="33" t="s">
        <v>92</v>
      </c>
      <c r="C87" s="33" t="s">
        <v>93</v>
      </c>
      <c r="D87" s="16">
        <v>0.52410000000000001</v>
      </c>
      <c r="E87" s="16">
        <v>0.47589999999999999</v>
      </c>
      <c r="F87" s="37" t="s">
        <v>160</v>
      </c>
      <c r="G87" s="37">
        <v>1</v>
      </c>
      <c r="H87" s="37">
        <v>1</v>
      </c>
      <c r="I87" s="37">
        <v>1</v>
      </c>
      <c r="J87" s="37">
        <v>24</v>
      </c>
      <c r="K87" s="37">
        <v>13</v>
      </c>
      <c r="L87" s="37">
        <v>11</v>
      </c>
      <c r="M87" s="37">
        <f t="shared" si="18"/>
        <v>30</v>
      </c>
      <c r="N87" s="37">
        <f t="shared" si="19"/>
        <v>30</v>
      </c>
      <c r="O87" s="37">
        <f t="shared" si="2"/>
        <v>30</v>
      </c>
      <c r="P87" s="37">
        <f t="shared" si="3"/>
        <v>30</v>
      </c>
      <c r="Q87" s="104">
        <v>6000</v>
      </c>
      <c r="S87" s="31">
        <f t="shared" si="4"/>
        <v>24052047.148552727</v>
      </c>
      <c r="T87" s="31">
        <f t="shared" si="5"/>
        <v>24052047.148552727</v>
      </c>
      <c r="U87" s="31">
        <f t="shared" si="6"/>
        <v>24052047.148552727</v>
      </c>
      <c r="V87" s="31">
        <f t="shared" si="7"/>
        <v>24052047.148552727</v>
      </c>
      <c r="W87" s="31">
        <f t="shared" si="8"/>
        <v>24052047.148552727</v>
      </c>
      <c r="X87" s="31">
        <f t="shared" si="17"/>
        <v>24052047.148552727</v>
      </c>
      <c r="Y87" s="31">
        <f t="shared" si="17"/>
        <v>24052047.148552727</v>
      </c>
      <c r="Z87" s="31">
        <f t="shared" si="17"/>
        <v>24052047.148552727</v>
      </c>
      <c r="AA87" s="31">
        <f t="shared" si="17"/>
        <v>24052047.148552727</v>
      </c>
      <c r="AB87" s="31">
        <f t="shared" si="17"/>
        <v>24052047.148552727</v>
      </c>
      <c r="AC87" s="31">
        <f t="shared" si="17"/>
        <v>24052047.148552727</v>
      </c>
      <c r="AD87" s="31">
        <f t="shared" si="10"/>
        <v>24052047.148552727</v>
      </c>
      <c r="AE87" s="99"/>
      <c r="AF87" s="31">
        <f t="shared" si="15"/>
        <v>288624565.78263265</v>
      </c>
      <c r="AG87" s="99">
        <f t="shared" si="11"/>
        <v>1</v>
      </c>
      <c r="AH87" s="99">
        <f t="shared" si="12"/>
        <v>1</v>
      </c>
      <c r="AI87" s="102">
        <v>0.08</v>
      </c>
      <c r="AL87" s="48" t="b">
        <f t="shared" si="13"/>
        <v>1</v>
      </c>
    </row>
    <row r="88" spans="1:40" ht="34.5">
      <c r="A88" s="32" t="s">
        <v>94</v>
      </c>
      <c r="B88" s="33" t="s">
        <v>95</v>
      </c>
      <c r="C88" s="33" t="s">
        <v>87</v>
      </c>
      <c r="D88" s="16">
        <v>0.52410000000000001</v>
      </c>
      <c r="E88" s="16">
        <v>0.47589999999999999</v>
      </c>
      <c r="F88" s="37" t="s">
        <v>160</v>
      </c>
      <c r="G88" s="37">
        <v>1</v>
      </c>
      <c r="H88" s="37">
        <v>1</v>
      </c>
      <c r="I88" s="37">
        <v>1</v>
      </c>
      <c r="J88" s="37">
        <v>24</v>
      </c>
      <c r="K88" s="37">
        <v>13</v>
      </c>
      <c r="L88" s="37">
        <v>11</v>
      </c>
      <c r="M88" s="37">
        <f t="shared" si="18"/>
        <v>30</v>
      </c>
      <c r="N88" s="37">
        <f t="shared" si="19"/>
        <v>30</v>
      </c>
      <c r="O88" s="37">
        <f t="shared" si="2"/>
        <v>30</v>
      </c>
      <c r="P88" s="37">
        <f t="shared" si="3"/>
        <v>30</v>
      </c>
      <c r="Q88" s="104">
        <v>6000</v>
      </c>
      <c r="S88" s="31">
        <f t="shared" si="4"/>
        <v>24497455.429081481</v>
      </c>
      <c r="T88" s="31">
        <f t="shared" si="5"/>
        <v>24497455.429081481</v>
      </c>
      <c r="U88" s="31">
        <f t="shared" si="6"/>
        <v>24497455.429081481</v>
      </c>
      <c r="V88" s="31">
        <f t="shared" si="7"/>
        <v>24497455.429081481</v>
      </c>
      <c r="W88" s="31">
        <f t="shared" si="8"/>
        <v>24497455.429081481</v>
      </c>
      <c r="X88" s="31">
        <f t="shared" si="17"/>
        <v>24497455.429081481</v>
      </c>
      <c r="Y88" s="31">
        <f t="shared" si="17"/>
        <v>24497455.429081481</v>
      </c>
      <c r="Z88" s="31">
        <f t="shared" si="17"/>
        <v>24497455.429081481</v>
      </c>
      <c r="AA88" s="31">
        <f t="shared" si="17"/>
        <v>24497455.429081481</v>
      </c>
      <c r="AB88" s="31">
        <f t="shared" si="17"/>
        <v>24497455.429081481</v>
      </c>
      <c r="AC88" s="31">
        <f t="shared" si="17"/>
        <v>24497455.429081481</v>
      </c>
      <c r="AD88" s="31">
        <f t="shared" si="10"/>
        <v>24497455.429081481</v>
      </c>
      <c r="AE88" s="99"/>
      <c r="AF88" s="31">
        <f t="shared" si="15"/>
        <v>293969465.14897776</v>
      </c>
      <c r="AG88" s="99">
        <f t="shared" si="11"/>
        <v>1</v>
      </c>
      <c r="AH88" s="99">
        <f t="shared" si="12"/>
        <v>1</v>
      </c>
      <c r="AI88" s="102">
        <v>0.1</v>
      </c>
      <c r="AL88" s="48" t="b">
        <f t="shared" si="13"/>
        <v>1</v>
      </c>
    </row>
    <row r="89" spans="1:40">
      <c r="A89" s="14"/>
      <c r="B89" s="108" t="s">
        <v>164</v>
      </c>
      <c r="C89" s="108"/>
      <c r="D89" s="109"/>
      <c r="E89" s="109"/>
      <c r="F89" s="109"/>
      <c r="G89" s="44">
        <f>SUM(G29:G88)</f>
        <v>39</v>
      </c>
      <c r="H89" s="44">
        <f>SUM(H29:H88)</f>
        <v>22</v>
      </c>
      <c r="I89" s="44">
        <f>SUM(I29:I88)</f>
        <v>61</v>
      </c>
      <c r="J89" s="37"/>
      <c r="K89" s="37"/>
      <c r="L89" s="37"/>
      <c r="M89" s="37"/>
      <c r="N89" s="37"/>
      <c r="O89" s="37"/>
      <c r="P89" s="37"/>
      <c r="Q89" s="44"/>
      <c r="R89"/>
      <c r="S89" s="31">
        <f>SUM(S29:S88)</f>
        <v>754276751.74856341</v>
      </c>
      <c r="T89" s="97">
        <f t="shared" ref="T89:AD89" si="20">SUM(T29:T88)</f>
        <v>792802255.14412451</v>
      </c>
      <c r="U89" s="97">
        <f t="shared" si="20"/>
        <v>747663800.80251729</v>
      </c>
      <c r="V89" s="97">
        <f>SUM(V29:V88)</f>
        <v>792802255.14412451</v>
      </c>
      <c r="W89" s="97">
        <f t="shared" si="20"/>
        <v>792802255.14412451</v>
      </c>
      <c r="X89" s="97">
        <f t="shared" si="20"/>
        <v>792802255.14412451</v>
      </c>
      <c r="Y89" s="97">
        <f t="shared" si="20"/>
        <v>792802255.14412451</v>
      </c>
      <c r="Z89" s="97">
        <f t="shared" si="20"/>
        <v>792802255.14412451</v>
      </c>
      <c r="AA89" s="97">
        <f t="shared" si="20"/>
        <v>792802255.14412451</v>
      </c>
      <c r="AB89" s="97">
        <f t="shared" si="20"/>
        <v>792802255.14412451</v>
      </c>
      <c r="AC89" s="97">
        <f t="shared" si="20"/>
        <v>792802255.14412451</v>
      </c>
      <c r="AD89" s="97">
        <f t="shared" si="20"/>
        <v>738866550.3903383</v>
      </c>
      <c r="AE89" s="99"/>
      <c r="AF89" s="80">
        <f>SUM(AF29:AF88)</f>
        <v>9376027399.238533</v>
      </c>
      <c r="AG89" s="98"/>
      <c r="AH89" s="98"/>
      <c r="AI89" s="98"/>
      <c r="AJ89"/>
      <c r="AK89"/>
      <c r="AL89"/>
      <c r="AM89"/>
      <c r="AN89"/>
    </row>
    <row r="90" spans="1:40">
      <c r="AF90" s="100">
        <f>SUM(S89:AD89)</f>
        <v>9376027399.2385426</v>
      </c>
    </row>
    <row r="91" spans="1:40">
      <c r="AI91" s="79">
        <f>10%*19%</f>
        <v>1.9000000000000003E-2</v>
      </c>
    </row>
    <row r="92" spans="1:40">
      <c r="AD92" t="s">
        <v>101</v>
      </c>
      <c r="AE92"/>
      <c r="AF92" s="47">
        <f>+AF90*1.9%</f>
        <v>178144520.58553231</v>
      </c>
    </row>
    <row r="93" spans="1:40">
      <c r="AD93" t="s">
        <v>4</v>
      </c>
      <c r="AE93"/>
      <c r="AF93" s="55">
        <f>+AF92+AF90</f>
        <v>9554171919.8240757</v>
      </c>
    </row>
  </sheetData>
  <mergeCells count="14">
    <mergeCell ref="S27:AD27"/>
    <mergeCell ref="A49:A50"/>
    <mergeCell ref="A14:F14"/>
    <mergeCell ref="C24:D24"/>
    <mergeCell ref="A29:A48"/>
    <mergeCell ref="A27:Q27"/>
    <mergeCell ref="A84:A85"/>
    <mergeCell ref="B89:F89"/>
    <mergeCell ref="A51:A52"/>
    <mergeCell ref="A53:A54"/>
    <mergeCell ref="A56:A57"/>
    <mergeCell ref="A58:A69"/>
    <mergeCell ref="A70:A81"/>
    <mergeCell ref="A82:A83"/>
  </mergeCells>
  <hyperlinks>
    <hyperlink ref="C24" r:id="rId1" xr:uid="{B18648B0-44AA-4FF9-A381-59F64CB888EB}"/>
    <hyperlink ref="C1" r:id="rId2" xr:uid="{1B1C00A5-6BE1-49CF-9759-E7AB458BA3AA}"/>
  </hyperlinks>
  <pageMargins left="0.7" right="0.7" top="0.75" bottom="0.75" header="0.3" footer="0.3"/>
  <pageSetup paperSize="9" orientation="portrait" horizontalDpi="1200" verticalDpi="1200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8B64E-8F39-4FD6-8F9E-FFA2A68404DA}">
  <dimension ref="A1:AI93"/>
  <sheetViews>
    <sheetView topLeftCell="P83" zoomScale="80" zoomScaleNormal="80" workbookViewId="0">
      <selection activeCell="V93" sqref="V93"/>
    </sheetView>
  </sheetViews>
  <sheetFormatPr defaultColWidth="11.42578125" defaultRowHeight="14.45"/>
  <cols>
    <col min="1" max="1" width="19.7109375" style="48" customWidth="1"/>
    <col min="2" max="2" width="15.7109375" style="48" customWidth="1"/>
    <col min="3" max="3" width="29.140625" style="48" customWidth="1"/>
    <col min="4" max="5" width="13.5703125" style="2" bestFit="1" customWidth="1"/>
    <col min="6" max="6" width="18.42578125" style="2" bestFit="1" customWidth="1"/>
    <col min="7" max="7" width="22.7109375" style="2" bestFit="1" customWidth="1"/>
    <col min="8" max="8" width="13" style="2" bestFit="1" customWidth="1"/>
    <col min="9" max="9" width="13.5703125" style="2" bestFit="1" customWidth="1"/>
    <col min="10" max="10" width="12" style="2" bestFit="1" customWidth="1"/>
    <col min="11" max="11" width="12" style="2" customWidth="1"/>
    <col min="12" max="12" width="12.5703125" style="2" bestFit="1" customWidth="1"/>
    <col min="13" max="13" width="13.5703125" style="2" bestFit="1" customWidth="1"/>
    <col min="14" max="14" width="13.42578125" style="48" customWidth="1"/>
    <col min="15" max="15" width="18.28515625" style="48" customWidth="1"/>
    <col min="16" max="20" width="17.42578125" style="48" customWidth="1"/>
    <col min="21" max="22" width="17.42578125" style="48" bestFit="1" customWidth="1"/>
    <col min="23" max="23" width="2.140625" style="48" customWidth="1"/>
    <col min="24" max="24" width="19.140625" style="48" bestFit="1" customWidth="1"/>
    <col min="25" max="25" width="18.140625" style="48" customWidth="1"/>
    <col min="26" max="26" width="6.140625" style="48" customWidth="1"/>
    <col min="27" max="27" width="20.85546875" style="48" customWidth="1"/>
    <col min="28" max="29" width="20.85546875" style="48" hidden="1" customWidth="1"/>
    <col min="30" max="30" width="20.85546875" style="48" customWidth="1"/>
    <col min="31" max="38" width="0" style="48" hidden="1" customWidth="1"/>
    <col min="39" max="16384" width="11.42578125" style="48"/>
  </cols>
  <sheetData>
    <row r="1" spans="1:6" ht="72.599999999999994">
      <c r="A1" s="25" t="s">
        <v>102</v>
      </c>
      <c r="B1" s="25" t="s">
        <v>171</v>
      </c>
      <c r="C1" s="24" t="s">
        <v>189</v>
      </c>
      <c r="D1" s="50"/>
      <c r="E1" s="51" t="s">
        <v>104</v>
      </c>
    </row>
    <row r="2" spans="1:6" ht="18">
      <c r="A2" s="26" t="s">
        <v>105</v>
      </c>
      <c r="B2" s="4">
        <f>+'2029'!B2*1.04</f>
        <v>7214.8776960000005</v>
      </c>
      <c r="D2" s="52"/>
      <c r="E2" s="51"/>
    </row>
    <row r="3" spans="1:6" ht="27">
      <c r="A3" s="27" t="s">
        <v>106</v>
      </c>
      <c r="B3" s="4">
        <f>+'2029'!B3*1.04</f>
        <v>7214.8776960000005</v>
      </c>
      <c r="D3" s="53"/>
      <c r="E3" s="51" t="s">
        <v>107</v>
      </c>
    </row>
    <row r="4" spans="1:6" ht="27">
      <c r="A4" s="27" t="s">
        <v>108</v>
      </c>
      <c r="B4" s="4">
        <f>+'2029'!B4*1.04</f>
        <v>7214.8776960000005</v>
      </c>
      <c r="D4" s="54"/>
      <c r="E4" s="51" t="s">
        <v>109</v>
      </c>
    </row>
    <row r="5" spans="1:6" ht="27">
      <c r="A5" s="27" t="s">
        <v>110</v>
      </c>
      <c r="B5" s="4">
        <f>+'2029'!B5*1.04</f>
        <v>2404.9592319999997</v>
      </c>
    </row>
    <row r="6" spans="1:6" ht="36">
      <c r="A6" s="27" t="s">
        <v>111</v>
      </c>
      <c r="B6" s="4">
        <f>+'2029'!B6*1.04</f>
        <v>4809.9184639999994</v>
      </c>
    </row>
    <row r="7" spans="1:6" ht="27">
      <c r="A7" s="27" t="s">
        <v>113</v>
      </c>
      <c r="B7" s="4">
        <f>+'2029'!B7*1.04</f>
        <v>2404.9592319999997</v>
      </c>
    </row>
    <row r="8" spans="1:6" ht="27">
      <c r="A8" s="27" t="s">
        <v>114</v>
      </c>
      <c r="B8" s="4">
        <f>+'2029'!B8*1.04</f>
        <v>2404.9592319999997</v>
      </c>
    </row>
    <row r="9" spans="1:6" ht="27">
      <c r="A9" s="27" t="s">
        <v>115</v>
      </c>
      <c r="B9" s="4">
        <f>+'2029'!B9*1.04</f>
        <v>2404.9592319999997</v>
      </c>
    </row>
    <row r="10" spans="1:6" ht="27">
      <c r="A10" s="27" t="s">
        <v>116</v>
      </c>
      <c r="B10" s="4">
        <f>+'2029'!B10*1.04</f>
        <v>2404.9592319999997</v>
      </c>
    </row>
    <row r="11" spans="1:6" ht="27">
      <c r="A11" s="27" t="s">
        <v>117</v>
      </c>
      <c r="B11" s="4">
        <f>+'2029'!B11*1.04</f>
        <v>2404.9592319999997</v>
      </c>
    </row>
    <row r="12" spans="1:6" ht="27">
      <c r="A12" s="27" t="s">
        <v>118</v>
      </c>
      <c r="B12" s="4">
        <f>+'2029'!B12*1.04</f>
        <v>2404.9592319999997</v>
      </c>
    </row>
    <row r="14" spans="1:6">
      <c r="A14" s="117" t="s">
        <v>119</v>
      </c>
      <c r="B14" s="117"/>
      <c r="C14" s="117"/>
      <c r="D14" s="117"/>
      <c r="E14" s="117"/>
      <c r="F14" s="117"/>
    </row>
    <row r="15" spans="1:6">
      <c r="A15" s="17" t="s">
        <v>120</v>
      </c>
      <c r="B15" s="17" t="s">
        <v>121</v>
      </c>
      <c r="C15" s="17" t="s">
        <v>122</v>
      </c>
      <c r="D15" s="17" t="s">
        <v>123</v>
      </c>
      <c r="E15" s="17" t="s">
        <v>124</v>
      </c>
      <c r="F15" s="17" t="s">
        <v>125</v>
      </c>
    </row>
    <row r="16" spans="1:6" ht="29.1">
      <c r="A16" s="14" t="s">
        <v>128</v>
      </c>
      <c r="B16" s="23">
        <f>+$B$21*C21</f>
        <v>23822923.008288343</v>
      </c>
      <c r="C16" s="22" t="s">
        <v>129</v>
      </c>
      <c r="D16" s="23">
        <v>6000</v>
      </c>
      <c r="E16" s="23">
        <f>+(B16+D16)*8%</f>
        <v>1906313.8406630675</v>
      </c>
      <c r="F16" s="23">
        <f>+B16+E16</f>
        <v>25729236.848951411</v>
      </c>
    </row>
    <row r="17" spans="1:35" ht="29.1">
      <c r="A17" s="14" t="s">
        <v>131</v>
      </c>
      <c r="B17" s="23">
        <f>+B21*C21</f>
        <v>23822923.008288343</v>
      </c>
      <c r="C17" s="22" t="s">
        <v>132</v>
      </c>
      <c r="D17" s="23">
        <v>6000</v>
      </c>
      <c r="E17" s="23">
        <f>+(B17+D17)*10%</f>
        <v>2382892.3008288345</v>
      </c>
      <c r="F17" s="23">
        <f>+B17+E17</f>
        <v>26205815.309117176</v>
      </c>
    </row>
    <row r="18" spans="1:35" ht="29.1">
      <c r="A18" s="14" t="s">
        <v>134</v>
      </c>
      <c r="B18" s="23">
        <f>+B21*C21</f>
        <v>23822923.008288343</v>
      </c>
      <c r="C18" s="22" t="s">
        <v>135</v>
      </c>
      <c r="D18" s="23">
        <v>6000</v>
      </c>
      <c r="E18" s="23">
        <f>+(B18+D18)*11%</f>
        <v>2621181.5309117176</v>
      </c>
      <c r="F18" s="23">
        <f>+B18+E18</f>
        <v>26444104.53920006</v>
      </c>
    </row>
    <row r="20" spans="1:35" ht="26.1">
      <c r="A20" s="19" t="s">
        <v>137</v>
      </c>
      <c r="B20" s="19" t="s">
        <v>138</v>
      </c>
      <c r="C20" s="19" t="s">
        <v>139</v>
      </c>
      <c r="D20" s="20" t="s">
        <v>140</v>
      </c>
    </row>
    <row r="21" spans="1:35" ht="43.5">
      <c r="A21" s="14" t="s">
        <v>141</v>
      </c>
      <c r="B21" s="15">
        <f>'2029'!B21*(1+$B$24)</f>
        <v>2295079.2878890503</v>
      </c>
      <c r="C21" s="13">
        <v>10.38</v>
      </c>
      <c r="D21" s="16">
        <v>0.47589999999999999</v>
      </c>
    </row>
    <row r="22" spans="1:35" ht="43.5">
      <c r="A22" s="14" t="s">
        <v>142</v>
      </c>
      <c r="B22" s="15">
        <f>'2029'!B22*(1+$B$24)</f>
        <v>2295079.2878890503</v>
      </c>
      <c r="C22" s="13">
        <v>10.38</v>
      </c>
      <c r="D22" s="16">
        <v>0.52410000000000001</v>
      </c>
    </row>
    <row r="24" spans="1:35" ht="45" customHeight="1">
      <c r="A24" s="14" t="s">
        <v>175</v>
      </c>
      <c r="B24" s="49">
        <v>7.0000000000000007E-2</v>
      </c>
      <c r="C24" s="115" t="s">
        <v>112</v>
      </c>
      <c r="D24" s="116"/>
    </row>
    <row r="27" spans="1:35">
      <c r="A27" s="112" t="s">
        <v>143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S27" s="117">
        <v>2027</v>
      </c>
      <c r="T27" s="117"/>
      <c r="U27" s="117"/>
      <c r="V27" s="117"/>
      <c r="W27" s="117"/>
      <c r="X27" s="117"/>
      <c r="Y27" s="117"/>
      <c r="AA27" s="11"/>
      <c r="AD27" s="11"/>
    </row>
    <row r="28" spans="1:35" ht="72" customHeight="1">
      <c r="A28" s="18" t="s">
        <v>1</v>
      </c>
      <c r="B28" s="45" t="s">
        <v>2</v>
      </c>
      <c r="C28" s="45" t="s">
        <v>3</v>
      </c>
      <c r="D28" s="45" t="s">
        <v>144</v>
      </c>
      <c r="E28" s="45" t="s">
        <v>145</v>
      </c>
      <c r="F28" s="45" t="s">
        <v>146</v>
      </c>
      <c r="G28" s="45" t="s">
        <v>147</v>
      </c>
      <c r="H28" s="45" t="s">
        <v>148</v>
      </c>
      <c r="I28" s="45" t="s">
        <v>149</v>
      </c>
      <c r="J28" s="45" t="s">
        <v>150</v>
      </c>
      <c r="K28" s="45" t="s">
        <v>151</v>
      </c>
      <c r="L28" s="45" t="s">
        <v>152</v>
      </c>
      <c r="M28" s="45" t="s">
        <v>153</v>
      </c>
      <c r="N28" s="45" t="s">
        <v>154</v>
      </c>
      <c r="O28" s="45" t="s">
        <v>176</v>
      </c>
      <c r="P28" s="45" t="s">
        <v>155</v>
      </c>
      <c r="Q28" s="46" t="s">
        <v>156</v>
      </c>
      <c r="S28" s="17" t="s">
        <v>177</v>
      </c>
      <c r="T28" s="17" t="s">
        <v>178</v>
      </c>
      <c r="U28" s="17" t="s">
        <v>179</v>
      </c>
      <c r="V28" s="101" t="s">
        <v>180</v>
      </c>
      <c r="W28" s="17" t="s">
        <v>181</v>
      </c>
      <c r="X28" s="17" t="s">
        <v>182</v>
      </c>
      <c r="Y28" s="17" t="s">
        <v>183</v>
      </c>
      <c r="AA28" s="17" t="s">
        <v>4</v>
      </c>
      <c r="AB28" s="99"/>
      <c r="AC28" s="99"/>
      <c r="AD28" s="17" t="s">
        <v>158</v>
      </c>
    </row>
    <row r="29" spans="1:35" ht="34.5">
      <c r="A29" s="110" t="s">
        <v>5</v>
      </c>
      <c r="B29" s="33" t="s">
        <v>6</v>
      </c>
      <c r="C29" s="33" t="s">
        <v>7</v>
      </c>
      <c r="D29" s="16">
        <v>0.52410000000000001</v>
      </c>
      <c r="E29" s="16">
        <v>0.47589999999999999</v>
      </c>
      <c r="F29" s="35" t="s">
        <v>159</v>
      </c>
      <c r="G29" s="37">
        <v>1</v>
      </c>
      <c r="H29" s="37"/>
      <c r="I29" s="37">
        <v>1</v>
      </c>
      <c r="J29" s="37">
        <v>14</v>
      </c>
      <c r="K29" s="37">
        <v>13</v>
      </c>
      <c r="L29" s="37">
        <v>1</v>
      </c>
      <c r="M29" s="37">
        <v>20</v>
      </c>
      <c r="N29" s="37">
        <f>IF(AND(H29=1,J29&lt;24),20,IF(AND(H29=1,J29=24),30,17))</f>
        <v>17</v>
      </c>
      <c r="O29" s="37">
        <f>IF(AND(G29=1,J29&lt;24),20,IF(AND(G29=1,J29=24),30,15))</f>
        <v>20</v>
      </c>
      <c r="P29" s="37">
        <f>IF(M29=10,20,M29)</f>
        <v>20</v>
      </c>
      <c r="Q29" s="104">
        <v>2000</v>
      </c>
      <c r="S29" s="31">
        <f t="shared" ref="S29:S60" si="0">+((((((($B$21*$C$21)+Q29)*D29/30)*O29)/11*L29))+(((((($B$21*$C$21)+Q29)*E29/30)*O29)/13*K29)))*(I29)*(1+$AD29)</f>
        <v>8980869.7050370406</v>
      </c>
      <c r="T29" s="31">
        <f>+((((((($B$21*$C$21)+Q29)*D29/30)*P29)/11*L29))+(((((($B$21*$C$21)+Q29)*E29/30)*P29)/13*K29)))*(I29)*(1+$AD29)</f>
        <v>8980869.7050370406</v>
      </c>
      <c r="U29" s="31">
        <f>+((((((($B$21*$C$21)+Q29)*D29/30)*P29)/11*L29))+(((((($B$21*$C$21)+Q29)*E29/30)*P29)/13*K29)))*(I29)*(1+$AD29)</f>
        <v>8980869.7050370406</v>
      </c>
      <c r="V29" s="31">
        <f>+((((((($B$21*$C$21)+Q29)*D29/30)*N29)/11*L29))+(((((($B$21*$C$21)+Q29)*E29/30)*N29)/13*K29)))*(I29)*(1+$AD29)</f>
        <v>7633739.2492814856</v>
      </c>
      <c r="W29" s="31">
        <f t="shared" ref="W29:W60" si="1">+((((((($B$21*$C$21)+Q29)*D29/30)*P29)/11*L29))+(((((($B$21*$C$21)+Q29)*E29/30)*P29)/13*K29)))*(I29)*(1+$AD29)</f>
        <v>8980869.7050370406</v>
      </c>
      <c r="X29" s="31">
        <f t="shared" ref="X29:Y48" si="2">+((((((($B$21*$C$21)+$Q29)*$D29/30)*$P29)/11*$L29))+(((((($B$21*$C$21)+$Q29)*$E29/30)*$P29)/13*$K29)))*($I29)*(1+$AD29)</f>
        <v>8980869.7050370406</v>
      </c>
      <c r="Y29" s="31">
        <f t="shared" si="2"/>
        <v>8980869.7050370406</v>
      </c>
      <c r="AA29" s="31">
        <f t="shared" ref="AA29:AA60" si="3">SUM(S29:Y29)</f>
        <v>61518957.479503736</v>
      </c>
      <c r="AB29" s="99"/>
      <c r="AC29" s="99">
        <f t="shared" ref="AC29:AC60" si="4">IF(G29&gt;=1,1,0)</f>
        <v>1</v>
      </c>
      <c r="AD29" s="99">
        <v>0.08</v>
      </c>
      <c r="AG29" s="48" t="b">
        <f>AB29=AC29</f>
        <v>0</v>
      </c>
      <c r="AI29" s="57">
        <f>S29*(1+1.9%)</f>
        <v>9151506.229432743</v>
      </c>
    </row>
    <row r="30" spans="1:35" ht="23.1">
      <c r="A30" s="110"/>
      <c r="B30" s="33" t="s">
        <v>8</v>
      </c>
      <c r="C30" s="33" t="s">
        <v>9</v>
      </c>
      <c r="D30" s="16">
        <v>0.52410000000000001</v>
      </c>
      <c r="E30" s="16">
        <v>0.47589999999999999</v>
      </c>
      <c r="F30" s="35" t="s">
        <v>160</v>
      </c>
      <c r="G30" s="37">
        <v>1</v>
      </c>
      <c r="H30" s="37">
        <v>1</v>
      </c>
      <c r="I30" s="37">
        <v>1</v>
      </c>
      <c r="J30" s="37">
        <v>24</v>
      </c>
      <c r="K30" s="37">
        <v>13</v>
      </c>
      <c r="L30" s="37">
        <v>11</v>
      </c>
      <c r="M30" s="37">
        <f t="shared" ref="M30:M88" si="5">IF(AND(G30=1,J30&lt;24),20,IF(AND(G30=1,J30=24),30,10))</f>
        <v>30</v>
      </c>
      <c r="N30" s="37">
        <f t="shared" ref="N30:N88" si="6">IF(AND(H30=1,J30&lt;24),20,IF(AND(H30=1,J30=24),30,17))</f>
        <v>30</v>
      </c>
      <c r="O30" s="37">
        <f t="shared" ref="O30:O88" si="7">IF(AND(G30=1,J30&lt;24),20,IF(AND(G30=1,J30=24),30,15))</f>
        <v>30</v>
      </c>
      <c r="P30" s="37">
        <f t="shared" ref="P30:P88" si="8">IF(M30=10,20,M30)</f>
        <v>30</v>
      </c>
      <c r="Q30" s="104">
        <v>6000</v>
      </c>
      <c r="S30" s="31">
        <f t="shared" si="0"/>
        <v>25735236.848951411</v>
      </c>
      <c r="T30" s="31">
        <f t="shared" ref="T30:T60" si="9">+((((((($B$21*$C$21)+Q30)*D30/30)*P30)/11*L30))+(((((($B$21*$C$21)+Q30)*E30/30)*P30)/13*K30)))*(I30)*(1+$AD30)</f>
        <v>25735236.848951411</v>
      </c>
      <c r="U30" s="31">
        <f t="shared" ref="U30:U88" si="10">+((((((($B$21*$C$21)+Q30)*D30/30)*P30)/11*L30))+(((((($B$21*$C$21)+Q30)*E30/30)*P30)/13*K30)))*(I30)*(1+$AD30)</f>
        <v>25735236.848951411</v>
      </c>
      <c r="V30" s="31">
        <f t="shared" ref="V30:V88" si="11">+((((((($B$21*$C$21)+Q30)*D30/30)*N30)/11*L30))+(((((($B$21*$C$21)+Q30)*E30/30)*N30)/13*K30)))*(I30)*(1+$AD30)</f>
        <v>25735236.848951411</v>
      </c>
      <c r="W30" s="31">
        <f t="shared" si="1"/>
        <v>25735236.848951411</v>
      </c>
      <c r="X30" s="31">
        <f t="shared" si="2"/>
        <v>25735236.848951411</v>
      </c>
      <c r="Y30" s="31">
        <f t="shared" si="2"/>
        <v>25735236.848951411</v>
      </c>
      <c r="AA30" s="31">
        <f t="shared" si="3"/>
        <v>180146657.94265985</v>
      </c>
      <c r="AB30" s="99"/>
      <c r="AC30" s="99">
        <f t="shared" si="4"/>
        <v>1</v>
      </c>
      <c r="AD30" s="99">
        <v>0.08</v>
      </c>
      <c r="AG30" s="48" t="b">
        <f t="shared" ref="AG30:AG88" si="12">AB30=AC30</f>
        <v>0</v>
      </c>
    </row>
    <row r="31" spans="1:35" ht="23.1">
      <c r="A31" s="110"/>
      <c r="B31" s="33" t="s">
        <v>10</v>
      </c>
      <c r="C31" s="33" t="s">
        <v>161</v>
      </c>
      <c r="D31" s="16">
        <v>0.52410000000000001</v>
      </c>
      <c r="E31" s="16">
        <v>0.47589999999999999</v>
      </c>
      <c r="F31" s="35" t="s">
        <v>162</v>
      </c>
      <c r="G31" s="37"/>
      <c r="H31" s="37"/>
      <c r="I31" s="37">
        <v>1</v>
      </c>
      <c r="J31" s="37">
        <v>12</v>
      </c>
      <c r="K31" s="37">
        <v>12</v>
      </c>
      <c r="L31" s="37"/>
      <c r="M31" s="37">
        <f t="shared" si="5"/>
        <v>10</v>
      </c>
      <c r="N31" s="37">
        <f t="shared" si="6"/>
        <v>17</v>
      </c>
      <c r="O31" s="37">
        <f t="shared" si="7"/>
        <v>15</v>
      </c>
      <c r="P31" s="37">
        <f t="shared" si="8"/>
        <v>20</v>
      </c>
      <c r="Q31" s="104">
        <v>2000</v>
      </c>
      <c r="R31"/>
      <c r="S31" s="31">
        <f t="shared" si="0"/>
        <v>5808688.5019409116</v>
      </c>
      <c r="T31" s="31">
        <f t="shared" si="9"/>
        <v>7744918.0025878837</v>
      </c>
      <c r="U31" s="31">
        <f t="shared" si="10"/>
        <v>7744918.0025878837</v>
      </c>
      <c r="V31" s="31">
        <f t="shared" si="11"/>
        <v>6583180.3021997008</v>
      </c>
      <c r="W31" s="31">
        <f t="shared" si="1"/>
        <v>7744918.0025878837</v>
      </c>
      <c r="X31" s="31">
        <f t="shared" si="2"/>
        <v>7744918.0025878837</v>
      </c>
      <c r="Y31" s="31">
        <f t="shared" si="2"/>
        <v>7744918.0025878837</v>
      </c>
      <c r="Z31"/>
      <c r="AA31" s="31">
        <f t="shared" si="3"/>
        <v>51116458.817080036</v>
      </c>
      <c r="AB31" s="99"/>
      <c r="AC31" s="99">
        <f t="shared" si="4"/>
        <v>0</v>
      </c>
      <c r="AD31" s="98">
        <v>0.11</v>
      </c>
      <c r="AE31"/>
      <c r="AF31"/>
      <c r="AG31" s="48" t="b">
        <f t="shared" si="12"/>
        <v>1</v>
      </c>
      <c r="AH31"/>
      <c r="AI31"/>
    </row>
    <row r="32" spans="1:35" ht="23.1">
      <c r="A32" s="110"/>
      <c r="B32" s="33" t="s">
        <v>12</v>
      </c>
      <c r="C32" s="33" t="s">
        <v>13</v>
      </c>
      <c r="D32" s="16">
        <v>0.52410000000000001</v>
      </c>
      <c r="E32" s="16">
        <v>0.47589999999999999</v>
      </c>
      <c r="F32" s="35" t="s">
        <v>160</v>
      </c>
      <c r="G32" s="37"/>
      <c r="H32" s="37"/>
      <c r="I32" s="37">
        <v>1</v>
      </c>
      <c r="J32" s="37">
        <v>9</v>
      </c>
      <c r="K32" s="37">
        <v>9</v>
      </c>
      <c r="L32" s="37"/>
      <c r="M32" s="37">
        <f t="shared" si="5"/>
        <v>10</v>
      </c>
      <c r="N32" s="37">
        <f t="shared" si="6"/>
        <v>17</v>
      </c>
      <c r="O32" s="37">
        <f t="shared" si="7"/>
        <v>15</v>
      </c>
      <c r="P32" s="37">
        <f t="shared" si="8"/>
        <v>20</v>
      </c>
      <c r="Q32" s="104">
        <v>2000</v>
      </c>
      <c r="R32"/>
      <c r="S32" s="31">
        <f t="shared" si="0"/>
        <v>4238772.6906055305</v>
      </c>
      <c r="T32" s="31">
        <f t="shared" si="9"/>
        <v>5651696.9208073746</v>
      </c>
      <c r="U32" s="31">
        <f t="shared" si="10"/>
        <v>5651696.9208073746</v>
      </c>
      <c r="V32" s="31">
        <f t="shared" si="11"/>
        <v>4803942.3826862676</v>
      </c>
      <c r="W32" s="31">
        <f t="shared" si="1"/>
        <v>5651696.9208073746</v>
      </c>
      <c r="X32" s="31">
        <f t="shared" si="2"/>
        <v>5651696.9208073746</v>
      </c>
      <c r="Y32" s="31">
        <f t="shared" si="2"/>
        <v>5651696.9208073746</v>
      </c>
      <c r="Z32"/>
      <c r="AA32" s="31">
        <f t="shared" si="3"/>
        <v>37301199.677328676</v>
      </c>
      <c r="AB32" s="99"/>
      <c r="AC32" s="99">
        <f t="shared" si="4"/>
        <v>0</v>
      </c>
      <c r="AD32" s="98">
        <v>0.08</v>
      </c>
      <c r="AE32"/>
      <c r="AF32"/>
      <c r="AG32" s="48" t="b">
        <f t="shared" si="12"/>
        <v>1</v>
      </c>
      <c r="AH32"/>
      <c r="AI32"/>
    </row>
    <row r="33" spans="1:35" ht="34.5">
      <c r="A33" s="110"/>
      <c r="B33" s="33" t="s">
        <v>14</v>
      </c>
      <c r="C33" s="33" t="s">
        <v>15</v>
      </c>
      <c r="D33" s="16">
        <v>0.52410000000000001</v>
      </c>
      <c r="E33" s="16">
        <v>0.47589999999999999</v>
      </c>
      <c r="F33" s="35" t="s">
        <v>160</v>
      </c>
      <c r="G33" s="37"/>
      <c r="H33" s="37"/>
      <c r="I33" s="37">
        <v>1</v>
      </c>
      <c r="J33" s="37">
        <v>11</v>
      </c>
      <c r="K33" s="37">
        <v>11</v>
      </c>
      <c r="L33" s="37"/>
      <c r="M33" s="37">
        <f t="shared" si="5"/>
        <v>10</v>
      </c>
      <c r="N33" s="37">
        <f t="shared" si="6"/>
        <v>17</v>
      </c>
      <c r="O33" s="37">
        <f t="shared" si="7"/>
        <v>15</v>
      </c>
      <c r="P33" s="37">
        <f t="shared" si="8"/>
        <v>20</v>
      </c>
      <c r="Q33" s="104">
        <v>2000</v>
      </c>
      <c r="R33"/>
      <c r="S33" s="31">
        <f t="shared" si="0"/>
        <v>5180722.177406759</v>
      </c>
      <c r="T33" s="31">
        <f t="shared" si="9"/>
        <v>6907629.5698756799</v>
      </c>
      <c r="U33" s="31">
        <f t="shared" si="10"/>
        <v>6907629.5698756799</v>
      </c>
      <c r="V33" s="31">
        <f t="shared" si="11"/>
        <v>5871485.1343943272</v>
      </c>
      <c r="W33" s="31">
        <f t="shared" si="1"/>
        <v>6907629.5698756799</v>
      </c>
      <c r="X33" s="31">
        <f t="shared" si="2"/>
        <v>6907629.5698756799</v>
      </c>
      <c r="Y33" s="31">
        <f t="shared" si="2"/>
        <v>6907629.5698756799</v>
      </c>
      <c r="Z33"/>
      <c r="AA33" s="31">
        <f t="shared" si="3"/>
        <v>45590355.161179483</v>
      </c>
      <c r="AB33" s="99"/>
      <c r="AC33" s="99">
        <f t="shared" si="4"/>
        <v>0</v>
      </c>
      <c r="AD33" s="98">
        <v>0.08</v>
      </c>
      <c r="AE33"/>
      <c r="AF33"/>
      <c r="AG33" s="48" t="b">
        <f t="shared" si="12"/>
        <v>1</v>
      </c>
      <c r="AH33"/>
      <c r="AI33"/>
    </row>
    <row r="34" spans="1:35" ht="34.5">
      <c r="A34" s="110"/>
      <c r="B34" s="33" t="s">
        <v>16</v>
      </c>
      <c r="C34" s="33" t="s">
        <v>15</v>
      </c>
      <c r="D34" s="16">
        <v>0.52410000000000001</v>
      </c>
      <c r="E34" s="16">
        <v>0.47589999999999999</v>
      </c>
      <c r="F34" s="35" t="s">
        <v>160</v>
      </c>
      <c r="G34" s="37">
        <v>1</v>
      </c>
      <c r="H34" s="37"/>
      <c r="I34" s="37">
        <v>1</v>
      </c>
      <c r="J34" s="37">
        <v>11</v>
      </c>
      <c r="K34" s="37">
        <v>11</v>
      </c>
      <c r="L34" s="37"/>
      <c r="M34" s="37">
        <f t="shared" si="5"/>
        <v>20</v>
      </c>
      <c r="N34" s="37">
        <f t="shared" si="6"/>
        <v>17</v>
      </c>
      <c r="O34" s="37">
        <f t="shared" si="7"/>
        <v>20</v>
      </c>
      <c r="P34" s="37">
        <f t="shared" si="8"/>
        <v>20</v>
      </c>
      <c r="Q34" s="104">
        <v>2000</v>
      </c>
      <c r="R34"/>
      <c r="S34" s="31">
        <f t="shared" si="0"/>
        <v>6907629.5698756799</v>
      </c>
      <c r="T34" s="31">
        <f t="shared" si="9"/>
        <v>6907629.5698756799</v>
      </c>
      <c r="U34" s="31">
        <f t="shared" si="10"/>
        <v>6907629.5698756799</v>
      </c>
      <c r="V34" s="31">
        <f t="shared" si="11"/>
        <v>5871485.1343943272</v>
      </c>
      <c r="W34" s="31">
        <f t="shared" si="1"/>
        <v>6907629.5698756799</v>
      </c>
      <c r="X34" s="31">
        <f t="shared" si="2"/>
        <v>6907629.5698756799</v>
      </c>
      <c r="Y34" s="31">
        <f t="shared" si="2"/>
        <v>6907629.5698756799</v>
      </c>
      <c r="Z34"/>
      <c r="AA34" s="31">
        <f t="shared" si="3"/>
        <v>47317262.553648405</v>
      </c>
      <c r="AB34" s="99"/>
      <c r="AC34" s="99">
        <f t="shared" si="4"/>
        <v>1</v>
      </c>
      <c r="AD34" s="98">
        <v>0.08</v>
      </c>
      <c r="AE34"/>
      <c r="AF34"/>
      <c r="AG34" s="48" t="b">
        <f t="shared" si="12"/>
        <v>0</v>
      </c>
      <c r="AH34"/>
      <c r="AI34"/>
    </row>
    <row r="35" spans="1:35" ht="23.1">
      <c r="A35" s="110"/>
      <c r="B35" s="33" t="s">
        <v>17</v>
      </c>
      <c r="C35" s="33" t="s">
        <v>15</v>
      </c>
      <c r="D35" s="16">
        <v>0.52410000000000001</v>
      </c>
      <c r="E35" s="16">
        <v>0.47589999999999999</v>
      </c>
      <c r="F35" s="35" t="s">
        <v>160</v>
      </c>
      <c r="G35" s="37"/>
      <c r="H35" s="37"/>
      <c r="I35" s="37">
        <v>1</v>
      </c>
      <c r="J35" s="37">
        <v>11</v>
      </c>
      <c r="K35" s="37">
        <v>11</v>
      </c>
      <c r="L35" s="37"/>
      <c r="M35" s="37">
        <f t="shared" si="5"/>
        <v>10</v>
      </c>
      <c r="N35" s="37">
        <f t="shared" si="6"/>
        <v>17</v>
      </c>
      <c r="O35" s="37">
        <f t="shared" si="7"/>
        <v>15</v>
      </c>
      <c r="P35" s="37">
        <f t="shared" si="8"/>
        <v>20</v>
      </c>
      <c r="Q35" s="104">
        <v>2000</v>
      </c>
      <c r="R35"/>
      <c r="S35" s="31">
        <f t="shared" si="0"/>
        <v>5180722.177406759</v>
      </c>
      <c r="T35" s="31">
        <f t="shared" si="9"/>
        <v>6907629.5698756799</v>
      </c>
      <c r="U35" s="31">
        <f t="shared" si="10"/>
        <v>6907629.5698756799</v>
      </c>
      <c r="V35" s="31">
        <f t="shared" si="11"/>
        <v>5871485.1343943272</v>
      </c>
      <c r="W35" s="31">
        <f t="shared" si="1"/>
        <v>6907629.5698756799</v>
      </c>
      <c r="X35" s="31">
        <f t="shared" si="2"/>
        <v>6907629.5698756799</v>
      </c>
      <c r="Y35" s="31">
        <f t="shared" si="2"/>
        <v>6907629.5698756799</v>
      </c>
      <c r="Z35"/>
      <c r="AA35" s="31">
        <f t="shared" si="3"/>
        <v>45590355.161179483</v>
      </c>
      <c r="AB35" s="99"/>
      <c r="AC35" s="99">
        <f t="shared" si="4"/>
        <v>0</v>
      </c>
      <c r="AD35" s="98">
        <v>0.08</v>
      </c>
      <c r="AE35"/>
      <c r="AF35"/>
      <c r="AG35" s="48" t="b">
        <f t="shared" si="12"/>
        <v>1</v>
      </c>
      <c r="AH35"/>
      <c r="AI35"/>
    </row>
    <row r="36" spans="1:35" ht="34.5">
      <c r="A36" s="110"/>
      <c r="B36" s="33" t="s">
        <v>18</v>
      </c>
      <c r="C36" s="33" t="s">
        <v>15</v>
      </c>
      <c r="D36" s="16">
        <v>0.52410000000000001</v>
      </c>
      <c r="E36" s="16">
        <v>0.47589999999999999</v>
      </c>
      <c r="F36" s="35" t="s">
        <v>160</v>
      </c>
      <c r="G36" s="37"/>
      <c r="H36" s="37"/>
      <c r="I36" s="37">
        <v>1</v>
      </c>
      <c r="J36" s="37">
        <v>11</v>
      </c>
      <c r="K36" s="37">
        <v>11</v>
      </c>
      <c r="L36" s="37"/>
      <c r="M36" s="37">
        <f t="shared" si="5"/>
        <v>10</v>
      </c>
      <c r="N36" s="37">
        <f t="shared" si="6"/>
        <v>17</v>
      </c>
      <c r="O36" s="37">
        <f t="shared" si="7"/>
        <v>15</v>
      </c>
      <c r="P36" s="37">
        <f t="shared" si="8"/>
        <v>20</v>
      </c>
      <c r="Q36" s="104">
        <v>2000</v>
      </c>
      <c r="R36"/>
      <c r="S36" s="31">
        <f t="shared" si="0"/>
        <v>5180722.177406759</v>
      </c>
      <c r="T36" s="31">
        <f t="shared" si="9"/>
        <v>6907629.5698756799</v>
      </c>
      <c r="U36" s="31">
        <f t="shared" si="10"/>
        <v>6907629.5698756799</v>
      </c>
      <c r="V36" s="31">
        <f t="shared" si="11"/>
        <v>5871485.1343943272</v>
      </c>
      <c r="W36" s="31">
        <f t="shared" si="1"/>
        <v>6907629.5698756799</v>
      </c>
      <c r="X36" s="31">
        <f t="shared" si="2"/>
        <v>6907629.5698756799</v>
      </c>
      <c r="Y36" s="31">
        <f t="shared" si="2"/>
        <v>6907629.5698756799</v>
      </c>
      <c r="Z36"/>
      <c r="AA36" s="31">
        <f t="shared" si="3"/>
        <v>45590355.161179483</v>
      </c>
      <c r="AB36" s="99"/>
      <c r="AC36" s="99">
        <f t="shared" si="4"/>
        <v>0</v>
      </c>
      <c r="AD36" s="98">
        <v>0.08</v>
      </c>
      <c r="AE36"/>
      <c r="AF36"/>
      <c r="AG36" s="48" t="b">
        <f t="shared" si="12"/>
        <v>1</v>
      </c>
      <c r="AH36"/>
      <c r="AI36"/>
    </row>
    <row r="37" spans="1:35" ht="34.5">
      <c r="A37" s="110"/>
      <c r="B37" s="33" t="s">
        <v>19</v>
      </c>
      <c r="C37" s="33" t="s">
        <v>15</v>
      </c>
      <c r="D37" s="16">
        <v>0.52410000000000001</v>
      </c>
      <c r="E37" s="16">
        <v>0.47589999999999999</v>
      </c>
      <c r="F37" s="35" t="s">
        <v>160</v>
      </c>
      <c r="G37" s="37"/>
      <c r="H37" s="37"/>
      <c r="I37" s="37">
        <v>1</v>
      </c>
      <c r="J37" s="37">
        <v>11</v>
      </c>
      <c r="K37" s="37">
        <v>11</v>
      </c>
      <c r="L37" s="37"/>
      <c r="M37" s="37">
        <f t="shared" si="5"/>
        <v>10</v>
      </c>
      <c r="N37" s="37">
        <f>IF(AND(H37=1,J37&lt;24),20,IF(AND(H37=1,J37=24),30,17))</f>
        <v>17</v>
      </c>
      <c r="O37" s="37">
        <f>IF(AND(G37=1,J37&lt;24),20,IF(AND(G37=1,J37=24),30,15))</f>
        <v>15</v>
      </c>
      <c r="P37" s="37">
        <f t="shared" si="8"/>
        <v>20</v>
      </c>
      <c r="Q37" s="104">
        <v>2000</v>
      </c>
      <c r="R37"/>
      <c r="S37" s="31">
        <f t="shared" si="0"/>
        <v>5180722.177406759</v>
      </c>
      <c r="T37" s="31">
        <f t="shared" si="9"/>
        <v>6907629.5698756799</v>
      </c>
      <c r="U37" s="31">
        <f t="shared" si="10"/>
        <v>6907629.5698756799</v>
      </c>
      <c r="V37" s="31">
        <f t="shared" si="11"/>
        <v>5871485.1343943272</v>
      </c>
      <c r="W37" s="31">
        <f t="shared" si="1"/>
        <v>6907629.5698756799</v>
      </c>
      <c r="X37" s="31">
        <f t="shared" si="2"/>
        <v>6907629.5698756799</v>
      </c>
      <c r="Y37" s="31">
        <f t="shared" si="2"/>
        <v>6907629.5698756799</v>
      </c>
      <c r="Z37"/>
      <c r="AA37" s="31">
        <f t="shared" si="3"/>
        <v>45590355.161179483</v>
      </c>
      <c r="AB37" s="99"/>
      <c r="AC37" s="99">
        <f t="shared" si="4"/>
        <v>0</v>
      </c>
      <c r="AD37" s="98">
        <v>0.08</v>
      </c>
      <c r="AE37"/>
      <c r="AF37"/>
      <c r="AG37" s="48" t="b">
        <f t="shared" si="12"/>
        <v>1</v>
      </c>
      <c r="AH37"/>
      <c r="AI37"/>
    </row>
    <row r="38" spans="1:35" ht="57.6">
      <c r="A38" s="110"/>
      <c r="B38" s="33" t="s">
        <v>20</v>
      </c>
      <c r="C38" s="33" t="s">
        <v>21</v>
      </c>
      <c r="D38" s="16">
        <v>0.52410000000000001</v>
      </c>
      <c r="E38" s="16">
        <v>0.47589999999999999</v>
      </c>
      <c r="F38" s="35" t="s">
        <v>160</v>
      </c>
      <c r="G38" s="37">
        <v>1</v>
      </c>
      <c r="H38" s="37"/>
      <c r="I38" s="37">
        <v>1</v>
      </c>
      <c r="J38" s="37">
        <v>12</v>
      </c>
      <c r="K38" s="37">
        <v>12</v>
      </c>
      <c r="L38" s="37"/>
      <c r="M38" s="37">
        <f t="shared" si="5"/>
        <v>20</v>
      </c>
      <c r="N38" s="37">
        <f t="shared" si="6"/>
        <v>17</v>
      </c>
      <c r="O38" s="37">
        <f t="shared" si="7"/>
        <v>20</v>
      </c>
      <c r="P38" s="37">
        <f t="shared" si="8"/>
        <v>20</v>
      </c>
      <c r="Q38" s="104">
        <v>2000</v>
      </c>
      <c r="R38"/>
      <c r="S38" s="31">
        <f t="shared" si="0"/>
        <v>7535595.8944098325</v>
      </c>
      <c r="T38" s="31">
        <f t="shared" si="9"/>
        <v>7535595.8944098325</v>
      </c>
      <c r="U38" s="31">
        <f t="shared" si="10"/>
        <v>7535595.8944098325</v>
      </c>
      <c r="V38" s="31">
        <f t="shared" si="11"/>
        <v>6405256.5102483574</v>
      </c>
      <c r="W38" s="31">
        <f t="shared" si="1"/>
        <v>7535595.8944098325</v>
      </c>
      <c r="X38" s="31">
        <f t="shared" si="2"/>
        <v>7535595.8944098325</v>
      </c>
      <c r="Y38" s="31">
        <f t="shared" si="2"/>
        <v>7535595.8944098325</v>
      </c>
      <c r="Z38"/>
      <c r="AA38" s="31">
        <f t="shared" si="3"/>
        <v>51618831.87670736</v>
      </c>
      <c r="AB38" s="99"/>
      <c r="AC38" s="99">
        <f t="shared" si="4"/>
        <v>1</v>
      </c>
      <c r="AD38" s="98">
        <v>0.08</v>
      </c>
      <c r="AE38"/>
      <c r="AF38"/>
      <c r="AG38" s="48" t="b">
        <f t="shared" si="12"/>
        <v>0</v>
      </c>
      <c r="AH38"/>
      <c r="AI38"/>
    </row>
    <row r="39" spans="1:35" ht="34.5">
      <c r="A39" s="110"/>
      <c r="B39" s="33" t="s">
        <v>22</v>
      </c>
      <c r="C39" s="33" t="s">
        <v>23</v>
      </c>
      <c r="D39" s="16">
        <v>0.52410000000000001</v>
      </c>
      <c r="E39" s="16">
        <v>0.47589999999999999</v>
      </c>
      <c r="F39" s="35" t="s">
        <v>160</v>
      </c>
      <c r="G39" s="37">
        <v>1</v>
      </c>
      <c r="H39" s="37"/>
      <c r="I39" s="37">
        <v>1</v>
      </c>
      <c r="J39" s="37">
        <v>12</v>
      </c>
      <c r="K39" s="37">
        <v>12</v>
      </c>
      <c r="L39" s="37"/>
      <c r="M39" s="37">
        <f t="shared" si="5"/>
        <v>20</v>
      </c>
      <c r="N39" s="37">
        <f t="shared" si="6"/>
        <v>17</v>
      </c>
      <c r="O39" s="37">
        <f t="shared" si="7"/>
        <v>20</v>
      </c>
      <c r="P39" s="37">
        <f t="shared" si="8"/>
        <v>20</v>
      </c>
      <c r="Q39" s="104">
        <v>2000</v>
      </c>
      <c r="R39"/>
      <c r="S39" s="31">
        <f t="shared" si="0"/>
        <v>7535595.8944098325</v>
      </c>
      <c r="T39" s="31">
        <f t="shared" si="9"/>
        <v>7535595.8944098325</v>
      </c>
      <c r="U39" s="31">
        <f t="shared" si="10"/>
        <v>7535595.8944098325</v>
      </c>
      <c r="V39" s="31">
        <f t="shared" si="11"/>
        <v>6405256.5102483574</v>
      </c>
      <c r="W39" s="31">
        <f t="shared" si="1"/>
        <v>7535595.8944098325</v>
      </c>
      <c r="X39" s="31">
        <f t="shared" si="2"/>
        <v>7535595.8944098325</v>
      </c>
      <c r="Y39" s="31">
        <f t="shared" si="2"/>
        <v>7535595.8944098325</v>
      </c>
      <c r="Z39"/>
      <c r="AA39" s="31">
        <f t="shared" si="3"/>
        <v>51618831.87670736</v>
      </c>
      <c r="AB39" s="99"/>
      <c r="AC39" s="99">
        <f t="shared" si="4"/>
        <v>1</v>
      </c>
      <c r="AD39" s="98">
        <v>0.08</v>
      </c>
      <c r="AE39"/>
      <c r="AF39"/>
      <c r="AG39" s="48" t="b">
        <f t="shared" si="12"/>
        <v>0</v>
      </c>
      <c r="AH39"/>
      <c r="AI39"/>
    </row>
    <row r="40" spans="1:35" ht="34.5">
      <c r="A40" s="110"/>
      <c r="B40" s="33" t="s">
        <v>24</v>
      </c>
      <c r="C40" s="33" t="s">
        <v>25</v>
      </c>
      <c r="D40" s="16">
        <v>0.52410000000000001</v>
      </c>
      <c r="E40" s="16">
        <v>0.47589999999999999</v>
      </c>
      <c r="F40" s="35" t="s">
        <v>160</v>
      </c>
      <c r="G40" s="37">
        <v>1</v>
      </c>
      <c r="H40" s="37"/>
      <c r="I40" s="37">
        <v>1</v>
      </c>
      <c r="J40" s="37">
        <v>12</v>
      </c>
      <c r="K40" s="37">
        <v>11</v>
      </c>
      <c r="L40" s="37">
        <v>1</v>
      </c>
      <c r="M40" s="37">
        <f t="shared" si="5"/>
        <v>20</v>
      </c>
      <c r="N40" s="37">
        <f t="shared" si="6"/>
        <v>17</v>
      </c>
      <c r="O40" s="37">
        <f t="shared" si="7"/>
        <v>20</v>
      </c>
      <c r="P40" s="37">
        <f t="shared" si="8"/>
        <v>20</v>
      </c>
      <c r="Q40" s="104">
        <v>2000</v>
      </c>
      <c r="S40" s="31">
        <f t="shared" si="0"/>
        <v>7724937.0559687363</v>
      </c>
      <c r="T40" s="31">
        <f t="shared" si="9"/>
        <v>7724937.0559687363</v>
      </c>
      <c r="U40" s="31">
        <f t="shared" si="10"/>
        <v>7724937.0559687363</v>
      </c>
      <c r="V40" s="31">
        <f t="shared" si="11"/>
        <v>6566196.497573426</v>
      </c>
      <c r="W40" s="31">
        <f t="shared" si="1"/>
        <v>7724937.0559687363</v>
      </c>
      <c r="X40" s="31">
        <f t="shared" si="2"/>
        <v>7724937.0559687363</v>
      </c>
      <c r="Y40" s="31">
        <f t="shared" si="2"/>
        <v>7724937.0559687363</v>
      </c>
      <c r="AA40" s="31">
        <f t="shared" si="3"/>
        <v>52915818.833385855</v>
      </c>
      <c r="AB40" s="99"/>
      <c r="AC40" s="99">
        <f t="shared" si="4"/>
        <v>1</v>
      </c>
      <c r="AD40" s="99">
        <v>0.08</v>
      </c>
      <c r="AG40" s="48" t="b">
        <f t="shared" si="12"/>
        <v>0</v>
      </c>
    </row>
    <row r="41" spans="1:35" ht="23.1">
      <c r="A41" s="110"/>
      <c r="B41" s="33" t="s">
        <v>26</v>
      </c>
      <c r="C41" s="33" t="s">
        <v>23</v>
      </c>
      <c r="D41" s="16">
        <v>0.52410000000000001</v>
      </c>
      <c r="E41" s="16">
        <v>0.47589999999999999</v>
      </c>
      <c r="F41" s="35" t="s">
        <v>160</v>
      </c>
      <c r="G41" s="37">
        <v>1</v>
      </c>
      <c r="H41" s="37"/>
      <c r="I41" s="37">
        <v>1</v>
      </c>
      <c r="J41" s="37">
        <v>12</v>
      </c>
      <c r="K41" s="37">
        <v>12</v>
      </c>
      <c r="L41" s="37"/>
      <c r="M41" s="37">
        <f t="shared" si="5"/>
        <v>20</v>
      </c>
      <c r="N41" s="37">
        <f t="shared" si="6"/>
        <v>17</v>
      </c>
      <c r="O41" s="37">
        <f t="shared" si="7"/>
        <v>20</v>
      </c>
      <c r="P41" s="37">
        <f t="shared" si="8"/>
        <v>20</v>
      </c>
      <c r="Q41" s="104">
        <v>2000</v>
      </c>
      <c r="R41"/>
      <c r="S41" s="31">
        <f t="shared" si="0"/>
        <v>7535595.8944098325</v>
      </c>
      <c r="T41" s="31">
        <f t="shared" si="9"/>
        <v>7535595.8944098325</v>
      </c>
      <c r="U41" s="31">
        <f t="shared" si="10"/>
        <v>7535595.8944098325</v>
      </c>
      <c r="V41" s="31">
        <f t="shared" si="11"/>
        <v>6405256.5102483574</v>
      </c>
      <c r="W41" s="31">
        <f t="shared" si="1"/>
        <v>7535595.8944098325</v>
      </c>
      <c r="X41" s="31">
        <f t="shared" si="2"/>
        <v>7535595.8944098325</v>
      </c>
      <c r="Y41" s="31">
        <f t="shared" si="2"/>
        <v>7535595.8944098325</v>
      </c>
      <c r="Z41"/>
      <c r="AA41" s="31">
        <f t="shared" si="3"/>
        <v>51618831.87670736</v>
      </c>
      <c r="AB41" s="99"/>
      <c r="AC41" s="99">
        <f t="shared" si="4"/>
        <v>1</v>
      </c>
      <c r="AD41" s="98">
        <v>0.08</v>
      </c>
      <c r="AE41"/>
      <c r="AF41"/>
      <c r="AG41" s="48" t="b">
        <f t="shared" si="12"/>
        <v>0</v>
      </c>
      <c r="AH41"/>
      <c r="AI41"/>
    </row>
    <row r="42" spans="1:35" ht="23.1">
      <c r="A42" s="110"/>
      <c r="B42" s="33" t="s">
        <v>27</v>
      </c>
      <c r="C42" s="33" t="s">
        <v>23</v>
      </c>
      <c r="D42" s="16">
        <v>0.52410000000000001</v>
      </c>
      <c r="E42" s="16">
        <v>0.47589999999999999</v>
      </c>
      <c r="F42" s="35" t="s">
        <v>160</v>
      </c>
      <c r="G42" s="37">
        <v>1</v>
      </c>
      <c r="H42" s="37"/>
      <c r="I42" s="37">
        <v>1</v>
      </c>
      <c r="J42" s="37">
        <v>12</v>
      </c>
      <c r="K42" s="37">
        <v>12</v>
      </c>
      <c r="L42" s="37"/>
      <c r="M42" s="37">
        <f t="shared" si="5"/>
        <v>20</v>
      </c>
      <c r="N42" s="37">
        <f t="shared" si="6"/>
        <v>17</v>
      </c>
      <c r="O42" s="37">
        <f t="shared" si="7"/>
        <v>20</v>
      </c>
      <c r="P42" s="37">
        <f t="shared" si="8"/>
        <v>20</v>
      </c>
      <c r="Q42" s="104">
        <v>2000</v>
      </c>
      <c r="R42"/>
      <c r="S42" s="31">
        <f t="shared" si="0"/>
        <v>7535595.8944098325</v>
      </c>
      <c r="T42" s="31">
        <f t="shared" si="9"/>
        <v>7535595.8944098325</v>
      </c>
      <c r="U42" s="31">
        <f t="shared" si="10"/>
        <v>7535595.8944098325</v>
      </c>
      <c r="V42" s="31">
        <f t="shared" si="11"/>
        <v>6405256.5102483574</v>
      </c>
      <c r="W42" s="31">
        <f t="shared" si="1"/>
        <v>7535595.8944098325</v>
      </c>
      <c r="X42" s="31">
        <f t="shared" si="2"/>
        <v>7535595.8944098325</v>
      </c>
      <c r="Y42" s="31">
        <f t="shared" si="2"/>
        <v>7535595.8944098325</v>
      </c>
      <c r="Z42"/>
      <c r="AA42" s="31">
        <f t="shared" si="3"/>
        <v>51618831.87670736</v>
      </c>
      <c r="AB42" s="99"/>
      <c r="AC42" s="99">
        <f t="shared" si="4"/>
        <v>1</v>
      </c>
      <c r="AD42" s="98">
        <v>0.08</v>
      </c>
      <c r="AE42"/>
      <c r="AF42"/>
      <c r="AG42" s="48" t="b">
        <f t="shared" si="12"/>
        <v>0</v>
      </c>
      <c r="AH42"/>
      <c r="AI42"/>
    </row>
    <row r="43" spans="1:35" ht="23.1">
      <c r="A43" s="110"/>
      <c r="B43" s="33" t="s">
        <v>27</v>
      </c>
      <c r="C43" s="33" t="s">
        <v>25</v>
      </c>
      <c r="D43" s="16">
        <v>0.52410000000000001</v>
      </c>
      <c r="E43" s="16">
        <v>0.47589999999999999</v>
      </c>
      <c r="F43" s="35" t="s">
        <v>160</v>
      </c>
      <c r="G43" s="37">
        <v>1</v>
      </c>
      <c r="H43" s="37"/>
      <c r="I43" s="37">
        <v>1</v>
      </c>
      <c r="J43" s="37">
        <v>12</v>
      </c>
      <c r="K43" s="37">
        <v>11</v>
      </c>
      <c r="L43" s="37">
        <v>1</v>
      </c>
      <c r="M43" s="37">
        <f t="shared" si="5"/>
        <v>20</v>
      </c>
      <c r="N43" s="37">
        <f t="shared" si="6"/>
        <v>17</v>
      </c>
      <c r="O43" s="37">
        <f t="shared" si="7"/>
        <v>20</v>
      </c>
      <c r="P43" s="37">
        <f t="shared" si="8"/>
        <v>20</v>
      </c>
      <c r="Q43" s="104">
        <v>2000</v>
      </c>
      <c r="S43" s="31">
        <f t="shared" si="0"/>
        <v>7724937.0559687363</v>
      </c>
      <c r="T43" s="31">
        <f t="shared" si="9"/>
        <v>7724937.0559687363</v>
      </c>
      <c r="U43" s="31">
        <f t="shared" si="10"/>
        <v>7724937.0559687363</v>
      </c>
      <c r="V43" s="31">
        <f t="shared" si="11"/>
        <v>6566196.497573426</v>
      </c>
      <c r="W43" s="31">
        <f t="shared" si="1"/>
        <v>7724937.0559687363</v>
      </c>
      <c r="X43" s="31">
        <f t="shared" si="2"/>
        <v>7724937.0559687363</v>
      </c>
      <c r="Y43" s="31">
        <f t="shared" si="2"/>
        <v>7724937.0559687363</v>
      </c>
      <c r="AA43" s="31">
        <f t="shared" si="3"/>
        <v>52915818.833385855</v>
      </c>
      <c r="AB43" s="99"/>
      <c r="AC43" s="99">
        <f t="shared" si="4"/>
        <v>1</v>
      </c>
      <c r="AD43" s="99">
        <v>0.08</v>
      </c>
      <c r="AG43" s="48" t="b">
        <f t="shared" si="12"/>
        <v>0</v>
      </c>
    </row>
    <row r="44" spans="1:35" ht="34.5">
      <c r="A44" s="110"/>
      <c r="B44" s="33" t="s">
        <v>28</v>
      </c>
      <c r="C44" s="33" t="s">
        <v>21</v>
      </c>
      <c r="D44" s="16">
        <v>0.52410000000000001</v>
      </c>
      <c r="E44" s="16">
        <v>0.47589999999999999</v>
      </c>
      <c r="F44" s="35" t="s">
        <v>160</v>
      </c>
      <c r="G44" s="37"/>
      <c r="H44" s="37"/>
      <c r="I44" s="37">
        <v>1</v>
      </c>
      <c r="J44" s="37">
        <v>12</v>
      </c>
      <c r="K44" s="37">
        <v>12</v>
      </c>
      <c r="L44" s="37"/>
      <c r="M44" s="37">
        <f t="shared" si="5"/>
        <v>10</v>
      </c>
      <c r="N44" s="37">
        <f>IF(AND(H44=1,J44&lt;24),20,IF(AND(H44=1,J44=24),30,17))</f>
        <v>17</v>
      </c>
      <c r="O44" s="37">
        <f t="shared" si="7"/>
        <v>15</v>
      </c>
      <c r="P44" s="37">
        <f t="shared" si="8"/>
        <v>20</v>
      </c>
      <c r="Q44" s="104">
        <v>2000</v>
      </c>
      <c r="R44"/>
      <c r="S44" s="31">
        <f t="shared" si="0"/>
        <v>5651696.9208073737</v>
      </c>
      <c r="T44" s="31">
        <f t="shared" si="9"/>
        <v>7535595.8944098325</v>
      </c>
      <c r="U44" s="31">
        <f t="shared" si="10"/>
        <v>7535595.8944098325</v>
      </c>
      <c r="V44" s="31">
        <f t="shared" si="11"/>
        <v>6405256.5102483574</v>
      </c>
      <c r="W44" s="31">
        <f t="shared" si="1"/>
        <v>7535595.8944098325</v>
      </c>
      <c r="X44" s="31">
        <f t="shared" si="2"/>
        <v>7535595.8944098325</v>
      </c>
      <c r="Y44" s="31">
        <f t="shared" si="2"/>
        <v>7535595.8944098325</v>
      </c>
      <c r="Z44"/>
      <c r="AA44" s="31">
        <f t="shared" si="3"/>
        <v>49734932.903104901</v>
      </c>
      <c r="AB44" s="99"/>
      <c r="AC44" s="99">
        <f t="shared" si="4"/>
        <v>0</v>
      </c>
      <c r="AD44" s="98">
        <v>0.08</v>
      </c>
      <c r="AE44"/>
      <c r="AF44"/>
      <c r="AG44" s="48" t="b">
        <f t="shared" si="12"/>
        <v>1</v>
      </c>
      <c r="AH44"/>
      <c r="AI44"/>
    </row>
    <row r="45" spans="1:35" ht="23.1">
      <c r="A45" s="110"/>
      <c r="B45" s="33" t="s">
        <v>29</v>
      </c>
      <c r="C45" s="33" t="s">
        <v>21</v>
      </c>
      <c r="D45" s="16">
        <v>0.52410000000000001</v>
      </c>
      <c r="E45" s="16">
        <v>0.47589999999999999</v>
      </c>
      <c r="F45" s="35" t="s">
        <v>160</v>
      </c>
      <c r="G45" s="37"/>
      <c r="H45" s="37"/>
      <c r="I45" s="37">
        <v>1</v>
      </c>
      <c r="J45" s="37">
        <v>12</v>
      </c>
      <c r="K45" s="37">
        <v>12</v>
      </c>
      <c r="L45" s="37"/>
      <c r="M45" s="37">
        <f t="shared" si="5"/>
        <v>10</v>
      </c>
      <c r="N45" s="37">
        <f t="shared" si="6"/>
        <v>17</v>
      </c>
      <c r="O45" s="37">
        <f t="shared" si="7"/>
        <v>15</v>
      </c>
      <c r="P45" s="37">
        <f t="shared" si="8"/>
        <v>20</v>
      </c>
      <c r="Q45" s="104">
        <v>2000</v>
      </c>
      <c r="R45"/>
      <c r="S45" s="31">
        <f t="shared" si="0"/>
        <v>5651696.9208073737</v>
      </c>
      <c r="T45" s="31">
        <f t="shared" si="9"/>
        <v>7535595.8944098325</v>
      </c>
      <c r="U45" s="31">
        <f t="shared" si="10"/>
        <v>7535595.8944098325</v>
      </c>
      <c r="V45" s="31">
        <f t="shared" si="11"/>
        <v>6405256.5102483574</v>
      </c>
      <c r="W45" s="31">
        <f t="shared" si="1"/>
        <v>7535595.8944098325</v>
      </c>
      <c r="X45" s="31">
        <f t="shared" si="2"/>
        <v>7535595.8944098325</v>
      </c>
      <c r="Y45" s="31">
        <f t="shared" si="2"/>
        <v>7535595.8944098325</v>
      </c>
      <c r="Z45"/>
      <c r="AA45" s="31">
        <f t="shared" si="3"/>
        <v>49734932.903104901</v>
      </c>
      <c r="AB45" s="99"/>
      <c r="AC45" s="99">
        <f t="shared" si="4"/>
        <v>0</v>
      </c>
      <c r="AD45" s="98">
        <v>0.08</v>
      </c>
      <c r="AE45"/>
      <c r="AF45"/>
      <c r="AG45" s="48" t="b">
        <f t="shared" si="12"/>
        <v>1</v>
      </c>
      <c r="AH45"/>
      <c r="AI45"/>
    </row>
    <row r="46" spans="1:35" ht="34.5">
      <c r="A46" s="110"/>
      <c r="B46" s="33" t="s">
        <v>30</v>
      </c>
      <c r="C46" s="33" t="s">
        <v>21</v>
      </c>
      <c r="D46" s="16">
        <v>0.52410000000000001</v>
      </c>
      <c r="E46" s="16">
        <v>0.47589999999999999</v>
      </c>
      <c r="F46" s="35" t="s">
        <v>160</v>
      </c>
      <c r="G46" s="37">
        <v>1</v>
      </c>
      <c r="H46" s="37"/>
      <c r="I46" s="37">
        <v>1</v>
      </c>
      <c r="J46" s="37">
        <v>12</v>
      </c>
      <c r="K46" s="37">
        <v>12</v>
      </c>
      <c r="L46" s="37"/>
      <c r="M46" s="37">
        <f t="shared" si="5"/>
        <v>20</v>
      </c>
      <c r="N46" s="37">
        <f t="shared" si="6"/>
        <v>17</v>
      </c>
      <c r="O46" s="37">
        <f t="shared" si="7"/>
        <v>20</v>
      </c>
      <c r="P46" s="37">
        <f t="shared" si="8"/>
        <v>20</v>
      </c>
      <c r="Q46" s="104">
        <v>2000</v>
      </c>
      <c r="R46"/>
      <c r="S46" s="31">
        <f t="shared" si="0"/>
        <v>7535595.8944098325</v>
      </c>
      <c r="T46" s="31">
        <f t="shared" si="9"/>
        <v>7535595.8944098325</v>
      </c>
      <c r="U46" s="31">
        <f t="shared" si="10"/>
        <v>7535595.8944098325</v>
      </c>
      <c r="V46" s="31">
        <f t="shared" si="11"/>
        <v>6405256.5102483574</v>
      </c>
      <c r="W46" s="31">
        <f t="shared" si="1"/>
        <v>7535595.8944098325</v>
      </c>
      <c r="X46" s="31">
        <f t="shared" si="2"/>
        <v>7535595.8944098325</v>
      </c>
      <c r="Y46" s="31">
        <f t="shared" si="2"/>
        <v>7535595.8944098325</v>
      </c>
      <c r="Z46"/>
      <c r="AA46" s="31">
        <f t="shared" si="3"/>
        <v>51618831.87670736</v>
      </c>
      <c r="AB46" s="99"/>
      <c r="AC46" s="99">
        <f t="shared" si="4"/>
        <v>1</v>
      </c>
      <c r="AD46" s="98">
        <v>0.08</v>
      </c>
      <c r="AE46"/>
      <c r="AF46"/>
      <c r="AG46" s="48" t="b">
        <f t="shared" si="12"/>
        <v>0</v>
      </c>
      <c r="AH46"/>
      <c r="AI46"/>
    </row>
    <row r="47" spans="1:35" ht="23.1">
      <c r="A47" s="110"/>
      <c r="B47" s="33" t="s">
        <v>31</v>
      </c>
      <c r="C47" s="33" t="s">
        <v>21</v>
      </c>
      <c r="D47" s="16">
        <v>0.52410000000000001</v>
      </c>
      <c r="E47" s="16">
        <v>0.47589999999999999</v>
      </c>
      <c r="F47" s="35" t="s">
        <v>160</v>
      </c>
      <c r="G47" s="37"/>
      <c r="H47" s="37"/>
      <c r="I47" s="37">
        <v>1</v>
      </c>
      <c r="J47" s="37">
        <v>12</v>
      </c>
      <c r="K47" s="37">
        <v>12</v>
      </c>
      <c r="L47" s="37"/>
      <c r="M47" s="37">
        <f t="shared" si="5"/>
        <v>10</v>
      </c>
      <c r="N47" s="37">
        <f t="shared" si="6"/>
        <v>17</v>
      </c>
      <c r="O47" s="37">
        <f t="shared" si="7"/>
        <v>15</v>
      </c>
      <c r="P47" s="37">
        <f t="shared" si="8"/>
        <v>20</v>
      </c>
      <c r="Q47" s="104">
        <v>2000</v>
      </c>
      <c r="R47"/>
      <c r="S47" s="31">
        <f t="shared" si="0"/>
        <v>5651696.9208073737</v>
      </c>
      <c r="T47" s="31">
        <f t="shared" si="9"/>
        <v>7535595.8944098325</v>
      </c>
      <c r="U47" s="31">
        <f t="shared" si="10"/>
        <v>7535595.8944098325</v>
      </c>
      <c r="V47" s="31">
        <f t="shared" si="11"/>
        <v>6405256.5102483574</v>
      </c>
      <c r="W47" s="31">
        <f t="shared" si="1"/>
        <v>7535595.8944098325</v>
      </c>
      <c r="X47" s="31">
        <f t="shared" si="2"/>
        <v>7535595.8944098325</v>
      </c>
      <c r="Y47" s="31">
        <f t="shared" si="2"/>
        <v>7535595.8944098325</v>
      </c>
      <c r="Z47"/>
      <c r="AA47" s="31">
        <f t="shared" si="3"/>
        <v>49734932.903104901</v>
      </c>
      <c r="AB47" s="99"/>
      <c r="AC47" s="99">
        <f t="shared" si="4"/>
        <v>0</v>
      </c>
      <c r="AD47" s="98">
        <v>0.08</v>
      </c>
      <c r="AE47"/>
      <c r="AF47"/>
      <c r="AG47" s="48" t="b">
        <f t="shared" si="12"/>
        <v>1</v>
      </c>
      <c r="AH47"/>
      <c r="AI47"/>
    </row>
    <row r="48" spans="1:35" ht="34.5">
      <c r="A48" s="110"/>
      <c r="B48" s="33" t="s">
        <v>32</v>
      </c>
      <c r="C48" s="33" t="s">
        <v>9</v>
      </c>
      <c r="D48" s="16">
        <v>0.52410000000000001</v>
      </c>
      <c r="E48" s="16">
        <v>0.47589999999999999</v>
      </c>
      <c r="F48" s="35" t="s">
        <v>160</v>
      </c>
      <c r="G48" s="37">
        <v>1</v>
      </c>
      <c r="H48" s="37">
        <v>1</v>
      </c>
      <c r="I48" s="37">
        <v>1</v>
      </c>
      <c r="J48" s="37">
        <v>24</v>
      </c>
      <c r="K48" s="37">
        <v>13</v>
      </c>
      <c r="L48" s="37">
        <v>11</v>
      </c>
      <c r="M48" s="37">
        <f t="shared" si="5"/>
        <v>30</v>
      </c>
      <c r="N48" s="37">
        <f>IF(AND(H48=1,J48&lt;24),20,IF(AND(H48=1,J48=24),30,17))</f>
        <v>30</v>
      </c>
      <c r="O48" s="37">
        <f t="shared" si="7"/>
        <v>30</v>
      </c>
      <c r="P48" s="37">
        <f t="shared" si="8"/>
        <v>30</v>
      </c>
      <c r="Q48" s="104">
        <v>6000</v>
      </c>
      <c r="S48" s="31">
        <f t="shared" si="0"/>
        <v>25735236.848951411</v>
      </c>
      <c r="T48" s="31">
        <f t="shared" si="9"/>
        <v>25735236.848951411</v>
      </c>
      <c r="U48" s="31">
        <f t="shared" si="10"/>
        <v>25735236.848951411</v>
      </c>
      <c r="V48" s="31">
        <f t="shared" si="11"/>
        <v>25735236.848951411</v>
      </c>
      <c r="W48" s="31">
        <f t="shared" si="1"/>
        <v>25735236.848951411</v>
      </c>
      <c r="X48" s="31">
        <f t="shared" si="2"/>
        <v>25735236.848951411</v>
      </c>
      <c r="Y48" s="31">
        <f t="shared" si="2"/>
        <v>25735236.848951411</v>
      </c>
      <c r="AA48" s="31">
        <f t="shared" si="3"/>
        <v>180146657.94265985</v>
      </c>
      <c r="AB48" s="99"/>
      <c r="AC48" s="99">
        <f t="shared" si="4"/>
        <v>1</v>
      </c>
      <c r="AD48" s="99">
        <v>0.08</v>
      </c>
      <c r="AG48" s="48" t="b">
        <f t="shared" si="12"/>
        <v>0</v>
      </c>
    </row>
    <row r="49" spans="1:35" ht="23.1">
      <c r="A49" s="110" t="s">
        <v>33</v>
      </c>
      <c r="B49" s="33" t="s">
        <v>34</v>
      </c>
      <c r="C49" s="33" t="s">
        <v>35</v>
      </c>
      <c r="D49" s="16">
        <v>0.52410000000000001</v>
      </c>
      <c r="E49" s="16">
        <v>0.47589999999999999</v>
      </c>
      <c r="F49" s="35" t="s">
        <v>160</v>
      </c>
      <c r="G49" s="37">
        <v>1</v>
      </c>
      <c r="H49" s="37">
        <v>1</v>
      </c>
      <c r="I49" s="37">
        <v>1</v>
      </c>
      <c r="J49" s="37">
        <v>24</v>
      </c>
      <c r="K49" s="37">
        <v>13</v>
      </c>
      <c r="L49" s="37">
        <v>11</v>
      </c>
      <c r="M49" s="37">
        <f t="shared" si="5"/>
        <v>30</v>
      </c>
      <c r="N49" s="37">
        <f t="shared" si="6"/>
        <v>30</v>
      </c>
      <c r="O49" s="37">
        <f t="shared" si="7"/>
        <v>30</v>
      </c>
      <c r="P49" s="37">
        <f t="shared" si="8"/>
        <v>30</v>
      </c>
      <c r="Q49" s="104">
        <v>6000</v>
      </c>
      <c r="S49" s="31">
        <f t="shared" si="0"/>
        <v>26211815.309117179</v>
      </c>
      <c r="T49" s="31">
        <f t="shared" si="9"/>
        <v>26211815.309117179</v>
      </c>
      <c r="U49" s="31">
        <f t="shared" si="10"/>
        <v>26211815.309117179</v>
      </c>
      <c r="V49" s="31">
        <f t="shared" si="11"/>
        <v>26211815.309117179</v>
      </c>
      <c r="W49" s="31">
        <f t="shared" si="1"/>
        <v>26211815.309117179</v>
      </c>
      <c r="X49" s="31">
        <f t="shared" ref="X49:Y68" si="13">+((((((($B$21*$C$21)+$Q49)*$D49/30)*$P49)/11*$L49))+(((((($B$21*$C$21)+$Q49)*$E49/30)*$P49)/13*$K49)))*($I49)*(1+$AD49)</f>
        <v>26211815.309117179</v>
      </c>
      <c r="Y49" s="31">
        <f t="shared" si="13"/>
        <v>26211815.309117179</v>
      </c>
      <c r="AA49" s="31">
        <f t="shared" si="3"/>
        <v>183482707.16382024</v>
      </c>
      <c r="AB49" s="99"/>
      <c r="AC49" s="99">
        <f t="shared" si="4"/>
        <v>1</v>
      </c>
      <c r="AD49" s="99">
        <v>0.1</v>
      </c>
      <c r="AG49" s="48" t="b">
        <f t="shared" si="12"/>
        <v>0</v>
      </c>
    </row>
    <row r="50" spans="1:35" ht="23.1">
      <c r="A50" s="110"/>
      <c r="B50" s="33" t="s">
        <v>36</v>
      </c>
      <c r="C50" s="33" t="s">
        <v>35</v>
      </c>
      <c r="D50" s="16">
        <v>0.52410000000000001</v>
      </c>
      <c r="E50" s="16">
        <v>0.47589999999999999</v>
      </c>
      <c r="F50" s="35" t="s">
        <v>160</v>
      </c>
      <c r="G50" s="37">
        <v>1</v>
      </c>
      <c r="H50" s="37">
        <v>1</v>
      </c>
      <c r="I50" s="37">
        <v>1</v>
      </c>
      <c r="J50" s="37">
        <v>24</v>
      </c>
      <c r="K50" s="37">
        <v>13</v>
      </c>
      <c r="L50" s="37">
        <v>11</v>
      </c>
      <c r="M50" s="37">
        <f t="shared" si="5"/>
        <v>30</v>
      </c>
      <c r="N50" s="37">
        <f t="shared" si="6"/>
        <v>30</v>
      </c>
      <c r="O50" s="37">
        <f t="shared" si="7"/>
        <v>30</v>
      </c>
      <c r="P50" s="37">
        <f t="shared" si="8"/>
        <v>30</v>
      </c>
      <c r="Q50" s="104">
        <v>6000</v>
      </c>
      <c r="S50" s="31">
        <f t="shared" si="0"/>
        <v>26211815.309117179</v>
      </c>
      <c r="T50" s="31">
        <f t="shared" si="9"/>
        <v>26211815.309117179</v>
      </c>
      <c r="U50" s="31">
        <f t="shared" si="10"/>
        <v>26211815.309117179</v>
      </c>
      <c r="V50" s="31">
        <f t="shared" si="11"/>
        <v>26211815.309117179</v>
      </c>
      <c r="W50" s="31">
        <f t="shared" si="1"/>
        <v>26211815.309117179</v>
      </c>
      <c r="X50" s="31">
        <f t="shared" si="13"/>
        <v>26211815.309117179</v>
      </c>
      <c r="Y50" s="31">
        <f t="shared" si="13"/>
        <v>26211815.309117179</v>
      </c>
      <c r="AA50" s="31">
        <f t="shared" si="3"/>
        <v>183482707.16382024</v>
      </c>
      <c r="AB50" s="99"/>
      <c r="AC50" s="99">
        <f t="shared" si="4"/>
        <v>1</v>
      </c>
      <c r="AD50" s="99">
        <v>0.1</v>
      </c>
      <c r="AG50" s="48" t="b">
        <f t="shared" si="12"/>
        <v>0</v>
      </c>
    </row>
    <row r="51" spans="1:35" ht="23.1">
      <c r="A51" s="110" t="s">
        <v>37</v>
      </c>
      <c r="B51" s="40" t="s">
        <v>38</v>
      </c>
      <c r="C51" s="33" t="s">
        <v>35</v>
      </c>
      <c r="D51" s="16">
        <v>0.52410000000000001</v>
      </c>
      <c r="E51" s="16">
        <v>0.47589999999999999</v>
      </c>
      <c r="F51" s="35" t="s">
        <v>160</v>
      </c>
      <c r="G51" s="37">
        <v>1</v>
      </c>
      <c r="H51" s="37">
        <v>1</v>
      </c>
      <c r="I51" s="37">
        <v>1</v>
      </c>
      <c r="J51" s="37">
        <v>24</v>
      </c>
      <c r="K51" s="37">
        <v>13</v>
      </c>
      <c r="L51" s="37">
        <v>11</v>
      </c>
      <c r="M51" s="37">
        <f t="shared" si="5"/>
        <v>30</v>
      </c>
      <c r="N51" s="37">
        <f t="shared" si="6"/>
        <v>30</v>
      </c>
      <c r="O51" s="37">
        <f t="shared" si="7"/>
        <v>30</v>
      </c>
      <c r="P51" s="37">
        <f t="shared" si="8"/>
        <v>30</v>
      </c>
      <c r="Q51" s="104">
        <v>6000</v>
      </c>
      <c r="S51" s="31">
        <f t="shared" si="0"/>
        <v>26211815.309117179</v>
      </c>
      <c r="T51" s="31">
        <f t="shared" si="9"/>
        <v>26211815.309117179</v>
      </c>
      <c r="U51" s="31">
        <f t="shared" si="10"/>
        <v>26211815.309117179</v>
      </c>
      <c r="V51" s="31">
        <f t="shared" si="11"/>
        <v>26211815.309117179</v>
      </c>
      <c r="W51" s="31">
        <f t="shared" si="1"/>
        <v>26211815.309117179</v>
      </c>
      <c r="X51" s="31">
        <f t="shared" si="13"/>
        <v>26211815.309117179</v>
      </c>
      <c r="Y51" s="31">
        <f t="shared" si="13"/>
        <v>26211815.309117179</v>
      </c>
      <c r="AA51" s="31">
        <f t="shared" si="3"/>
        <v>183482707.16382024</v>
      </c>
      <c r="AB51" s="99"/>
      <c r="AC51" s="99">
        <f t="shared" si="4"/>
        <v>1</v>
      </c>
      <c r="AD51" s="99">
        <v>0.1</v>
      </c>
      <c r="AG51" s="48" t="b">
        <f t="shared" si="12"/>
        <v>0</v>
      </c>
    </row>
    <row r="52" spans="1:35" ht="23.1">
      <c r="A52" s="110"/>
      <c r="B52" s="33" t="s">
        <v>39</v>
      </c>
      <c r="C52" s="33" t="s">
        <v>40</v>
      </c>
      <c r="D52" s="16">
        <v>0.52410000000000001</v>
      </c>
      <c r="E52" s="16">
        <v>0.47589999999999999</v>
      </c>
      <c r="F52" s="35" t="s">
        <v>160</v>
      </c>
      <c r="G52" s="37"/>
      <c r="H52" s="37"/>
      <c r="I52" s="37">
        <v>1</v>
      </c>
      <c r="J52" s="37">
        <v>12</v>
      </c>
      <c r="K52" s="37">
        <v>12</v>
      </c>
      <c r="L52" s="37"/>
      <c r="M52" s="37">
        <f t="shared" si="5"/>
        <v>10</v>
      </c>
      <c r="N52" s="37">
        <f t="shared" si="6"/>
        <v>17</v>
      </c>
      <c r="O52" s="37">
        <f t="shared" si="7"/>
        <v>15</v>
      </c>
      <c r="P52" s="37">
        <f t="shared" si="8"/>
        <v>20</v>
      </c>
      <c r="Q52" s="104">
        <v>2000</v>
      </c>
      <c r="R52"/>
      <c r="S52" s="31">
        <f t="shared" si="0"/>
        <v>5651696.9208073737</v>
      </c>
      <c r="T52" s="31">
        <f t="shared" si="9"/>
        <v>7535595.8944098325</v>
      </c>
      <c r="U52" s="31">
        <f t="shared" si="10"/>
        <v>7535595.8944098325</v>
      </c>
      <c r="V52" s="31">
        <f t="shared" si="11"/>
        <v>6405256.5102483574</v>
      </c>
      <c r="W52" s="31">
        <f t="shared" si="1"/>
        <v>7535595.8944098325</v>
      </c>
      <c r="X52" s="31">
        <f t="shared" si="13"/>
        <v>7535595.8944098325</v>
      </c>
      <c r="Y52" s="31">
        <f t="shared" si="13"/>
        <v>7535595.8944098325</v>
      </c>
      <c r="Z52"/>
      <c r="AA52" s="31">
        <f t="shared" si="3"/>
        <v>49734932.903104901</v>
      </c>
      <c r="AB52" s="99"/>
      <c r="AC52" s="99">
        <f t="shared" si="4"/>
        <v>0</v>
      </c>
      <c r="AD52" s="98">
        <v>0.08</v>
      </c>
      <c r="AE52"/>
      <c r="AF52"/>
      <c r="AG52" s="48" t="b">
        <f t="shared" si="12"/>
        <v>1</v>
      </c>
      <c r="AH52"/>
      <c r="AI52"/>
    </row>
    <row r="53" spans="1:35" ht="23.1">
      <c r="A53" s="110" t="s">
        <v>41</v>
      </c>
      <c r="B53" s="33" t="s">
        <v>42</v>
      </c>
      <c r="C53" s="33" t="s">
        <v>43</v>
      </c>
      <c r="D53" s="16">
        <v>0.52410000000000001</v>
      </c>
      <c r="E53" s="16">
        <v>0.47589999999999999</v>
      </c>
      <c r="F53" s="37" t="s">
        <v>160</v>
      </c>
      <c r="G53" s="37">
        <v>1</v>
      </c>
      <c r="H53" s="37">
        <v>1</v>
      </c>
      <c r="I53" s="37">
        <v>1</v>
      </c>
      <c r="J53" s="37">
        <v>24</v>
      </c>
      <c r="K53" s="37">
        <v>13</v>
      </c>
      <c r="L53" s="37">
        <v>11</v>
      </c>
      <c r="M53" s="37">
        <f t="shared" si="5"/>
        <v>30</v>
      </c>
      <c r="N53" s="37">
        <f>IF(AND(H53=1,J53&lt;24),20,IF(AND(H53=1,J53=24),30,17))</f>
        <v>30</v>
      </c>
      <c r="O53" s="37">
        <f t="shared" si="7"/>
        <v>30</v>
      </c>
      <c r="P53" s="37">
        <f t="shared" si="8"/>
        <v>30</v>
      </c>
      <c r="Q53" s="104">
        <v>6000</v>
      </c>
      <c r="S53" s="31">
        <f t="shared" si="0"/>
        <v>26211815.309117179</v>
      </c>
      <c r="T53" s="31">
        <f t="shared" si="9"/>
        <v>26211815.309117179</v>
      </c>
      <c r="U53" s="31">
        <f t="shared" si="10"/>
        <v>26211815.309117179</v>
      </c>
      <c r="V53" s="31">
        <f t="shared" si="11"/>
        <v>26211815.309117179</v>
      </c>
      <c r="W53" s="31">
        <f t="shared" si="1"/>
        <v>26211815.309117179</v>
      </c>
      <c r="X53" s="31">
        <f t="shared" si="13"/>
        <v>26211815.309117179</v>
      </c>
      <c r="Y53" s="31">
        <f t="shared" si="13"/>
        <v>26211815.309117179</v>
      </c>
      <c r="AA53" s="31">
        <f t="shared" si="3"/>
        <v>183482707.16382024</v>
      </c>
      <c r="AB53" s="99"/>
      <c r="AC53" s="99">
        <f t="shared" si="4"/>
        <v>1</v>
      </c>
      <c r="AD53" s="99">
        <v>0.1</v>
      </c>
      <c r="AG53" s="48" t="b">
        <f t="shared" si="12"/>
        <v>0</v>
      </c>
    </row>
    <row r="54" spans="1:35" ht="23.1">
      <c r="A54" s="110"/>
      <c r="B54" s="33" t="s">
        <v>44</v>
      </c>
      <c r="C54" s="33" t="s">
        <v>21</v>
      </c>
      <c r="D54" s="16">
        <v>0.52410000000000001</v>
      </c>
      <c r="E54" s="16">
        <v>0.47589999999999999</v>
      </c>
      <c r="F54" s="37" t="s">
        <v>160</v>
      </c>
      <c r="G54" s="37"/>
      <c r="H54" s="37"/>
      <c r="I54" s="37">
        <v>1</v>
      </c>
      <c r="J54" s="37">
        <v>12</v>
      </c>
      <c r="K54" s="37">
        <v>12</v>
      </c>
      <c r="L54" s="37"/>
      <c r="M54" s="37">
        <f t="shared" si="5"/>
        <v>10</v>
      </c>
      <c r="N54" s="37">
        <f t="shared" si="6"/>
        <v>17</v>
      </c>
      <c r="O54" s="37">
        <f t="shared" si="7"/>
        <v>15</v>
      </c>
      <c r="P54" s="37">
        <f t="shared" si="8"/>
        <v>20</v>
      </c>
      <c r="Q54" s="104">
        <v>6000</v>
      </c>
      <c r="R54"/>
      <c r="S54" s="31">
        <f t="shared" si="0"/>
        <v>5652645.7921919897</v>
      </c>
      <c r="T54" s="31">
        <f t="shared" si="9"/>
        <v>7536861.0562559851</v>
      </c>
      <c r="U54" s="31">
        <f t="shared" si="10"/>
        <v>7536861.0562559851</v>
      </c>
      <c r="V54" s="31">
        <f t="shared" si="11"/>
        <v>6406331.8978175875</v>
      </c>
      <c r="W54" s="31">
        <f t="shared" si="1"/>
        <v>7536861.0562559851</v>
      </c>
      <c r="X54" s="31">
        <f t="shared" si="13"/>
        <v>7536861.0562559851</v>
      </c>
      <c r="Y54" s="31">
        <f t="shared" si="13"/>
        <v>7536861.0562559851</v>
      </c>
      <c r="Z54"/>
      <c r="AA54" s="31">
        <f t="shared" si="3"/>
        <v>49743282.971289501</v>
      </c>
      <c r="AB54" s="99"/>
      <c r="AC54" s="99">
        <f t="shared" si="4"/>
        <v>0</v>
      </c>
      <c r="AD54" s="98">
        <v>0.08</v>
      </c>
      <c r="AE54"/>
      <c r="AF54"/>
      <c r="AG54" s="48" t="b">
        <f t="shared" si="12"/>
        <v>1</v>
      </c>
      <c r="AH54"/>
      <c r="AI54"/>
    </row>
    <row r="55" spans="1:35" ht="23.1">
      <c r="A55" s="32" t="s">
        <v>45</v>
      </c>
      <c r="B55" s="33" t="s">
        <v>46</v>
      </c>
      <c r="C55" s="33" t="s">
        <v>35</v>
      </c>
      <c r="D55" s="16">
        <v>0.52410000000000001</v>
      </c>
      <c r="E55" s="16">
        <v>0.47589999999999999</v>
      </c>
      <c r="F55" s="37" t="s">
        <v>160</v>
      </c>
      <c r="G55" s="37">
        <v>1</v>
      </c>
      <c r="H55" s="37">
        <v>1</v>
      </c>
      <c r="I55" s="37">
        <v>1</v>
      </c>
      <c r="J55" s="37">
        <v>24</v>
      </c>
      <c r="K55" s="37">
        <v>13</v>
      </c>
      <c r="L55" s="37">
        <v>11</v>
      </c>
      <c r="M55" s="37">
        <f t="shared" si="5"/>
        <v>30</v>
      </c>
      <c r="N55" s="37">
        <f t="shared" si="6"/>
        <v>30</v>
      </c>
      <c r="O55" s="37">
        <f t="shared" si="7"/>
        <v>30</v>
      </c>
      <c r="P55" s="37">
        <f t="shared" si="8"/>
        <v>30</v>
      </c>
      <c r="Q55" s="104">
        <v>6000</v>
      </c>
      <c r="S55" s="31">
        <f t="shared" si="0"/>
        <v>26211815.309117179</v>
      </c>
      <c r="T55" s="31">
        <f t="shared" si="9"/>
        <v>26211815.309117179</v>
      </c>
      <c r="U55" s="31">
        <f t="shared" si="10"/>
        <v>26211815.309117179</v>
      </c>
      <c r="V55" s="31">
        <f t="shared" si="11"/>
        <v>26211815.309117179</v>
      </c>
      <c r="W55" s="31">
        <f t="shared" si="1"/>
        <v>26211815.309117179</v>
      </c>
      <c r="X55" s="31">
        <f t="shared" si="13"/>
        <v>26211815.309117179</v>
      </c>
      <c r="Y55" s="31">
        <f t="shared" si="13"/>
        <v>26211815.309117179</v>
      </c>
      <c r="AA55" s="31">
        <f t="shared" si="3"/>
        <v>183482707.16382024</v>
      </c>
      <c r="AB55" s="99"/>
      <c r="AC55" s="99">
        <f t="shared" si="4"/>
        <v>1</v>
      </c>
      <c r="AD55" s="99">
        <v>0.1</v>
      </c>
      <c r="AG55" s="48" t="b">
        <f t="shared" si="12"/>
        <v>0</v>
      </c>
    </row>
    <row r="56" spans="1:35" ht="23.1">
      <c r="A56" s="110" t="s">
        <v>47</v>
      </c>
      <c r="B56" s="40" t="s">
        <v>48</v>
      </c>
      <c r="C56" s="33" t="s">
        <v>49</v>
      </c>
      <c r="D56" s="16">
        <v>0.52410000000000001</v>
      </c>
      <c r="E56" s="16">
        <v>0.47589999999999999</v>
      </c>
      <c r="F56" s="35" t="s">
        <v>160</v>
      </c>
      <c r="G56" s="37">
        <v>1</v>
      </c>
      <c r="H56" s="37"/>
      <c r="I56" s="37">
        <v>1</v>
      </c>
      <c r="J56" s="37">
        <v>24</v>
      </c>
      <c r="K56" s="37">
        <v>13</v>
      </c>
      <c r="L56" s="37">
        <v>11</v>
      </c>
      <c r="M56" s="37">
        <f t="shared" si="5"/>
        <v>30</v>
      </c>
      <c r="N56" s="37">
        <f>IF(AND(H56=1,J56&lt;24),20,IF(AND(H56=1,J56=24),30,23))</f>
        <v>23</v>
      </c>
      <c r="O56" s="37">
        <f t="shared" si="7"/>
        <v>30</v>
      </c>
      <c r="P56" s="37">
        <f t="shared" si="8"/>
        <v>30</v>
      </c>
      <c r="Q56" s="104">
        <v>6000</v>
      </c>
      <c r="S56" s="31">
        <f t="shared" si="0"/>
        <v>26211815.309117179</v>
      </c>
      <c r="T56" s="31">
        <f t="shared" si="9"/>
        <v>26211815.309117179</v>
      </c>
      <c r="U56" s="31">
        <f t="shared" si="10"/>
        <v>26211815.309117179</v>
      </c>
      <c r="V56" s="31">
        <f t="shared" si="11"/>
        <v>20095725.070323173</v>
      </c>
      <c r="W56" s="31">
        <f t="shared" si="1"/>
        <v>26211815.309117179</v>
      </c>
      <c r="X56" s="31">
        <f t="shared" si="13"/>
        <v>26211815.309117179</v>
      </c>
      <c r="Y56" s="31">
        <f t="shared" si="13"/>
        <v>26211815.309117179</v>
      </c>
      <c r="AA56" s="31">
        <f t="shared" si="3"/>
        <v>177366616.92502624</v>
      </c>
      <c r="AB56" s="99"/>
      <c r="AC56" s="99">
        <f t="shared" si="4"/>
        <v>1</v>
      </c>
      <c r="AD56" s="99">
        <v>0.1</v>
      </c>
      <c r="AG56" s="48" t="b">
        <f t="shared" si="12"/>
        <v>0</v>
      </c>
    </row>
    <row r="57" spans="1:35" ht="23.1">
      <c r="A57" s="110"/>
      <c r="B57" s="40" t="s">
        <v>50</v>
      </c>
      <c r="C57" s="33" t="s">
        <v>49</v>
      </c>
      <c r="D57" s="16">
        <v>0.52410000000000001</v>
      </c>
      <c r="E57" s="16">
        <v>0.47589999999999999</v>
      </c>
      <c r="F57" s="35" t="s">
        <v>160</v>
      </c>
      <c r="G57" s="37">
        <v>1</v>
      </c>
      <c r="H57" s="37">
        <v>1</v>
      </c>
      <c r="I57" s="37">
        <v>1</v>
      </c>
      <c r="J57" s="37">
        <v>24</v>
      </c>
      <c r="K57" s="37">
        <v>13</v>
      </c>
      <c r="L57" s="37">
        <v>11</v>
      </c>
      <c r="M57" s="37">
        <f t="shared" si="5"/>
        <v>30</v>
      </c>
      <c r="N57" s="37">
        <f t="shared" si="6"/>
        <v>30</v>
      </c>
      <c r="O57" s="37">
        <f t="shared" si="7"/>
        <v>30</v>
      </c>
      <c r="P57" s="37">
        <f t="shared" si="8"/>
        <v>30</v>
      </c>
      <c r="Q57" s="104">
        <v>6000</v>
      </c>
      <c r="S57" s="31">
        <f t="shared" si="0"/>
        <v>26211815.309117179</v>
      </c>
      <c r="T57" s="31">
        <f t="shared" si="9"/>
        <v>26211815.309117179</v>
      </c>
      <c r="U57" s="31">
        <f t="shared" si="10"/>
        <v>26211815.309117179</v>
      </c>
      <c r="V57" s="31">
        <f t="shared" si="11"/>
        <v>26211815.309117179</v>
      </c>
      <c r="W57" s="31">
        <f t="shared" si="1"/>
        <v>26211815.309117179</v>
      </c>
      <c r="X57" s="31">
        <f t="shared" si="13"/>
        <v>26211815.309117179</v>
      </c>
      <c r="Y57" s="31">
        <f t="shared" si="13"/>
        <v>26211815.309117179</v>
      </c>
      <c r="AA57" s="31">
        <f t="shared" si="3"/>
        <v>183482707.16382024</v>
      </c>
      <c r="AB57" s="99"/>
      <c r="AC57" s="99">
        <f t="shared" si="4"/>
        <v>1</v>
      </c>
      <c r="AD57" s="99">
        <v>0.1</v>
      </c>
      <c r="AG57" s="48" t="b">
        <f t="shared" si="12"/>
        <v>0</v>
      </c>
    </row>
    <row r="58" spans="1:35" ht="23.1">
      <c r="A58" s="110" t="s">
        <v>51</v>
      </c>
      <c r="B58" s="33" t="s">
        <v>52</v>
      </c>
      <c r="C58" s="33" t="s">
        <v>35</v>
      </c>
      <c r="D58" s="16">
        <v>0.52410000000000001</v>
      </c>
      <c r="E58" s="16">
        <v>0.47589999999999999</v>
      </c>
      <c r="F58" s="35" t="s">
        <v>160</v>
      </c>
      <c r="G58" s="37">
        <v>1</v>
      </c>
      <c r="H58" s="37">
        <v>1</v>
      </c>
      <c r="I58" s="37">
        <v>1</v>
      </c>
      <c r="J58" s="37">
        <v>24</v>
      </c>
      <c r="K58" s="37">
        <v>13</v>
      </c>
      <c r="L58" s="37">
        <v>11</v>
      </c>
      <c r="M58" s="37">
        <f t="shared" si="5"/>
        <v>30</v>
      </c>
      <c r="N58" s="37">
        <f t="shared" si="6"/>
        <v>30</v>
      </c>
      <c r="O58" s="37">
        <f t="shared" si="7"/>
        <v>30</v>
      </c>
      <c r="P58" s="37">
        <f t="shared" si="8"/>
        <v>30</v>
      </c>
      <c r="Q58" s="104">
        <v>6000</v>
      </c>
      <c r="S58" s="31">
        <f t="shared" si="0"/>
        <v>26211815.309117179</v>
      </c>
      <c r="T58" s="31">
        <f t="shared" si="9"/>
        <v>26211815.309117179</v>
      </c>
      <c r="U58" s="31">
        <f t="shared" si="10"/>
        <v>26211815.309117179</v>
      </c>
      <c r="V58" s="31">
        <f t="shared" si="11"/>
        <v>26211815.309117179</v>
      </c>
      <c r="W58" s="31">
        <f t="shared" si="1"/>
        <v>26211815.309117179</v>
      </c>
      <c r="X58" s="31">
        <f t="shared" si="13"/>
        <v>26211815.309117179</v>
      </c>
      <c r="Y58" s="31">
        <f t="shared" si="13"/>
        <v>26211815.309117179</v>
      </c>
      <c r="AA58" s="31">
        <f t="shared" si="3"/>
        <v>183482707.16382024</v>
      </c>
      <c r="AB58" s="99"/>
      <c r="AC58" s="99">
        <f t="shared" si="4"/>
        <v>1</v>
      </c>
      <c r="AD58" s="99">
        <v>0.1</v>
      </c>
      <c r="AG58" s="48" t="b">
        <f t="shared" si="12"/>
        <v>0</v>
      </c>
    </row>
    <row r="59" spans="1:35" ht="23.1">
      <c r="A59" s="110"/>
      <c r="B59" s="33" t="s">
        <v>53</v>
      </c>
      <c r="C59" s="33" t="s">
        <v>35</v>
      </c>
      <c r="D59" s="16">
        <v>0.52410000000000001</v>
      </c>
      <c r="E59" s="16">
        <v>0.47589999999999999</v>
      </c>
      <c r="F59" s="35" t="s">
        <v>160</v>
      </c>
      <c r="G59" s="37">
        <v>1</v>
      </c>
      <c r="H59" s="37">
        <v>1</v>
      </c>
      <c r="I59" s="37">
        <v>1</v>
      </c>
      <c r="J59" s="37">
        <v>24</v>
      </c>
      <c r="K59" s="37">
        <v>13</v>
      </c>
      <c r="L59" s="37">
        <v>11</v>
      </c>
      <c r="M59" s="37">
        <f t="shared" si="5"/>
        <v>30</v>
      </c>
      <c r="N59" s="37">
        <f t="shared" si="6"/>
        <v>30</v>
      </c>
      <c r="O59" s="37">
        <f t="shared" si="7"/>
        <v>30</v>
      </c>
      <c r="P59" s="37">
        <f t="shared" si="8"/>
        <v>30</v>
      </c>
      <c r="Q59" s="104">
        <v>6000</v>
      </c>
      <c r="S59" s="31">
        <f t="shared" si="0"/>
        <v>26211815.309117179</v>
      </c>
      <c r="T59" s="31">
        <f t="shared" si="9"/>
        <v>26211815.309117179</v>
      </c>
      <c r="U59" s="31">
        <f t="shared" si="10"/>
        <v>26211815.309117179</v>
      </c>
      <c r="V59" s="31">
        <f t="shared" si="11"/>
        <v>26211815.309117179</v>
      </c>
      <c r="W59" s="31">
        <f t="shared" si="1"/>
        <v>26211815.309117179</v>
      </c>
      <c r="X59" s="31">
        <f t="shared" si="13"/>
        <v>26211815.309117179</v>
      </c>
      <c r="Y59" s="31">
        <f t="shared" si="13"/>
        <v>26211815.309117179</v>
      </c>
      <c r="AA59" s="31">
        <f t="shared" si="3"/>
        <v>183482707.16382024</v>
      </c>
      <c r="AB59" s="99"/>
      <c r="AC59" s="99">
        <f t="shared" si="4"/>
        <v>1</v>
      </c>
      <c r="AD59" s="99">
        <v>0.1</v>
      </c>
      <c r="AG59" s="48" t="b">
        <f t="shared" si="12"/>
        <v>0</v>
      </c>
    </row>
    <row r="60" spans="1:35" ht="34.5">
      <c r="A60" s="110"/>
      <c r="B60" s="33" t="s">
        <v>54</v>
      </c>
      <c r="C60" s="33" t="s">
        <v>55</v>
      </c>
      <c r="D60" s="16">
        <v>0.52410000000000001</v>
      </c>
      <c r="E60" s="16">
        <v>0.47589999999999999</v>
      </c>
      <c r="F60" s="35" t="s">
        <v>163</v>
      </c>
      <c r="G60" s="37">
        <v>1</v>
      </c>
      <c r="H60" s="37">
        <v>1</v>
      </c>
      <c r="I60" s="37">
        <v>1</v>
      </c>
      <c r="J60" s="37">
        <v>24</v>
      </c>
      <c r="K60" s="37">
        <v>13</v>
      </c>
      <c r="L60" s="37">
        <v>11</v>
      </c>
      <c r="M60" s="37">
        <f t="shared" si="5"/>
        <v>30</v>
      </c>
      <c r="N60" s="37">
        <f t="shared" si="6"/>
        <v>30</v>
      </c>
      <c r="O60" s="37">
        <f t="shared" si="7"/>
        <v>30</v>
      </c>
      <c r="P60" s="37">
        <f t="shared" si="8"/>
        <v>30</v>
      </c>
      <c r="Q60" s="104">
        <v>6000</v>
      </c>
      <c r="S60" s="31">
        <f t="shared" si="0"/>
        <v>25735236.848951411</v>
      </c>
      <c r="T60" s="31">
        <f t="shared" si="9"/>
        <v>25735236.848951411</v>
      </c>
      <c r="U60" s="31">
        <f t="shared" si="10"/>
        <v>25735236.848951411</v>
      </c>
      <c r="V60" s="31">
        <f t="shared" si="11"/>
        <v>25735236.848951411</v>
      </c>
      <c r="W60" s="31">
        <f t="shared" si="1"/>
        <v>25735236.848951411</v>
      </c>
      <c r="X60" s="31">
        <f t="shared" si="13"/>
        <v>25735236.848951411</v>
      </c>
      <c r="Y60" s="31">
        <f t="shared" si="13"/>
        <v>25735236.848951411</v>
      </c>
      <c r="AA60" s="31">
        <f t="shared" si="3"/>
        <v>180146657.94265985</v>
      </c>
      <c r="AB60" s="99"/>
      <c r="AC60" s="99">
        <f t="shared" si="4"/>
        <v>1</v>
      </c>
      <c r="AD60" s="99">
        <v>0.08</v>
      </c>
      <c r="AG60" s="48" t="b">
        <f t="shared" si="12"/>
        <v>0</v>
      </c>
    </row>
    <row r="61" spans="1:35" ht="23.1">
      <c r="A61" s="110"/>
      <c r="B61" s="33" t="s">
        <v>56</v>
      </c>
      <c r="C61" s="33" t="s">
        <v>35</v>
      </c>
      <c r="D61" s="16">
        <v>0.52410000000000001</v>
      </c>
      <c r="E61" s="16">
        <v>0.47589999999999999</v>
      </c>
      <c r="F61" s="35" t="s">
        <v>160</v>
      </c>
      <c r="G61" s="37">
        <v>1</v>
      </c>
      <c r="H61" s="37">
        <v>1</v>
      </c>
      <c r="I61" s="37">
        <v>1</v>
      </c>
      <c r="J61" s="37">
        <v>24</v>
      </c>
      <c r="K61" s="37">
        <v>13</v>
      </c>
      <c r="L61" s="37">
        <v>11</v>
      </c>
      <c r="M61" s="37">
        <f t="shared" si="5"/>
        <v>30</v>
      </c>
      <c r="N61" s="37">
        <f t="shared" si="6"/>
        <v>30</v>
      </c>
      <c r="O61" s="37">
        <f t="shared" si="7"/>
        <v>30</v>
      </c>
      <c r="P61" s="37">
        <f t="shared" si="8"/>
        <v>30</v>
      </c>
      <c r="Q61" s="104">
        <v>6000</v>
      </c>
      <c r="S61" s="31">
        <f t="shared" ref="S61:S88" si="14">+((((((($B$21*$C$21)+Q61)*D61/30)*O61)/11*L61))+(((((($B$21*$C$21)+Q61)*E61/30)*O61)/13*K61)))*(I61)*(1+$AD61)</f>
        <v>26211815.309117179</v>
      </c>
      <c r="T61" s="31">
        <f t="shared" ref="T61:T88" si="15">+((((((($B$21*$C$21)+Q61)*D61/30)*P61)/11*L61))+(((((($B$21*$C$21)+Q61)*E61/30)*P61)/13*K61)))*(I61)*(1+$AD61)</f>
        <v>26211815.309117179</v>
      </c>
      <c r="U61" s="31">
        <f t="shared" si="10"/>
        <v>26211815.309117179</v>
      </c>
      <c r="V61" s="31">
        <f t="shared" si="11"/>
        <v>26211815.309117179</v>
      </c>
      <c r="W61" s="31">
        <f t="shared" ref="W61:W88" si="16">+((((((($B$21*$C$21)+Q61)*D61/30)*P61)/11*L61))+(((((($B$21*$C$21)+Q61)*E61/30)*P61)/13*K61)))*(I61)*(1+$AD61)</f>
        <v>26211815.309117179</v>
      </c>
      <c r="X61" s="31">
        <f t="shared" si="13"/>
        <v>26211815.309117179</v>
      </c>
      <c r="Y61" s="31">
        <f t="shared" si="13"/>
        <v>26211815.309117179</v>
      </c>
      <c r="AA61" s="31">
        <f t="shared" ref="AA61:AA88" si="17">SUM(S61:Y61)</f>
        <v>183482707.16382024</v>
      </c>
      <c r="AB61" s="99"/>
      <c r="AC61" s="99">
        <f t="shared" ref="AC61:AC88" si="18">IF(G61&gt;=1,1,0)</f>
        <v>1</v>
      </c>
      <c r="AD61" s="99">
        <v>0.1</v>
      </c>
      <c r="AG61" s="48" t="b">
        <f t="shared" si="12"/>
        <v>0</v>
      </c>
    </row>
    <row r="62" spans="1:35" ht="23.1">
      <c r="A62" s="110"/>
      <c r="B62" s="33" t="s">
        <v>57</v>
      </c>
      <c r="C62" s="33" t="s">
        <v>58</v>
      </c>
      <c r="D62" s="16">
        <v>0.52410000000000001</v>
      </c>
      <c r="E62" s="16">
        <v>0.47589999999999999</v>
      </c>
      <c r="F62" s="35" t="s">
        <v>160</v>
      </c>
      <c r="G62" s="37">
        <v>1</v>
      </c>
      <c r="H62" s="37">
        <v>1</v>
      </c>
      <c r="I62" s="37">
        <v>1</v>
      </c>
      <c r="J62" s="37">
        <v>24</v>
      </c>
      <c r="K62" s="37">
        <v>13</v>
      </c>
      <c r="L62" s="37">
        <v>11</v>
      </c>
      <c r="M62" s="37">
        <v>10</v>
      </c>
      <c r="N62" s="37">
        <v>10</v>
      </c>
      <c r="O62" s="37">
        <v>10</v>
      </c>
      <c r="P62" s="37">
        <f>IF(M62=11,20,M62)</f>
        <v>10</v>
      </c>
      <c r="Q62" s="104">
        <v>6000</v>
      </c>
      <c r="S62" s="31">
        <f t="shared" si="14"/>
        <v>8737271.7697057258</v>
      </c>
      <c r="T62" s="31">
        <f t="shared" si="15"/>
        <v>8737271.7697057258</v>
      </c>
      <c r="U62" s="31">
        <f t="shared" si="10"/>
        <v>8737271.7697057258</v>
      </c>
      <c r="V62" s="31">
        <f t="shared" si="11"/>
        <v>8737271.7697057258</v>
      </c>
      <c r="W62" s="31">
        <f t="shared" si="16"/>
        <v>8737271.7697057258</v>
      </c>
      <c r="X62" s="31">
        <f t="shared" si="13"/>
        <v>8737271.7697057258</v>
      </c>
      <c r="Y62" s="31">
        <f t="shared" si="13"/>
        <v>8737271.7697057258</v>
      </c>
      <c r="AA62" s="31">
        <f t="shared" si="17"/>
        <v>61160902.387940086</v>
      </c>
      <c r="AB62" s="99"/>
      <c r="AC62" s="99">
        <f t="shared" si="18"/>
        <v>1</v>
      </c>
      <c r="AD62" s="99">
        <v>0.1</v>
      </c>
      <c r="AG62" s="48" t="b">
        <f t="shared" si="12"/>
        <v>0</v>
      </c>
    </row>
    <row r="63" spans="1:35" ht="23.1">
      <c r="A63" s="110"/>
      <c r="B63" s="33" t="s">
        <v>57</v>
      </c>
      <c r="C63" s="33" t="s">
        <v>59</v>
      </c>
      <c r="D63" s="16">
        <v>0.52410000000000001</v>
      </c>
      <c r="E63" s="16">
        <v>0.47589999999999999</v>
      </c>
      <c r="F63" s="35" t="s">
        <v>160</v>
      </c>
      <c r="G63" s="37">
        <v>1</v>
      </c>
      <c r="H63" s="37">
        <v>1</v>
      </c>
      <c r="I63" s="37">
        <v>1</v>
      </c>
      <c r="J63" s="37">
        <v>12</v>
      </c>
      <c r="K63" s="37">
        <v>1</v>
      </c>
      <c r="L63" s="37">
        <v>11</v>
      </c>
      <c r="M63" s="37">
        <f t="shared" si="5"/>
        <v>20</v>
      </c>
      <c r="N63" s="37">
        <f t="shared" si="6"/>
        <v>20</v>
      </c>
      <c r="O63" s="37">
        <f t="shared" si="7"/>
        <v>20</v>
      </c>
      <c r="P63" s="37">
        <f t="shared" si="8"/>
        <v>20</v>
      </c>
      <c r="Q63" s="104">
        <v>2000</v>
      </c>
      <c r="R63"/>
      <c r="S63" s="31">
        <f t="shared" si="14"/>
        <v>9796466.2395495865</v>
      </c>
      <c r="T63" s="31">
        <f t="shared" si="15"/>
        <v>9796466.2395495865</v>
      </c>
      <c r="U63" s="31">
        <f t="shared" si="10"/>
        <v>9796466.2395495865</v>
      </c>
      <c r="V63" s="31">
        <f t="shared" si="11"/>
        <v>9796466.2395495865</v>
      </c>
      <c r="W63" s="31">
        <f t="shared" si="16"/>
        <v>9796466.2395495865</v>
      </c>
      <c r="X63" s="31">
        <f t="shared" si="13"/>
        <v>9796466.2395495865</v>
      </c>
      <c r="Y63" s="31">
        <f t="shared" si="13"/>
        <v>9796466.2395495865</v>
      </c>
      <c r="Z63"/>
      <c r="AA63" s="31">
        <f t="shared" si="17"/>
        <v>68575263.6768471</v>
      </c>
      <c r="AB63" s="99"/>
      <c r="AC63" s="99">
        <f t="shared" si="18"/>
        <v>1</v>
      </c>
      <c r="AD63" s="98">
        <v>0.1</v>
      </c>
      <c r="AE63"/>
      <c r="AF63"/>
      <c r="AG63" s="48" t="b">
        <f t="shared" si="12"/>
        <v>0</v>
      </c>
      <c r="AH63"/>
      <c r="AI63"/>
    </row>
    <row r="64" spans="1:35" ht="23.1">
      <c r="A64" s="110"/>
      <c r="B64" s="33" t="s">
        <v>60</v>
      </c>
      <c r="C64" s="33" t="s">
        <v>13</v>
      </c>
      <c r="D64" s="16">
        <v>0.52410000000000001</v>
      </c>
      <c r="E64" s="16">
        <v>0.47589999999999999</v>
      </c>
      <c r="F64" s="35" t="s">
        <v>160</v>
      </c>
      <c r="G64" s="37">
        <v>1</v>
      </c>
      <c r="H64" s="37"/>
      <c r="I64" s="37">
        <v>1</v>
      </c>
      <c r="J64" s="37">
        <v>9</v>
      </c>
      <c r="K64" s="37">
        <v>9</v>
      </c>
      <c r="L64" s="37"/>
      <c r="M64" s="37">
        <f t="shared" si="5"/>
        <v>20</v>
      </c>
      <c r="N64" s="37">
        <f t="shared" si="6"/>
        <v>17</v>
      </c>
      <c r="O64" s="37">
        <f t="shared" si="7"/>
        <v>20</v>
      </c>
      <c r="P64" s="37">
        <f t="shared" si="8"/>
        <v>20</v>
      </c>
      <c r="Q64" s="104">
        <v>2000</v>
      </c>
      <c r="R64"/>
      <c r="S64" s="31">
        <f t="shared" si="14"/>
        <v>5651696.9208073746</v>
      </c>
      <c r="T64" s="31">
        <f t="shared" si="15"/>
        <v>5651696.9208073746</v>
      </c>
      <c r="U64" s="31">
        <f t="shared" si="10"/>
        <v>5651696.9208073746</v>
      </c>
      <c r="V64" s="31">
        <f t="shared" si="11"/>
        <v>4803942.3826862676</v>
      </c>
      <c r="W64" s="31">
        <f t="shared" si="16"/>
        <v>5651696.9208073746</v>
      </c>
      <c r="X64" s="31">
        <f t="shared" si="13"/>
        <v>5651696.9208073746</v>
      </c>
      <c r="Y64" s="31">
        <f t="shared" si="13"/>
        <v>5651696.9208073746</v>
      </c>
      <c r="Z64"/>
      <c r="AA64" s="31">
        <f t="shared" si="17"/>
        <v>38714123.907530516</v>
      </c>
      <c r="AB64" s="99"/>
      <c r="AC64" s="99">
        <f t="shared" si="18"/>
        <v>1</v>
      </c>
      <c r="AD64" s="98">
        <v>0.08</v>
      </c>
      <c r="AE64"/>
      <c r="AF64"/>
      <c r="AG64" s="48" t="b">
        <f t="shared" si="12"/>
        <v>0</v>
      </c>
      <c r="AH64"/>
      <c r="AI64"/>
    </row>
    <row r="65" spans="1:35" ht="23.1">
      <c r="A65" s="110"/>
      <c r="B65" s="33" t="s">
        <v>61</v>
      </c>
      <c r="C65" s="33" t="s">
        <v>62</v>
      </c>
      <c r="D65" s="16">
        <v>0.52410000000000001</v>
      </c>
      <c r="E65" s="16">
        <v>0.47589999999999999</v>
      </c>
      <c r="F65" s="35" t="s">
        <v>160</v>
      </c>
      <c r="G65" s="37">
        <v>1</v>
      </c>
      <c r="H65" s="37"/>
      <c r="I65" s="37">
        <v>1</v>
      </c>
      <c r="J65" s="37">
        <v>9</v>
      </c>
      <c r="K65" s="37">
        <v>9</v>
      </c>
      <c r="L65" s="37"/>
      <c r="M65" s="37">
        <f t="shared" si="5"/>
        <v>20</v>
      </c>
      <c r="N65" s="37">
        <f t="shared" si="6"/>
        <v>17</v>
      </c>
      <c r="O65" s="37">
        <f t="shared" si="7"/>
        <v>20</v>
      </c>
      <c r="P65" s="37">
        <f t="shared" si="8"/>
        <v>20</v>
      </c>
      <c r="Q65" s="104">
        <v>2000</v>
      </c>
      <c r="R65"/>
      <c r="S65" s="31">
        <f t="shared" si="14"/>
        <v>5651696.9208073746</v>
      </c>
      <c r="T65" s="31">
        <f t="shared" si="15"/>
        <v>5651696.9208073746</v>
      </c>
      <c r="U65" s="31">
        <f t="shared" si="10"/>
        <v>5651696.9208073746</v>
      </c>
      <c r="V65" s="31">
        <f t="shared" si="11"/>
        <v>4803942.3826862676</v>
      </c>
      <c r="W65" s="31">
        <f t="shared" si="16"/>
        <v>5651696.9208073746</v>
      </c>
      <c r="X65" s="31">
        <f t="shared" si="13"/>
        <v>5651696.9208073746</v>
      </c>
      <c r="Y65" s="31">
        <f t="shared" si="13"/>
        <v>5651696.9208073746</v>
      </c>
      <c r="Z65"/>
      <c r="AA65" s="31">
        <f t="shared" si="17"/>
        <v>38714123.907530516</v>
      </c>
      <c r="AB65" s="99"/>
      <c r="AC65" s="99">
        <f t="shared" si="18"/>
        <v>1</v>
      </c>
      <c r="AD65" s="98">
        <v>0.08</v>
      </c>
      <c r="AE65"/>
      <c r="AF65"/>
      <c r="AG65" s="48" t="b">
        <f t="shared" si="12"/>
        <v>0</v>
      </c>
      <c r="AH65"/>
      <c r="AI65"/>
    </row>
    <row r="66" spans="1:35" ht="23.1">
      <c r="A66" s="110"/>
      <c r="B66" s="33" t="s">
        <v>63</v>
      </c>
      <c r="C66" s="33" t="s">
        <v>13</v>
      </c>
      <c r="D66" s="16">
        <v>0.52410000000000001</v>
      </c>
      <c r="E66" s="16">
        <v>0.47589999999999999</v>
      </c>
      <c r="F66" s="35" t="s">
        <v>160</v>
      </c>
      <c r="G66" s="37">
        <v>1</v>
      </c>
      <c r="H66" s="37"/>
      <c r="I66" s="37">
        <v>1</v>
      </c>
      <c r="J66" s="37">
        <v>9</v>
      </c>
      <c r="K66" s="37">
        <v>9</v>
      </c>
      <c r="L66" s="37"/>
      <c r="M66" s="37">
        <f t="shared" si="5"/>
        <v>20</v>
      </c>
      <c r="N66" s="37">
        <f t="shared" si="6"/>
        <v>17</v>
      </c>
      <c r="O66" s="37">
        <f t="shared" si="7"/>
        <v>20</v>
      </c>
      <c r="P66" s="37">
        <f t="shared" si="8"/>
        <v>20</v>
      </c>
      <c r="Q66" s="104">
        <v>2000</v>
      </c>
      <c r="R66"/>
      <c r="S66" s="31">
        <f t="shared" si="14"/>
        <v>5651696.9208073746</v>
      </c>
      <c r="T66" s="31">
        <f t="shared" si="15"/>
        <v>5651696.9208073746</v>
      </c>
      <c r="U66" s="31">
        <f t="shared" si="10"/>
        <v>5651696.9208073746</v>
      </c>
      <c r="V66" s="31">
        <f t="shared" si="11"/>
        <v>4803942.3826862676</v>
      </c>
      <c r="W66" s="31">
        <f t="shared" si="16"/>
        <v>5651696.9208073746</v>
      </c>
      <c r="X66" s="31">
        <f t="shared" si="13"/>
        <v>5651696.9208073746</v>
      </c>
      <c r="Y66" s="31">
        <f t="shared" si="13"/>
        <v>5651696.9208073746</v>
      </c>
      <c r="Z66"/>
      <c r="AA66" s="31">
        <f t="shared" si="17"/>
        <v>38714123.907530516</v>
      </c>
      <c r="AB66" s="99"/>
      <c r="AC66" s="99">
        <f t="shared" si="18"/>
        <v>1</v>
      </c>
      <c r="AD66" s="98">
        <v>0.08</v>
      </c>
      <c r="AE66"/>
      <c r="AF66"/>
      <c r="AG66" s="48" t="b">
        <f t="shared" si="12"/>
        <v>0</v>
      </c>
      <c r="AH66"/>
      <c r="AI66"/>
    </row>
    <row r="67" spans="1:35" ht="23.1">
      <c r="A67" s="110"/>
      <c r="B67" s="33" t="s">
        <v>64</v>
      </c>
      <c r="C67" s="33" t="s">
        <v>65</v>
      </c>
      <c r="D67" s="16">
        <v>0.52410000000000001</v>
      </c>
      <c r="E67" s="16">
        <v>0.47589999999999999</v>
      </c>
      <c r="F67" s="35" t="s">
        <v>160</v>
      </c>
      <c r="G67" s="37">
        <v>1</v>
      </c>
      <c r="H67" s="37"/>
      <c r="I67" s="37">
        <v>1</v>
      </c>
      <c r="J67" s="37">
        <v>12</v>
      </c>
      <c r="K67" s="37">
        <v>12</v>
      </c>
      <c r="L67" s="37"/>
      <c r="M67" s="37">
        <f t="shared" si="5"/>
        <v>20</v>
      </c>
      <c r="N67" s="37">
        <f t="shared" si="6"/>
        <v>17</v>
      </c>
      <c r="O67" s="37">
        <f t="shared" si="7"/>
        <v>20</v>
      </c>
      <c r="P67" s="37">
        <f t="shared" si="8"/>
        <v>20</v>
      </c>
      <c r="Q67" s="104">
        <v>2000</v>
      </c>
      <c r="R67"/>
      <c r="S67" s="31">
        <f t="shared" si="14"/>
        <v>7535595.8944098325</v>
      </c>
      <c r="T67" s="31">
        <f t="shared" si="15"/>
        <v>7535595.8944098325</v>
      </c>
      <c r="U67" s="31">
        <f t="shared" si="10"/>
        <v>7535595.8944098325</v>
      </c>
      <c r="V67" s="31">
        <f t="shared" si="11"/>
        <v>6405256.5102483574</v>
      </c>
      <c r="W67" s="31">
        <f t="shared" si="16"/>
        <v>7535595.8944098325</v>
      </c>
      <c r="X67" s="31">
        <f t="shared" si="13"/>
        <v>7535595.8944098325</v>
      </c>
      <c r="Y67" s="31">
        <f t="shared" si="13"/>
        <v>7535595.8944098325</v>
      </c>
      <c r="Z67"/>
      <c r="AA67" s="31">
        <f t="shared" si="17"/>
        <v>51618831.87670736</v>
      </c>
      <c r="AB67" s="99"/>
      <c r="AC67" s="99">
        <f t="shared" si="18"/>
        <v>1</v>
      </c>
      <c r="AD67" s="98">
        <v>0.08</v>
      </c>
      <c r="AE67"/>
      <c r="AF67"/>
      <c r="AG67" s="48" t="b">
        <f t="shared" si="12"/>
        <v>0</v>
      </c>
      <c r="AH67"/>
      <c r="AI67"/>
    </row>
    <row r="68" spans="1:35" ht="23.1">
      <c r="A68" s="110"/>
      <c r="B68" s="33" t="s">
        <v>66</v>
      </c>
      <c r="C68" s="33" t="s">
        <v>65</v>
      </c>
      <c r="D68" s="16">
        <v>0.52410000000000001</v>
      </c>
      <c r="E68" s="16">
        <v>0.47589999999999999</v>
      </c>
      <c r="F68" s="35" t="s">
        <v>163</v>
      </c>
      <c r="G68" s="37">
        <v>1</v>
      </c>
      <c r="H68" s="37"/>
      <c r="I68" s="37">
        <v>1</v>
      </c>
      <c r="J68" s="37">
        <v>12</v>
      </c>
      <c r="K68" s="37">
        <v>12</v>
      </c>
      <c r="L68" s="37"/>
      <c r="M68" s="37">
        <f t="shared" si="5"/>
        <v>20</v>
      </c>
      <c r="N68" s="37">
        <f t="shared" si="6"/>
        <v>17</v>
      </c>
      <c r="O68" s="37">
        <f t="shared" si="7"/>
        <v>20</v>
      </c>
      <c r="P68" s="37">
        <f t="shared" si="8"/>
        <v>20</v>
      </c>
      <c r="Q68" s="104">
        <v>2000</v>
      </c>
      <c r="R68"/>
      <c r="S68" s="31">
        <f t="shared" si="14"/>
        <v>7535595.8944098325</v>
      </c>
      <c r="T68" s="31">
        <f t="shared" si="15"/>
        <v>7535595.8944098325</v>
      </c>
      <c r="U68" s="31">
        <f t="shared" si="10"/>
        <v>7535595.8944098325</v>
      </c>
      <c r="V68" s="31">
        <f t="shared" si="11"/>
        <v>6405256.5102483574</v>
      </c>
      <c r="W68" s="31">
        <f t="shared" si="16"/>
        <v>7535595.8944098325</v>
      </c>
      <c r="X68" s="31">
        <f t="shared" si="13"/>
        <v>7535595.8944098325</v>
      </c>
      <c r="Y68" s="31">
        <f t="shared" si="13"/>
        <v>7535595.8944098325</v>
      </c>
      <c r="Z68"/>
      <c r="AA68" s="31">
        <f t="shared" si="17"/>
        <v>51618831.87670736</v>
      </c>
      <c r="AB68" s="99"/>
      <c r="AC68" s="99">
        <f t="shared" si="18"/>
        <v>1</v>
      </c>
      <c r="AD68" s="98">
        <v>0.08</v>
      </c>
      <c r="AE68"/>
      <c r="AF68"/>
      <c r="AG68" s="48" t="b">
        <f t="shared" si="12"/>
        <v>0</v>
      </c>
      <c r="AH68"/>
      <c r="AI68"/>
    </row>
    <row r="69" spans="1:35" ht="57.6">
      <c r="A69" s="110"/>
      <c r="B69" s="33" t="s">
        <v>67</v>
      </c>
      <c r="C69" s="33" t="s">
        <v>68</v>
      </c>
      <c r="D69" s="16">
        <v>0.52410000000000001</v>
      </c>
      <c r="E69" s="16">
        <v>0.47589999999999999</v>
      </c>
      <c r="F69" s="35" t="s">
        <v>162</v>
      </c>
      <c r="G69" s="37">
        <v>1</v>
      </c>
      <c r="H69" s="37"/>
      <c r="I69" s="37">
        <v>1</v>
      </c>
      <c r="J69" s="37">
        <v>12</v>
      </c>
      <c r="K69" s="37">
        <v>12</v>
      </c>
      <c r="L69" s="37"/>
      <c r="M69" s="37">
        <f t="shared" si="5"/>
        <v>20</v>
      </c>
      <c r="N69" s="37">
        <f t="shared" si="6"/>
        <v>17</v>
      </c>
      <c r="O69" s="37">
        <f t="shared" si="7"/>
        <v>20</v>
      </c>
      <c r="P69" s="37">
        <f t="shared" si="8"/>
        <v>20</v>
      </c>
      <c r="Q69" s="104">
        <v>2000</v>
      </c>
      <c r="R69"/>
      <c r="S69" s="31">
        <f t="shared" si="14"/>
        <v>7744918.0025878837</v>
      </c>
      <c r="T69" s="31">
        <f t="shared" si="15"/>
        <v>7744918.0025878837</v>
      </c>
      <c r="U69" s="31">
        <f t="shared" si="10"/>
        <v>7744918.0025878837</v>
      </c>
      <c r="V69" s="31">
        <f t="shared" si="11"/>
        <v>6583180.3021997008</v>
      </c>
      <c r="W69" s="31">
        <f t="shared" si="16"/>
        <v>7744918.0025878837</v>
      </c>
      <c r="X69" s="31">
        <f t="shared" ref="X69:Y88" si="19">+((((((($B$21*$C$21)+$Q69)*$D69/30)*$P69)/11*$L69))+(((((($B$21*$C$21)+$Q69)*$E69/30)*$P69)/13*$K69)))*($I69)*(1+$AD69)</f>
        <v>7744918.0025878837</v>
      </c>
      <c r="Y69" s="31">
        <f t="shared" si="19"/>
        <v>7744918.0025878837</v>
      </c>
      <c r="Z69"/>
      <c r="AA69" s="31">
        <f t="shared" si="17"/>
        <v>53052688.317727007</v>
      </c>
      <c r="AB69" s="99"/>
      <c r="AC69" s="99">
        <f t="shared" si="18"/>
        <v>1</v>
      </c>
      <c r="AD69" s="98">
        <v>0.11</v>
      </c>
      <c r="AE69"/>
      <c r="AF69"/>
      <c r="AG69" s="48" t="b">
        <f t="shared" si="12"/>
        <v>0</v>
      </c>
      <c r="AH69"/>
      <c r="AI69"/>
    </row>
    <row r="70" spans="1:35" ht="23.1">
      <c r="A70" s="110" t="s">
        <v>69</v>
      </c>
      <c r="B70" s="33" t="s">
        <v>70</v>
      </c>
      <c r="C70" s="33" t="s">
        <v>49</v>
      </c>
      <c r="D70" s="16">
        <v>0.52410000000000001</v>
      </c>
      <c r="E70" s="16">
        <v>0.47589999999999999</v>
      </c>
      <c r="F70" s="35" t="s">
        <v>163</v>
      </c>
      <c r="G70" s="37">
        <v>1</v>
      </c>
      <c r="H70" s="37">
        <v>1</v>
      </c>
      <c r="I70" s="37">
        <v>1</v>
      </c>
      <c r="J70" s="37">
        <v>24</v>
      </c>
      <c r="K70" s="37">
        <v>13</v>
      </c>
      <c r="L70" s="37">
        <v>11</v>
      </c>
      <c r="M70" s="37">
        <f t="shared" si="5"/>
        <v>30</v>
      </c>
      <c r="N70" s="37">
        <f t="shared" si="6"/>
        <v>30</v>
      </c>
      <c r="O70" s="37">
        <f t="shared" si="7"/>
        <v>30</v>
      </c>
      <c r="P70" s="37">
        <f t="shared" si="8"/>
        <v>30</v>
      </c>
      <c r="Q70" s="104">
        <v>6000</v>
      </c>
      <c r="S70" s="31">
        <f t="shared" si="14"/>
        <v>26211815.309117179</v>
      </c>
      <c r="T70" s="31">
        <f t="shared" si="15"/>
        <v>26211815.309117179</v>
      </c>
      <c r="U70" s="31">
        <f t="shared" si="10"/>
        <v>26211815.309117179</v>
      </c>
      <c r="V70" s="31">
        <f t="shared" si="11"/>
        <v>26211815.309117179</v>
      </c>
      <c r="W70" s="31">
        <f t="shared" si="16"/>
        <v>26211815.309117179</v>
      </c>
      <c r="X70" s="31">
        <f t="shared" si="19"/>
        <v>26211815.309117179</v>
      </c>
      <c r="Y70" s="31">
        <f t="shared" si="19"/>
        <v>26211815.309117179</v>
      </c>
      <c r="AA70" s="31">
        <f t="shared" si="17"/>
        <v>183482707.16382024</v>
      </c>
      <c r="AB70" s="99"/>
      <c r="AC70" s="99">
        <f t="shared" si="18"/>
        <v>1</v>
      </c>
      <c r="AD70" s="99">
        <v>0.1</v>
      </c>
      <c r="AG70" s="48" t="b">
        <f t="shared" si="12"/>
        <v>0</v>
      </c>
    </row>
    <row r="71" spans="1:35" ht="23.1">
      <c r="A71" s="110"/>
      <c r="B71" s="33" t="s">
        <v>38</v>
      </c>
      <c r="C71" s="33" t="s">
        <v>49</v>
      </c>
      <c r="D71" s="16">
        <v>0.52410000000000001</v>
      </c>
      <c r="E71" s="16">
        <v>0.47589999999999999</v>
      </c>
      <c r="F71" s="35" t="s">
        <v>160</v>
      </c>
      <c r="G71" s="37">
        <v>1</v>
      </c>
      <c r="H71" s="37">
        <v>1</v>
      </c>
      <c r="I71" s="37">
        <v>1</v>
      </c>
      <c r="J71" s="37">
        <v>24</v>
      </c>
      <c r="K71" s="37">
        <v>13</v>
      </c>
      <c r="L71" s="37">
        <v>11</v>
      </c>
      <c r="M71" s="37">
        <f t="shared" si="5"/>
        <v>30</v>
      </c>
      <c r="N71" s="37">
        <f t="shared" si="6"/>
        <v>30</v>
      </c>
      <c r="O71" s="37">
        <f t="shared" si="7"/>
        <v>30</v>
      </c>
      <c r="P71" s="37">
        <f t="shared" si="8"/>
        <v>30</v>
      </c>
      <c r="Q71" s="104">
        <v>6000</v>
      </c>
      <c r="S71" s="31">
        <f t="shared" si="14"/>
        <v>26211815.309117179</v>
      </c>
      <c r="T71" s="31">
        <f t="shared" si="15"/>
        <v>26211815.309117179</v>
      </c>
      <c r="U71" s="31">
        <f t="shared" si="10"/>
        <v>26211815.309117179</v>
      </c>
      <c r="V71" s="31">
        <f t="shared" si="11"/>
        <v>26211815.309117179</v>
      </c>
      <c r="W71" s="31">
        <f t="shared" si="16"/>
        <v>26211815.309117179</v>
      </c>
      <c r="X71" s="31">
        <f t="shared" si="19"/>
        <v>26211815.309117179</v>
      </c>
      <c r="Y71" s="31">
        <f t="shared" si="19"/>
        <v>26211815.309117179</v>
      </c>
      <c r="AA71" s="31">
        <f t="shared" si="17"/>
        <v>183482707.16382024</v>
      </c>
      <c r="AB71" s="99"/>
      <c r="AC71" s="99">
        <f t="shared" si="18"/>
        <v>1</v>
      </c>
      <c r="AD71" s="99">
        <v>0.1</v>
      </c>
      <c r="AG71" s="48" t="b">
        <f t="shared" si="12"/>
        <v>0</v>
      </c>
    </row>
    <row r="72" spans="1:35" ht="23.1">
      <c r="A72" s="110"/>
      <c r="B72" s="33" t="s">
        <v>71</v>
      </c>
      <c r="C72" s="33" t="s">
        <v>49</v>
      </c>
      <c r="D72" s="16">
        <v>0.52410000000000001</v>
      </c>
      <c r="E72" s="16">
        <v>0.47589999999999999</v>
      </c>
      <c r="F72" s="35" t="s">
        <v>160</v>
      </c>
      <c r="G72" s="37">
        <v>1</v>
      </c>
      <c r="H72" s="37">
        <v>1</v>
      </c>
      <c r="I72" s="37">
        <v>1</v>
      </c>
      <c r="J72" s="37">
        <v>24</v>
      </c>
      <c r="K72" s="37">
        <v>13</v>
      </c>
      <c r="L72" s="37">
        <v>11</v>
      </c>
      <c r="M72" s="37">
        <f t="shared" si="5"/>
        <v>30</v>
      </c>
      <c r="N72" s="37">
        <f t="shared" si="6"/>
        <v>30</v>
      </c>
      <c r="O72" s="37">
        <f t="shared" si="7"/>
        <v>30</v>
      </c>
      <c r="P72" s="37">
        <f t="shared" si="8"/>
        <v>30</v>
      </c>
      <c r="Q72" s="104">
        <v>6000</v>
      </c>
      <c r="S72" s="31">
        <f t="shared" si="14"/>
        <v>26211815.309117179</v>
      </c>
      <c r="T72" s="31">
        <f t="shared" si="15"/>
        <v>26211815.309117179</v>
      </c>
      <c r="U72" s="31">
        <f t="shared" si="10"/>
        <v>26211815.309117179</v>
      </c>
      <c r="V72" s="31">
        <f t="shared" si="11"/>
        <v>26211815.309117179</v>
      </c>
      <c r="W72" s="31">
        <f t="shared" si="16"/>
        <v>26211815.309117179</v>
      </c>
      <c r="X72" s="31">
        <f t="shared" si="19"/>
        <v>26211815.309117179</v>
      </c>
      <c r="Y72" s="31">
        <f t="shared" si="19"/>
        <v>26211815.309117179</v>
      </c>
      <c r="AA72" s="31">
        <f t="shared" si="17"/>
        <v>183482707.16382024</v>
      </c>
      <c r="AB72" s="99"/>
      <c r="AC72" s="99">
        <f t="shared" si="18"/>
        <v>1</v>
      </c>
      <c r="AD72" s="99">
        <v>0.1</v>
      </c>
      <c r="AG72" s="48" t="b">
        <f t="shared" si="12"/>
        <v>0</v>
      </c>
    </row>
    <row r="73" spans="1:35" ht="34.5">
      <c r="A73" s="110"/>
      <c r="B73" s="33" t="s">
        <v>72</v>
      </c>
      <c r="C73" s="33" t="s">
        <v>73</v>
      </c>
      <c r="D73" s="16">
        <v>0.52410000000000001</v>
      </c>
      <c r="E73" s="16">
        <v>0.47589999999999999</v>
      </c>
      <c r="F73" s="35" t="s">
        <v>160</v>
      </c>
      <c r="G73" s="37"/>
      <c r="H73" s="37"/>
      <c r="I73" s="37">
        <v>1</v>
      </c>
      <c r="J73" s="37">
        <v>12</v>
      </c>
      <c r="K73" s="37">
        <v>12</v>
      </c>
      <c r="L73" s="37"/>
      <c r="M73" s="37">
        <f t="shared" si="5"/>
        <v>10</v>
      </c>
      <c r="N73" s="37">
        <f t="shared" si="6"/>
        <v>17</v>
      </c>
      <c r="O73" s="37">
        <f t="shared" si="7"/>
        <v>15</v>
      </c>
      <c r="P73" s="37">
        <f t="shared" si="8"/>
        <v>20</v>
      </c>
      <c r="Q73" s="104">
        <v>2000</v>
      </c>
      <c r="R73"/>
      <c r="S73" s="31">
        <f t="shared" si="14"/>
        <v>5651696.9208073737</v>
      </c>
      <c r="T73" s="31">
        <f t="shared" si="15"/>
        <v>7535595.8944098325</v>
      </c>
      <c r="U73" s="31">
        <f t="shared" si="10"/>
        <v>7535595.8944098325</v>
      </c>
      <c r="V73" s="31">
        <f t="shared" si="11"/>
        <v>6405256.5102483574</v>
      </c>
      <c r="W73" s="31">
        <f t="shared" si="16"/>
        <v>7535595.8944098325</v>
      </c>
      <c r="X73" s="31">
        <f t="shared" si="19"/>
        <v>7535595.8944098325</v>
      </c>
      <c r="Y73" s="31">
        <f t="shared" si="19"/>
        <v>7535595.8944098325</v>
      </c>
      <c r="Z73"/>
      <c r="AA73" s="31">
        <f t="shared" si="17"/>
        <v>49734932.903104901</v>
      </c>
      <c r="AB73" s="99"/>
      <c r="AC73" s="99">
        <f t="shared" si="18"/>
        <v>0</v>
      </c>
      <c r="AD73" s="98">
        <v>0.08</v>
      </c>
      <c r="AE73"/>
      <c r="AF73"/>
      <c r="AG73" s="48" t="b">
        <f t="shared" si="12"/>
        <v>1</v>
      </c>
      <c r="AH73"/>
      <c r="AI73"/>
    </row>
    <row r="74" spans="1:35" ht="23.1">
      <c r="A74" s="110"/>
      <c r="B74" s="33" t="s">
        <v>74</v>
      </c>
      <c r="C74" s="33" t="s">
        <v>73</v>
      </c>
      <c r="D74" s="16">
        <v>0.52410000000000001</v>
      </c>
      <c r="E74" s="16">
        <v>0.47589999999999999</v>
      </c>
      <c r="F74" s="35" t="s">
        <v>160</v>
      </c>
      <c r="G74" s="37"/>
      <c r="H74" s="37"/>
      <c r="I74" s="37">
        <v>1</v>
      </c>
      <c r="J74" s="37">
        <v>12</v>
      </c>
      <c r="K74" s="37">
        <v>12</v>
      </c>
      <c r="L74" s="37"/>
      <c r="M74" s="37">
        <f t="shared" si="5"/>
        <v>10</v>
      </c>
      <c r="N74" s="37">
        <f t="shared" si="6"/>
        <v>17</v>
      </c>
      <c r="O74" s="37">
        <f t="shared" si="7"/>
        <v>15</v>
      </c>
      <c r="P74" s="37">
        <f t="shared" si="8"/>
        <v>20</v>
      </c>
      <c r="Q74" s="104">
        <v>2000</v>
      </c>
      <c r="R74"/>
      <c r="S74" s="31">
        <f t="shared" si="14"/>
        <v>5651696.9208073737</v>
      </c>
      <c r="T74" s="31">
        <f t="shared" si="15"/>
        <v>7535595.8944098325</v>
      </c>
      <c r="U74" s="31">
        <f t="shared" si="10"/>
        <v>7535595.8944098325</v>
      </c>
      <c r="V74" s="31">
        <f t="shared" si="11"/>
        <v>6405256.5102483574</v>
      </c>
      <c r="W74" s="31">
        <f t="shared" si="16"/>
        <v>7535595.8944098325</v>
      </c>
      <c r="X74" s="31">
        <f t="shared" si="19"/>
        <v>7535595.8944098325</v>
      </c>
      <c r="Y74" s="31">
        <f t="shared" si="19"/>
        <v>7535595.8944098325</v>
      </c>
      <c r="Z74"/>
      <c r="AA74" s="31">
        <f t="shared" si="17"/>
        <v>49734932.903104901</v>
      </c>
      <c r="AB74" s="99"/>
      <c r="AC74" s="99">
        <f t="shared" si="18"/>
        <v>0</v>
      </c>
      <c r="AD74" s="98">
        <v>0.08</v>
      </c>
      <c r="AE74"/>
      <c r="AF74"/>
      <c r="AG74" s="48" t="b">
        <f t="shared" si="12"/>
        <v>1</v>
      </c>
      <c r="AH74"/>
      <c r="AI74"/>
    </row>
    <row r="75" spans="1:35" ht="23.1">
      <c r="A75" s="110"/>
      <c r="B75" s="33" t="s">
        <v>75</v>
      </c>
      <c r="C75" s="33" t="s">
        <v>76</v>
      </c>
      <c r="D75" s="16">
        <v>0.52410000000000001</v>
      </c>
      <c r="E75" s="16">
        <v>0.47589999999999999</v>
      </c>
      <c r="F75" s="35" t="s">
        <v>162</v>
      </c>
      <c r="G75" s="37"/>
      <c r="H75" s="37"/>
      <c r="I75" s="37">
        <v>1</v>
      </c>
      <c r="J75" s="37">
        <v>12</v>
      </c>
      <c r="K75" s="37">
        <v>12</v>
      </c>
      <c r="L75" s="37"/>
      <c r="M75" s="37">
        <f t="shared" si="5"/>
        <v>10</v>
      </c>
      <c r="N75" s="37">
        <f t="shared" si="6"/>
        <v>17</v>
      </c>
      <c r="O75" s="37">
        <f t="shared" si="7"/>
        <v>15</v>
      </c>
      <c r="P75" s="37">
        <f t="shared" si="8"/>
        <v>20</v>
      </c>
      <c r="Q75" s="104">
        <v>2000</v>
      </c>
      <c r="R75"/>
      <c r="S75" s="31">
        <f t="shared" si="14"/>
        <v>5808688.5019409116</v>
      </c>
      <c r="T75" s="31">
        <f t="shared" si="15"/>
        <v>7744918.0025878837</v>
      </c>
      <c r="U75" s="31">
        <f t="shared" si="10"/>
        <v>7744918.0025878837</v>
      </c>
      <c r="V75" s="31">
        <f t="shared" si="11"/>
        <v>6583180.3021997008</v>
      </c>
      <c r="W75" s="31">
        <f t="shared" si="16"/>
        <v>7744918.0025878837</v>
      </c>
      <c r="X75" s="31">
        <f t="shared" si="19"/>
        <v>7744918.0025878837</v>
      </c>
      <c r="Y75" s="31">
        <f t="shared" si="19"/>
        <v>7744918.0025878837</v>
      </c>
      <c r="Z75"/>
      <c r="AA75" s="31">
        <f t="shared" si="17"/>
        <v>51116458.817080036</v>
      </c>
      <c r="AB75" s="99"/>
      <c r="AC75" s="99">
        <f t="shared" si="18"/>
        <v>0</v>
      </c>
      <c r="AD75" s="98">
        <v>0.11</v>
      </c>
      <c r="AE75"/>
      <c r="AF75"/>
      <c r="AG75" s="48" t="b">
        <f t="shared" si="12"/>
        <v>1</v>
      </c>
      <c r="AH75"/>
      <c r="AI75"/>
    </row>
    <row r="76" spans="1:35" ht="23.1">
      <c r="A76" s="110"/>
      <c r="B76" s="33" t="s">
        <v>77</v>
      </c>
      <c r="C76" s="33" t="s">
        <v>73</v>
      </c>
      <c r="D76" s="16">
        <v>0.52410000000000001</v>
      </c>
      <c r="E76" s="16">
        <v>0.47589999999999999</v>
      </c>
      <c r="F76" s="35" t="s">
        <v>160</v>
      </c>
      <c r="G76" s="37"/>
      <c r="H76" s="37"/>
      <c r="I76" s="37">
        <v>1</v>
      </c>
      <c r="J76" s="37">
        <v>12</v>
      </c>
      <c r="K76" s="37">
        <v>12</v>
      </c>
      <c r="L76" s="37"/>
      <c r="M76" s="37">
        <f t="shared" si="5"/>
        <v>10</v>
      </c>
      <c r="N76" s="37">
        <f t="shared" si="6"/>
        <v>17</v>
      </c>
      <c r="O76" s="37">
        <f t="shared" si="7"/>
        <v>15</v>
      </c>
      <c r="P76" s="37">
        <f t="shared" si="8"/>
        <v>20</v>
      </c>
      <c r="Q76" s="104">
        <v>2000</v>
      </c>
      <c r="R76"/>
      <c r="S76" s="31">
        <f t="shared" si="14"/>
        <v>5651696.9208073737</v>
      </c>
      <c r="T76" s="31">
        <f t="shared" si="15"/>
        <v>7535595.8944098325</v>
      </c>
      <c r="U76" s="31">
        <f t="shared" si="10"/>
        <v>7535595.8944098325</v>
      </c>
      <c r="V76" s="31">
        <f t="shared" si="11"/>
        <v>6405256.5102483574</v>
      </c>
      <c r="W76" s="31">
        <f t="shared" si="16"/>
        <v>7535595.8944098325</v>
      </c>
      <c r="X76" s="31">
        <f t="shared" si="19"/>
        <v>7535595.8944098325</v>
      </c>
      <c r="Y76" s="31">
        <f t="shared" si="19"/>
        <v>7535595.8944098325</v>
      </c>
      <c r="Z76"/>
      <c r="AA76" s="31">
        <f t="shared" si="17"/>
        <v>49734932.903104901</v>
      </c>
      <c r="AB76" s="99"/>
      <c r="AC76" s="99">
        <f t="shared" si="18"/>
        <v>0</v>
      </c>
      <c r="AD76" s="98">
        <v>0.08</v>
      </c>
      <c r="AE76"/>
      <c r="AF76"/>
      <c r="AG76" s="48" t="b">
        <f t="shared" si="12"/>
        <v>1</v>
      </c>
      <c r="AH76"/>
      <c r="AI76"/>
    </row>
    <row r="77" spans="1:35" ht="23.1">
      <c r="A77" s="110"/>
      <c r="B77" s="33" t="s">
        <v>78</v>
      </c>
      <c r="C77" s="33" t="s">
        <v>73</v>
      </c>
      <c r="D77" s="16">
        <v>0.52410000000000001</v>
      </c>
      <c r="E77" s="16">
        <v>0.47589999999999999</v>
      </c>
      <c r="F77" s="35" t="s">
        <v>160</v>
      </c>
      <c r="G77" s="37"/>
      <c r="H77" s="37"/>
      <c r="I77" s="37">
        <v>1</v>
      </c>
      <c r="J77" s="37">
        <v>12</v>
      </c>
      <c r="K77" s="37">
        <v>12</v>
      </c>
      <c r="L77" s="37"/>
      <c r="M77" s="37">
        <f t="shared" si="5"/>
        <v>10</v>
      </c>
      <c r="N77" s="37">
        <f t="shared" si="6"/>
        <v>17</v>
      </c>
      <c r="O77" s="37">
        <f t="shared" si="7"/>
        <v>15</v>
      </c>
      <c r="P77" s="37">
        <f t="shared" si="8"/>
        <v>20</v>
      </c>
      <c r="Q77" s="104">
        <v>2000</v>
      </c>
      <c r="R77"/>
      <c r="S77" s="31">
        <f t="shared" si="14"/>
        <v>5651696.9208073737</v>
      </c>
      <c r="T77" s="31">
        <f t="shared" si="15"/>
        <v>7535595.8944098325</v>
      </c>
      <c r="U77" s="31">
        <f t="shared" si="10"/>
        <v>7535595.8944098325</v>
      </c>
      <c r="V77" s="31">
        <f t="shared" si="11"/>
        <v>6405256.5102483574</v>
      </c>
      <c r="W77" s="31">
        <f t="shared" si="16"/>
        <v>7535595.8944098325</v>
      </c>
      <c r="X77" s="31">
        <f t="shared" si="19"/>
        <v>7535595.8944098325</v>
      </c>
      <c r="Y77" s="31">
        <f t="shared" si="19"/>
        <v>7535595.8944098325</v>
      </c>
      <c r="Z77"/>
      <c r="AA77" s="31">
        <f t="shared" si="17"/>
        <v>49734932.903104901</v>
      </c>
      <c r="AB77" s="99"/>
      <c r="AC77" s="99">
        <f t="shared" si="18"/>
        <v>0</v>
      </c>
      <c r="AD77" s="98">
        <v>0.08</v>
      </c>
      <c r="AE77"/>
      <c r="AF77"/>
      <c r="AG77" s="48" t="b">
        <f t="shared" si="12"/>
        <v>1</v>
      </c>
      <c r="AH77"/>
      <c r="AI77"/>
    </row>
    <row r="78" spans="1:35" ht="23.1">
      <c r="A78" s="110"/>
      <c r="B78" s="33" t="s">
        <v>79</v>
      </c>
      <c r="C78" s="33" t="s">
        <v>73</v>
      </c>
      <c r="D78" s="16">
        <v>0.52410000000000001</v>
      </c>
      <c r="E78" s="16">
        <v>0.47589999999999999</v>
      </c>
      <c r="F78" s="35" t="s">
        <v>160</v>
      </c>
      <c r="G78" s="37"/>
      <c r="H78" s="37"/>
      <c r="I78" s="37">
        <v>1</v>
      </c>
      <c r="J78" s="37">
        <v>12</v>
      </c>
      <c r="K78" s="37">
        <v>12</v>
      </c>
      <c r="L78" s="37"/>
      <c r="M78" s="37">
        <f t="shared" si="5"/>
        <v>10</v>
      </c>
      <c r="N78" s="37">
        <f t="shared" si="6"/>
        <v>17</v>
      </c>
      <c r="O78" s="37">
        <f t="shared" si="7"/>
        <v>15</v>
      </c>
      <c r="P78" s="37">
        <f t="shared" si="8"/>
        <v>20</v>
      </c>
      <c r="Q78" s="104">
        <v>2000</v>
      </c>
      <c r="R78"/>
      <c r="S78" s="31">
        <f t="shared" si="14"/>
        <v>5651696.9208073737</v>
      </c>
      <c r="T78" s="31">
        <f t="shared" si="15"/>
        <v>7535595.8944098325</v>
      </c>
      <c r="U78" s="31">
        <f t="shared" si="10"/>
        <v>7535595.8944098325</v>
      </c>
      <c r="V78" s="31">
        <f t="shared" si="11"/>
        <v>6405256.5102483574</v>
      </c>
      <c r="W78" s="31">
        <f t="shared" si="16"/>
        <v>7535595.8944098325</v>
      </c>
      <c r="X78" s="31">
        <f t="shared" si="19"/>
        <v>7535595.8944098325</v>
      </c>
      <c r="Y78" s="31">
        <f t="shared" si="19"/>
        <v>7535595.8944098325</v>
      </c>
      <c r="Z78"/>
      <c r="AA78" s="31">
        <f t="shared" si="17"/>
        <v>49734932.903104901</v>
      </c>
      <c r="AB78" s="99"/>
      <c r="AC78" s="99">
        <f t="shared" si="18"/>
        <v>0</v>
      </c>
      <c r="AD78" s="98">
        <v>0.08</v>
      </c>
      <c r="AE78"/>
      <c r="AF78"/>
      <c r="AG78" s="48" t="b">
        <f t="shared" si="12"/>
        <v>1</v>
      </c>
      <c r="AH78"/>
      <c r="AI78"/>
    </row>
    <row r="79" spans="1:35" ht="34.5">
      <c r="A79" s="110"/>
      <c r="B79" s="33" t="s">
        <v>80</v>
      </c>
      <c r="C79" s="33" t="s">
        <v>73</v>
      </c>
      <c r="D79" s="16">
        <v>0.52410000000000001</v>
      </c>
      <c r="E79" s="16">
        <v>0.47589999999999999</v>
      </c>
      <c r="F79" s="35" t="s">
        <v>160</v>
      </c>
      <c r="G79" s="37">
        <v>1</v>
      </c>
      <c r="H79" s="37"/>
      <c r="I79" s="37">
        <v>1</v>
      </c>
      <c r="J79" s="37">
        <v>12</v>
      </c>
      <c r="K79" s="37">
        <v>12</v>
      </c>
      <c r="L79" s="37"/>
      <c r="M79" s="37">
        <f t="shared" si="5"/>
        <v>20</v>
      </c>
      <c r="N79" s="37">
        <f t="shared" si="6"/>
        <v>17</v>
      </c>
      <c r="O79" s="37">
        <f t="shared" si="7"/>
        <v>20</v>
      </c>
      <c r="P79" s="37">
        <f t="shared" si="8"/>
        <v>20</v>
      </c>
      <c r="Q79" s="104">
        <v>2000</v>
      </c>
      <c r="R79"/>
      <c r="S79" s="31">
        <f t="shared" si="14"/>
        <v>7535595.8944098325</v>
      </c>
      <c r="T79" s="31">
        <f t="shared" si="15"/>
        <v>7535595.8944098325</v>
      </c>
      <c r="U79" s="31">
        <f t="shared" si="10"/>
        <v>7535595.8944098325</v>
      </c>
      <c r="V79" s="31">
        <f t="shared" si="11"/>
        <v>6405256.5102483574</v>
      </c>
      <c r="W79" s="31">
        <f t="shared" si="16"/>
        <v>7535595.8944098325</v>
      </c>
      <c r="X79" s="31">
        <f t="shared" si="19"/>
        <v>7535595.8944098325</v>
      </c>
      <c r="Y79" s="31">
        <f t="shared" si="19"/>
        <v>7535595.8944098325</v>
      </c>
      <c r="Z79"/>
      <c r="AA79" s="31">
        <f t="shared" si="17"/>
        <v>51618831.87670736</v>
      </c>
      <c r="AB79" s="99"/>
      <c r="AC79" s="99">
        <f t="shared" si="18"/>
        <v>1</v>
      </c>
      <c r="AD79" s="98">
        <v>0.08</v>
      </c>
      <c r="AE79"/>
      <c r="AF79"/>
      <c r="AG79" s="48" t="b">
        <f t="shared" si="12"/>
        <v>0</v>
      </c>
      <c r="AH79"/>
      <c r="AI79"/>
    </row>
    <row r="80" spans="1:35" ht="23.1">
      <c r="A80" s="110"/>
      <c r="B80" s="33" t="s">
        <v>81</v>
      </c>
      <c r="C80" s="33" t="s">
        <v>73</v>
      </c>
      <c r="D80" s="16">
        <v>0.52410000000000001</v>
      </c>
      <c r="E80" s="16">
        <v>0.47589999999999999</v>
      </c>
      <c r="F80" s="35" t="s">
        <v>160</v>
      </c>
      <c r="G80" s="37"/>
      <c r="H80" s="37"/>
      <c r="I80" s="37">
        <v>1</v>
      </c>
      <c r="J80" s="37">
        <v>12</v>
      </c>
      <c r="K80" s="37">
        <v>12</v>
      </c>
      <c r="L80" s="37"/>
      <c r="M80" s="37">
        <f t="shared" si="5"/>
        <v>10</v>
      </c>
      <c r="N80" s="37">
        <f t="shared" si="6"/>
        <v>17</v>
      </c>
      <c r="O80" s="37">
        <f t="shared" si="7"/>
        <v>15</v>
      </c>
      <c r="P80" s="37">
        <f t="shared" si="8"/>
        <v>20</v>
      </c>
      <c r="Q80" s="104">
        <v>2000</v>
      </c>
      <c r="R80"/>
      <c r="S80" s="31">
        <f t="shared" si="14"/>
        <v>5651696.9208073737</v>
      </c>
      <c r="T80" s="31">
        <f t="shared" si="15"/>
        <v>7535595.8944098325</v>
      </c>
      <c r="U80" s="31">
        <f t="shared" si="10"/>
        <v>7535595.8944098325</v>
      </c>
      <c r="V80" s="31">
        <f t="shared" si="11"/>
        <v>6405256.5102483574</v>
      </c>
      <c r="W80" s="31">
        <f t="shared" si="16"/>
        <v>7535595.8944098325</v>
      </c>
      <c r="X80" s="31">
        <f t="shared" si="19"/>
        <v>7535595.8944098325</v>
      </c>
      <c r="Y80" s="31">
        <f t="shared" si="19"/>
        <v>7535595.8944098325</v>
      </c>
      <c r="Z80"/>
      <c r="AA80" s="31">
        <f t="shared" si="17"/>
        <v>49734932.903104901</v>
      </c>
      <c r="AB80" s="99"/>
      <c r="AC80" s="99">
        <f t="shared" si="18"/>
        <v>0</v>
      </c>
      <c r="AD80" s="98">
        <v>0.08</v>
      </c>
      <c r="AE80"/>
      <c r="AF80"/>
      <c r="AG80" s="48" t="b">
        <f t="shared" si="12"/>
        <v>1</v>
      </c>
      <c r="AH80"/>
      <c r="AI80"/>
    </row>
    <row r="81" spans="1:35" ht="23.1">
      <c r="A81" s="110"/>
      <c r="B81" s="33" t="s">
        <v>81</v>
      </c>
      <c r="C81" s="33" t="s">
        <v>73</v>
      </c>
      <c r="D81" s="16">
        <v>0.52410000000000001</v>
      </c>
      <c r="E81" s="16">
        <v>0.47589999999999999</v>
      </c>
      <c r="F81" s="35" t="s">
        <v>160</v>
      </c>
      <c r="G81" s="37"/>
      <c r="H81" s="37"/>
      <c r="I81" s="37">
        <v>1</v>
      </c>
      <c r="J81" s="37">
        <v>12</v>
      </c>
      <c r="K81" s="37">
        <v>12</v>
      </c>
      <c r="L81" s="37"/>
      <c r="M81" s="37">
        <f t="shared" si="5"/>
        <v>10</v>
      </c>
      <c r="N81" s="37">
        <f t="shared" si="6"/>
        <v>17</v>
      </c>
      <c r="O81" s="37">
        <f t="shared" si="7"/>
        <v>15</v>
      </c>
      <c r="P81" s="37">
        <f t="shared" si="8"/>
        <v>20</v>
      </c>
      <c r="Q81" s="104">
        <v>2000</v>
      </c>
      <c r="R81"/>
      <c r="S81" s="31">
        <f t="shared" si="14"/>
        <v>5651696.9208073737</v>
      </c>
      <c r="T81" s="31">
        <f t="shared" si="15"/>
        <v>7535595.8944098325</v>
      </c>
      <c r="U81" s="31">
        <f t="shared" si="10"/>
        <v>7535595.8944098325</v>
      </c>
      <c r="V81" s="31">
        <f t="shared" si="11"/>
        <v>6405256.5102483574</v>
      </c>
      <c r="W81" s="31">
        <f t="shared" si="16"/>
        <v>7535595.8944098325</v>
      </c>
      <c r="X81" s="31">
        <f t="shared" si="19"/>
        <v>7535595.8944098325</v>
      </c>
      <c r="Y81" s="31">
        <f t="shared" si="19"/>
        <v>7535595.8944098325</v>
      </c>
      <c r="Z81"/>
      <c r="AA81" s="31">
        <f t="shared" si="17"/>
        <v>49734932.903104901</v>
      </c>
      <c r="AB81" s="99"/>
      <c r="AC81" s="99">
        <f t="shared" si="18"/>
        <v>0</v>
      </c>
      <c r="AD81" s="98">
        <v>0.08</v>
      </c>
      <c r="AE81"/>
      <c r="AF81"/>
      <c r="AG81" s="48" t="b">
        <f t="shared" si="12"/>
        <v>1</v>
      </c>
      <c r="AH81"/>
      <c r="AI81"/>
    </row>
    <row r="82" spans="1:35" ht="23.1">
      <c r="A82" s="110" t="s">
        <v>82</v>
      </c>
      <c r="B82" s="33" t="s">
        <v>38</v>
      </c>
      <c r="C82" s="33" t="s">
        <v>73</v>
      </c>
      <c r="D82" s="16">
        <v>0.52410000000000001</v>
      </c>
      <c r="E82" s="16">
        <v>0.47589999999999999</v>
      </c>
      <c r="F82" s="37" t="s">
        <v>160</v>
      </c>
      <c r="G82" s="37"/>
      <c r="H82" s="37"/>
      <c r="I82" s="37">
        <v>1</v>
      </c>
      <c r="J82" s="37">
        <v>12</v>
      </c>
      <c r="K82" s="37">
        <v>12</v>
      </c>
      <c r="L82" s="37"/>
      <c r="M82" s="37">
        <f t="shared" si="5"/>
        <v>10</v>
      </c>
      <c r="N82" s="37">
        <f t="shared" si="6"/>
        <v>17</v>
      </c>
      <c r="O82" s="37">
        <f t="shared" si="7"/>
        <v>15</v>
      </c>
      <c r="P82" s="37">
        <f t="shared" si="8"/>
        <v>20</v>
      </c>
      <c r="Q82" s="104">
        <v>2000</v>
      </c>
      <c r="R82"/>
      <c r="S82" s="31">
        <f t="shared" si="14"/>
        <v>5651696.9208073737</v>
      </c>
      <c r="T82" s="31">
        <f t="shared" si="15"/>
        <v>7535595.8944098325</v>
      </c>
      <c r="U82" s="31">
        <f t="shared" si="10"/>
        <v>7535595.8944098325</v>
      </c>
      <c r="V82" s="31">
        <f t="shared" si="11"/>
        <v>6405256.5102483574</v>
      </c>
      <c r="W82" s="31">
        <f t="shared" si="16"/>
        <v>7535595.8944098325</v>
      </c>
      <c r="X82" s="31">
        <f t="shared" si="19"/>
        <v>7535595.8944098325</v>
      </c>
      <c r="Y82" s="31">
        <f t="shared" si="19"/>
        <v>7535595.8944098325</v>
      </c>
      <c r="Z82"/>
      <c r="AA82" s="31">
        <f t="shared" si="17"/>
        <v>49734932.903104901</v>
      </c>
      <c r="AB82" s="99"/>
      <c r="AC82" s="99">
        <f t="shared" si="18"/>
        <v>0</v>
      </c>
      <c r="AD82" s="98">
        <v>0.08</v>
      </c>
      <c r="AE82"/>
      <c r="AF82"/>
      <c r="AG82" s="48" t="b">
        <f t="shared" si="12"/>
        <v>1</v>
      </c>
      <c r="AH82"/>
      <c r="AI82"/>
    </row>
    <row r="83" spans="1:35" ht="23.1">
      <c r="A83" s="110"/>
      <c r="B83" s="33" t="s">
        <v>83</v>
      </c>
      <c r="C83" s="33" t="s">
        <v>84</v>
      </c>
      <c r="D83" s="16">
        <v>0.52410000000000001</v>
      </c>
      <c r="E83" s="16">
        <v>0.47589999999999999</v>
      </c>
      <c r="F83" s="37" t="s">
        <v>160</v>
      </c>
      <c r="G83" s="37"/>
      <c r="H83" s="37"/>
      <c r="I83" s="37">
        <v>1</v>
      </c>
      <c r="J83" s="37">
        <v>16</v>
      </c>
      <c r="K83" s="37">
        <v>13</v>
      </c>
      <c r="L83" s="37">
        <v>3</v>
      </c>
      <c r="M83" s="37">
        <f t="shared" si="5"/>
        <v>10</v>
      </c>
      <c r="N83" s="37">
        <f t="shared" si="6"/>
        <v>17</v>
      </c>
      <c r="O83" s="37">
        <f t="shared" si="7"/>
        <v>15</v>
      </c>
      <c r="P83" s="37">
        <f t="shared" si="8"/>
        <v>20</v>
      </c>
      <c r="Q83" s="104">
        <v>4000</v>
      </c>
      <c r="R83"/>
      <c r="S83" s="31">
        <f t="shared" si="14"/>
        <v>7962281.851190092</v>
      </c>
      <c r="T83" s="31">
        <f t="shared" si="15"/>
        <v>10616375.80158679</v>
      </c>
      <c r="U83" s="31">
        <f t="shared" si="10"/>
        <v>10616375.80158679</v>
      </c>
      <c r="V83" s="31">
        <f t="shared" si="11"/>
        <v>9023919.4313487727</v>
      </c>
      <c r="W83" s="31">
        <f t="shared" si="16"/>
        <v>10616375.80158679</v>
      </c>
      <c r="X83" s="31">
        <f t="shared" si="19"/>
        <v>10616375.80158679</v>
      </c>
      <c r="Y83" s="31">
        <f t="shared" si="19"/>
        <v>10616375.80158679</v>
      </c>
      <c r="Z83"/>
      <c r="AA83" s="31">
        <f t="shared" si="17"/>
        <v>70068080.29047282</v>
      </c>
      <c r="AB83" s="99"/>
      <c r="AC83" s="99">
        <f t="shared" si="18"/>
        <v>0</v>
      </c>
      <c r="AD83" s="98">
        <v>0.08</v>
      </c>
      <c r="AE83"/>
      <c r="AF83"/>
      <c r="AG83" s="48" t="b">
        <f t="shared" si="12"/>
        <v>1</v>
      </c>
      <c r="AH83"/>
      <c r="AI83"/>
    </row>
    <row r="84" spans="1:35" ht="23.1">
      <c r="A84" s="110" t="s">
        <v>85</v>
      </c>
      <c r="B84" s="33" t="s">
        <v>86</v>
      </c>
      <c r="C84" s="33" t="s">
        <v>87</v>
      </c>
      <c r="D84" s="16">
        <v>0.52410000000000001</v>
      </c>
      <c r="E84" s="16">
        <v>0.47589999999999999</v>
      </c>
      <c r="F84" s="37" t="s">
        <v>160</v>
      </c>
      <c r="G84" s="37">
        <v>1</v>
      </c>
      <c r="H84" s="37">
        <v>1</v>
      </c>
      <c r="I84" s="37">
        <v>1</v>
      </c>
      <c r="J84" s="37">
        <v>24</v>
      </c>
      <c r="K84" s="37">
        <v>13</v>
      </c>
      <c r="L84" s="37">
        <v>11</v>
      </c>
      <c r="M84" s="37">
        <f t="shared" si="5"/>
        <v>30</v>
      </c>
      <c r="N84" s="37">
        <f t="shared" si="6"/>
        <v>30</v>
      </c>
      <c r="O84" s="37">
        <f t="shared" si="7"/>
        <v>30</v>
      </c>
      <c r="P84" s="37">
        <f t="shared" si="8"/>
        <v>30</v>
      </c>
      <c r="Q84" s="104">
        <v>6000</v>
      </c>
      <c r="S84" s="31">
        <f t="shared" si="14"/>
        <v>26211815.309117179</v>
      </c>
      <c r="T84" s="31">
        <f t="shared" si="15"/>
        <v>26211815.309117179</v>
      </c>
      <c r="U84" s="31">
        <f t="shared" si="10"/>
        <v>26211815.309117179</v>
      </c>
      <c r="V84" s="31">
        <f t="shared" si="11"/>
        <v>26211815.309117179</v>
      </c>
      <c r="W84" s="31">
        <f t="shared" si="16"/>
        <v>26211815.309117179</v>
      </c>
      <c r="X84" s="31">
        <f t="shared" si="19"/>
        <v>26211815.309117179</v>
      </c>
      <c r="Y84" s="31">
        <f t="shared" si="19"/>
        <v>26211815.309117179</v>
      </c>
      <c r="AA84" s="31">
        <f t="shared" si="17"/>
        <v>183482707.16382024</v>
      </c>
      <c r="AB84" s="99"/>
      <c r="AC84" s="99">
        <f t="shared" si="18"/>
        <v>1</v>
      </c>
      <c r="AD84" s="99">
        <v>0.1</v>
      </c>
      <c r="AG84" s="48" t="b">
        <f t="shared" si="12"/>
        <v>0</v>
      </c>
    </row>
    <row r="85" spans="1:35" ht="23.1">
      <c r="A85" s="110"/>
      <c r="B85" s="33" t="s">
        <v>88</v>
      </c>
      <c r="C85" s="33" t="s">
        <v>73</v>
      </c>
      <c r="D85" s="16">
        <v>0.52410000000000001</v>
      </c>
      <c r="E85" s="16">
        <v>0.47589999999999999</v>
      </c>
      <c r="F85" s="37" t="s">
        <v>160</v>
      </c>
      <c r="G85" s="37"/>
      <c r="H85" s="37"/>
      <c r="I85" s="37">
        <v>1</v>
      </c>
      <c r="J85" s="37">
        <v>12</v>
      </c>
      <c r="K85" s="37">
        <v>12</v>
      </c>
      <c r="L85" s="37"/>
      <c r="M85" s="37">
        <f t="shared" si="5"/>
        <v>10</v>
      </c>
      <c r="N85" s="37">
        <f t="shared" si="6"/>
        <v>17</v>
      </c>
      <c r="O85" s="37">
        <f t="shared" si="7"/>
        <v>15</v>
      </c>
      <c r="P85" s="37">
        <f t="shared" si="8"/>
        <v>20</v>
      </c>
      <c r="Q85" s="104">
        <v>2000</v>
      </c>
      <c r="R85"/>
      <c r="S85" s="31">
        <f t="shared" si="14"/>
        <v>5651696.9208073737</v>
      </c>
      <c r="T85" s="31">
        <f t="shared" si="15"/>
        <v>7535595.8944098325</v>
      </c>
      <c r="U85" s="31">
        <f t="shared" si="10"/>
        <v>7535595.8944098325</v>
      </c>
      <c r="V85" s="31">
        <f t="shared" si="11"/>
        <v>6405256.5102483574</v>
      </c>
      <c r="W85" s="31">
        <f t="shared" si="16"/>
        <v>7535595.8944098325</v>
      </c>
      <c r="X85" s="31">
        <f t="shared" si="19"/>
        <v>7535595.8944098325</v>
      </c>
      <c r="Y85" s="31">
        <f t="shared" si="19"/>
        <v>7535595.8944098325</v>
      </c>
      <c r="Z85"/>
      <c r="AA85" s="31">
        <f t="shared" si="17"/>
        <v>49734932.903104901</v>
      </c>
      <c r="AB85" s="99"/>
      <c r="AC85" s="99">
        <f t="shared" si="18"/>
        <v>0</v>
      </c>
      <c r="AD85" s="98">
        <v>0.08</v>
      </c>
      <c r="AE85"/>
      <c r="AF85"/>
      <c r="AG85" s="48" t="b">
        <f t="shared" si="12"/>
        <v>1</v>
      </c>
      <c r="AH85"/>
      <c r="AI85"/>
    </row>
    <row r="86" spans="1:35" ht="23.1">
      <c r="A86" s="32" t="s">
        <v>89</v>
      </c>
      <c r="B86" s="33" t="s">
        <v>90</v>
      </c>
      <c r="C86" s="33" t="s">
        <v>87</v>
      </c>
      <c r="D86" s="16">
        <v>0.52410000000000001</v>
      </c>
      <c r="E86" s="16">
        <v>0.47589999999999999</v>
      </c>
      <c r="F86" s="37" t="s">
        <v>160</v>
      </c>
      <c r="G86" s="37">
        <v>2</v>
      </c>
      <c r="H86" s="37">
        <v>2</v>
      </c>
      <c r="I86" s="37">
        <v>2</v>
      </c>
      <c r="J86" s="37">
        <v>24</v>
      </c>
      <c r="K86" s="37">
        <v>13</v>
      </c>
      <c r="L86" s="37">
        <v>11</v>
      </c>
      <c r="M86" s="37">
        <v>30</v>
      </c>
      <c r="N86" s="37">
        <v>30</v>
      </c>
      <c r="O86" s="37">
        <v>30</v>
      </c>
      <c r="P86" s="37">
        <v>30</v>
      </c>
      <c r="Q86" s="104">
        <v>6000</v>
      </c>
      <c r="S86" s="31">
        <f t="shared" si="14"/>
        <v>52423630.618234359</v>
      </c>
      <c r="T86" s="31">
        <f t="shared" si="15"/>
        <v>52423630.618234359</v>
      </c>
      <c r="U86" s="31">
        <f t="shared" si="10"/>
        <v>52423630.618234359</v>
      </c>
      <c r="V86" s="31">
        <f t="shared" si="11"/>
        <v>52423630.618234359</v>
      </c>
      <c r="W86" s="31">
        <f t="shared" si="16"/>
        <v>52423630.618234359</v>
      </c>
      <c r="X86" s="31">
        <f t="shared" si="19"/>
        <v>52423630.618234359</v>
      </c>
      <c r="Y86" s="31">
        <f t="shared" si="19"/>
        <v>52423630.618234359</v>
      </c>
      <c r="AA86" s="31">
        <f t="shared" si="17"/>
        <v>366965414.32764047</v>
      </c>
      <c r="AB86" s="99"/>
      <c r="AC86" s="99">
        <f t="shared" si="18"/>
        <v>1</v>
      </c>
      <c r="AD86" s="99">
        <v>0.1</v>
      </c>
      <c r="AG86" s="48" t="b">
        <f t="shared" si="12"/>
        <v>0</v>
      </c>
    </row>
    <row r="87" spans="1:35" ht="23.1">
      <c r="A87" s="32" t="s">
        <v>91</v>
      </c>
      <c r="B87" s="33" t="s">
        <v>92</v>
      </c>
      <c r="C87" s="33" t="s">
        <v>93</v>
      </c>
      <c r="D87" s="16">
        <v>0.52410000000000001</v>
      </c>
      <c r="E87" s="16">
        <v>0.47589999999999999</v>
      </c>
      <c r="F87" s="37" t="s">
        <v>160</v>
      </c>
      <c r="G87" s="37">
        <v>1</v>
      </c>
      <c r="H87" s="37">
        <v>1</v>
      </c>
      <c r="I87" s="37">
        <v>1</v>
      </c>
      <c r="J87" s="37">
        <v>24</v>
      </c>
      <c r="K87" s="37">
        <v>13</v>
      </c>
      <c r="L87" s="37">
        <v>11</v>
      </c>
      <c r="M87" s="37">
        <f t="shared" si="5"/>
        <v>30</v>
      </c>
      <c r="N87" s="37">
        <f t="shared" si="6"/>
        <v>30</v>
      </c>
      <c r="O87" s="37">
        <f t="shared" si="7"/>
        <v>30</v>
      </c>
      <c r="P87" s="37">
        <f t="shared" si="8"/>
        <v>30</v>
      </c>
      <c r="Q87" s="104">
        <v>6000</v>
      </c>
      <c r="S87" s="31">
        <f t="shared" si="14"/>
        <v>25735236.848951411</v>
      </c>
      <c r="T87" s="31">
        <f t="shared" si="15"/>
        <v>25735236.848951411</v>
      </c>
      <c r="U87" s="31">
        <f t="shared" si="10"/>
        <v>25735236.848951411</v>
      </c>
      <c r="V87" s="31">
        <f t="shared" si="11"/>
        <v>25735236.848951411</v>
      </c>
      <c r="W87" s="31">
        <f t="shared" si="16"/>
        <v>25735236.848951411</v>
      </c>
      <c r="X87" s="31">
        <f t="shared" si="19"/>
        <v>25735236.848951411</v>
      </c>
      <c r="Y87" s="31">
        <f t="shared" si="19"/>
        <v>25735236.848951411</v>
      </c>
      <c r="AA87" s="31">
        <f t="shared" si="17"/>
        <v>180146657.94265985</v>
      </c>
      <c r="AB87" s="99"/>
      <c r="AC87" s="99">
        <f t="shared" si="18"/>
        <v>1</v>
      </c>
      <c r="AD87" s="99">
        <v>0.08</v>
      </c>
      <c r="AG87" s="48" t="b">
        <f t="shared" si="12"/>
        <v>0</v>
      </c>
    </row>
    <row r="88" spans="1:35" ht="34.5">
      <c r="A88" s="32" t="s">
        <v>94</v>
      </c>
      <c r="B88" s="33" t="s">
        <v>95</v>
      </c>
      <c r="C88" s="33" t="s">
        <v>87</v>
      </c>
      <c r="D88" s="16">
        <v>0.52410000000000001</v>
      </c>
      <c r="E88" s="16">
        <v>0.47589999999999999</v>
      </c>
      <c r="F88" s="37" t="s">
        <v>160</v>
      </c>
      <c r="G88" s="37">
        <v>1</v>
      </c>
      <c r="H88" s="37">
        <v>1</v>
      </c>
      <c r="I88" s="37">
        <v>1</v>
      </c>
      <c r="J88" s="37">
        <v>24</v>
      </c>
      <c r="K88" s="37">
        <v>13</v>
      </c>
      <c r="L88" s="37">
        <v>11</v>
      </c>
      <c r="M88" s="37">
        <f t="shared" si="5"/>
        <v>30</v>
      </c>
      <c r="N88" s="37">
        <f t="shared" si="6"/>
        <v>30</v>
      </c>
      <c r="O88" s="37">
        <f t="shared" si="7"/>
        <v>30</v>
      </c>
      <c r="P88" s="37">
        <f t="shared" si="8"/>
        <v>30</v>
      </c>
      <c r="Q88" s="104">
        <v>6000</v>
      </c>
      <c r="S88" s="31">
        <f t="shared" si="14"/>
        <v>26211815.309117179</v>
      </c>
      <c r="T88" s="31">
        <f t="shared" si="15"/>
        <v>26211815.309117179</v>
      </c>
      <c r="U88" s="31">
        <f t="shared" si="10"/>
        <v>26211815.309117179</v>
      </c>
      <c r="V88" s="31">
        <f t="shared" si="11"/>
        <v>26211815.309117179</v>
      </c>
      <c r="W88" s="31">
        <f t="shared" si="16"/>
        <v>26211815.309117179</v>
      </c>
      <c r="X88" s="31">
        <f t="shared" si="19"/>
        <v>26211815.309117179</v>
      </c>
      <c r="Y88" s="31">
        <f t="shared" si="19"/>
        <v>26211815.309117179</v>
      </c>
      <c r="AA88" s="31">
        <f t="shared" si="17"/>
        <v>183482707.16382024</v>
      </c>
      <c r="AB88" s="99"/>
      <c r="AC88" s="99">
        <f t="shared" si="18"/>
        <v>1</v>
      </c>
      <c r="AD88" s="99">
        <v>0.1</v>
      </c>
      <c r="AG88" s="48" t="b">
        <f t="shared" si="12"/>
        <v>0</v>
      </c>
    </row>
    <row r="89" spans="1:35">
      <c r="A89" s="14"/>
      <c r="B89" s="108" t="s">
        <v>164</v>
      </c>
      <c r="C89" s="108"/>
      <c r="D89" s="109"/>
      <c r="E89" s="109"/>
      <c r="F89" s="109"/>
      <c r="G89" s="44">
        <f>SUM(G29:G88)</f>
        <v>39</v>
      </c>
      <c r="H89" s="44">
        <f>SUM(H29:H88)</f>
        <v>22</v>
      </c>
      <c r="I89" s="44">
        <f>SUM(I29:I88)</f>
        <v>61</v>
      </c>
      <c r="J89" s="37"/>
      <c r="K89" s="37"/>
      <c r="L89" s="37"/>
      <c r="M89" s="37"/>
      <c r="N89" s="37"/>
      <c r="O89" s="37"/>
      <c r="P89" s="37"/>
      <c r="Q89" s="44"/>
      <c r="R89"/>
      <c r="S89" s="31">
        <f>SUM(S29:S88)</f>
        <v>807064720.98518419</v>
      </c>
      <c r="T89" s="97">
        <f t="shared" ref="T89:Y89" si="20">SUM(T29:T88)</f>
        <v>848286729.657848</v>
      </c>
      <c r="U89" s="97">
        <f t="shared" si="20"/>
        <v>848286729.657848</v>
      </c>
      <c r="V89" s="97">
        <f>SUM(V29:V88)</f>
        <v>799988961.81938469</v>
      </c>
      <c r="W89" s="97">
        <f t="shared" si="20"/>
        <v>848286729.657848</v>
      </c>
      <c r="X89" s="97">
        <f t="shared" si="20"/>
        <v>848286729.657848</v>
      </c>
      <c r="Y89" s="97">
        <f t="shared" si="20"/>
        <v>848286729.657848</v>
      </c>
      <c r="AA89" s="80">
        <f>SUM(AA29:AA88)</f>
        <v>5848487331.0938091</v>
      </c>
      <c r="AB89" s="98"/>
      <c r="AC89" s="98"/>
      <c r="AD89" s="98"/>
      <c r="AE89"/>
      <c r="AF89"/>
      <c r="AG89"/>
      <c r="AH89"/>
      <c r="AI89"/>
    </row>
    <row r="90" spans="1:35">
      <c r="AA90" s="56">
        <f>SUM(S89:Y89)</f>
        <v>5848487331.0938091</v>
      </c>
      <c r="AB90" s="99"/>
      <c r="AC90" s="99"/>
      <c r="AD90" s="99"/>
    </row>
    <row r="91" spans="1:35">
      <c r="AD91" s="79">
        <f>10%*19%</f>
        <v>1.9000000000000003E-2</v>
      </c>
    </row>
    <row r="92" spans="1:35">
      <c r="Z92"/>
      <c r="AA92" s="47">
        <f>+AA90*1.9%</f>
        <v>111121259.29078238</v>
      </c>
    </row>
    <row r="93" spans="1:35">
      <c r="Z93"/>
      <c r="AA93" s="55">
        <f>+AA92+AA90</f>
        <v>5959608590.3845911</v>
      </c>
    </row>
  </sheetData>
  <mergeCells count="14">
    <mergeCell ref="S27:Y27"/>
    <mergeCell ref="A49:A50"/>
    <mergeCell ref="A14:F14"/>
    <mergeCell ref="C24:D24"/>
    <mergeCell ref="A29:A48"/>
    <mergeCell ref="A27:Q27"/>
    <mergeCell ref="A84:A85"/>
    <mergeCell ref="B89:F89"/>
    <mergeCell ref="A51:A52"/>
    <mergeCell ref="A53:A54"/>
    <mergeCell ref="A56:A57"/>
    <mergeCell ref="A58:A69"/>
    <mergeCell ref="A70:A81"/>
    <mergeCell ref="A82:A83"/>
  </mergeCells>
  <hyperlinks>
    <hyperlink ref="C24" r:id="rId1" xr:uid="{A39EF11A-AD8B-43FD-8CEF-15AA28063052}"/>
    <hyperlink ref="C1" r:id="rId2" xr:uid="{36FC109A-40E2-4C9D-8985-CE5A63EA8808}"/>
  </hyperlinks>
  <pageMargins left="0.7" right="0.7" top="0.75" bottom="0.75" header="0.3" footer="0.3"/>
  <pageSetup paperSize="9" orientation="portrait" horizontalDpi="1200" verticalDpi="1200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DB1E5-88AA-4F2B-B4F9-1CBADC5A14C6}">
  <dimension ref="B2:H121"/>
  <sheetViews>
    <sheetView topLeftCell="A91" workbookViewId="0">
      <selection activeCell="E7" sqref="E7"/>
    </sheetView>
  </sheetViews>
  <sheetFormatPr defaultColWidth="11.42578125" defaultRowHeight="14.45"/>
  <cols>
    <col min="4" max="4" width="15.140625" customWidth="1"/>
  </cols>
  <sheetData>
    <row r="2" spans="2:8" ht="15" thickBot="1"/>
    <row r="3" spans="2:8" ht="15" thickBot="1">
      <c r="B3" s="137" t="s">
        <v>2</v>
      </c>
      <c r="C3" s="137" t="s">
        <v>3</v>
      </c>
      <c r="D3" s="137" t="s">
        <v>146</v>
      </c>
      <c r="E3" s="139" t="s">
        <v>190</v>
      </c>
      <c r="F3" s="140"/>
      <c r="G3" s="137" t="s">
        <v>149</v>
      </c>
      <c r="H3" s="137" t="s">
        <v>150</v>
      </c>
    </row>
    <row r="4" spans="2:8" ht="23.45" thickBot="1">
      <c r="B4" s="138"/>
      <c r="C4" s="138"/>
      <c r="D4" s="138"/>
      <c r="E4" s="68" t="s">
        <v>147</v>
      </c>
      <c r="F4" s="68" t="s">
        <v>148</v>
      </c>
      <c r="G4" s="138"/>
      <c r="H4" s="138"/>
    </row>
    <row r="5" spans="2:8" ht="15" thickBot="1">
      <c r="B5" s="121" t="s">
        <v>5</v>
      </c>
      <c r="C5" s="122"/>
      <c r="D5" s="122"/>
      <c r="E5" s="122"/>
      <c r="F5" s="122"/>
      <c r="G5" s="122"/>
      <c r="H5" s="123"/>
    </row>
    <row r="6" spans="2:8" ht="15" thickBot="1">
      <c r="B6" s="134"/>
      <c r="C6" s="135"/>
      <c r="D6" s="135"/>
      <c r="E6" s="135"/>
      <c r="F6" s="135"/>
      <c r="G6" s="135"/>
      <c r="H6" s="136"/>
    </row>
    <row r="7" spans="2:8" ht="69.599999999999994" thickBot="1">
      <c r="B7" s="69" t="s">
        <v>6</v>
      </c>
      <c r="C7" s="70" t="s">
        <v>7</v>
      </c>
      <c r="D7" s="71" t="s">
        <v>159</v>
      </c>
      <c r="E7" s="72">
        <v>1</v>
      </c>
      <c r="F7" s="72"/>
      <c r="G7" s="72">
        <v>1</v>
      </c>
      <c r="H7" s="72" t="s">
        <v>191</v>
      </c>
    </row>
    <row r="8" spans="2:8" ht="57.95" thickBot="1">
      <c r="B8" s="69" t="s">
        <v>8</v>
      </c>
      <c r="C8" s="70" t="s">
        <v>9</v>
      </c>
      <c r="D8" s="71" t="s">
        <v>160</v>
      </c>
      <c r="E8" s="72">
        <v>1</v>
      </c>
      <c r="F8" s="72">
        <v>1</v>
      </c>
      <c r="G8" s="72">
        <v>1</v>
      </c>
      <c r="H8" s="72" t="s">
        <v>192</v>
      </c>
    </row>
    <row r="9" spans="2:8" ht="69.599999999999994" thickBot="1">
      <c r="B9" s="69" t="s">
        <v>10</v>
      </c>
      <c r="C9" s="70" t="s">
        <v>11</v>
      </c>
      <c r="D9" s="71" t="s">
        <v>162</v>
      </c>
      <c r="E9" s="72"/>
      <c r="F9" s="72"/>
      <c r="G9" s="72">
        <v>1</v>
      </c>
      <c r="H9" s="72" t="s">
        <v>193</v>
      </c>
    </row>
    <row r="10" spans="2:8" ht="81" thickBot="1">
      <c r="B10" s="69" t="s">
        <v>12</v>
      </c>
      <c r="C10" s="70" t="s">
        <v>13</v>
      </c>
      <c r="D10" s="71" t="s">
        <v>160</v>
      </c>
      <c r="E10" s="72"/>
      <c r="F10" s="72"/>
      <c r="G10" s="72">
        <v>1</v>
      </c>
      <c r="H10" s="72" t="s">
        <v>194</v>
      </c>
    </row>
    <row r="11" spans="2:8" ht="69.599999999999994" thickBot="1">
      <c r="B11" s="69" t="s">
        <v>14</v>
      </c>
      <c r="C11" s="70" t="s">
        <v>15</v>
      </c>
      <c r="D11" s="71" t="s">
        <v>160</v>
      </c>
      <c r="E11" s="72"/>
      <c r="F11" s="72"/>
      <c r="G11" s="72">
        <v>1</v>
      </c>
      <c r="H11" s="72" t="s">
        <v>195</v>
      </c>
    </row>
    <row r="12" spans="2:8" ht="69.599999999999994" thickBot="1">
      <c r="B12" s="69" t="s">
        <v>16</v>
      </c>
      <c r="C12" s="70" t="s">
        <v>15</v>
      </c>
      <c r="D12" s="71" t="s">
        <v>160</v>
      </c>
      <c r="E12" s="72">
        <v>1</v>
      </c>
      <c r="F12" s="72"/>
      <c r="G12" s="72">
        <v>1</v>
      </c>
      <c r="H12" s="72" t="s">
        <v>195</v>
      </c>
    </row>
    <row r="13" spans="2:8" ht="69.599999999999994" thickBot="1">
      <c r="B13" s="69" t="s">
        <v>17</v>
      </c>
      <c r="C13" s="70" t="s">
        <v>15</v>
      </c>
      <c r="D13" s="71" t="s">
        <v>160</v>
      </c>
      <c r="E13" s="72"/>
      <c r="F13" s="72"/>
      <c r="G13" s="72">
        <v>1</v>
      </c>
      <c r="H13" s="72" t="s">
        <v>195</v>
      </c>
    </row>
    <row r="14" spans="2:8" ht="69.599999999999994" thickBot="1">
      <c r="B14" s="69" t="s">
        <v>18</v>
      </c>
      <c r="C14" s="70" t="s">
        <v>15</v>
      </c>
      <c r="D14" s="71" t="s">
        <v>160</v>
      </c>
      <c r="E14" s="72"/>
      <c r="F14" s="72"/>
      <c r="G14" s="72">
        <v>1</v>
      </c>
      <c r="H14" s="72" t="s">
        <v>195</v>
      </c>
    </row>
    <row r="15" spans="2:8" ht="69.599999999999994" thickBot="1">
      <c r="B15" s="69" t="s">
        <v>19</v>
      </c>
      <c r="C15" s="70" t="s">
        <v>15</v>
      </c>
      <c r="D15" s="71" t="s">
        <v>160</v>
      </c>
      <c r="E15" s="72"/>
      <c r="F15" s="72"/>
      <c r="G15" s="72">
        <v>1</v>
      </c>
      <c r="H15" s="72" t="s">
        <v>195</v>
      </c>
    </row>
    <row r="16" spans="2:8" ht="92.45" thickBot="1">
      <c r="B16" s="69" t="s">
        <v>20</v>
      </c>
      <c r="C16" s="70" t="s">
        <v>21</v>
      </c>
      <c r="D16" s="71" t="s">
        <v>160</v>
      </c>
      <c r="E16" s="72">
        <v>1</v>
      </c>
      <c r="F16" s="72"/>
      <c r="G16" s="72">
        <v>1</v>
      </c>
      <c r="H16" s="72" t="s">
        <v>193</v>
      </c>
    </row>
    <row r="17" spans="2:8" ht="69.599999999999994" thickBot="1">
      <c r="B17" s="69" t="s">
        <v>22</v>
      </c>
      <c r="C17" s="70" t="s">
        <v>23</v>
      </c>
      <c r="D17" s="71" t="s">
        <v>160</v>
      </c>
      <c r="E17" s="72">
        <v>1</v>
      </c>
      <c r="F17" s="72"/>
      <c r="G17" s="72">
        <v>1</v>
      </c>
      <c r="H17" s="72" t="s">
        <v>193</v>
      </c>
    </row>
    <row r="18" spans="2:8" ht="69.599999999999994" thickBot="1">
      <c r="B18" s="69" t="s">
        <v>24</v>
      </c>
      <c r="C18" s="70" t="s">
        <v>25</v>
      </c>
      <c r="D18" s="71" t="s">
        <v>160</v>
      </c>
      <c r="E18" s="72">
        <v>1</v>
      </c>
      <c r="F18" s="72"/>
      <c r="G18" s="72">
        <v>1</v>
      </c>
      <c r="H18" s="72" t="s">
        <v>193</v>
      </c>
    </row>
    <row r="19" spans="2:8" ht="69.599999999999994" thickBot="1">
      <c r="B19" s="69" t="s">
        <v>26</v>
      </c>
      <c r="C19" s="70" t="s">
        <v>23</v>
      </c>
      <c r="D19" s="71" t="s">
        <v>160</v>
      </c>
      <c r="E19" s="72">
        <v>1</v>
      </c>
      <c r="F19" s="72"/>
      <c r="G19" s="72">
        <v>1</v>
      </c>
      <c r="H19" s="72" t="s">
        <v>193</v>
      </c>
    </row>
    <row r="20" spans="2:8" ht="69.599999999999994" thickBot="1">
      <c r="B20" s="69" t="s">
        <v>27</v>
      </c>
      <c r="C20" s="70" t="s">
        <v>23</v>
      </c>
      <c r="D20" s="71" t="s">
        <v>160</v>
      </c>
      <c r="E20" s="72">
        <v>1</v>
      </c>
      <c r="F20" s="72"/>
      <c r="G20" s="72">
        <v>1</v>
      </c>
      <c r="H20" s="72" t="s">
        <v>193</v>
      </c>
    </row>
    <row r="21" spans="2:8" ht="69.599999999999994" thickBot="1">
      <c r="B21" s="69" t="s">
        <v>27</v>
      </c>
      <c r="C21" s="70" t="s">
        <v>25</v>
      </c>
      <c r="D21" s="71" t="s">
        <v>160</v>
      </c>
      <c r="E21" s="72">
        <v>1</v>
      </c>
      <c r="F21" s="72"/>
      <c r="G21" s="72">
        <v>1</v>
      </c>
      <c r="H21" s="72" t="s">
        <v>193</v>
      </c>
    </row>
    <row r="22" spans="2:8" ht="69.599999999999994" thickBot="1">
      <c r="B22" s="69" t="s">
        <v>28</v>
      </c>
      <c r="C22" s="70" t="s">
        <v>21</v>
      </c>
      <c r="D22" s="71" t="s">
        <v>160</v>
      </c>
      <c r="E22" s="72"/>
      <c r="F22" s="72"/>
      <c r="G22" s="72">
        <v>1</v>
      </c>
      <c r="H22" s="72" t="s">
        <v>193</v>
      </c>
    </row>
    <row r="23" spans="2:8" ht="69.599999999999994" thickBot="1">
      <c r="B23" s="69" t="s">
        <v>29</v>
      </c>
      <c r="C23" s="70" t="s">
        <v>21</v>
      </c>
      <c r="D23" s="71" t="s">
        <v>160</v>
      </c>
      <c r="E23" s="72"/>
      <c r="F23" s="72"/>
      <c r="G23" s="72">
        <v>1</v>
      </c>
      <c r="H23" s="72" t="s">
        <v>193</v>
      </c>
    </row>
    <row r="24" spans="2:8" ht="69.599999999999994" thickBot="1">
      <c r="B24" s="69" t="s">
        <v>30</v>
      </c>
      <c r="C24" s="70" t="s">
        <v>21</v>
      </c>
      <c r="D24" s="71" t="s">
        <v>160</v>
      </c>
      <c r="E24" s="72">
        <v>1</v>
      </c>
      <c r="F24" s="72"/>
      <c r="G24" s="72">
        <v>1</v>
      </c>
      <c r="H24" s="72" t="s">
        <v>193</v>
      </c>
    </row>
    <row r="25" spans="2:8" ht="69.599999999999994" thickBot="1">
      <c r="B25" s="69" t="s">
        <v>31</v>
      </c>
      <c r="C25" s="70" t="s">
        <v>21</v>
      </c>
      <c r="D25" s="71" t="s">
        <v>160</v>
      </c>
      <c r="E25" s="72"/>
      <c r="F25" s="72"/>
      <c r="G25" s="72">
        <v>1</v>
      </c>
      <c r="H25" s="72" t="s">
        <v>193</v>
      </c>
    </row>
    <row r="26" spans="2:8" ht="57.95" thickBot="1">
      <c r="B26" s="69" t="s">
        <v>32</v>
      </c>
      <c r="C26" s="70" t="s">
        <v>9</v>
      </c>
      <c r="D26" s="71" t="s">
        <v>160</v>
      </c>
      <c r="E26" s="72">
        <v>1</v>
      </c>
      <c r="F26" s="72">
        <v>1</v>
      </c>
      <c r="G26" s="72">
        <v>1</v>
      </c>
      <c r="H26" s="72" t="s">
        <v>192</v>
      </c>
    </row>
    <row r="27" spans="2:8" ht="15" thickBot="1">
      <c r="B27" s="118" t="s">
        <v>100</v>
      </c>
      <c r="C27" s="119"/>
      <c r="D27" s="120"/>
      <c r="E27" s="73">
        <f>SUM(E7:E26)</f>
        <v>11</v>
      </c>
      <c r="F27" s="73">
        <f t="shared" ref="F27:G27" si="0">SUM(F7:F26)</f>
        <v>2</v>
      </c>
      <c r="G27" s="73">
        <f t="shared" si="0"/>
        <v>20</v>
      </c>
      <c r="H27" s="74"/>
    </row>
    <row r="28" spans="2:8" ht="15" thickBot="1">
      <c r="B28" s="125"/>
      <c r="C28" s="126"/>
      <c r="D28" s="126"/>
      <c r="E28" s="126"/>
      <c r="F28" s="126"/>
      <c r="G28" s="126"/>
      <c r="H28" s="127"/>
    </row>
    <row r="29" spans="2:8" ht="15" thickBot="1">
      <c r="B29" s="121" t="s">
        <v>33</v>
      </c>
      <c r="C29" s="122"/>
      <c r="D29" s="122"/>
      <c r="E29" s="122"/>
      <c r="F29" s="122"/>
      <c r="G29" s="122"/>
      <c r="H29" s="123"/>
    </row>
    <row r="30" spans="2:8" ht="15" thickBot="1">
      <c r="B30" s="125"/>
      <c r="C30" s="126"/>
      <c r="D30" s="126"/>
      <c r="E30" s="126"/>
      <c r="F30" s="126"/>
      <c r="G30" s="126"/>
      <c r="H30" s="127"/>
    </row>
    <row r="31" spans="2:8" ht="57.95" thickBot="1">
      <c r="B31" s="69" t="s">
        <v>34</v>
      </c>
      <c r="C31" s="70" t="s">
        <v>35</v>
      </c>
      <c r="D31" s="71" t="s">
        <v>160</v>
      </c>
      <c r="E31" s="72">
        <v>1</v>
      </c>
      <c r="F31" s="72">
        <v>1</v>
      </c>
      <c r="G31" s="72">
        <v>1</v>
      </c>
      <c r="H31" s="72" t="s">
        <v>192</v>
      </c>
    </row>
    <row r="32" spans="2:8" ht="57.95" thickBot="1">
      <c r="B32" s="69" t="s">
        <v>36</v>
      </c>
      <c r="C32" s="70" t="s">
        <v>35</v>
      </c>
      <c r="D32" s="71" t="s">
        <v>160</v>
      </c>
      <c r="E32" s="72">
        <v>1</v>
      </c>
      <c r="F32" s="72">
        <v>1</v>
      </c>
      <c r="G32" s="72">
        <v>1</v>
      </c>
      <c r="H32" s="72" t="s">
        <v>192</v>
      </c>
    </row>
    <row r="33" spans="2:8" ht="15" thickBot="1">
      <c r="B33" s="118" t="s">
        <v>100</v>
      </c>
      <c r="C33" s="119"/>
      <c r="D33" s="120"/>
      <c r="E33" s="73">
        <f>SUM(E31:E32)</f>
        <v>2</v>
      </c>
      <c r="F33" s="73">
        <f t="shared" ref="F33:G33" si="1">SUM(F31:F32)</f>
        <v>2</v>
      </c>
      <c r="G33" s="73">
        <f t="shared" si="1"/>
        <v>2</v>
      </c>
      <c r="H33" s="72"/>
    </row>
    <row r="34" spans="2:8" ht="15" thickBot="1">
      <c r="B34" s="125"/>
      <c r="C34" s="126"/>
      <c r="D34" s="126"/>
      <c r="E34" s="126"/>
      <c r="F34" s="126"/>
      <c r="G34" s="126"/>
      <c r="H34" s="127"/>
    </row>
    <row r="35" spans="2:8" ht="15" thickBot="1">
      <c r="B35" s="121" t="s">
        <v>37</v>
      </c>
      <c r="C35" s="122"/>
      <c r="D35" s="122"/>
      <c r="E35" s="122"/>
      <c r="F35" s="122"/>
      <c r="G35" s="122"/>
      <c r="H35" s="123"/>
    </row>
    <row r="36" spans="2:8" ht="15" thickBot="1">
      <c r="B36" s="125"/>
      <c r="C36" s="126"/>
      <c r="D36" s="126"/>
      <c r="E36" s="126"/>
      <c r="F36" s="126"/>
      <c r="G36" s="126"/>
      <c r="H36" s="127"/>
    </row>
    <row r="37" spans="2:8" ht="57.95" thickBot="1">
      <c r="B37" s="75" t="s">
        <v>38</v>
      </c>
      <c r="C37" s="70" t="s">
        <v>35</v>
      </c>
      <c r="D37" s="71" t="s">
        <v>160</v>
      </c>
      <c r="E37" s="72">
        <v>1</v>
      </c>
      <c r="F37" s="72">
        <v>1</v>
      </c>
      <c r="G37" s="72">
        <v>1</v>
      </c>
      <c r="H37" s="72" t="s">
        <v>192</v>
      </c>
    </row>
    <row r="38" spans="2:8" ht="57.95" thickBot="1">
      <c r="B38" s="69" t="s">
        <v>39</v>
      </c>
      <c r="C38" s="70" t="s">
        <v>40</v>
      </c>
      <c r="D38" s="71" t="s">
        <v>160</v>
      </c>
      <c r="E38" s="72"/>
      <c r="F38" s="72"/>
      <c r="G38" s="72">
        <v>1</v>
      </c>
      <c r="H38" s="72" t="s">
        <v>193</v>
      </c>
    </row>
    <row r="39" spans="2:8" ht="15" thickBot="1">
      <c r="B39" s="118" t="s">
        <v>100</v>
      </c>
      <c r="C39" s="119"/>
      <c r="D39" s="120"/>
      <c r="E39" s="73">
        <f>SUM(E37:E38)</f>
        <v>1</v>
      </c>
      <c r="F39" s="73">
        <f t="shared" ref="F39:G39" si="2">SUM(F37:F38)</f>
        <v>1</v>
      </c>
      <c r="G39" s="73">
        <f t="shared" si="2"/>
        <v>2</v>
      </c>
      <c r="H39" s="72"/>
    </row>
    <row r="40" spans="2:8" ht="15" thickBot="1">
      <c r="B40" s="125"/>
      <c r="C40" s="126"/>
      <c r="D40" s="126"/>
      <c r="E40" s="126"/>
      <c r="F40" s="126"/>
      <c r="G40" s="126"/>
      <c r="H40" s="127"/>
    </row>
    <row r="41" spans="2:8" ht="15" thickBot="1">
      <c r="B41" s="121" t="s">
        <v>41</v>
      </c>
      <c r="C41" s="122"/>
      <c r="D41" s="122"/>
      <c r="E41" s="122"/>
      <c r="F41" s="122"/>
      <c r="G41" s="122"/>
      <c r="H41" s="123"/>
    </row>
    <row r="42" spans="2:8" ht="15" thickBot="1">
      <c r="B42" s="125"/>
      <c r="C42" s="126"/>
      <c r="D42" s="126"/>
      <c r="E42" s="126"/>
      <c r="F42" s="126"/>
      <c r="G42" s="126"/>
      <c r="H42" s="127"/>
    </row>
    <row r="43" spans="2:8" ht="46.5" thickBot="1">
      <c r="B43" s="69" t="s">
        <v>42</v>
      </c>
      <c r="C43" s="70" t="s">
        <v>43</v>
      </c>
      <c r="D43" s="72" t="s">
        <v>160</v>
      </c>
      <c r="E43" s="72">
        <v>1</v>
      </c>
      <c r="F43" s="72">
        <v>1</v>
      </c>
      <c r="G43" s="72">
        <v>1</v>
      </c>
      <c r="H43" s="72" t="s">
        <v>192</v>
      </c>
    </row>
    <row r="44" spans="2:8" ht="69.599999999999994" thickBot="1">
      <c r="B44" s="69" t="s">
        <v>44</v>
      </c>
      <c r="C44" s="70" t="s">
        <v>21</v>
      </c>
      <c r="D44" s="72" t="s">
        <v>160</v>
      </c>
      <c r="E44" s="72"/>
      <c r="F44" s="72"/>
      <c r="G44" s="72">
        <v>1</v>
      </c>
      <c r="H44" s="72" t="s">
        <v>192</v>
      </c>
    </row>
    <row r="45" spans="2:8" ht="15" thickBot="1">
      <c r="B45" s="118" t="s">
        <v>100</v>
      </c>
      <c r="C45" s="119"/>
      <c r="D45" s="120"/>
      <c r="E45" s="73">
        <v>1</v>
      </c>
      <c r="F45" s="73">
        <v>1</v>
      </c>
      <c r="G45" s="73">
        <v>2</v>
      </c>
      <c r="H45" s="74"/>
    </row>
    <row r="46" spans="2:8" ht="15" thickBot="1">
      <c r="B46" s="125"/>
      <c r="C46" s="126"/>
      <c r="D46" s="126"/>
      <c r="E46" s="126"/>
      <c r="F46" s="126"/>
      <c r="G46" s="126"/>
      <c r="H46" s="127"/>
    </row>
    <row r="47" spans="2:8" ht="15" thickBot="1">
      <c r="B47" s="121" t="s">
        <v>45</v>
      </c>
      <c r="C47" s="122"/>
      <c r="D47" s="122"/>
      <c r="E47" s="122"/>
      <c r="F47" s="122"/>
      <c r="G47" s="122"/>
      <c r="H47" s="123"/>
    </row>
    <row r="48" spans="2:8" ht="15" thickBot="1">
      <c r="B48" s="125"/>
      <c r="C48" s="126"/>
      <c r="D48" s="126"/>
      <c r="E48" s="126"/>
      <c r="F48" s="126"/>
      <c r="G48" s="126"/>
      <c r="H48" s="127"/>
    </row>
    <row r="49" spans="2:8" ht="57.95" thickBot="1">
      <c r="B49" s="69" t="s">
        <v>46</v>
      </c>
      <c r="C49" s="70" t="s">
        <v>35</v>
      </c>
      <c r="D49" s="72" t="s">
        <v>160</v>
      </c>
      <c r="E49" s="72">
        <v>1</v>
      </c>
      <c r="F49" s="72">
        <v>1</v>
      </c>
      <c r="G49" s="72">
        <v>1</v>
      </c>
      <c r="H49" s="72" t="s">
        <v>192</v>
      </c>
    </row>
    <row r="50" spans="2:8" ht="15" thickBot="1">
      <c r="B50" s="118" t="s">
        <v>100</v>
      </c>
      <c r="C50" s="119"/>
      <c r="D50" s="120"/>
      <c r="E50" s="73">
        <v>1</v>
      </c>
      <c r="F50" s="73">
        <v>1</v>
      </c>
      <c r="G50" s="73">
        <v>1</v>
      </c>
      <c r="H50" s="74"/>
    </row>
    <row r="51" spans="2:8" ht="15" thickBot="1">
      <c r="B51" s="125"/>
      <c r="C51" s="126"/>
      <c r="D51" s="126"/>
      <c r="E51" s="126"/>
      <c r="F51" s="126"/>
      <c r="G51" s="126"/>
      <c r="H51" s="127"/>
    </row>
    <row r="52" spans="2:8" ht="15" thickBot="1">
      <c r="B52" s="121" t="s">
        <v>47</v>
      </c>
      <c r="C52" s="122"/>
      <c r="D52" s="122"/>
      <c r="E52" s="122"/>
      <c r="F52" s="122"/>
      <c r="G52" s="122"/>
      <c r="H52" s="123"/>
    </row>
    <row r="53" spans="2:8" ht="15" thickBot="1">
      <c r="B53" s="125"/>
      <c r="C53" s="126"/>
      <c r="D53" s="126"/>
      <c r="E53" s="126"/>
      <c r="F53" s="126"/>
      <c r="G53" s="126"/>
      <c r="H53" s="127"/>
    </row>
    <row r="54" spans="2:8" ht="46.5" thickBot="1">
      <c r="B54" s="75" t="s">
        <v>48</v>
      </c>
      <c r="C54" s="70" t="s">
        <v>49</v>
      </c>
      <c r="D54" s="71" t="s">
        <v>160</v>
      </c>
      <c r="E54" s="72">
        <v>1</v>
      </c>
      <c r="F54" s="72"/>
      <c r="G54" s="72">
        <v>1</v>
      </c>
      <c r="H54" s="72" t="s">
        <v>192</v>
      </c>
    </row>
    <row r="55" spans="2:8" ht="46.5" thickBot="1">
      <c r="B55" s="75" t="s">
        <v>50</v>
      </c>
      <c r="C55" s="70" t="s">
        <v>49</v>
      </c>
      <c r="D55" s="71" t="s">
        <v>160</v>
      </c>
      <c r="E55" s="72">
        <v>1</v>
      </c>
      <c r="F55" s="72">
        <v>1</v>
      </c>
      <c r="G55" s="72">
        <v>1</v>
      </c>
      <c r="H55" s="72" t="s">
        <v>192</v>
      </c>
    </row>
    <row r="56" spans="2:8" ht="15" thickBot="1">
      <c r="B56" s="118" t="s">
        <v>100</v>
      </c>
      <c r="C56" s="119"/>
      <c r="D56" s="120"/>
      <c r="E56" s="73">
        <v>2</v>
      </c>
      <c r="F56" s="73">
        <v>1</v>
      </c>
      <c r="G56" s="73">
        <v>2</v>
      </c>
      <c r="H56" s="74"/>
    </row>
    <row r="57" spans="2:8" ht="15" thickBot="1">
      <c r="B57" s="125"/>
      <c r="C57" s="126"/>
      <c r="D57" s="126"/>
      <c r="E57" s="126"/>
      <c r="F57" s="126"/>
      <c r="G57" s="126"/>
      <c r="H57" s="127"/>
    </row>
    <row r="58" spans="2:8" ht="15" thickBot="1">
      <c r="B58" s="121" t="s">
        <v>51</v>
      </c>
      <c r="C58" s="122"/>
      <c r="D58" s="122"/>
      <c r="E58" s="122"/>
      <c r="F58" s="122"/>
      <c r="G58" s="122"/>
      <c r="H58" s="123"/>
    </row>
    <row r="59" spans="2:8" ht="15" thickBot="1">
      <c r="B59" s="121"/>
      <c r="C59" s="122"/>
      <c r="D59" s="122"/>
      <c r="E59" s="122"/>
      <c r="F59" s="122"/>
      <c r="G59" s="122"/>
      <c r="H59" s="124"/>
    </row>
    <row r="60" spans="2:8" ht="57.95" thickBot="1">
      <c r="B60" s="69" t="s">
        <v>52</v>
      </c>
      <c r="C60" s="70" t="s">
        <v>35</v>
      </c>
      <c r="D60" s="71" t="s">
        <v>160</v>
      </c>
      <c r="E60" s="72">
        <v>1</v>
      </c>
      <c r="F60" s="72">
        <v>1</v>
      </c>
      <c r="G60" s="72">
        <v>1</v>
      </c>
      <c r="H60" s="72" t="s">
        <v>192</v>
      </c>
    </row>
    <row r="61" spans="2:8" ht="57.95" thickBot="1">
      <c r="B61" s="69" t="s">
        <v>53</v>
      </c>
      <c r="C61" s="70" t="s">
        <v>35</v>
      </c>
      <c r="D61" s="71" t="s">
        <v>160</v>
      </c>
      <c r="E61" s="72">
        <v>1</v>
      </c>
      <c r="F61" s="72">
        <v>1</v>
      </c>
      <c r="G61" s="72">
        <v>1</v>
      </c>
      <c r="H61" s="72" t="s">
        <v>192</v>
      </c>
    </row>
    <row r="62" spans="2:8" ht="46.5" thickBot="1">
      <c r="B62" s="69" t="s">
        <v>54</v>
      </c>
      <c r="C62" s="70" t="s">
        <v>55</v>
      </c>
      <c r="D62" s="71" t="s">
        <v>163</v>
      </c>
      <c r="E62" s="72">
        <v>1</v>
      </c>
      <c r="F62" s="72">
        <v>1</v>
      </c>
      <c r="G62" s="72">
        <v>1</v>
      </c>
      <c r="H62" s="72" t="s">
        <v>192</v>
      </c>
    </row>
    <row r="63" spans="2:8" ht="57.95" thickBot="1">
      <c r="B63" s="69" t="s">
        <v>56</v>
      </c>
      <c r="C63" s="70" t="s">
        <v>35</v>
      </c>
      <c r="D63" s="71" t="s">
        <v>160</v>
      </c>
      <c r="E63" s="72">
        <v>1</v>
      </c>
      <c r="F63" s="72">
        <v>1</v>
      </c>
      <c r="G63" s="72">
        <v>1</v>
      </c>
      <c r="H63" s="72" t="s">
        <v>192</v>
      </c>
    </row>
    <row r="64" spans="2:8" ht="35.1" thickBot="1">
      <c r="B64" s="69" t="s">
        <v>57</v>
      </c>
      <c r="C64" s="70" t="s">
        <v>58</v>
      </c>
      <c r="D64" s="71" t="s">
        <v>160</v>
      </c>
      <c r="E64" s="72">
        <v>1</v>
      </c>
      <c r="F64" s="72">
        <v>1</v>
      </c>
      <c r="G64" s="72">
        <v>1</v>
      </c>
      <c r="H64" s="72" t="s">
        <v>192</v>
      </c>
    </row>
    <row r="65" spans="2:8" ht="45.95">
      <c r="B65" s="128" t="s">
        <v>57</v>
      </c>
      <c r="C65" s="76" t="s">
        <v>196</v>
      </c>
      <c r="D65" s="130" t="s">
        <v>160</v>
      </c>
      <c r="E65" s="132">
        <v>1</v>
      </c>
      <c r="F65" s="132">
        <v>1</v>
      </c>
      <c r="G65" s="132">
        <v>1</v>
      </c>
      <c r="H65" s="132" t="s">
        <v>197</v>
      </c>
    </row>
    <row r="66" spans="2:8" ht="46.5" thickBot="1">
      <c r="B66" s="129"/>
      <c r="C66" s="70" t="s">
        <v>198</v>
      </c>
      <c r="D66" s="131"/>
      <c r="E66" s="133"/>
      <c r="F66" s="133"/>
      <c r="G66" s="133"/>
      <c r="H66" s="133"/>
    </row>
    <row r="67" spans="2:8" ht="45.95">
      <c r="B67" s="128" t="s">
        <v>60</v>
      </c>
      <c r="C67" s="76" t="s">
        <v>199</v>
      </c>
      <c r="D67" s="130" t="s">
        <v>160</v>
      </c>
      <c r="E67" s="132">
        <v>1</v>
      </c>
      <c r="F67" s="132"/>
      <c r="G67" s="132">
        <v>1</v>
      </c>
      <c r="H67" s="132" t="s">
        <v>194</v>
      </c>
    </row>
    <row r="68" spans="2:8" ht="35.1" thickBot="1">
      <c r="B68" s="129"/>
      <c r="C68" s="70" t="s">
        <v>200</v>
      </c>
      <c r="D68" s="131"/>
      <c r="E68" s="133"/>
      <c r="F68" s="133"/>
      <c r="G68" s="133"/>
      <c r="H68" s="133"/>
    </row>
    <row r="69" spans="2:8" ht="81" thickBot="1">
      <c r="B69" s="69" t="s">
        <v>61</v>
      </c>
      <c r="C69" s="70" t="s">
        <v>62</v>
      </c>
      <c r="D69" s="71" t="s">
        <v>160</v>
      </c>
      <c r="E69" s="72">
        <v>1</v>
      </c>
      <c r="F69" s="72"/>
      <c r="G69" s="72">
        <v>1</v>
      </c>
      <c r="H69" s="72" t="s">
        <v>194</v>
      </c>
    </row>
    <row r="70" spans="2:8" ht="45.95">
      <c r="B70" s="128" t="s">
        <v>63</v>
      </c>
      <c r="C70" s="76" t="s">
        <v>199</v>
      </c>
      <c r="D70" s="130" t="s">
        <v>160</v>
      </c>
      <c r="E70" s="132">
        <v>1</v>
      </c>
      <c r="F70" s="132"/>
      <c r="G70" s="132">
        <v>1</v>
      </c>
      <c r="H70" s="132" t="s">
        <v>194</v>
      </c>
    </row>
    <row r="71" spans="2:8" ht="35.1" thickBot="1">
      <c r="B71" s="129"/>
      <c r="C71" s="70" t="s">
        <v>200</v>
      </c>
      <c r="D71" s="131"/>
      <c r="E71" s="133"/>
      <c r="F71" s="133"/>
      <c r="G71" s="133"/>
      <c r="H71" s="133"/>
    </row>
    <row r="72" spans="2:8" ht="57.95" thickBot="1">
      <c r="B72" s="69" t="s">
        <v>64</v>
      </c>
      <c r="C72" s="70" t="s">
        <v>65</v>
      </c>
      <c r="D72" s="71" t="s">
        <v>160</v>
      </c>
      <c r="E72" s="72">
        <v>1</v>
      </c>
      <c r="F72" s="72"/>
      <c r="G72" s="72">
        <v>1</v>
      </c>
      <c r="H72" s="72" t="s">
        <v>193</v>
      </c>
    </row>
    <row r="73" spans="2:8" ht="57.95" thickBot="1">
      <c r="B73" s="69" t="s">
        <v>66</v>
      </c>
      <c r="C73" s="70" t="s">
        <v>65</v>
      </c>
      <c r="D73" s="71" t="s">
        <v>163</v>
      </c>
      <c r="E73" s="72">
        <v>1</v>
      </c>
      <c r="F73" s="72"/>
      <c r="G73" s="72">
        <v>1</v>
      </c>
      <c r="H73" s="72" t="s">
        <v>193</v>
      </c>
    </row>
    <row r="74" spans="2:8" ht="69">
      <c r="B74" s="128" t="s">
        <v>67</v>
      </c>
      <c r="C74" s="76" t="s">
        <v>201</v>
      </c>
      <c r="D74" s="130" t="s">
        <v>162</v>
      </c>
      <c r="E74" s="132">
        <v>1</v>
      </c>
      <c r="F74" s="132"/>
      <c r="G74" s="132">
        <v>1</v>
      </c>
      <c r="H74" s="132" t="s">
        <v>193</v>
      </c>
    </row>
    <row r="75" spans="2:8" ht="15" thickBot="1">
      <c r="B75" s="129"/>
      <c r="C75" s="70" t="s">
        <v>202</v>
      </c>
      <c r="D75" s="131"/>
      <c r="E75" s="133"/>
      <c r="F75" s="133"/>
      <c r="G75" s="133"/>
      <c r="H75" s="133"/>
    </row>
    <row r="76" spans="2:8" ht="15" thickBot="1">
      <c r="B76" s="118" t="s">
        <v>100</v>
      </c>
      <c r="C76" s="119"/>
      <c r="D76" s="120"/>
      <c r="E76" s="73">
        <f>SUM(E60:E75)</f>
        <v>12</v>
      </c>
      <c r="F76" s="73">
        <f>SUM(F60:F75)</f>
        <v>6</v>
      </c>
      <c r="G76" s="73">
        <f>SUM(G60:G75)</f>
        <v>12</v>
      </c>
      <c r="H76" s="74"/>
    </row>
    <row r="77" spans="2:8" ht="15" thickBot="1">
      <c r="B77" s="125"/>
      <c r="C77" s="126"/>
      <c r="D77" s="126"/>
      <c r="E77" s="126"/>
      <c r="F77" s="126"/>
      <c r="G77" s="126"/>
      <c r="H77" s="127"/>
    </row>
    <row r="78" spans="2:8" ht="15" thickBot="1">
      <c r="B78" s="121" t="s">
        <v>69</v>
      </c>
      <c r="C78" s="122"/>
      <c r="D78" s="122"/>
      <c r="E78" s="122"/>
      <c r="F78" s="122"/>
      <c r="G78" s="122"/>
      <c r="H78" s="123"/>
    </row>
    <row r="79" spans="2:8" ht="15" thickBot="1">
      <c r="B79" s="121"/>
      <c r="C79" s="122"/>
      <c r="D79" s="122"/>
      <c r="E79" s="122"/>
      <c r="F79" s="122"/>
      <c r="G79" s="122"/>
      <c r="H79" s="124"/>
    </row>
    <row r="80" spans="2:8" ht="46.5" thickBot="1">
      <c r="B80" s="69" t="s">
        <v>70</v>
      </c>
      <c r="C80" s="70" t="s">
        <v>49</v>
      </c>
      <c r="D80" s="71" t="s">
        <v>163</v>
      </c>
      <c r="E80" s="72">
        <v>1</v>
      </c>
      <c r="F80" s="72">
        <v>1</v>
      </c>
      <c r="G80" s="72">
        <v>1</v>
      </c>
      <c r="H80" s="72" t="s">
        <v>192</v>
      </c>
    </row>
    <row r="81" spans="2:8" ht="46.5" thickBot="1">
      <c r="B81" s="69" t="s">
        <v>38</v>
      </c>
      <c r="C81" s="70" t="s">
        <v>49</v>
      </c>
      <c r="D81" s="71" t="s">
        <v>160</v>
      </c>
      <c r="E81" s="72">
        <v>1</v>
      </c>
      <c r="F81" s="72">
        <v>1</v>
      </c>
      <c r="G81" s="72">
        <v>1</v>
      </c>
      <c r="H81" s="72" t="s">
        <v>192</v>
      </c>
    </row>
    <row r="82" spans="2:8" ht="46.5" thickBot="1">
      <c r="B82" s="69" t="s">
        <v>71</v>
      </c>
      <c r="C82" s="70" t="s">
        <v>49</v>
      </c>
      <c r="D82" s="71" t="s">
        <v>160</v>
      </c>
      <c r="E82" s="72">
        <v>1</v>
      </c>
      <c r="F82" s="72">
        <v>1</v>
      </c>
      <c r="G82" s="72">
        <v>1</v>
      </c>
      <c r="H82" s="72" t="s">
        <v>192</v>
      </c>
    </row>
    <row r="83" spans="2:8" ht="69.599999999999994" thickBot="1">
      <c r="B83" s="69" t="s">
        <v>72</v>
      </c>
      <c r="C83" s="70" t="s">
        <v>73</v>
      </c>
      <c r="D83" s="71" t="s">
        <v>160</v>
      </c>
      <c r="E83" s="72"/>
      <c r="F83" s="72"/>
      <c r="G83" s="72">
        <v>1</v>
      </c>
      <c r="H83" s="72" t="s">
        <v>193</v>
      </c>
    </row>
    <row r="84" spans="2:8" ht="69.599999999999994" thickBot="1">
      <c r="B84" s="69" t="s">
        <v>74</v>
      </c>
      <c r="C84" s="70" t="s">
        <v>73</v>
      </c>
      <c r="D84" s="71" t="s">
        <v>160</v>
      </c>
      <c r="E84" s="72"/>
      <c r="F84" s="72"/>
      <c r="G84" s="72">
        <v>1</v>
      </c>
      <c r="H84" s="72" t="s">
        <v>193</v>
      </c>
    </row>
    <row r="85" spans="2:8" ht="81" thickBot="1">
      <c r="B85" s="69" t="s">
        <v>75</v>
      </c>
      <c r="C85" s="70" t="s">
        <v>76</v>
      </c>
      <c r="D85" s="71" t="s">
        <v>162</v>
      </c>
      <c r="E85" s="72"/>
      <c r="F85" s="72"/>
      <c r="G85" s="72">
        <v>1</v>
      </c>
      <c r="H85" s="72" t="s">
        <v>193</v>
      </c>
    </row>
    <row r="86" spans="2:8" ht="69.599999999999994" thickBot="1">
      <c r="B86" s="69" t="s">
        <v>77</v>
      </c>
      <c r="C86" s="70" t="s">
        <v>73</v>
      </c>
      <c r="D86" s="71" t="s">
        <v>160</v>
      </c>
      <c r="E86" s="72"/>
      <c r="F86" s="72"/>
      <c r="G86" s="72">
        <v>1</v>
      </c>
      <c r="H86" s="72" t="s">
        <v>193</v>
      </c>
    </row>
    <row r="87" spans="2:8" ht="69.599999999999994" thickBot="1">
      <c r="B87" s="69" t="s">
        <v>78</v>
      </c>
      <c r="C87" s="70" t="s">
        <v>73</v>
      </c>
      <c r="D87" s="71" t="s">
        <v>160</v>
      </c>
      <c r="E87" s="72"/>
      <c r="F87" s="72"/>
      <c r="G87" s="72">
        <v>1</v>
      </c>
      <c r="H87" s="72" t="s">
        <v>193</v>
      </c>
    </row>
    <row r="88" spans="2:8" ht="69.599999999999994" thickBot="1">
      <c r="B88" s="69" t="s">
        <v>79</v>
      </c>
      <c r="C88" s="70" t="s">
        <v>73</v>
      </c>
      <c r="D88" s="71" t="s">
        <v>160</v>
      </c>
      <c r="E88" s="72"/>
      <c r="F88" s="72"/>
      <c r="G88" s="72">
        <v>1</v>
      </c>
      <c r="H88" s="72" t="s">
        <v>193</v>
      </c>
    </row>
    <row r="89" spans="2:8" ht="69.599999999999994" thickBot="1">
      <c r="B89" s="69" t="s">
        <v>80</v>
      </c>
      <c r="C89" s="70" t="s">
        <v>73</v>
      </c>
      <c r="D89" s="71" t="s">
        <v>160</v>
      </c>
      <c r="E89" s="72">
        <v>1</v>
      </c>
      <c r="F89" s="72"/>
      <c r="G89" s="72">
        <v>1</v>
      </c>
      <c r="H89" s="72" t="s">
        <v>193</v>
      </c>
    </row>
    <row r="90" spans="2:8" ht="69.599999999999994" thickBot="1">
      <c r="B90" s="69" t="s">
        <v>81</v>
      </c>
      <c r="C90" s="70" t="s">
        <v>73</v>
      </c>
      <c r="D90" s="71" t="s">
        <v>160</v>
      </c>
      <c r="E90" s="72"/>
      <c r="F90" s="72"/>
      <c r="G90" s="72">
        <v>1</v>
      </c>
      <c r="H90" s="72" t="s">
        <v>193</v>
      </c>
    </row>
    <row r="91" spans="2:8" ht="69.599999999999994" thickBot="1">
      <c r="B91" s="69" t="s">
        <v>81</v>
      </c>
      <c r="C91" s="70" t="s">
        <v>73</v>
      </c>
      <c r="D91" s="71" t="s">
        <v>160</v>
      </c>
      <c r="E91" s="72"/>
      <c r="F91" s="72"/>
      <c r="G91" s="72">
        <v>1</v>
      </c>
      <c r="H91" s="72" t="s">
        <v>193</v>
      </c>
    </row>
    <row r="92" spans="2:8" ht="15" thickBot="1">
      <c r="B92" s="118" t="s">
        <v>100</v>
      </c>
      <c r="C92" s="119"/>
      <c r="D92" s="120"/>
      <c r="E92" s="73">
        <f>SUM(E80:E91)</f>
        <v>4</v>
      </c>
      <c r="F92" s="73">
        <f t="shared" ref="F92:G92" si="3">SUM(F80:F91)</f>
        <v>3</v>
      </c>
      <c r="G92" s="73">
        <f t="shared" si="3"/>
        <v>12</v>
      </c>
      <c r="H92" s="74"/>
    </row>
    <row r="93" spans="2:8" ht="15" thickBot="1">
      <c r="B93" s="125"/>
      <c r="C93" s="126"/>
      <c r="D93" s="126"/>
      <c r="E93" s="126"/>
      <c r="F93" s="126"/>
      <c r="G93" s="126"/>
      <c r="H93" s="127"/>
    </row>
    <row r="94" spans="2:8" ht="15" thickBot="1">
      <c r="B94" s="121" t="s">
        <v>82</v>
      </c>
      <c r="C94" s="122"/>
      <c r="D94" s="122"/>
      <c r="E94" s="122"/>
      <c r="F94" s="122"/>
      <c r="G94" s="122"/>
      <c r="H94" s="123"/>
    </row>
    <row r="95" spans="2:8" ht="15" thickBot="1">
      <c r="B95" s="121"/>
      <c r="C95" s="122"/>
      <c r="D95" s="122"/>
      <c r="E95" s="122"/>
      <c r="F95" s="122"/>
      <c r="G95" s="122"/>
      <c r="H95" s="124"/>
    </row>
    <row r="96" spans="2:8" ht="69.599999999999994" thickBot="1">
      <c r="B96" s="69" t="s">
        <v>38</v>
      </c>
      <c r="C96" s="70" t="s">
        <v>73</v>
      </c>
      <c r="D96" s="72" t="s">
        <v>160</v>
      </c>
      <c r="E96" s="72"/>
      <c r="F96" s="72"/>
      <c r="G96" s="72">
        <v>1</v>
      </c>
      <c r="H96" s="72" t="s">
        <v>193</v>
      </c>
    </row>
    <row r="97" spans="2:8" ht="69.599999999999994" thickBot="1">
      <c r="B97" s="69" t="s">
        <v>83</v>
      </c>
      <c r="C97" s="70" t="s">
        <v>84</v>
      </c>
      <c r="D97" s="72" t="s">
        <v>160</v>
      </c>
      <c r="E97" s="72"/>
      <c r="F97" s="72"/>
      <c r="G97" s="72">
        <v>1</v>
      </c>
      <c r="H97" s="72" t="s">
        <v>203</v>
      </c>
    </row>
    <row r="98" spans="2:8" ht="15" thickBot="1">
      <c r="B98" s="118" t="s">
        <v>100</v>
      </c>
      <c r="C98" s="119"/>
      <c r="D98" s="120"/>
      <c r="E98" s="73">
        <v>0</v>
      </c>
      <c r="F98" s="73">
        <v>0</v>
      </c>
      <c r="G98" s="73">
        <v>2</v>
      </c>
      <c r="H98" s="74"/>
    </row>
    <row r="99" spans="2:8" ht="15" thickBot="1">
      <c r="B99" s="125"/>
      <c r="C99" s="126"/>
      <c r="D99" s="126"/>
      <c r="E99" s="126"/>
      <c r="F99" s="126"/>
      <c r="G99" s="126"/>
      <c r="H99" s="127"/>
    </row>
    <row r="100" spans="2:8" ht="15" thickBot="1">
      <c r="B100" s="121" t="s">
        <v>85</v>
      </c>
      <c r="C100" s="122"/>
      <c r="D100" s="122"/>
      <c r="E100" s="122"/>
      <c r="F100" s="122"/>
      <c r="G100" s="122"/>
      <c r="H100" s="123"/>
    </row>
    <row r="101" spans="2:8" ht="15" thickBot="1">
      <c r="B101" s="121"/>
      <c r="C101" s="122"/>
      <c r="D101" s="122"/>
      <c r="E101" s="122"/>
      <c r="F101" s="122"/>
      <c r="G101" s="122"/>
      <c r="H101" s="124"/>
    </row>
    <row r="102" spans="2:8" ht="57.95" thickBot="1">
      <c r="B102" s="69" t="s">
        <v>86</v>
      </c>
      <c r="C102" s="70" t="s">
        <v>87</v>
      </c>
      <c r="D102" s="72" t="s">
        <v>160</v>
      </c>
      <c r="E102" s="72">
        <v>1</v>
      </c>
      <c r="F102" s="72">
        <v>1</v>
      </c>
      <c r="G102" s="72">
        <v>1</v>
      </c>
      <c r="H102" s="72" t="s">
        <v>192</v>
      </c>
    </row>
    <row r="103" spans="2:8" ht="69.599999999999994" thickBot="1">
      <c r="B103" s="69" t="s">
        <v>88</v>
      </c>
      <c r="C103" s="70" t="s">
        <v>73</v>
      </c>
      <c r="D103" s="72" t="s">
        <v>160</v>
      </c>
      <c r="E103" s="72"/>
      <c r="F103" s="72"/>
      <c r="G103" s="72">
        <v>1</v>
      </c>
      <c r="H103" s="72" t="s">
        <v>193</v>
      </c>
    </row>
    <row r="104" spans="2:8" ht="15" thickBot="1">
      <c r="B104" s="118" t="s">
        <v>100</v>
      </c>
      <c r="C104" s="119"/>
      <c r="D104" s="120"/>
      <c r="E104" s="73">
        <v>1</v>
      </c>
      <c r="F104" s="73">
        <v>1</v>
      </c>
      <c r="G104" s="73">
        <v>2</v>
      </c>
      <c r="H104" s="74"/>
    </row>
    <row r="105" spans="2:8" ht="15" thickBot="1">
      <c r="B105" s="125"/>
      <c r="C105" s="126"/>
      <c r="D105" s="126"/>
      <c r="E105" s="126"/>
      <c r="F105" s="126"/>
      <c r="G105" s="126"/>
      <c r="H105" s="127"/>
    </row>
    <row r="106" spans="2:8" ht="15" thickBot="1">
      <c r="B106" s="121" t="s">
        <v>89</v>
      </c>
      <c r="C106" s="122"/>
      <c r="D106" s="122"/>
      <c r="E106" s="122"/>
      <c r="F106" s="122"/>
      <c r="G106" s="122"/>
      <c r="H106" s="123"/>
    </row>
    <row r="107" spans="2:8" ht="15" thickBot="1">
      <c r="B107" s="121"/>
      <c r="C107" s="122"/>
      <c r="D107" s="122"/>
      <c r="E107" s="122"/>
      <c r="F107" s="122"/>
      <c r="G107" s="122"/>
      <c r="H107" s="124"/>
    </row>
    <row r="108" spans="2:8" ht="57.95" thickBot="1">
      <c r="B108" s="69" t="s">
        <v>90</v>
      </c>
      <c r="C108" s="70" t="s">
        <v>87</v>
      </c>
      <c r="D108" s="72" t="s">
        <v>160</v>
      </c>
      <c r="E108" s="72">
        <v>2</v>
      </c>
      <c r="F108" s="72">
        <v>2</v>
      </c>
      <c r="G108" s="72">
        <v>2</v>
      </c>
      <c r="H108" s="72" t="s">
        <v>192</v>
      </c>
    </row>
    <row r="109" spans="2:8" ht="15" thickBot="1">
      <c r="B109" s="118" t="s">
        <v>100</v>
      </c>
      <c r="C109" s="119"/>
      <c r="D109" s="120"/>
      <c r="E109" s="73">
        <v>2</v>
      </c>
      <c r="F109" s="73">
        <v>2</v>
      </c>
      <c r="G109" s="73">
        <v>2</v>
      </c>
      <c r="H109" s="74"/>
    </row>
    <row r="110" spans="2:8" ht="15" thickBot="1">
      <c r="B110" s="125"/>
      <c r="C110" s="126"/>
      <c r="D110" s="126"/>
      <c r="E110" s="126"/>
      <c r="F110" s="126"/>
      <c r="G110" s="126"/>
      <c r="H110" s="127"/>
    </row>
    <row r="111" spans="2:8" ht="15" thickBot="1">
      <c r="B111" s="121" t="s">
        <v>91</v>
      </c>
      <c r="C111" s="122"/>
      <c r="D111" s="122"/>
      <c r="E111" s="122"/>
      <c r="F111" s="122"/>
      <c r="G111" s="122"/>
      <c r="H111" s="123"/>
    </row>
    <row r="112" spans="2:8" ht="15" thickBot="1">
      <c r="B112" s="121"/>
      <c r="C112" s="122"/>
      <c r="D112" s="122"/>
      <c r="E112" s="122"/>
      <c r="F112" s="122"/>
      <c r="G112" s="122"/>
      <c r="H112" s="124"/>
    </row>
    <row r="113" spans="2:8" ht="57.95" thickBot="1">
      <c r="B113" s="69" t="s">
        <v>92</v>
      </c>
      <c r="C113" s="70" t="s">
        <v>93</v>
      </c>
      <c r="D113" s="72" t="s">
        <v>160</v>
      </c>
      <c r="E113" s="72">
        <v>1</v>
      </c>
      <c r="F113" s="72">
        <v>1</v>
      </c>
      <c r="G113" s="72">
        <v>1</v>
      </c>
      <c r="H113" s="72" t="s">
        <v>192</v>
      </c>
    </row>
    <row r="114" spans="2:8" ht="15" thickBot="1">
      <c r="B114" s="118" t="s">
        <v>100</v>
      </c>
      <c r="C114" s="119"/>
      <c r="D114" s="120"/>
      <c r="E114" s="73">
        <v>1</v>
      </c>
      <c r="F114" s="73">
        <v>1</v>
      </c>
      <c r="G114" s="73">
        <v>1</v>
      </c>
      <c r="H114" s="72"/>
    </row>
    <row r="115" spans="2:8" ht="15" thickBot="1">
      <c r="B115" s="125"/>
      <c r="C115" s="126"/>
      <c r="D115" s="126"/>
      <c r="E115" s="126"/>
      <c r="F115" s="126"/>
      <c r="G115" s="126"/>
      <c r="H115" s="127"/>
    </row>
    <row r="116" spans="2:8" ht="15" thickBot="1">
      <c r="B116" s="121" t="s">
        <v>94</v>
      </c>
      <c r="C116" s="122"/>
      <c r="D116" s="122"/>
      <c r="E116" s="122"/>
      <c r="F116" s="122"/>
      <c r="G116" s="122"/>
      <c r="H116" s="123"/>
    </row>
    <row r="117" spans="2:8" ht="15" thickBot="1">
      <c r="B117" s="121"/>
      <c r="C117" s="122"/>
      <c r="D117" s="122"/>
      <c r="E117" s="122"/>
      <c r="F117" s="122"/>
      <c r="G117" s="122"/>
      <c r="H117" s="124"/>
    </row>
    <row r="118" spans="2:8" ht="57.95" thickBot="1">
      <c r="B118" s="69" t="s">
        <v>95</v>
      </c>
      <c r="C118" s="70" t="s">
        <v>87</v>
      </c>
      <c r="D118" s="72" t="s">
        <v>160</v>
      </c>
      <c r="E118" s="72">
        <v>1</v>
      </c>
      <c r="F118" s="72">
        <v>1</v>
      </c>
      <c r="G118" s="72">
        <v>1</v>
      </c>
      <c r="H118" s="72" t="s">
        <v>192</v>
      </c>
    </row>
    <row r="119" spans="2:8" ht="15" thickBot="1">
      <c r="B119" s="118" t="s">
        <v>100</v>
      </c>
      <c r="C119" s="119"/>
      <c r="D119" s="120"/>
      <c r="E119" s="73">
        <v>1</v>
      </c>
      <c r="F119" s="73">
        <v>1</v>
      </c>
      <c r="G119" s="73">
        <v>1</v>
      </c>
      <c r="H119" s="72"/>
    </row>
    <row r="120" spans="2:8" ht="15" thickBot="1">
      <c r="B120" s="121"/>
      <c r="C120" s="122"/>
      <c r="D120" s="122"/>
      <c r="E120" s="122"/>
      <c r="F120" s="122"/>
      <c r="G120" s="122"/>
      <c r="H120" s="123"/>
    </row>
    <row r="121" spans="2:8" ht="15" thickBot="1">
      <c r="B121" s="118" t="s">
        <v>164</v>
      </c>
      <c r="C121" s="119"/>
      <c r="D121" s="120"/>
      <c r="E121" s="73">
        <f>E27+E33+E39+E45+E50+E56+E76+E92+E98+E104+E109+E114+E119</f>
        <v>39</v>
      </c>
      <c r="F121" s="73">
        <f>F27+F33+F39+F45+F50+F56+F76+F92+F98+F104+F109+F114+F119</f>
        <v>22</v>
      </c>
      <c r="G121" s="73">
        <f>G27+G33+G39+G45+G50+G56+G76+G92+G98+G104+G109+G114+G119</f>
        <v>61</v>
      </c>
      <c r="H121" s="74"/>
    </row>
  </sheetData>
  <mergeCells count="83">
    <mergeCell ref="H3:H4"/>
    <mergeCell ref="B3:B4"/>
    <mergeCell ref="C3:C4"/>
    <mergeCell ref="D3:D4"/>
    <mergeCell ref="E3:F3"/>
    <mergeCell ref="G3:G4"/>
    <mergeCell ref="B40:H40"/>
    <mergeCell ref="B5:H5"/>
    <mergeCell ref="B6:H6"/>
    <mergeCell ref="B27:D27"/>
    <mergeCell ref="B28:H28"/>
    <mergeCell ref="B29:H29"/>
    <mergeCell ref="B30:H30"/>
    <mergeCell ref="B33:D33"/>
    <mergeCell ref="B34:H34"/>
    <mergeCell ref="B35:H35"/>
    <mergeCell ref="B36:H36"/>
    <mergeCell ref="B39:D39"/>
    <mergeCell ref="B57:H57"/>
    <mergeCell ref="B41:H41"/>
    <mergeCell ref="B42:H42"/>
    <mergeCell ref="B45:D45"/>
    <mergeCell ref="B46:H46"/>
    <mergeCell ref="B47:H47"/>
    <mergeCell ref="B48:H48"/>
    <mergeCell ref="B50:D50"/>
    <mergeCell ref="B51:H51"/>
    <mergeCell ref="B52:H52"/>
    <mergeCell ref="B53:H53"/>
    <mergeCell ref="B56:D56"/>
    <mergeCell ref="B58:H58"/>
    <mergeCell ref="B59:H59"/>
    <mergeCell ref="B65:B66"/>
    <mergeCell ref="D65:D66"/>
    <mergeCell ref="E65:E66"/>
    <mergeCell ref="F65:F66"/>
    <mergeCell ref="G65:G66"/>
    <mergeCell ref="H65:H66"/>
    <mergeCell ref="H70:H71"/>
    <mergeCell ref="B67:B68"/>
    <mergeCell ref="D67:D68"/>
    <mergeCell ref="E67:E68"/>
    <mergeCell ref="F67:F68"/>
    <mergeCell ref="G67:G68"/>
    <mergeCell ref="H67:H68"/>
    <mergeCell ref="B70:B71"/>
    <mergeCell ref="D70:D71"/>
    <mergeCell ref="E70:E71"/>
    <mergeCell ref="F70:F71"/>
    <mergeCell ref="G70:G71"/>
    <mergeCell ref="B93:H93"/>
    <mergeCell ref="B74:B75"/>
    <mergeCell ref="D74:D75"/>
    <mergeCell ref="E74:E75"/>
    <mergeCell ref="F74:F75"/>
    <mergeCell ref="G74:G75"/>
    <mergeCell ref="H74:H75"/>
    <mergeCell ref="B76:D76"/>
    <mergeCell ref="B77:H77"/>
    <mergeCell ref="B78:H78"/>
    <mergeCell ref="B79:H79"/>
    <mergeCell ref="B92:D92"/>
    <mergeCell ref="B110:H110"/>
    <mergeCell ref="B94:H94"/>
    <mergeCell ref="B95:H95"/>
    <mergeCell ref="B98:D98"/>
    <mergeCell ref="B99:H99"/>
    <mergeCell ref="B100:H100"/>
    <mergeCell ref="B101:H101"/>
    <mergeCell ref="B104:D104"/>
    <mergeCell ref="B105:H105"/>
    <mergeCell ref="B106:H106"/>
    <mergeCell ref="B107:H107"/>
    <mergeCell ref="B109:D109"/>
    <mergeCell ref="B119:D119"/>
    <mergeCell ref="B120:H120"/>
    <mergeCell ref="B121:D121"/>
    <mergeCell ref="B111:H111"/>
    <mergeCell ref="B112:H112"/>
    <mergeCell ref="B114:D114"/>
    <mergeCell ref="B115:H115"/>
    <mergeCell ref="B116:H116"/>
    <mergeCell ref="B117:H1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Consejo Superior de la Judicatura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Aurelio Diaz Rendon</dc:creator>
  <cp:keywords/>
  <dc:description/>
  <cp:lastModifiedBy/>
  <cp:revision/>
  <dcterms:created xsi:type="dcterms:W3CDTF">2026-08-11T15:40:12Z</dcterms:created>
  <dcterms:modified xsi:type="dcterms:W3CDTF">2026-10-21T14:59:47Z</dcterms:modified>
  <cp:category/>
  <cp:contentStatus/>
</cp:coreProperties>
</file>