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guerrerG\Desktop\CONTRATOS 2026\12.VIGILANCIA II\03 AnexosEstudiosector\"/>
    </mc:Choice>
  </mc:AlternateContent>
  <xr:revisionPtr revIDLastSave="0" documentId="13_ncr:1_{133D52FD-8827-4274-8B3C-CF4E3E127E83}" xr6:coauthVersionLast="47" xr6:coauthVersionMax="47" xr10:uidLastSave="{00000000-0000-0000-0000-000000000000}"/>
  <bookViews>
    <workbookView xWindow="-120" yWindow="-120" windowWidth="29040" windowHeight="15720" xr2:uid="{0E289D25-110F-442D-A484-B6E712EB48AB}"/>
  </bookViews>
  <sheets>
    <sheet name="29 a 31 Diciembre 2026" sheetId="1" r:id="rId1"/>
    <sheet name="De enero a mayo de 2027" sheetId="2" r:id="rId2"/>
    <sheet name="1 al 28 de junio 2027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3" i="1" l="1"/>
  <c r="L23" i="3"/>
  <c r="L40" i="3"/>
  <c r="L35" i="3"/>
  <c r="L40" i="2"/>
  <c r="L35" i="2"/>
  <c r="L23" i="2"/>
  <c r="L40" i="1"/>
  <c r="L35" i="1"/>
  <c r="P15" i="2" l="1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6" i="2"/>
  <c r="P37" i="2"/>
  <c r="P38" i="2"/>
  <c r="P39" i="2"/>
  <c r="P41" i="2"/>
  <c r="P42" i="2"/>
  <c r="P43" i="2"/>
  <c r="P44" i="2"/>
  <c r="P45" i="2"/>
  <c r="P46" i="2"/>
  <c r="P47" i="2"/>
  <c r="P48" i="2"/>
  <c r="P14" i="2"/>
  <c r="M23" i="3"/>
  <c r="M23" i="1"/>
  <c r="N23" i="1" s="1"/>
  <c r="H51" i="3"/>
  <c r="J35" i="3"/>
  <c r="L21" i="2"/>
  <c r="M23" i="2"/>
  <c r="N23" i="2" s="1"/>
  <c r="K35" i="1"/>
  <c r="H24" i="1"/>
  <c r="H44" i="3"/>
  <c r="H6" i="3"/>
  <c r="N51" i="2"/>
  <c r="N48" i="2"/>
  <c r="N47" i="2"/>
  <c r="N46" i="2"/>
  <c r="N45" i="2"/>
  <c r="N44" i="2"/>
  <c r="N43" i="2"/>
  <c r="N42" i="2"/>
  <c r="N41" i="2"/>
  <c r="N39" i="2"/>
  <c r="N38" i="2"/>
  <c r="N37" i="2"/>
  <c r="N36" i="2"/>
  <c r="N34" i="2"/>
  <c r="N33" i="2"/>
  <c r="N32" i="2"/>
  <c r="N31" i="2"/>
  <c r="N30" i="2"/>
  <c r="N29" i="2"/>
  <c r="N28" i="2"/>
  <c r="N27" i="2"/>
  <c r="N26" i="2"/>
  <c r="N25" i="2"/>
  <c r="N24" i="2"/>
  <c r="N22" i="2"/>
  <c r="N21" i="2"/>
  <c r="N20" i="2"/>
  <c r="N19" i="2"/>
  <c r="N18" i="2"/>
  <c r="N17" i="2"/>
  <c r="N16" i="2"/>
  <c r="N15" i="2"/>
  <c r="N14" i="2"/>
  <c r="N51" i="1"/>
  <c r="N15" i="1"/>
  <c r="N16" i="1"/>
  <c r="N17" i="1"/>
  <c r="N18" i="1"/>
  <c r="N19" i="1"/>
  <c r="N20" i="1"/>
  <c r="N21" i="1"/>
  <c r="N22" i="1"/>
  <c r="N25" i="1"/>
  <c r="N26" i="1"/>
  <c r="N27" i="1"/>
  <c r="N28" i="1"/>
  <c r="N29" i="1"/>
  <c r="N30" i="1"/>
  <c r="N31" i="1"/>
  <c r="N32" i="1"/>
  <c r="N33" i="1"/>
  <c r="N34" i="1"/>
  <c r="N36" i="1"/>
  <c r="N37" i="1"/>
  <c r="N38" i="1"/>
  <c r="N39" i="1"/>
  <c r="N41" i="1"/>
  <c r="N42" i="1"/>
  <c r="N43" i="1"/>
  <c r="N44" i="1"/>
  <c r="N45" i="1"/>
  <c r="N46" i="1"/>
  <c r="N47" i="1"/>
  <c r="N48" i="1"/>
  <c r="N14" i="1"/>
  <c r="N6" i="1"/>
  <c r="H48" i="3"/>
  <c r="H47" i="3"/>
  <c r="H46" i="3"/>
  <c r="H45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43" i="2"/>
  <c r="H42" i="2"/>
  <c r="H40" i="2"/>
  <c r="H38" i="2"/>
  <c r="H36" i="2"/>
  <c r="H35" i="2"/>
  <c r="H25" i="2"/>
  <c r="H23" i="2"/>
  <c r="H22" i="2"/>
  <c r="H19" i="2"/>
  <c r="H16" i="2"/>
  <c r="H18" i="2"/>
  <c r="H17" i="2"/>
  <c r="H15" i="2"/>
  <c r="H14" i="2"/>
  <c r="L14" i="2"/>
  <c r="H48" i="2"/>
  <c r="H47" i="2"/>
  <c r="H46" i="2"/>
  <c r="H45" i="2"/>
  <c r="H44" i="2"/>
  <c r="H41" i="2"/>
  <c r="H39" i="2"/>
  <c r="H37" i="2"/>
  <c r="H34" i="2"/>
  <c r="H33" i="2"/>
  <c r="H32" i="2"/>
  <c r="H31" i="2"/>
  <c r="H30" i="2"/>
  <c r="H29" i="2"/>
  <c r="H28" i="2"/>
  <c r="H27" i="2"/>
  <c r="H26" i="2"/>
  <c r="H21" i="2"/>
  <c r="H20" i="2"/>
  <c r="H6" i="2"/>
  <c r="H6" i="1"/>
  <c r="H14" i="1"/>
  <c r="H15" i="1"/>
  <c r="H16" i="1"/>
  <c r="H17" i="1"/>
  <c r="H18" i="1"/>
  <c r="H20" i="1"/>
  <c r="H21" i="1"/>
  <c r="H51" i="2"/>
  <c r="H24" i="2"/>
  <c r="H51" i="1"/>
  <c r="H42" i="1"/>
  <c r="H43" i="1"/>
  <c r="H40" i="1"/>
  <c r="H39" i="1"/>
  <c r="H38" i="1"/>
  <c r="H36" i="1"/>
  <c r="H35" i="1"/>
  <c r="H25" i="1"/>
  <c r="H34" i="1"/>
  <c r="H27" i="1"/>
  <c r="H26" i="1"/>
  <c r="H23" i="1"/>
  <c r="H22" i="1"/>
  <c r="H19" i="1"/>
  <c r="H48" i="1"/>
  <c r="H47" i="1"/>
  <c r="H46" i="1"/>
  <c r="H45" i="1"/>
  <c r="H44" i="1"/>
  <c r="H41" i="1"/>
  <c r="H37" i="1"/>
  <c r="H33" i="1"/>
  <c r="H32" i="1"/>
  <c r="H31" i="1"/>
  <c r="H30" i="1"/>
  <c r="H29" i="1"/>
  <c r="H28" i="1"/>
  <c r="J48" i="3" l="1"/>
  <c r="K48" i="3" s="1"/>
  <c r="J47" i="3"/>
  <c r="K47" i="3" s="1"/>
  <c r="J46" i="3"/>
  <c r="K46" i="3"/>
  <c r="J45" i="3"/>
  <c r="K45" i="3" s="1"/>
  <c r="J44" i="3"/>
  <c r="K44" i="3"/>
  <c r="J43" i="3"/>
  <c r="K43" i="3" s="1"/>
  <c r="J42" i="3"/>
  <c r="K42" i="3"/>
  <c r="J41" i="3"/>
  <c r="K41" i="3" s="1"/>
  <c r="J40" i="3"/>
  <c r="J39" i="3"/>
  <c r="K39" i="3" s="1"/>
  <c r="J38" i="3"/>
  <c r="K38" i="3" s="1"/>
  <c r="J37" i="3"/>
  <c r="K37" i="3" s="1"/>
  <c r="J36" i="3"/>
  <c r="K36" i="3" s="1"/>
  <c r="M35" i="3"/>
  <c r="K35" i="3"/>
  <c r="J34" i="3"/>
  <c r="K34" i="3" s="1"/>
  <c r="J33" i="3"/>
  <c r="K33" i="3" s="1"/>
  <c r="J32" i="3"/>
  <c r="K32" i="3" s="1"/>
  <c r="J31" i="3"/>
  <c r="K31" i="3" s="1"/>
  <c r="J30" i="3"/>
  <c r="K30" i="3" s="1"/>
  <c r="J29" i="3"/>
  <c r="K29" i="3" s="1"/>
  <c r="J28" i="3"/>
  <c r="K28" i="3" s="1"/>
  <c r="J27" i="3"/>
  <c r="K27" i="3" s="1"/>
  <c r="J26" i="3"/>
  <c r="K26" i="3" s="1"/>
  <c r="J25" i="3"/>
  <c r="K25" i="3" s="1"/>
  <c r="J24" i="3"/>
  <c r="K24" i="3" s="1"/>
  <c r="J23" i="3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J15" i="3"/>
  <c r="K15" i="3" s="1"/>
  <c r="J14" i="3"/>
  <c r="K14" i="3" s="1"/>
  <c r="J6" i="3"/>
  <c r="K6" i="3" s="1"/>
  <c r="J48" i="2"/>
  <c r="K48" i="2" s="1"/>
  <c r="L48" i="2" s="1"/>
  <c r="M48" i="2" s="1"/>
  <c r="J47" i="2"/>
  <c r="K47" i="2" s="1"/>
  <c r="L47" i="2" s="1"/>
  <c r="M47" i="2" s="1"/>
  <c r="J46" i="2"/>
  <c r="K46" i="2"/>
  <c r="L46" i="2" s="1"/>
  <c r="M46" i="2" s="1"/>
  <c r="J45" i="2"/>
  <c r="K45" i="2"/>
  <c r="L45" i="2" s="1"/>
  <c r="M45" i="2" s="1"/>
  <c r="J44" i="2"/>
  <c r="K44" i="2" s="1"/>
  <c r="L44" i="2" s="1"/>
  <c r="M44" i="2" s="1"/>
  <c r="J43" i="2"/>
  <c r="K43" i="2" s="1"/>
  <c r="L43" i="2" s="1"/>
  <c r="M43" i="2" s="1"/>
  <c r="J42" i="2"/>
  <c r="K42" i="2" s="1"/>
  <c r="L42" i="2" s="1"/>
  <c r="M42" i="2" s="1"/>
  <c r="J41" i="2"/>
  <c r="K41" i="2" s="1"/>
  <c r="L41" i="2" s="1"/>
  <c r="M41" i="2" s="1"/>
  <c r="J40" i="2"/>
  <c r="J39" i="2"/>
  <c r="K39" i="2" s="1"/>
  <c r="L39" i="2" s="1"/>
  <c r="M39" i="2" s="1"/>
  <c r="J38" i="2"/>
  <c r="K38" i="2" s="1"/>
  <c r="L38" i="2" s="1"/>
  <c r="M38" i="2" s="1"/>
  <c r="J37" i="2"/>
  <c r="K37" i="2" s="1"/>
  <c r="L37" i="2" s="1"/>
  <c r="M37" i="2" s="1"/>
  <c r="J36" i="2"/>
  <c r="K36" i="2" s="1"/>
  <c r="L36" i="2" s="1"/>
  <c r="M36" i="2" s="1"/>
  <c r="J35" i="2"/>
  <c r="J34" i="2"/>
  <c r="K34" i="2" s="1"/>
  <c r="L34" i="2" s="1"/>
  <c r="M34" i="2" s="1"/>
  <c r="J33" i="2"/>
  <c r="K33" i="2" s="1"/>
  <c r="L33" i="2" s="1"/>
  <c r="M33" i="2" s="1"/>
  <c r="J32" i="2"/>
  <c r="K32" i="2"/>
  <c r="L32" i="2" s="1"/>
  <c r="M32" i="2" s="1"/>
  <c r="J31" i="2"/>
  <c r="K31" i="2" s="1"/>
  <c r="L31" i="2" s="1"/>
  <c r="M31" i="2" s="1"/>
  <c r="J30" i="2"/>
  <c r="K30" i="2"/>
  <c r="L30" i="2" s="1"/>
  <c r="M30" i="2" s="1"/>
  <c r="J29" i="2"/>
  <c r="K29" i="2"/>
  <c r="L29" i="2" s="1"/>
  <c r="M29" i="2" s="1"/>
  <c r="J28" i="2"/>
  <c r="K28" i="2" s="1"/>
  <c r="L28" i="2" s="1"/>
  <c r="M28" i="2" s="1"/>
  <c r="J27" i="2"/>
  <c r="K27" i="2"/>
  <c r="L27" i="2" s="1"/>
  <c r="M27" i="2" s="1"/>
  <c r="J26" i="2"/>
  <c r="K26" i="2" s="1"/>
  <c r="L26" i="2" s="1"/>
  <c r="M26" i="2" s="1"/>
  <c r="J25" i="2"/>
  <c r="K25" i="2" s="1"/>
  <c r="L25" i="2" s="1"/>
  <c r="M25" i="2" s="1"/>
  <c r="J24" i="2"/>
  <c r="K24" i="2"/>
  <c r="L24" i="2" s="1"/>
  <c r="M24" i="2" s="1"/>
  <c r="J23" i="2"/>
  <c r="J22" i="2"/>
  <c r="K22" i="2" s="1"/>
  <c r="L22" i="2" s="1"/>
  <c r="M22" i="2" s="1"/>
  <c r="J21" i="2"/>
  <c r="K21" i="2" s="1"/>
  <c r="M21" i="2" s="1"/>
  <c r="J20" i="2"/>
  <c r="K20" i="2" s="1"/>
  <c r="L20" i="2" s="1"/>
  <c r="M20" i="2" s="1"/>
  <c r="J19" i="2"/>
  <c r="K19" i="2" s="1"/>
  <c r="L19" i="2" s="1"/>
  <c r="M19" i="2" s="1"/>
  <c r="J18" i="2"/>
  <c r="K18" i="2" s="1"/>
  <c r="L18" i="2" s="1"/>
  <c r="M18" i="2" s="1"/>
  <c r="J17" i="2"/>
  <c r="K17" i="2" s="1"/>
  <c r="L17" i="2" s="1"/>
  <c r="M17" i="2" s="1"/>
  <c r="J16" i="2"/>
  <c r="K16" i="2" s="1"/>
  <c r="L16" i="2" s="1"/>
  <c r="M16" i="2" s="1"/>
  <c r="J15" i="2"/>
  <c r="K15" i="2" s="1"/>
  <c r="L15" i="2" s="1"/>
  <c r="M15" i="2" s="1"/>
  <c r="J14" i="2"/>
  <c r="K14" i="2" s="1"/>
  <c r="M14" i="2" s="1"/>
  <c r="J6" i="2"/>
  <c r="K6" i="2" s="1"/>
  <c r="J15" i="1"/>
  <c r="K15" i="1" s="1"/>
  <c r="L15" i="1" s="1"/>
  <c r="M15" i="1" s="1"/>
  <c r="J6" i="1"/>
  <c r="K6" i="1" s="1"/>
  <c r="J51" i="3"/>
  <c r="K51" i="3" s="1"/>
  <c r="J51" i="2"/>
  <c r="K51" i="2" s="1"/>
  <c r="L51" i="2" s="1"/>
  <c r="M51" i="2" s="1"/>
  <c r="J51" i="1"/>
  <c r="K51" i="1" s="1"/>
  <c r="N35" i="3" l="1"/>
  <c r="L48" i="3"/>
  <c r="M48" i="3" s="1"/>
  <c r="N48" i="3" s="1"/>
  <c r="L47" i="3"/>
  <c r="M47" i="3" s="1"/>
  <c r="N47" i="3"/>
  <c r="L46" i="3"/>
  <c r="M46" i="3" s="1"/>
  <c r="N46" i="3" s="1"/>
  <c r="L45" i="3"/>
  <c r="M45" i="3" s="1"/>
  <c r="N45" i="3"/>
  <c r="L44" i="3"/>
  <c r="M44" i="3" s="1"/>
  <c r="N44" i="3" s="1"/>
  <c r="L43" i="3"/>
  <c r="M43" i="3" s="1"/>
  <c r="N43" i="3" s="1"/>
  <c r="L42" i="3"/>
  <c r="M42" i="3" s="1"/>
  <c r="N42" i="3"/>
  <c r="L41" i="3"/>
  <c r="M41" i="3" s="1"/>
  <c r="N41" i="3"/>
  <c r="L39" i="3"/>
  <c r="M39" i="3" s="1"/>
  <c r="N39" i="3"/>
  <c r="L38" i="3"/>
  <c r="M38" i="3" s="1"/>
  <c r="N38" i="3"/>
  <c r="L37" i="3"/>
  <c r="M37" i="3" s="1"/>
  <c r="N37" i="3"/>
  <c r="L36" i="3"/>
  <c r="M36" i="3" s="1"/>
  <c r="N36" i="3"/>
  <c r="L34" i="3"/>
  <c r="M34" i="3" s="1"/>
  <c r="N34" i="3"/>
  <c r="L33" i="3"/>
  <c r="M33" i="3" s="1"/>
  <c r="N33" i="3"/>
  <c r="L32" i="3"/>
  <c r="M32" i="3" s="1"/>
  <c r="N32" i="3"/>
  <c r="L31" i="3"/>
  <c r="M31" i="3" s="1"/>
  <c r="N31" i="3"/>
  <c r="L30" i="3"/>
  <c r="M30" i="3" s="1"/>
  <c r="N30" i="3"/>
  <c r="L29" i="3"/>
  <c r="M29" i="3" s="1"/>
  <c r="N29" i="3"/>
  <c r="L28" i="3"/>
  <c r="M28" i="3" s="1"/>
  <c r="N28" i="3"/>
  <c r="L27" i="3"/>
  <c r="M27" i="3" s="1"/>
  <c r="N27" i="3" s="1"/>
  <c r="L26" i="3"/>
  <c r="M26" i="3" s="1"/>
  <c r="N26" i="3"/>
  <c r="L25" i="3"/>
  <c r="M25" i="3" s="1"/>
  <c r="N25" i="3"/>
  <c r="L24" i="3"/>
  <c r="M24" i="3" s="1"/>
  <c r="N24" i="3"/>
  <c r="L22" i="3"/>
  <c r="M22" i="3" s="1"/>
  <c r="N22" i="3" s="1"/>
  <c r="L21" i="3"/>
  <c r="M21" i="3" s="1"/>
  <c r="N21" i="3" s="1"/>
  <c r="L20" i="3"/>
  <c r="M20" i="3" s="1"/>
  <c r="N20" i="3"/>
  <c r="L19" i="3"/>
  <c r="M19" i="3" s="1"/>
  <c r="N19" i="3" s="1"/>
  <c r="L18" i="3"/>
  <c r="M18" i="3" s="1"/>
  <c r="N18" i="3"/>
  <c r="L17" i="3"/>
  <c r="M17" i="3" s="1"/>
  <c r="N17" i="3"/>
  <c r="L16" i="3"/>
  <c r="M16" i="3" s="1"/>
  <c r="N16" i="3"/>
  <c r="L15" i="3"/>
  <c r="M15" i="3" s="1"/>
  <c r="N15" i="3"/>
  <c r="L14" i="3"/>
  <c r="M14" i="3" s="1"/>
  <c r="N14" i="3" s="1"/>
  <c r="L51" i="3"/>
  <c r="M51" i="3" s="1"/>
  <c r="N51" i="3" s="1"/>
  <c r="M40" i="2"/>
  <c r="N40" i="2" s="1"/>
  <c r="P40" i="2" s="1"/>
  <c r="K40" i="2"/>
  <c r="K23" i="2"/>
  <c r="M40" i="3"/>
  <c r="K40" i="3"/>
  <c r="K23" i="3"/>
  <c r="N23" i="3" s="1"/>
  <c r="L6" i="3"/>
  <c r="M6" i="3" s="1"/>
  <c r="N6" i="3" s="1"/>
  <c r="M35" i="2"/>
  <c r="N35" i="2" s="1"/>
  <c r="K35" i="2"/>
  <c r="L6" i="2"/>
  <c r="M6" i="2" s="1"/>
  <c r="N6" i="2" s="1"/>
  <c r="L51" i="1"/>
  <c r="M51" i="1" s="1"/>
  <c r="P35" i="2" l="1"/>
  <c r="N54" i="2"/>
  <c r="N40" i="3"/>
  <c r="J16" i="1"/>
  <c r="K16" i="1" s="1"/>
  <c r="L16" i="1" s="1"/>
  <c r="M16" i="1" s="1"/>
  <c r="J42" i="1"/>
  <c r="K42" i="1" s="1"/>
  <c r="L42" i="1" s="1"/>
  <c r="M42" i="1" s="1"/>
  <c r="J36" i="1"/>
  <c r="K36" i="1" s="1"/>
  <c r="L36" i="1" s="1"/>
  <c r="M36" i="1" s="1"/>
  <c r="J20" i="1"/>
  <c r="J17" i="1"/>
  <c r="K17" i="1" s="1"/>
  <c r="L17" i="1" s="1"/>
  <c r="M17" i="1" s="1"/>
  <c r="J46" i="1"/>
  <c r="K46" i="1" s="1"/>
  <c r="J45" i="1"/>
  <c r="K45" i="1" s="1"/>
  <c r="L45" i="1" s="1"/>
  <c r="M45" i="1" s="1"/>
  <c r="J32" i="1"/>
  <c r="K32" i="1" s="1"/>
  <c r="L32" i="1" s="1"/>
  <c r="M32" i="1" s="1"/>
  <c r="J31" i="1"/>
  <c r="K31" i="1" s="1"/>
  <c r="L31" i="1" s="1"/>
  <c r="M31" i="1" s="1"/>
  <c r="J28" i="1"/>
  <c r="K28" i="1" s="1"/>
  <c r="L28" i="1" s="1"/>
  <c r="M28" i="1" s="1"/>
  <c r="J26" i="1"/>
  <c r="J21" i="1"/>
  <c r="J14" i="1"/>
  <c r="L46" i="1" l="1"/>
  <c r="M46" i="1" s="1"/>
  <c r="K20" i="1"/>
  <c r="K14" i="1"/>
  <c r="L14" i="1" s="1"/>
  <c r="M14" i="1" s="1"/>
  <c r="J24" i="1"/>
  <c r="K24" i="1" s="1"/>
  <c r="J23" i="1"/>
  <c r="L6" i="1"/>
  <c r="J40" i="1"/>
  <c r="J38" i="1"/>
  <c r="K38" i="1" s="1"/>
  <c r="L38" i="1" s="1"/>
  <c r="J35" i="1"/>
  <c r="J43" i="1"/>
  <c r="K43" i="1" s="1"/>
  <c r="J25" i="1"/>
  <c r="K25" i="1" s="1"/>
  <c r="J22" i="1"/>
  <c r="K22" i="1" s="1"/>
  <c r="J19" i="1"/>
  <c r="K19" i="1" s="1"/>
  <c r="J18" i="1"/>
  <c r="K18" i="1" s="1"/>
  <c r="J47" i="1"/>
  <c r="K47" i="1" s="1"/>
  <c r="J44" i="1"/>
  <c r="K44" i="1" s="1"/>
  <c r="J48" i="1"/>
  <c r="K48" i="1" s="1"/>
  <c r="J41" i="1"/>
  <c r="K41" i="1" s="1"/>
  <c r="J39" i="1"/>
  <c r="K39" i="1" s="1"/>
  <c r="J37" i="1"/>
  <c r="K37" i="1" s="1"/>
  <c r="J29" i="1"/>
  <c r="K29" i="1" s="1"/>
  <c r="J33" i="1"/>
  <c r="K33" i="1" s="1"/>
  <c r="J30" i="1"/>
  <c r="K30" i="1" s="1"/>
  <c r="J34" i="1"/>
  <c r="K34" i="1" s="1"/>
  <c r="K26" i="1"/>
  <c r="J27" i="1"/>
  <c r="K27" i="1" s="1"/>
  <c r="K21" i="1"/>
  <c r="L24" i="1" l="1"/>
  <c r="M24" i="1" s="1"/>
  <c r="N24" i="1"/>
  <c r="K40" i="1"/>
  <c r="M40" i="1"/>
  <c r="N40" i="1" s="1"/>
  <c r="M35" i="1"/>
  <c r="N35" i="1" s="1"/>
  <c r="K23" i="1"/>
  <c r="L27" i="1"/>
  <c r="M27" i="1" s="1"/>
  <c r="L47" i="1"/>
  <c r="M47" i="1" s="1"/>
  <c r="L29" i="1"/>
  <c r="M29" i="1" s="1"/>
  <c r="L21" i="1"/>
  <c r="M21" i="1" s="1"/>
  <c r="L26" i="1"/>
  <c r="M26" i="1" s="1"/>
  <c r="L34" i="1"/>
  <c r="M34" i="1" s="1"/>
  <c r="L33" i="1"/>
  <c r="M33" i="1" s="1"/>
  <c r="L37" i="1"/>
  <c r="M37" i="1" s="1"/>
  <c r="L30" i="1"/>
  <c r="M30" i="1" s="1"/>
  <c r="L41" i="1"/>
  <c r="M41" i="1" s="1"/>
  <c r="L48" i="1"/>
  <c r="M48" i="1" s="1"/>
  <c r="L44" i="1"/>
  <c r="M44" i="1" s="1"/>
  <c r="L20" i="1"/>
  <c r="M20" i="1" s="1"/>
  <c r="L39" i="1"/>
  <c r="M39" i="1" s="1"/>
  <c r="L18" i="1"/>
  <c r="M18" i="1" s="1"/>
  <c r="L43" i="1"/>
  <c r="M43" i="1" s="1"/>
  <c r="M38" i="1"/>
  <c r="L25" i="1"/>
  <c r="M25" i="1" s="1"/>
  <c r="L22" i="1"/>
  <c r="M22" i="1" s="1"/>
  <c r="L19" i="1"/>
  <c r="M19" i="1" s="1"/>
  <c r="M6" i="1"/>
  <c r="N54" i="1" l="1"/>
  <c r="N54" i="3"/>
  <c r="N56" i="3" l="1" a="1"/>
  <c r="N5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<sst xmlns="http://schemas.openxmlformats.org/spreadsheetml/2006/main" count="436" uniqueCount="85">
  <si>
    <t>EMPRESA</t>
  </si>
  <si>
    <t>ITEM</t>
  </si>
  <si>
    <t>LOCALIDAD</t>
  </si>
  <si>
    <t>UBICACIÓN</t>
  </si>
  <si>
    <t>CANTIDAD</t>
  </si>
  <si>
    <t>DESCRIPCIÓN</t>
  </si>
  <si>
    <t>TECNISEG</t>
  </si>
  <si>
    <t>BUCARAMANGA</t>
  </si>
  <si>
    <t>DIRECCION EJECUTIVA</t>
  </si>
  <si>
    <t>SIN ARMA 12 HORAS DE LUNES A VIERNES SIN INCLUIR FESTIVOS CONTROLANDO INGRESO (7:00 A.M. A 19:00 P.M.)</t>
  </si>
  <si>
    <t>PALACIO DE JUSTICIA - PUERTA PRINCIPAL - SERVIDORES JUDICIALES</t>
  </si>
  <si>
    <t>CON ARMA 24 HORAS DE DOMINGO A DOMINGO</t>
  </si>
  <si>
    <t>PALACIO DE JUSTICIA - CONTROL DE INGRESO -DIGITOS</t>
  </si>
  <si>
    <t xml:space="preserve">CON ARMA 12 HORAS DE LUNES A VIERNES SIN INCLUIR FESTIVOS </t>
  </si>
  <si>
    <t>PALACIO DE JUSTICIA - TONEL SCANNER</t>
  </si>
  <si>
    <t xml:space="preserve">SIN ARMA 8 HORAS DE LUNES A VIERNES SIN INCLUIR FESTIVOS </t>
  </si>
  <si>
    <t>PALACIO DE JUSTICIA - RONDA EXTERNA</t>
  </si>
  <si>
    <t>CON ARMA (ESCOPETA CALIBRE 12 Y CHALECO ANTIBALAS) 24 HORAS DE DOMINGO A DOMINGO</t>
  </si>
  <si>
    <t>CON ARMA 12 HORAS DE DOMINGO A - DOMINGO</t>
  </si>
  <si>
    <t>SISTEMA PENAL ACUSATORIO SPA REJAS</t>
  </si>
  <si>
    <t>PALACIO JUSTICIA - CENTRO DE MONITOREO</t>
  </si>
  <si>
    <t>SIN ARMA 24 HORAS DE DOMINGO A DOMINGO</t>
  </si>
  <si>
    <t>PALACIO DE JUSTICIA - SISTEMA PENAL ACUSATORIA (PUERTA SPA)</t>
  </si>
  <si>
    <t>SISTEMA PENAL ACUSATORIO R.I</t>
  </si>
  <si>
    <t>PALACIO DE JUSTICIA - RONDA CANINO</t>
  </si>
  <si>
    <t>CON CANINO RASTREADOR PARA DETECTAR EXPLOSIVOS MES 12 HORAS DIURNAS DE 6:00 A.M. A 18:00 PM DE DOMINGO A DOMINGO</t>
  </si>
  <si>
    <t>ESCUELA DE BOLIVAR - CASA ROJA</t>
  </si>
  <si>
    <t>SEDE JUZGADOS ADMINNISTRATIVOS (EDIIFICIO JOSE ACEVEDO Y GOMEZ)</t>
  </si>
  <si>
    <t>SEDE JUZGADOS VARIOS - CONTROL DE INGRESO (SEDE EL FRENTE)</t>
  </si>
  <si>
    <t>SEDE BODEGA DE ALMACEN- ARCHIVO E INVENTARIOS (CALLE 45 No. 14A-50)</t>
  </si>
  <si>
    <t>SEDE ARCHIVO DESPACHOS JUDICIALES (CARRERA 12 No.31-47 ARCHIVO)</t>
  </si>
  <si>
    <t>FLORIDABLANCA</t>
  </si>
  <si>
    <t>SEDE SISTEMA PENAL ACUSATORIO (CARRERA 4-38)</t>
  </si>
  <si>
    <t>SEDE JUZGADOS PROMISCUOS MUNICIPALES (CARRERA 10 No. 4-48</t>
  </si>
  <si>
    <t>GIRON</t>
  </si>
  <si>
    <t>SEDE JUZGADOS PROMISCUOS MUNICIPALES Y DE GARANTIAS (CARRERA 26 No. 31-36)</t>
  </si>
  <si>
    <t>SEDE ARCHIVOS DESPACHOS JUDICIALES (CALLE 33 No. 26-48)</t>
  </si>
  <si>
    <t>BARRANCABERMEJA</t>
  </si>
  <si>
    <t>PALACIO DE JUSTICIA BARRANCABERMEJA - CONTROL DE INGRESO</t>
  </si>
  <si>
    <t>PALACIO DE JUSTICIA (CALLE 50 CON CARRERA 9 Y 10) RONDA INTERNA</t>
  </si>
  <si>
    <t xml:space="preserve">PALACIO DE JUSTICIA (CALLE 50 CON CARRERA 9 Y 10) (RONDA) </t>
  </si>
  <si>
    <t>SEDE NUEVA ARCHIVOS</t>
  </si>
  <si>
    <t>CON ARMA 12 HORAS DE DOMINGO A - DOMINGO RONDA INTERNA-EXTERNA (7:00 A.M. A 19:00 P.M.)</t>
  </si>
  <si>
    <t>SAN GIL</t>
  </si>
  <si>
    <t>PALACIO DE JUSTICIA (CARRERA 10 CALLE 9 Y 10) CONTROL DE INGRESO</t>
  </si>
  <si>
    <t>PALACIO DE JUSTICIA (CARRERA 10 CALLE 9 Y 10) SOTWARE - DIGITOS usuarios</t>
  </si>
  <si>
    <t>SIN ARMA 8 HORAS DIURNAS DE LUNES A VIERNES SIN INCLUIR FESTIVOS</t>
  </si>
  <si>
    <t>PALACIO DE JUSTICIA (CARRERA 10 CALLE 9 Y 10) RONDA EXTERNA/ INTERNA / ARCHIVO</t>
  </si>
  <si>
    <t>PALACIO DE JUSTICIA (CARRERA 10 CALLE 9 Y 10) CANINO RASTREADOR</t>
  </si>
  <si>
    <t>SOCORRO</t>
  </si>
  <si>
    <t>PALACIO DE JUSTICIA- CONTROL DE INGRESO</t>
  </si>
  <si>
    <t>CON ARMA 24 HORAS DE DOMINGO A DOMINGO CONTROLANDO INGRESO</t>
  </si>
  <si>
    <t>PALACIO DE JUSTICIA- RONDA INTERNA</t>
  </si>
  <si>
    <t>CON ARMA 12 HORAS DIURNAS DE DOMINGO A DOMINGO</t>
  </si>
  <si>
    <t>VELEZ</t>
  </si>
  <si>
    <t>CHARALA</t>
  </si>
  <si>
    <t xml:space="preserve">CON ARMA 24 HORAS DE DOMINGO A DOMINGO </t>
  </si>
  <si>
    <t>PUENTE NACIONAL</t>
  </si>
  <si>
    <t>MALAGA</t>
  </si>
  <si>
    <t>SEDE JUDICIAL - CONTROL DE INGRESO</t>
  </si>
  <si>
    <t>SAN VICENTE DE CHUCURI</t>
  </si>
  <si>
    <t>MEDIOS TECNOLOGICOS</t>
  </si>
  <si>
    <t>DIAS</t>
  </si>
  <si>
    <t>COSTO DIRECTO</t>
  </si>
  <si>
    <t>% AYS</t>
  </si>
  <si>
    <t>AYS</t>
  </si>
  <si>
    <t>SUBTOTAL</t>
  </si>
  <si>
    <t xml:space="preserve">BASE GRAVABLE </t>
  </si>
  <si>
    <t>IVA</t>
  </si>
  <si>
    <t>TOTAL</t>
  </si>
  <si>
    <t>MEDIOS TECNOLÓGICOS (POR EL PLAZO TOTAL DEL CONTRATO)</t>
  </si>
  <si>
    <t>COTIZACIÓN DEL 1 DE ENERO DE 2027 A 31 DE MAYO DE 2027 SUB - UNIDAD 221 (5 MESES DE SERVICIO)</t>
  </si>
  <si>
    <t>COTIZACIÓN DEL 29 DE DICIEMBRE DE 2026 A 31 DE DICIEMBRE DE 2026 SUB - UUNIDAD 221 (3 DIAS DE SERVICIO)</t>
  </si>
  <si>
    <t>COTIZACIÓN DEL 29 DE DICIEMBRE DE 2026 A 31 DE DICIEMBRE DE 2026 SUB UNIDAD 821 (3 DIAS DE SERVICIO)</t>
  </si>
  <si>
    <t>COTIZACIÓN DEL 1 DE ENERO DE 2027 A 31 DE MAYO DE 2027 SUB UNIDAD 821 (5 MESES DE SERVICIO)</t>
  </si>
  <si>
    <t>COTIZACIÓN DEL 1 AL 28 DE JUNIO DE 2027 SUB - UNIDAD 221</t>
  </si>
  <si>
    <t>COTIZACIÓN DEL 1 AL 28 DE JUNIO DE 2027 SUB UNIDAD 821</t>
  </si>
  <si>
    <t>VALOR TOTAL</t>
  </si>
  <si>
    <t xml:space="preserve">VALOR TOTAL </t>
  </si>
  <si>
    <t>VALOR TOTAL DEL CONTRATO</t>
  </si>
  <si>
    <r>
      <rPr>
        <sz val="11"/>
        <color rgb="FFFF0000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MEDIOS TECNOLÓGICOS: Tener en cuenta que el IVA de los medios tecnologicos se debe calcular sobre la base gravable del 10%. El valor de la base gravable no se debe sumar al valor de medios tecnologicos solo es una refrencia (BASE) para establecer el IVA.</t>
    </r>
  </si>
  <si>
    <r>
      <rPr>
        <sz val="11"/>
        <color rgb="FFFF0000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PARA TODOS LOS SERVICIOS: Conforme al ARTÍCULO 462-1, sobre la BASE GRAVABLE ESPECIAL del Estatuto tributario, tenga en cuenta que cuando el AYS supera el 10% la base gravable del iva sera el AYS.</t>
    </r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</si>
  <si>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DEBERÁ CONTEMPLAR DICHO INCREMENTO.</t>
    </r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</si>
  <si>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</t>
    </r>
    <r>
      <rPr>
        <b/>
        <u/>
        <sz val="11"/>
        <color theme="1"/>
        <rFont val="Calibri"/>
        <family val="2"/>
        <scheme val="minor"/>
      </rPr>
      <t>DEBERÁ</t>
    </r>
    <r>
      <rPr>
        <sz val="11"/>
        <color theme="1"/>
        <rFont val="Calibri"/>
        <family val="2"/>
        <scheme val="minor"/>
      </rPr>
      <t xml:space="preserve"> CONTEMPLAR DICHO INCREMENTO.</t>
    </r>
  </si>
  <si>
    <t>11 HORAS CON ARMA NOCTURNAS DE DOMINGO A DOMINGO (19:00 PM A 6:00 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</si>
</sst>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44" fontId="0" fillId="0" borderId="1" xfId="2" applyFont="1" applyBorder="1"/>
    <xf numFmtId="44" fontId="0" fillId="0" borderId="0" xfId="2" applyFont="1"/>
    <xf numFmtId="165" fontId="0" fillId="0" borderId="0" xfId="2" applyNumberFormat="1" applyFont="1"/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164" fontId="0" fillId="0" borderId="1" xfId="3" applyNumberFormat="1" applyFont="1" applyBorder="1" applyAlignment="1">
      <alignment horizontal="center" vertical="center" wrapText="1"/>
    </xf>
    <xf numFmtId="9" fontId="0" fillId="0" borderId="9" xfId="3" applyNumberFormat="1" applyFont="1" applyBorder="1" applyAlignment="1">
      <alignment horizontal="center" vertical="center" wrapText="1"/>
    </xf>
    <xf numFmtId="42" fontId="0" fillId="0" borderId="9" xfId="3" applyFont="1" applyBorder="1" applyAlignment="1">
      <alignment horizontal="center" vertical="center" wrapText="1"/>
    </xf>
    <xf numFmtId="42" fontId="0" fillId="0" borderId="1" xfId="0" applyNumberFormat="1" applyBorder="1"/>
    <xf numFmtId="9" fontId="0" fillId="0" borderId="1" xfId="3" applyNumberFormat="1" applyFont="1" applyBorder="1" applyAlignment="1">
      <alignment horizontal="center" vertical="center" wrapText="1"/>
    </xf>
    <xf numFmtId="42" fontId="0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43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/>
    <xf numFmtId="165" fontId="0" fillId="0" borderId="0" xfId="0" applyNumberFormat="1"/>
    <xf numFmtId="44" fontId="0" fillId="0" borderId="0" xfId="0" applyNumberFormat="1"/>
    <xf numFmtId="0" fontId="3" fillId="3" borderId="1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3" fontId="0" fillId="0" borderId="1" xfId="0" applyNumberFormat="1" applyBorder="1"/>
    <xf numFmtId="42" fontId="0" fillId="0" borderId="0" xfId="0" applyNumberFormat="1"/>
    <xf numFmtId="43" fontId="0" fillId="0" borderId="0" xfId="4" applyFont="1"/>
    <xf numFmtId="0" fontId="0" fillId="5" borderId="1" xfId="0" applyFill="1" applyBorder="1" applyAlignment="1">
      <alignment horizontal="left"/>
    </xf>
    <xf numFmtId="42" fontId="8" fillId="5" borderId="0" xfId="0" applyNumberFormat="1" applyFont="1" applyFill="1"/>
    <xf numFmtId="0" fontId="7" fillId="0" borderId="0" xfId="0" applyFont="1" applyAlignment="1">
      <alignment horizontal="center"/>
    </xf>
    <xf numFmtId="42" fontId="9" fillId="0" borderId="0" xfId="0" applyNumberFormat="1" applyFont="1"/>
    <xf numFmtId="164" fontId="0" fillId="0" borderId="1" xfId="3" applyNumberFormat="1" applyFont="1" applyFill="1" applyBorder="1" applyAlignment="1">
      <alignment horizontal="center" vertical="center" wrapText="1"/>
    </xf>
    <xf numFmtId="9" fontId="0" fillId="0" borderId="1" xfId="3" applyNumberFormat="1" applyFont="1" applyFill="1" applyBorder="1" applyAlignment="1">
      <alignment horizontal="center" vertical="center" wrapText="1"/>
    </xf>
    <xf numFmtId="42" fontId="0" fillId="0" borderId="1" xfId="3" applyFont="1" applyFill="1" applyBorder="1" applyAlignment="1">
      <alignment horizontal="center" vertical="center" wrapText="1"/>
    </xf>
    <xf numFmtId="44" fontId="0" fillId="0" borderId="1" xfId="2" applyFont="1" applyFill="1" applyBorder="1"/>
    <xf numFmtId="0" fontId="6" fillId="2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42" fontId="7" fillId="6" borderId="1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42" fontId="0" fillId="0" borderId="1" xfId="0" applyNumberFormat="1" applyFill="1" applyBorder="1"/>
    <xf numFmtId="0" fontId="0" fillId="0" borderId="0" xfId="0" applyFill="1"/>
    <xf numFmtId="0" fontId="0" fillId="0" borderId="1" xfId="0" applyFill="1" applyBorder="1" applyAlignment="1">
      <alignment horizontal="left"/>
    </xf>
    <xf numFmtId="43" fontId="0" fillId="0" borderId="1" xfId="0" applyNumberFormat="1" applyFill="1" applyBorder="1"/>
    <xf numFmtId="44" fontId="0" fillId="0" borderId="0" xfId="2" applyFont="1" applyFill="1"/>
    <xf numFmtId="44" fontId="0" fillId="0" borderId="0" xfId="0" applyNumberFormat="1" applyFill="1"/>
  </cellXfs>
  <cellStyles count="5">
    <cellStyle name="Millares" xfId="4" builtinId="3"/>
    <cellStyle name="Millares 2" xfId="1" xr:uid="{D54E8E02-F1FB-4F00-B980-0850A956CAAD}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BD3-A1D3-4063-ABF5-7287AFDA7F67}">
  <dimension ref="A4:P61"/>
  <sheetViews>
    <sheetView tabSelected="1" topLeftCell="F11" zoomScale="70" zoomScaleNormal="70" workbookViewId="0">
      <selection activeCell="P54" sqref="P54"/>
    </sheetView>
  </sheetViews>
  <sheetFormatPr baseColWidth="10" defaultRowHeight="15" x14ac:dyDescent="0.25"/>
  <cols>
    <col min="1" max="1" width="12.5703125" hidden="1" customWidth="1"/>
    <col min="2" max="2" width="6.5703125" style="23" customWidth="1"/>
    <col min="3" max="3" width="28.28515625" style="24" customWidth="1"/>
    <col min="4" max="4" width="67.140625" customWidth="1"/>
    <col min="5" max="5" width="11.42578125" style="23" customWidth="1"/>
    <col min="6" max="6" width="148.28515625" customWidth="1"/>
    <col min="7" max="7" width="7.28515625" bestFit="1" customWidth="1"/>
    <col min="8" max="8" width="17.140625" bestFit="1" customWidth="1"/>
    <col min="9" max="9" width="8.85546875" bestFit="1" customWidth="1"/>
    <col min="10" max="10" width="14.5703125" bestFit="1" customWidth="1"/>
    <col min="11" max="11" width="16.140625" customWidth="1"/>
    <col min="12" max="12" width="22.28515625" bestFit="1" customWidth="1"/>
    <col min="14" max="14" width="19.7109375" bestFit="1" customWidth="1"/>
  </cols>
  <sheetData>
    <row r="4" spans="1:16" ht="21" x14ac:dyDescent="0.35">
      <c r="A4" s="8"/>
      <c r="B4" s="46" t="s">
        <v>72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6" ht="42.75" thickBot="1" x14ac:dyDescent="0.3">
      <c r="A5" s="28" t="s">
        <v>0</v>
      </c>
      <c r="B5" s="32" t="s">
        <v>1</v>
      </c>
      <c r="C5" s="33" t="s">
        <v>2</v>
      </c>
      <c r="D5" s="34" t="s">
        <v>3</v>
      </c>
      <c r="E5" s="34" t="s">
        <v>4</v>
      </c>
      <c r="F5" s="34" t="s">
        <v>5</v>
      </c>
      <c r="G5" s="34" t="s">
        <v>62</v>
      </c>
      <c r="H5" s="34" t="s">
        <v>63</v>
      </c>
      <c r="I5" s="34" t="s">
        <v>64</v>
      </c>
      <c r="J5" s="34" t="s">
        <v>65</v>
      </c>
      <c r="K5" s="34" t="s">
        <v>66</v>
      </c>
      <c r="L5" s="34" t="s">
        <v>67</v>
      </c>
      <c r="M5" s="34" t="s">
        <v>68</v>
      </c>
      <c r="N5" s="34" t="s">
        <v>69</v>
      </c>
    </row>
    <row r="6" spans="1:16" x14ac:dyDescent="0.25">
      <c r="A6" s="9" t="s">
        <v>6</v>
      </c>
      <c r="B6" s="8">
        <v>1</v>
      </c>
      <c r="C6" s="8" t="s">
        <v>7</v>
      </c>
      <c r="D6" s="8" t="s">
        <v>8</v>
      </c>
      <c r="E6" s="10">
        <v>1</v>
      </c>
      <c r="F6" s="8" t="s">
        <v>9</v>
      </c>
      <c r="G6" s="8">
        <v>3</v>
      </c>
      <c r="H6" s="11">
        <f>(((((1750905*10.21)+3500)*47.59%)/13*12)/30*G6)</f>
        <v>785465.19136569253</v>
      </c>
      <c r="I6" s="12">
        <v>0.08</v>
      </c>
      <c r="J6" s="13">
        <f>ROUND((H6)*0.08,0)</f>
        <v>62837</v>
      </c>
      <c r="K6" s="13">
        <f>ROUND(H6+J6,0)</f>
        <v>848302</v>
      </c>
      <c r="L6" s="5">
        <f t="shared" ref="L6" si="0">+K6*10%</f>
        <v>84830.200000000012</v>
      </c>
      <c r="M6" s="13">
        <f>ROUND(+L6*19%,0)</f>
        <v>16118</v>
      </c>
      <c r="N6" s="14">
        <f>+K6+M6</f>
        <v>864420</v>
      </c>
    </row>
    <row r="7" spans="1:16" s="1" customFormat="1" x14ac:dyDescent="0.25">
      <c r="B7" s="2"/>
      <c r="C7" s="3"/>
      <c r="D7" s="4"/>
      <c r="E7" s="2"/>
      <c r="F7" s="4"/>
      <c r="H7"/>
      <c r="I7"/>
      <c r="J7"/>
      <c r="K7"/>
      <c r="L7"/>
      <c r="M7"/>
      <c r="N7"/>
      <c r="O7"/>
    </row>
    <row r="12" spans="1:16" ht="21" x14ac:dyDescent="0.35">
      <c r="B12" s="46" t="s">
        <v>73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6" ht="42" x14ac:dyDescent="0.25">
      <c r="B13" s="29" t="s">
        <v>1</v>
      </c>
      <c r="C13" s="30" t="s">
        <v>2</v>
      </c>
      <c r="D13" s="31" t="s">
        <v>3</v>
      </c>
      <c r="E13" s="31" t="s">
        <v>4</v>
      </c>
      <c r="F13" s="31" t="s">
        <v>5</v>
      </c>
      <c r="G13" s="31" t="s">
        <v>62</v>
      </c>
      <c r="H13" s="31" t="s">
        <v>63</v>
      </c>
      <c r="I13" s="31" t="s">
        <v>64</v>
      </c>
      <c r="J13" s="31" t="s">
        <v>65</v>
      </c>
      <c r="K13" s="31" t="s">
        <v>66</v>
      </c>
      <c r="L13" s="31" t="s">
        <v>67</v>
      </c>
      <c r="M13" s="31" t="s">
        <v>68</v>
      </c>
      <c r="N13" s="31" t="s">
        <v>69</v>
      </c>
    </row>
    <row r="14" spans="1:16" x14ac:dyDescent="0.25">
      <c r="B14" s="8">
        <v>1</v>
      </c>
      <c r="C14" s="8" t="s">
        <v>7</v>
      </c>
      <c r="D14" s="8" t="s">
        <v>10</v>
      </c>
      <c r="E14" s="10">
        <v>1</v>
      </c>
      <c r="F14" s="8" t="s">
        <v>11</v>
      </c>
      <c r="G14" s="10">
        <v>3</v>
      </c>
      <c r="H14" s="11">
        <f>(((((1750905*10.21)+3500))/30*G14))</f>
        <v>1788024.0050000001</v>
      </c>
      <c r="I14" s="15">
        <v>0.1</v>
      </c>
      <c r="J14" s="16">
        <f>ROUND((H14)*0.1,0)</f>
        <v>178802</v>
      </c>
      <c r="K14" s="16">
        <f>ROUND(H14+J14,0)</f>
        <v>1966826</v>
      </c>
      <c r="L14" s="5">
        <f>+K14*10%</f>
        <v>196682.6</v>
      </c>
      <c r="M14" s="16">
        <f t="shared" ref="M14:M48" si="1">ROUND(+L14*19%,0)</f>
        <v>37370</v>
      </c>
      <c r="N14" s="14">
        <f>+K14+M14</f>
        <v>2004196</v>
      </c>
      <c r="P14" s="36"/>
    </row>
    <row r="15" spans="1:16" x14ac:dyDescent="0.25">
      <c r="B15" s="17">
        <v>2</v>
      </c>
      <c r="C15" s="8" t="s">
        <v>7</v>
      </c>
      <c r="D15" s="8" t="s">
        <v>12</v>
      </c>
      <c r="E15" s="10">
        <v>1</v>
      </c>
      <c r="F15" s="8" t="s">
        <v>13</v>
      </c>
      <c r="G15" s="10">
        <v>3</v>
      </c>
      <c r="H15" s="11">
        <f>((((((1750905*10.21)+3500)*47.59%)/13)*12)/30*G15)</f>
        <v>785465.19136569253</v>
      </c>
      <c r="I15" s="15">
        <v>0.1</v>
      </c>
      <c r="J15" s="16">
        <f>ROUND((H15)*0.1,0)</f>
        <v>78547</v>
      </c>
      <c r="K15" s="16">
        <f>ROUND(H15+J15,0)</f>
        <v>864012</v>
      </c>
      <c r="L15" s="5">
        <f>+K15*10%</f>
        <v>86401.200000000012</v>
      </c>
      <c r="M15" s="16">
        <f>ROUND(+L15*19%,0)</f>
        <v>16416</v>
      </c>
      <c r="N15" s="14">
        <f t="shared" ref="N15:N48" si="2">+K15+M15</f>
        <v>880428</v>
      </c>
      <c r="P15" s="36"/>
    </row>
    <row r="16" spans="1:16" x14ac:dyDescent="0.25">
      <c r="B16" s="8">
        <v>3</v>
      </c>
      <c r="C16" s="8" t="s">
        <v>7</v>
      </c>
      <c r="D16" s="8" t="s">
        <v>14</v>
      </c>
      <c r="E16" s="10">
        <v>1</v>
      </c>
      <c r="F16" s="8" t="s">
        <v>15</v>
      </c>
      <c r="G16" s="10">
        <v>3</v>
      </c>
      <c r="H16" s="11">
        <f>(((((1750905*10.21+3500)*47.59%)/13)*8)/30*G16)</f>
        <v>523643.46091046161</v>
      </c>
      <c r="I16" s="15">
        <v>0.08</v>
      </c>
      <c r="J16" s="16">
        <f>ROUND((H16)*0.08,0)</f>
        <v>41891</v>
      </c>
      <c r="K16" s="16">
        <f>ROUND(H16+J16,0)</f>
        <v>565534</v>
      </c>
      <c r="L16" s="5">
        <f t="shared" ref="L16:L48" si="3">+K16*10%</f>
        <v>56553.4</v>
      </c>
      <c r="M16" s="16">
        <f t="shared" si="1"/>
        <v>10745</v>
      </c>
      <c r="N16" s="14">
        <f t="shared" si="2"/>
        <v>576279</v>
      </c>
      <c r="P16" s="36"/>
    </row>
    <row r="17" spans="2:16" x14ac:dyDescent="0.25">
      <c r="B17" s="17">
        <v>4</v>
      </c>
      <c r="C17" s="8" t="s">
        <v>7</v>
      </c>
      <c r="D17" s="8" t="s">
        <v>16</v>
      </c>
      <c r="E17" s="10">
        <v>1</v>
      </c>
      <c r="F17" s="8" t="s">
        <v>17</v>
      </c>
      <c r="G17" s="10">
        <v>3</v>
      </c>
      <c r="H17" s="11">
        <f>((1750905*10.21+3500)/30*G17)</f>
        <v>1788024.0050000001</v>
      </c>
      <c r="I17" s="15">
        <v>0.1</v>
      </c>
      <c r="J17" s="16">
        <f t="shared" ref="J17:J18" si="4">ROUND((H17)*0.1,0)</f>
        <v>178802</v>
      </c>
      <c r="K17" s="16">
        <f t="shared" ref="K17:K18" si="5">ROUND(H17+J17,0)</f>
        <v>1966826</v>
      </c>
      <c r="L17" s="5">
        <f t="shared" si="3"/>
        <v>196682.6</v>
      </c>
      <c r="M17" s="16">
        <f t="shared" si="1"/>
        <v>37370</v>
      </c>
      <c r="N17" s="14">
        <f t="shared" si="2"/>
        <v>2004196</v>
      </c>
      <c r="P17" s="36"/>
    </row>
    <row r="18" spans="2:16" x14ac:dyDescent="0.25">
      <c r="B18" s="8">
        <v>5</v>
      </c>
      <c r="C18" s="8" t="s">
        <v>7</v>
      </c>
      <c r="D18" s="8" t="s">
        <v>16</v>
      </c>
      <c r="E18" s="10">
        <v>1</v>
      </c>
      <c r="F18" s="8" t="s">
        <v>17</v>
      </c>
      <c r="G18" s="10">
        <v>3</v>
      </c>
      <c r="H18" s="11">
        <f>((1750905*10.21+3500)/30*G18)</f>
        <v>1788024.0050000001</v>
      </c>
      <c r="I18" s="15">
        <v>0.1</v>
      </c>
      <c r="J18" s="16">
        <f t="shared" si="4"/>
        <v>178802</v>
      </c>
      <c r="K18" s="16">
        <f t="shared" si="5"/>
        <v>1966826</v>
      </c>
      <c r="L18" s="5">
        <f t="shared" si="3"/>
        <v>196682.6</v>
      </c>
      <c r="M18" s="16">
        <f t="shared" si="1"/>
        <v>37370</v>
      </c>
      <c r="N18" s="14">
        <f t="shared" si="2"/>
        <v>2004196</v>
      </c>
      <c r="P18" s="36"/>
    </row>
    <row r="19" spans="2:16" x14ac:dyDescent="0.25">
      <c r="B19" s="17">
        <v>6</v>
      </c>
      <c r="C19" s="8" t="s">
        <v>7</v>
      </c>
      <c r="D19" s="8" t="s">
        <v>19</v>
      </c>
      <c r="E19" s="10">
        <v>1</v>
      </c>
      <c r="F19" s="8" t="s">
        <v>18</v>
      </c>
      <c r="G19" s="10">
        <v>3</v>
      </c>
      <c r="H19" s="11">
        <f>((((((1750905*10.21)+3500)*47.59%)/13)*12)/30*G19)</f>
        <v>785465.19136569253</v>
      </c>
      <c r="I19" s="15">
        <v>0.1</v>
      </c>
      <c r="J19" s="16">
        <f>ROUND((H19)*0.1,0)</f>
        <v>78547</v>
      </c>
      <c r="K19" s="16">
        <f>ROUND(H19+J19,0)</f>
        <v>864012</v>
      </c>
      <c r="L19" s="5">
        <f t="shared" si="3"/>
        <v>86401.200000000012</v>
      </c>
      <c r="M19" s="16">
        <f t="shared" si="1"/>
        <v>16416</v>
      </c>
      <c r="N19" s="14">
        <f t="shared" si="2"/>
        <v>880428</v>
      </c>
      <c r="P19" s="36"/>
    </row>
    <row r="20" spans="2:16" x14ac:dyDescent="0.25">
      <c r="B20" s="8">
        <v>7</v>
      </c>
      <c r="C20" s="8" t="s">
        <v>7</v>
      </c>
      <c r="D20" s="8" t="s">
        <v>20</v>
      </c>
      <c r="E20" s="10">
        <v>1</v>
      </c>
      <c r="F20" s="8" t="s">
        <v>21</v>
      </c>
      <c r="G20" s="10">
        <v>3</v>
      </c>
      <c r="H20" s="11">
        <f>(((((1750905*10.21)+3500))/30*G20))</f>
        <v>1788024.0050000001</v>
      </c>
      <c r="I20" s="15">
        <v>0.08</v>
      </c>
      <c r="J20" s="16">
        <f>ROUND((H20)*0.08,0)</f>
        <v>143042</v>
      </c>
      <c r="K20" s="16">
        <f t="shared" ref="K20" si="6">ROUND(H20+J20,0)</f>
        <v>1931066</v>
      </c>
      <c r="L20" s="5">
        <f t="shared" si="3"/>
        <v>193106.6</v>
      </c>
      <c r="M20" s="16">
        <f t="shared" si="1"/>
        <v>36690</v>
      </c>
      <c r="N20" s="14">
        <f t="shared" si="2"/>
        <v>1967756</v>
      </c>
      <c r="P20" s="36"/>
    </row>
    <row r="21" spans="2:16" x14ac:dyDescent="0.25">
      <c r="B21" s="17">
        <v>8</v>
      </c>
      <c r="C21" s="8" t="s">
        <v>7</v>
      </c>
      <c r="D21" s="8" t="s">
        <v>22</v>
      </c>
      <c r="E21" s="10">
        <v>1</v>
      </c>
      <c r="F21" s="18" t="s">
        <v>11</v>
      </c>
      <c r="G21" s="10">
        <v>3</v>
      </c>
      <c r="H21" s="11">
        <f>(((((1750905*10.21)+3500))/30*G21))</f>
        <v>1788024.0050000001</v>
      </c>
      <c r="I21" s="15">
        <v>0.1</v>
      </c>
      <c r="J21" s="16">
        <f>ROUND((H21)*0.1,0)</f>
        <v>178802</v>
      </c>
      <c r="K21" s="16">
        <f>ROUND(H21+I21+J21,0)</f>
        <v>1966826</v>
      </c>
      <c r="L21" s="5">
        <f t="shared" si="3"/>
        <v>196682.6</v>
      </c>
      <c r="M21" s="16">
        <f t="shared" si="1"/>
        <v>37370</v>
      </c>
      <c r="N21" s="14">
        <f t="shared" si="2"/>
        <v>2004196</v>
      </c>
      <c r="P21" s="36"/>
    </row>
    <row r="22" spans="2:16" x14ac:dyDescent="0.25">
      <c r="B22" s="8">
        <v>9</v>
      </c>
      <c r="C22" s="8" t="s">
        <v>7</v>
      </c>
      <c r="D22" s="8" t="s">
        <v>23</v>
      </c>
      <c r="E22" s="10">
        <v>1</v>
      </c>
      <c r="F22" s="18" t="s">
        <v>18</v>
      </c>
      <c r="G22" s="10">
        <v>3</v>
      </c>
      <c r="H22" s="11">
        <f>(((((1750905*10.21+3500)*47.59%)/13)*12)/30*G22)</f>
        <v>785465.19136569253</v>
      </c>
      <c r="I22" s="15">
        <v>0.1</v>
      </c>
      <c r="J22" s="16">
        <f>ROUND((H22)*0.1,0)</f>
        <v>78547</v>
      </c>
      <c r="K22" s="16">
        <f>ROUND(H22+J22,0)</f>
        <v>864012</v>
      </c>
      <c r="L22" s="5">
        <f t="shared" si="3"/>
        <v>86401.200000000012</v>
      </c>
      <c r="M22" s="16">
        <f t="shared" si="1"/>
        <v>16416</v>
      </c>
      <c r="N22" s="14">
        <f t="shared" si="2"/>
        <v>880428</v>
      </c>
      <c r="P22" s="36"/>
    </row>
    <row r="23" spans="2:16" x14ac:dyDescent="0.25">
      <c r="B23" s="17">
        <v>10</v>
      </c>
      <c r="C23" s="8" t="s">
        <v>7</v>
      </c>
      <c r="D23" s="8" t="s">
        <v>24</v>
      </c>
      <c r="E23" s="10">
        <v>1</v>
      </c>
      <c r="F23" s="57" t="s">
        <v>25</v>
      </c>
      <c r="G23" s="58">
        <v>3</v>
      </c>
      <c r="H23" s="42">
        <f>(((((1750905*10.21+3500)*47.59%)/13)*12)/30*G23)</f>
        <v>785465.19136569253</v>
      </c>
      <c r="I23" s="43">
        <v>0.11</v>
      </c>
      <c r="J23" s="44">
        <f>ROUND((H23)*0.11,0)</f>
        <v>86401</v>
      </c>
      <c r="K23" s="44">
        <f>ROUND(H23+J23,0)</f>
        <v>871866</v>
      </c>
      <c r="L23" s="45">
        <f>+K23*11%</f>
        <v>95905.26</v>
      </c>
      <c r="M23" s="44">
        <f>ROUND(+L23*19%,0)</f>
        <v>18222</v>
      </c>
      <c r="N23" s="59">
        <f t="shared" si="2"/>
        <v>890088</v>
      </c>
      <c r="O23" s="60"/>
      <c r="P23" s="36"/>
    </row>
    <row r="24" spans="2:16" x14ac:dyDescent="0.25">
      <c r="B24" s="8">
        <v>11</v>
      </c>
      <c r="C24" s="8" t="s">
        <v>7</v>
      </c>
      <c r="D24" s="8" t="s">
        <v>26</v>
      </c>
      <c r="E24" s="10">
        <v>1</v>
      </c>
      <c r="F24" s="61" t="s">
        <v>84</v>
      </c>
      <c r="G24" s="58">
        <v>3</v>
      </c>
      <c r="H24" s="42">
        <f>((1750905*10.21+3500)*52.41%)/30*G24</f>
        <v>937103.38102050021</v>
      </c>
      <c r="I24" s="43">
        <v>0.1</v>
      </c>
      <c r="J24" s="44">
        <f>ROUND((H24)*0.1,0)</f>
        <v>93710</v>
      </c>
      <c r="K24" s="44">
        <f>ROUND(H24+J24,0)</f>
        <v>1030813</v>
      </c>
      <c r="L24" s="45">
        <f t="shared" si="3"/>
        <v>103081.3</v>
      </c>
      <c r="M24" s="44">
        <f t="shared" si="1"/>
        <v>19585</v>
      </c>
      <c r="N24" s="59">
        <f t="shared" si="2"/>
        <v>1050398</v>
      </c>
      <c r="O24" s="60"/>
      <c r="P24" s="36"/>
    </row>
    <row r="25" spans="2:16" x14ac:dyDescent="0.25">
      <c r="B25" s="17">
        <v>12</v>
      </c>
      <c r="C25" s="8" t="s">
        <v>7</v>
      </c>
      <c r="D25" s="8" t="s">
        <v>27</v>
      </c>
      <c r="E25" s="10">
        <v>1</v>
      </c>
      <c r="F25" s="57" t="s">
        <v>13</v>
      </c>
      <c r="G25" s="58">
        <v>3</v>
      </c>
      <c r="H25" s="42">
        <f>(((((1750905*10.21+3500)*47.59%)/13)*12)/30*G25)</f>
        <v>785465.19136569253</v>
      </c>
      <c r="I25" s="43">
        <v>0.1</v>
      </c>
      <c r="J25" s="44">
        <f>ROUND((H25)*0.1,0)</f>
        <v>78547</v>
      </c>
      <c r="K25" s="44">
        <f>ROUND(H25+J25,0)</f>
        <v>864012</v>
      </c>
      <c r="L25" s="45">
        <f t="shared" si="3"/>
        <v>86401.200000000012</v>
      </c>
      <c r="M25" s="44">
        <f t="shared" si="1"/>
        <v>16416</v>
      </c>
      <c r="N25" s="59">
        <f t="shared" si="2"/>
        <v>880428</v>
      </c>
      <c r="O25" s="60"/>
      <c r="P25" s="36"/>
    </row>
    <row r="26" spans="2:16" x14ac:dyDescent="0.25">
      <c r="B26" s="8">
        <v>13</v>
      </c>
      <c r="C26" s="8" t="s">
        <v>7</v>
      </c>
      <c r="D26" s="8" t="s">
        <v>28</v>
      </c>
      <c r="E26" s="10">
        <v>1</v>
      </c>
      <c r="F26" s="57" t="s">
        <v>11</v>
      </c>
      <c r="G26" s="58">
        <v>3</v>
      </c>
      <c r="H26" s="42">
        <f>(((((1750905*10.21)+3500))/30*G26))</f>
        <v>1788024.0050000001</v>
      </c>
      <c r="I26" s="43">
        <v>0.1</v>
      </c>
      <c r="J26" s="44">
        <f t="shared" ref="J26:J34" si="7">ROUND((H26)*0.1,0)</f>
        <v>178802</v>
      </c>
      <c r="K26" s="44">
        <f t="shared" ref="K26:K34" si="8">ROUND(H26+I26+J26,0)</f>
        <v>1966826</v>
      </c>
      <c r="L26" s="45">
        <f t="shared" si="3"/>
        <v>196682.6</v>
      </c>
      <c r="M26" s="44">
        <f t="shared" si="1"/>
        <v>37370</v>
      </c>
      <c r="N26" s="59">
        <f t="shared" si="2"/>
        <v>2004196</v>
      </c>
      <c r="O26" s="60"/>
      <c r="P26" s="36"/>
    </row>
    <row r="27" spans="2:16" x14ac:dyDescent="0.25">
      <c r="B27" s="17">
        <v>14</v>
      </c>
      <c r="C27" s="8" t="s">
        <v>7</v>
      </c>
      <c r="D27" s="8" t="s">
        <v>29</v>
      </c>
      <c r="E27" s="10">
        <v>1</v>
      </c>
      <c r="F27" s="57" t="s">
        <v>11</v>
      </c>
      <c r="G27" s="58">
        <v>3</v>
      </c>
      <c r="H27" s="42">
        <f>(((((1750905*10.21)+3500))/30*G27))</f>
        <v>1788024.0050000001</v>
      </c>
      <c r="I27" s="43">
        <v>0.1</v>
      </c>
      <c r="J27" s="44">
        <f t="shared" si="7"/>
        <v>178802</v>
      </c>
      <c r="K27" s="44">
        <f t="shared" si="8"/>
        <v>1966826</v>
      </c>
      <c r="L27" s="45">
        <f t="shared" si="3"/>
        <v>196682.6</v>
      </c>
      <c r="M27" s="44">
        <f t="shared" si="1"/>
        <v>37370</v>
      </c>
      <c r="N27" s="59">
        <f t="shared" si="2"/>
        <v>2004196</v>
      </c>
      <c r="O27" s="60"/>
      <c r="P27" s="36"/>
    </row>
    <row r="28" spans="2:16" x14ac:dyDescent="0.25">
      <c r="B28" s="8">
        <v>15</v>
      </c>
      <c r="C28" s="8" t="s">
        <v>7</v>
      </c>
      <c r="D28" s="8" t="s">
        <v>30</v>
      </c>
      <c r="E28" s="10">
        <v>1</v>
      </c>
      <c r="F28" s="57" t="s">
        <v>11</v>
      </c>
      <c r="G28" s="58">
        <v>3</v>
      </c>
      <c r="H28" s="42">
        <f t="shared" ref="H28:H33" si="9">(((((1750905*10.21)+3500))/30*G28))</f>
        <v>1788024.0050000001</v>
      </c>
      <c r="I28" s="43">
        <v>0.1</v>
      </c>
      <c r="J28" s="44">
        <f t="shared" si="7"/>
        <v>178802</v>
      </c>
      <c r="K28" s="44">
        <f t="shared" si="8"/>
        <v>1966826</v>
      </c>
      <c r="L28" s="45">
        <f t="shared" si="3"/>
        <v>196682.6</v>
      </c>
      <c r="M28" s="44">
        <f t="shared" si="1"/>
        <v>37370</v>
      </c>
      <c r="N28" s="59">
        <f t="shared" si="2"/>
        <v>2004196</v>
      </c>
      <c r="O28" s="60"/>
      <c r="P28" s="36"/>
    </row>
    <row r="29" spans="2:16" x14ac:dyDescent="0.25">
      <c r="B29" s="17">
        <v>16</v>
      </c>
      <c r="C29" s="8" t="s">
        <v>31</v>
      </c>
      <c r="D29" s="8" t="s">
        <v>32</v>
      </c>
      <c r="E29" s="10">
        <v>1</v>
      </c>
      <c r="F29" s="57" t="s">
        <v>11</v>
      </c>
      <c r="G29" s="58">
        <v>3</v>
      </c>
      <c r="H29" s="42">
        <f t="shared" si="9"/>
        <v>1788024.0050000001</v>
      </c>
      <c r="I29" s="43">
        <v>0.1</v>
      </c>
      <c r="J29" s="44">
        <f t="shared" si="7"/>
        <v>178802</v>
      </c>
      <c r="K29" s="44">
        <f t="shared" si="8"/>
        <v>1966826</v>
      </c>
      <c r="L29" s="45">
        <f t="shared" si="3"/>
        <v>196682.6</v>
      </c>
      <c r="M29" s="44">
        <f t="shared" si="1"/>
        <v>37370</v>
      </c>
      <c r="N29" s="59">
        <f t="shared" si="2"/>
        <v>2004196</v>
      </c>
      <c r="O29" s="60"/>
      <c r="P29" s="36"/>
    </row>
    <row r="30" spans="2:16" x14ac:dyDescent="0.25">
      <c r="B30" s="8">
        <v>17</v>
      </c>
      <c r="C30" s="8" t="s">
        <v>31</v>
      </c>
      <c r="D30" s="8" t="s">
        <v>33</v>
      </c>
      <c r="E30" s="10">
        <v>1</v>
      </c>
      <c r="F30" s="57" t="s">
        <v>11</v>
      </c>
      <c r="G30" s="58">
        <v>3</v>
      </c>
      <c r="H30" s="42">
        <f t="shared" si="9"/>
        <v>1788024.0050000001</v>
      </c>
      <c r="I30" s="43">
        <v>0.1</v>
      </c>
      <c r="J30" s="44">
        <f t="shared" si="7"/>
        <v>178802</v>
      </c>
      <c r="K30" s="44">
        <f t="shared" si="8"/>
        <v>1966826</v>
      </c>
      <c r="L30" s="45">
        <f t="shared" si="3"/>
        <v>196682.6</v>
      </c>
      <c r="M30" s="44">
        <f t="shared" si="1"/>
        <v>37370</v>
      </c>
      <c r="N30" s="59">
        <f t="shared" si="2"/>
        <v>2004196</v>
      </c>
      <c r="O30" s="60"/>
      <c r="P30" s="36"/>
    </row>
    <row r="31" spans="2:16" x14ac:dyDescent="0.25">
      <c r="B31" s="17">
        <v>18</v>
      </c>
      <c r="C31" s="8" t="s">
        <v>34</v>
      </c>
      <c r="D31" s="8" t="s">
        <v>35</v>
      </c>
      <c r="E31" s="10">
        <v>1</v>
      </c>
      <c r="F31" s="57" t="s">
        <v>11</v>
      </c>
      <c r="G31" s="58">
        <v>3</v>
      </c>
      <c r="H31" s="42">
        <f t="shared" si="9"/>
        <v>1788024.0050000001</v>
      </c>
      <c r="I31" s="43">
        <v>0.1</v>
      </c>
      <c r="J31" s="44">
        <f t="shared" si="7"/>
        <v>178802</v>
      </c>
      <c r="K31" s="44">
        <f t="shared" si="8"/>
        <v>1966826</v>
      </c>
      <c r="L31" s="45">
        <f t="shared" si="3"/>
        <v>196682.6</v>
      </c>
      <c r="M31" s="44">
        <f t="shared" si="1"/>
        <v>37370</v>
      </c>
      <c r="N31" s="59">
        <f t="shared" si="2"/>
        <v>2004196</v>
      </c>
      <c r="O31" s="60"/>
      <c r="P31" s="36"/>
    </row>
    <row r="32" spans="2:16" x14ac:dyDescent="0.25">
      <c r="B32" s="8">
        <v>19</v>
      </c>
      <c r="C32" s="8" t="s">
        <v>34</v>
      </c>
      <c r="D32" s="8" t="s">
        <v>36</v>
      </c>
      <c r="E32" s="10">
        <v>1</v>
      </c>
      <c r="F32" s="57" t="s">
        <v>11</v>
      </c>
      <c r="G32" s="58">
        <v>3</v>
      </c>
      <c r="H32" s="42">
        <f t="shared" si="9"/>
        <v>1788024.0050000001</v>
      </c>
      <c r="I32" s="43">
        <v>0.1</v>
      </c>
      <c r="J32" s="44">
        <f t="shared" si="7"/>
        <v>178802</v>
      </c>
      <c r="K32" s="44">
        <f t="shared" si="8"/>
        <v>1966826</v>
      </c>
      <c r="L32" s="45">
        <f t="shared" si="3"/>
        <v>196682.6</v>
      </c>
      <c r="M32" s="44">
        <f t="shared" si="1"/>
        <v>37370</v>
      </c>
      <c r="N32" s="59">
        <f t="shared" si="2"/>
        <v>2004196</v>
      </c>
      <c r="O32" s="60"/>
      <c r="P32" s="36"/>
    </row>
    <row r="33" spans="2:16" x14ac:dyDescent="0.25">
      <c r="B33" s="17">
        <v>20</v>
      </c>
      <c r="C33" s="8" t="s">
        <v>37</v>
      </c>
      <c r="D33" s="8" t="s">
        <v>38</v>
      </c>
      <c r="E33" s="10">
        <v>1</v>
      </c>
      <c r="F33" s="57" t="s">
        <v>11</v>
      </c>
      <c r="G33" s="58">
        <v>3</v>
      </c>
      <c r="H33" s="42">
        <f t="shared" si="9"/>
        <v>1788024.0050000001</v>
      </c>
      <c r="I33" s="43">
        <v>0.1</v>
      </c>
      <c r="J33" s="44">
        <f t="shared" si="7"/>
        <v>178802</v>
      </c>
      <c r="K33" s="44">
        <f t="shared" si="8"/>
        <v>1966826</v>
      </c>
      <c r="L33" s="45">
        <f t="shared" si="3"/>
        <v>196682.6</v>
      </c>
      <c r="M33" s="44">
        <f t="shared" si="1"/>
        <v>37370</v>
      </c>
      <c r="N33" s="59">
        <f t="shared" si="2"/>
        <v>2004196</v>
      </c>
      <c r="O33" s="60"/>
      <c r="P33" s="36"/>
    </row>
    <row r="34" spans="2:16" x14ac:dyDescent="0.25">
      <c r="B34" s="8">
        <v>21</v>
      </c>
      <c r="C34" s="8" t="s">
        <v>37</v>
      </c>
      <c r="D34" s="8" t="s">
        <v>39</v>
      </c>
      <c r="E34" s="10">
        <v>1</v>
      </c>
      <c r="F34" s="57" t="s">
        <v>11</v>
      </c>
      <c r="G34" s="58">
        <v>3</v>
      </c>
      <c r="H34" s="42">
        <f>(((((1750905*10.21)+3500))/30*G34))</f>
        <v>1788024.0050000001</v>
      </c>
      <c r="I34" s="43">
        <v>0.1</v>
      </c>
      <c r="J34" s="44">
        <f t="shared" si="7"/>
        <v>178802</v>
      </c>
      <c r="K34" s="44">
        <f t="shared" si="8"/>
        <v>1966826</v>
      </c>
      <c r="L34" s="45">
        <f t="shared" si="3"/>
        <v>196682.6</v>
      </c>
      <c r="M34" s="44">
        <f t="shared" si="1"/>
        <v>37370</v>
      </c>
      <c r="N34" s="59">
        <f t="shared" si="2"/>
        <v>2004196</v>
      </c>
      <c r="O34" s="60"/>
      <c r="P34" s="36"/>
    </row>
    <row r="35" spans="2:16" x14ac:dyDescent="0.25">
      <c r="B35" s="17">
        <v>22</v>
      </c>
      <c r="C35" s="8" t="s">
        <v>37</v>
      </c>
      <c r="D35" s="8" t="s">
        <v>40</v>
      </c>
      <c r="E35" s="10">
        <v>1</v>
      </c>
      <c r="F35" s="57" t="s">
        <v>25</v>
      </c>
      <c r="G35" s="58">
        <v>3</v>
      </c>
      <c r="H35" s="42">
        <f>(((((1750905*10.21+3500)*47.59%)/13)*12)/30*G35)</f>
        <v>785465.19136569253</v>
      </c>
      <c r="I35" s="43">
        <v>0.11</v>
      </c>
      <c r="J35" s="44">
        <f>ROUND((H35)*0.11,0)</f>
        <v>86401</v>
      </c>
      <c r="K35" s="44">
        <f>ROUND(H35+J35,0)</f>
        <v>871866</v>
      </c>
      <c r="L35" s="45">
        <f>+K35*11%</f>
        <v>95905.26</v>
      </c>
      <c r="M35" s="44">
        <f t="shared" si="1"/>
        <v>18222</v>
      </c>
      <c r="N35" s="59">
        <f t="shared" si="2"/>
        <v>890088</v>
      </c>
      <c r="O35" s="60"/>
      <c r="P35" s="36"/>
    </row>
    <row r="36" spans="2:16" x14ac:dyDescent="0.25">
      <c r="B36" s="8">
        <v>23</v>
      </c>
      <c r="C36" s="8" t="s">
        <v>37</v>
      </c>
      <c r="D36" s="8" t="s">
        <v>41</v>
      </c>
      <c r="E36" s="10">
        <v>1</v>
      </c>
      <c r="F36" s="57" t="s">
        <v>42</v>
      </c>
      <c r="G36" s="58">
        <v>3</v>
      </c>
      <c r="H36" s="42">
        <f>(((((1750905*10.21+3500)*47.59%)/13)*12)/30*G36)</f>
        <v>785465.19136569253</v>
      </c>
      <c r="I36" s="43">
        <v>0.1</v>
      </c>
      <c r="J36" s="44">
        <f t="shared" ref="J36" si="10">ROUND((H36)*0.1,0)</f>
        <v>78547</v>
      </c>
      <c r="K36" s="44">
        <f t="shared" ref="K36" si="11">ROUND(H36+I36+J36,0)</f>
        <v>864012</v>
      </c>
      <c r="L36" s="45">
        <f t="shared" si="3"/>
        <v>86401.200000000012</v>
      </c>
      <c r="M36" s="44">
        <f t="shared" si="1"/>
        <v>16416</v>
      </c>
      <c r="N36" s="59">
        <f t="shared" si="2"/>
        <v>880428</v>
      </c>
      <c r="O36" s="60"/>
      <c r="P36" s="36"/>
    </row>
    <row r="37" spans="2:16" x14ac:dyDescent="0.25">
      <c r="B37" s="17">
        <v>24</v>
      </c>
      <c r="C37" s="8" t="s">
        <v>43</v>
      </c>
      <c r="D37" s="8" t="s">
        <v>44</v>
      </c>
      <c r="E37" s="10">
        <v>1</v>
      </c>
      <c r="F37" s="57" t="s">
        <v>11</v>
      </c>
      <c r="G37" s="58">
        <v>3</v>
      </c>
      <c r="H37" s="42">
        <f>(((((1750905*10.21)+3500))/30*G37))</f>
        <v>1788024.0050000001</v>
      </c>
      <c r="I37" s="43">
        <v>0.1</v>
      </c>
      <c r="J37" s="44">
        <f>ROUND((H37)*0.1,0)</f>
        <v>178802</v>
      </c>
      <c r="K37" s="44">
        <f>ROUND(H37+I37+J37,0)</f>
        <v>1966826</v>
      </c>
      <c r="L37" s="45">
        <f t="shared" si="3"/>
        <v>196682.6</v>
      </c>
      <c r="M37" s="44">
        <f t="shared" si="1"/>
        <v>37370</v>
      </c>
      <c r="N37" s="59">
        <f t="shared" si="2"/>
        <v>2004196</v>
      </c>
      <c r="O37" s="60"/>
      <c r="P37" s="36"/>
    </row>
    <row r="38" spans="2:16" x14ac:dyDescent="0.25">
      <c r="B38" s="8">
        <v>25</v>
      </c>
      <c r="C38" s="8" t="s">
        <v>43</v>
      </c>
      <c r="D38" s="8" t="s">
        <v>45</v>
      </c>
      <c r="E38" s="10">
        <v>1</v>
      </c>
      <c r="F38" s="57" t="s">
        <v>46</v>
      </c>
      <c r="G38" s="58">
        <v>3</v>
      </c>
      <c r="H38" s="42">
        <f>(((((1750905*10.21+3500)*47.59%)/13)*8)/30*G38)</f>
        <v>523643.46091046161</v>
      </c>
      <c r="I38" s="43">
        <v>0.08</v>
      </c>
      <c r="J38" s="44">
        <f>ROUND((H38)*0.08,0)</f>
        <v>41891</v>
      </c>
      <c r="K38" s="44">
        <f>ROUND(H38+J38,0)</f>
        <v>565534</v>
      </c>
      <c r="L38" s="45">
        <f t="shared" si="3"/>
        <v>56553.4</v>
      </c>
      <c r="M38" s="44">
        <f t="shared" si="1"/>
        <v>10745</v>
      </c>
      <c r="N38" s="59">
        <f t="shared" si="2"/>
        <v>576279</v>
      </c>
      <c r="O38" s="60"/>
      <c r="P38" s="36"/>
    </row>
    <row r="39" spans="2:16" x14ac:dyDescent="0.25">
      <c r="B39" s="17">
        <v>26</v>
      </c>
      <c r="C39" s="8" t="s">
        <v>43</v>
      </c>
      <c r="D39" s="8" t="s">
        <v>47</v>
      </c>
      <c r="E39" s="10">
        <v>1</v>
      </c>
      <c r="F39" s="57" t="s">
        <v>11</v>
      </c>
      <c r="G39" s="58">
        <v>3</v>
      </c>
      <c r="H39" s="42">
        <f>(((((1750905*10.21)+3500))/30*G39))</f>
        <v>1788024.0050000001</v>
      </c>
      <c r="I39" s="43">
        <v>0.1</v>
      </c>
      <c r="J39" s="44">
        <f>ROUND((H39)*0.1,0)</f>
        <v>178802</v>
      </c>
      <c r="K39" s="44">
        <f>ROUND(H39+I39+J39,0)</f>
        <v>1966826</v>
      </c>
      <c r="L39" s="45">
        <f t="shared" si="3"/>
        <v>196682.6</v>
      </c>
      <c r="M39" s="44">
        <f t="shared" si="1"/>
        <v>37370</v>
      </c>
      <c r="N39" s="59">
        <f t="shared" si="2"/>
        <v>2004196</v>
      </c>
      <c r="O39" s="60"/>
      <c r="P39" s="36"/>
    </row>
    <row r="40" spans="2:16" x14ac:dyDescent="0.25">
      <c r="B40" s="8">
        <v>27</v>
      </c>
      <c r="C40" s="8" t="s">
        <v>43</v>
      </c>
      <c r="D40" s="8" t="s">
        <v>48</v>
      </c>
      <c r="E40" s="10">
        <v>1</v>
      </c>
      <c r="F40" s="57" t="s">
        <v>25</v>
      </c>
      <c r="G40" s="58">
        <v>3</v>
      </c>
      <c r="H40" s="42">
        <f>(((((1750905*10.21+3500)*47.59%)/13)*12)/30*G40)</f>
        <v>785465.19136569253</v>
      </c>
      <c r="I40" s="43">
        <v>0.11</v>
      </c>
      <c r="J40" s="44">
        <f>ROUND((H40)*0.11,0)</f>
        <v>86401</v>
      </c>
      <c r="K40" s="44">
        <f>ROUND(H40+J40,0)</f>
        <v>871866</v>
      </c>
      <c r="L40" s="45">
        <f>+K40*11%</f>
        <v>95905.26</v>
      </c>
      <c r="M40" s="44">
        <f t="shared" si="1"/>
        <v>18222</v>
      </c>
      <c r="N40" s="59">
        <f t="shared" si="2"/>
        <v>890088</v>
      </c>
      <c r="O40" s="60"/>
      <c r="P40" s="36"/>
    </row>
    <row r="41" spans="2:16" x14ac:dyDescent="0.25">
      <c r="B41" s="17">
        <v>28</v>
      </c>
      <c r="C41" s="8" t="s">
        <v>49</v>
      </c>
      <c r="D41" s="8" t="s">
        <v>50</v>
      </c>
      <c r="E41" s="10">
        <v>1</v>
      </c>
      <c r="F41" s="57" t="s">
        <v>51</v>
      </c>
      <c r="G41" s="58">
        <v>3</v>
      </c>
      <c r="H41" s="42">
        <f>(((((1750905*10.21)+3500))/30*G41))</f>
        <v>1788024.0050000001</v>
      </c>
      <c r="I41" s="43">
        <v>0.1</v>
      </c>
      <c r="J41" s="44">
        <f>ROUND((H41)*0.1,0)</f>
        <v>178802</v>
      </c>
      <c r="K41" s="44">
        <f>ROUND(H41+I41+J41,0)</f>
        <v>1966826</v>
      </c>
      <c r="L41" s="45">
        <f t="shared" si="3"/>
        <v>196682.6</v>
      </c>
      <c r="M41" s="44">
        <f t="shared" si="1"/>
        <v>37370</v>
      </c>
      <c r="N41" s="59">
        <f t="shared" si="2"/>
        <v>2004196</v>
      </c>
      <c r="O41" s="60"/>
      <c r="P41" s="36"/>
    </row>
    <row r="42" spans="2:16" x14ac:dyDescent="0.25">
      <c r="B42" s="8">
        <v>29</v>
      </c>
      <c r="C42" s="8" t="s">
        <v>49</v>
      </c>
      <c r="D42" s="8" t="s">
        <v>52</v>
      </c>
      <c r="E42" s="10">
        <v>1</v>
      </c>
      <c r="F42" s="57" t="s">
        <v>42</v>
      </c>
      <c r="G42" s="58">
        <v>3</v>
      </c>
      <c r="H42" s="42">
        <f>(((((1750905*10.21+3500)*47.59%)/13)*12)/30*G42)</f>
        <v>785465.19136569253</v>
      </c>
      <c r="I42" s="43">
        <v>0.1</v>
      </c>
      <c r="J42" s="44">
        <f t="shared" ref="J42" si="12">ROUND((H42)*0.1,0)</f>
        <v>78547</v>
      </c>
      <c r="K42" s="44">
        <f t="shared" ref="K42" si="13">ROUND(H42+I42+J42,0)</f>
        <v>864012</v>
      </c>
      <c r="L42" s="45">
        <f t="shared" si="3"/>
        <v>86401.200000000012</v>
      </c>
      <c r="M42" s="44">
        <f t="shared" si="1"/>
        <v>16416</v>
      </c>
      <c r="N42" s="59">
        <f t="shared" si="2"/>
        <v>880428</v>
      </c>
      <c r="O42" s="60"/>
      <c r="P42" s="36"/>
    </row>
    <row r="43" spans="2:16" x14ac:dyDescent="0.25">
      <c r="B43" s="17">
        <v>30</v>
      </c>
      <c r="C43" s="8" t="s">
        <v>49</v>
      </c>
      <c r="D43" s="8" t="s">
        <v>41</v>
      </c>
      <c r="E43" s="10">
        <v>1</v>
      </c>
      <c r="F43" s="57" t="s">
        <v>53</v>
      </c>
      <c r="G43" s="58">
        <v>3</v>
      </c>
      <c r="H43" s="42">
        <f t="shared" ref="H43" si="14">(((((1750905*10.21+3500)*47.59%)/13)*12)/30*G43)</f>
        <v>785465.19136569253</v>
      </c>
      <c r="I43" s="43">
        <v>0.1</v>
      </c>
      <c r="J43" s="44">
        <f>ROUND((H43)*0.1,0)</f>
        <v>78547</v>
      </c>
      <c r="K43" s="44">
        <f>ROUND(H43+J43,0)</f>
        <v>864012</v>
      </c>
      <c r="L43" s="45">
        <f t="shared" si="3"/>
        <v>86401.200000000012</v>
      </c>
      <c r="M43" s="44">
        <f t="shared" si="1"/>
        <v>16416</v>
      </c>
      <c r="N43" s="59">
        <f t="shared" si="2"/>
        <v>880428</v>
      </c>
      <c r="O43" s="60"/>
      <c r="P43" s="36"/>
    </row>
    <row r="44" spans="2:16" x14ac:dyDescent="0.25">
      <c r="B44" s="8">
        <v>31</v>
      </c>
      <c r="C44" s="8" t="s">
        <v>54</v>
      </c>
      <c r="D44" s="8" t="s">
        <v>50</v>
      </c>
      <c r="E44" s="10">
        <v>1</v>
      </c>
      <c r="F44" s="57" t="s">
        <v>11</v>
      </c>
      <c r="G44" s="58">
        <v>3</v>
      </c>
      <c r="H44" s="42">
        <f t="shared" ref="H44:H48" si="15">(((((1750905*10.21)+3500))/30*G44))</f>
        <v>1788024.0050000001</v>
      </c>
      <c r="I44" s="43">
        <v>0.1</v>
      </c>
      <c r="J44" s="44">
        <f t="shared" ref="J44:J48" si="16">ROUND((H44)*0.1,0)</f>
        <v>178802</v>
      </c>
      <c r="K44" s="44">
        <f t="shared" ref="K44:K48" si="17">ROUND(H44+I44+J44,0)</f>
        <v>1966826</v>
      </c>
      <c r="L44" s="45">
        <f t="shared" si="3"/>
        <v>196682.6</v>
      </c>
      <c r="M44" s="44">
        <f t="shared" si="1"/>
        <v>37370</v>
      </c>
      <c r="N44" s="59">
        <f t="shared" si="2"/>
        <v>2004196</v>
      </c>
      <c r="O44" s="60"/>
      <c r="P44" s="36"/>
    </row>
    <row r="45" spans="2:16" x14ac:dyDescent="0.25">
      <c r="B45" s="17">
        <v>32</v>
      </c>
      <c r="C45" s="8" t="s">
        <v>55</v>
      </c>
      <c r="D45" s="8" t="s">
        <v>50</v>
      </c>
      <c r="E45" s="10">
        <v>1</v>
      </c>
      <c r="F45" s="57" t="s">
        <v>56</v>
      </c>
      <c r="G45" s="58">
        <v>3</v>
      </c>
      <c r="H45" s="42">
        <f t="shared" si="15"/>
        <v>1788024.0050000001</v>
      </c>
      <c r="I45" s="43">
        <v>0.1</v>
      </c>
      <c r="J45" s="44">
        <f t="shared" si="16"/>
        <v>178802</v>
      </c>
      <c r="K45" s="44">
        <f t="shared" si="17"/>
        <v>1966826</v>
      </c>
      <c r="L45" s="45">
        <f t="shared" si="3"/>
        <v>196682.6</v>
      </c>
      <c r="M45" s="44">
        <f t="shared" si="1"/>
        <v>37370</v>
      </c>
      <c r="N45" s="59">
        <f t="shared" si="2"/>
        <v>2004196</v>
      </c>
      <c r="O45" s="60"/>
      <c r="P45" s="36"/>
    </row>
    <row r="46" spans="2:16" x14ac:dyDescent="0.25">
      <c r="B46" s="8">
        <v>33</v>
      </c>
      <c r="C46" s="8" t="s">
        <v>57</v>
      </c>
      <c r="D46" s="8" t="s">
        <v>50</v>
      </c>
      <c r="E46" s="10">
        <v>1</v>
      </c>
      <c r="F46" s="8" t="s">
        <v>11</v>
      </c>
      <c r="G46" s="10">
        <v>3</v>
      </c>
      <c r="H46" s="11">
        <f t="shared" si="15"/>
        <v>1788024.0050000001</v>
      </c>
      <c r="I46" s="15">
        <v>0.1</v>
      </c>
      <c r="J46" s="16">
        <f t="shared" si="16"/>
        <v>178802</v>
      </c>
      <c r="K46" s="16">
        <f t="shared" si="17"/>
        <v>1966826</v>
      </c>
      <c r="L46" s="5">
        <f t="shared" si="3"/>
        <v>196682.6</v>
      </c>
      <c r="M46" s="16">
        <f t="shared" si="1"/>
        <v>37370</v>
      </c>
      <c r="N46" s="14">
        <f t="shared" si="2"/>
        <v>2004196</v>
      </c>
      <c r="P46" s="36"/>
    </row>
    <row r="47" spans="2:16" x14ac:dyDescent="0.25">
      <c r="B47" s="17">
        <v>34</v>
      </c>
      <c r="C47" s="8" t="s">
        <v>58</v>
      </c>
      <c r="D47" s="8" t="s">
        <v>59</v>
      </c>
      <c r="E47" s="10">
        <v>1</v>
      </c>
      <c r="F47" s="8" t="s">
        <v>11</v>
      </c>
      <c r="G47" s="10">
        <v>3</v>
      </c>
      <c r="H47" s="11">
        <f t="shared" si="15"/>
        <v>1788024.0050000001</v>
      </c>
      <c r="I47" s="15">
        <v>0.1</v>
      </c>
      <c r="J47" s="16">
        <f t="shared" si="16"/>
        <v>178802</v>
      </c>
      <c r="K47" s="16">
        <f t="shared" si="17"/>
        <v>1966826</v>
      </c>
      <c r="L47" s="5">
        <f t="shared" si="3"/>
        <v>196682.6</v>
      </c>
      <c r="M47" s="16">
        <f t="shared" si="1"/>
        <v>37370</v>
      </c>
      <c r="N47" s="14">
        <f t="shared" si="2"/>
        <v>2004196</v>
      </c>
      <c r="P47" s="36"/>
    </row>
    <row r="48" spans="2:16" x14ac:dyDescent="0.25">
      <c r="B48" s="8">
        <v>35</v>
      </c>
      <c r="C48" s="8" t="s">
        <v>60</v>
      </c>
      <c r="D48" s="8" t="s">
        <v>59</v>
      </c>
      <c r="E48" s="10">
        <v>1</v>
      </c>
      <c r="F48" s="8" t="s">
        <v>11</v>
      </c>
      <c r="G48" s="10">
        <v>3</v>
      </c>
      <c r="H48" s="11">
        <f t="shared" si="15"/>
        <v>1788024.0050000001</v>
      </c>
      <c r="I48" s="15">
        <v>0.1</v>
      </c>
      <c r="J48" s="16">
        <f t="shared" si="16"/>
        <v>178802</v>
      </c>
      <c r="K48" s="16">
        <f t="shared" si="17"/>
        <v>1966826</v>
      </c>
      <c r="L48" s="5">
        <f t="shared" si="3"/>
        <v>196682.6</v>
      </c>
      <c r="M48" s="16">
        <f t="shared" si="1"/>
        <v>37370</v>
      </c>
      <c r="N48" s="14">
        <f t="shared" si="2"/>
        <v>2004196</v>
      </c>
      <c r="P48" s="36"/>
    </row>
    <row r="49" spans="2:15" x14ac:dyDescent="0.25">
      <c r="B49" s="47" t="s">
        <v>70</v>
      </c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</row>
    <row r="50" spans="2:15" ht="5.25" customHeight="1" x14ac:dyDescent="0.25"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</row>
    <row r="51" spans="2:15" x14ac:dyDescent="0.25">
      <c r="B51" s="19">
        <v>36</v>
      </c>
      <c r="C51" s="20"/>
      <c r="D51" s="20" t="s">
        <v>61</v>
      </c>
      <c r="E51" s="21">
        <v>1</v>
      </c>
      <c r="F51" s="20" t="s">
        <v>61</v>
      </c>
      <c r="G51" s="10">
        <v>3</v>
      </c>
      <c r="H51" s="11">
        <f>100000/30*G51</f>
        <v>10000</v>
      </c>
      <c r="I51" s="15"/>
      <c r="J51" s="16">
        <f t="shared" ref="J51" si="18">ROUND(H51*I51,0)</f>
        <v>0</v>
      </c>
      <c r="K51" s="16">
        <f t="shared" ref="K51" si="19">+H51+J51</f>
        <v>10000</v>
      </c>
      <c r="L51" s="5">
        <f t="shared" ref="L51" si="20">ROUND(K51*10%,0)</f>
        <v>1000</v>
      </c>
      <c r="M51" s="16">
        <f t="shared" ref="M51" si="21">ROUND(L51*19%,0)</f>
        <v>190</v>
      </c>
      <c r="N51" s="14">
        <f>+K51+M51</f>
        <v>10190</v>
      </c>
      <c r="O51" s="37"/>
    </row>
    <row r="52" spans="2:15" x14ac:dyDescent="0.25">
      <c r="B52" s="2"/>
      <c r="C52" s="3"/>
      <c r="D52" s="4"/>
      <c r="E52" s="2"/>
      <c r="F52" s="4"/>
      <c r="G52" s="22"/>
    </row>
    <row r="54" spans="2:15" x14ac:dyDescent="0.25">
      <c r="E54" s="48" t="s">
        <v>77</v>
      </c>
      <c r="F54" s="48"/>
      <c r="G54" s="48"/>
      <c r="H54" s="48"/>
      <c r="I54" s="48"/>
      <c r="J54" s="48"/>
      <c r="K54" s="48"/>
      <c r="L54" s="48"/>
      <c r="M54" s="48"/>
      <c r="N54" s="49">
        <f>SUM(N14:N48)+N51+N6</f>
        <v>55966698</v>
      </c>
    </row>
    <row r="55" spans="2:15" x14ac:dyDescent="0.25">
      <c r="E55" s="48"/>
      <c r="F55" s="48"/>
      <c r="G55" s="48"/>
      <c r="H55" s="48"/>
      <c r="I55" s="48"/>
      <c r="J55" s="48"/>
      <c r="K55" s="48"/>
      <c r="L55" s="48"/>
      <c r="M55" s="48"/>
      <c r="N55" s="49"/>
    </row>
    <row r="56" spans="2:15" x14ac:dyDescent="0.25">
      <c r="D56" t="s">
        <v>80</v>
      </c>
    </row>
    <row r="57" spans="2:15" x14ac:dyDescent="0.25">
      <c r="D57" t="s">
        <v>81</v>
      </c>
    </row>
    <row r="58" spans="2:15" x14ac:dyDescent="0.25">
      <c r="D58" t="s">
        <v>82</v>
      </c>
    </row>
    <row r="59" spans="2:15" x14ac:dyDescent="0.25">
      <c r="H59" s="6"/>
      <c r="I59" s="25"/>
    </row>
    <row r="60" spans="2:15" x14ac:dyDescent="0.25">
      <c r="H60" s="6"/>
      <c r="I60" s="26"/>
      <c r="J60" s="7"/>
    </row>
    <row r="61" spans="2:15" x14ac:dyDescent="0.25">
      <c r="I61" s="27"/>
    </row>
  </sheetData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134A-C5F5-4E3A-AA53-2C437E8958E6}">
  <dimension ref="A4:P58"/>
  <sheetViews>
    <sheetView topLeftCell="G32" zoomScale="85" zoomScaleNormal="85" workbookViewId="0">
      <selection activeCell="Q27" sqref="Q27"/>
    </sheetView>
  </sheetViews>
  <sheetFormatPr baseColWidth="10" defaultRowHeight="15" x14ac:dyDescent="0.25"/>
  <cols>
    <col min="1" max="1" width="12.5703125" hidden="1" customWidth="1"/>
    <col min="2" max="2" width="6.5703125" style="23" customWidth="1"/>
    <col min="3" max="3" width="28.28515625" style="24" customWidth="1"/>
    <col min="4" max="4" width="67.140625" customWidth="1"/>
    <col min="5" max="5" width="11.42578125" style="23"/>
    <col min="6" max="6" width="148.28515625" customWidth="1"/>
    <col min="7" max="7" width="13.42578125" customWidth="1"/>
    <col min="8" max="8" width="17.28515625" bestFit="1" customWidth="1"/>
    <col min="10" max="10" width="13.140625" bestFit="1" customWidth="1"/>
    <col min="11" max="11" width="14.28515625" bestFit="1" customWidth="1"/>
    <col min="12" max="12" width="15.7109375" bestFit="1" customWidth="1"/>
    <col min="13" max="13" width="11.85546875" bestFit="1" customWidth="1"/>
    <col min="14" max="14" width="25.140625" bestFit="1" customWidth="1"/>
    <col min="15" max="15" width="16.7109375" bestFit="1" customWidth="1"/>
  </cols>
  <sheetData>
    <row r="4" spans="1:16" ht="21" x14ac:dyDescent="0.35">
      <c r="A4" s="8"/>
      <c r="B4" s="46" t="s">
        <v>71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6" ht="42.75" thickBot="1" x14ac:dyDescent="0.3">
      <c r="A5" s="28" t="s">
        <v>0</v>
      </c>
      <c r="B5" s="32" t="s">
        <v>1</v>
      </c>
      <c r="C5" s="33" t="s">
        <v>2</v>
      </c>
      <c r="D5" s="34" t="s">
        <v>3</v>
      </c>
      <c r="E5" s="34" t="s">
        <v>4</v>
      </c>
      <c r="F5" s="34" t="s">
        <v>5</v>
      </c>
      <c r="G5" s="34" t="s">
        <v>62</v>
      </c>
      <c r="H5" s="34" t="s">
        <v>63</v>
      </c>
      <c r="I5" s="34" t="s">
        <v>64</v>
      </c>
      <c r="J5" s="34" t="s">
        <v>65</v>
      </c>
      <c r="K5" s="34" t="s">
        <v>66</v>
      </c>
      <c r="L5" s="34" t="s">
        <v>67</v>
      </c>
      <c r="M5" s="34" t="s">
        <v>68</v>
      </c>
      <c r="N5" s="34" t="s">
        <v>69</v>
      </c>
    </row>
    <row r="6" spans="1:16" x14ac:dyDescent="0.25">
      <c r="A6" s="9" t="s">
        <v>6</v>
      </c>
      <c r="B6" s="8">
        <v>1</v>
      </c>
      <c r="C6" s="8" t="s">
        <v>7</v>
      </c>
      <c r="D6" s="8" t="s">
        <v>8</v>
      </c>
      <c r="E6" s="10">
        <v>1</v>
      </c>
      <c r="F6" s="8" t="s">
        <v>9</v>
      </c>
      <c r="G6" s="10">
        <v>100</v>
      </c>
      <c r="H6" s="11">
        <f>(((((1855959*10.21)+3500)*47.59%)/13*12)/30*G6)</f>
        <v>27752791.438464623</v>
      </c>
      <c r="I6" s="12">
        <v>0.08</v>
      </c>
      <c r="J6" s="13">
        <f>ROUND((H6)*0.08,0)</f>
        <v>2220223</v>
      </c>
      <c r="K6" s="13">
        <f>ROUND(H6+J6,0)</f>
        <v>29973014</v>
      </c>
      <c r="L6" s="5">
        <f t="shared" ref="L6" si="0">+K6*10%</f>
        <v>2997301.4000000004</v>
      </c>
      <c r="M6" s="13">
        <f>ROUND(+L6*19%,0)</f>
        <v>569487</v>
      </c>
      <c r="N6" s="14">
        <f>+K6+M6</f>
        <v>30542501</v>
      </c>
    </row>
    <row r="7" spans="1:16" s="1" customFormat="1" x14ac:dyDescent="0.25">
      <c r="B7" s="2"/>
      <c r="C7" s="3"/>
      <c r="D7" s="4"/>
      <c r="E7" s="2"/>
      <c r="F7" s="4"/>
    </row>
    <row r="12" spans="1:16" ht="21" x14ac:dyDescent="0.35">
      <c r="B12" s="46" t="s">
        <v>74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6" ht="42" x14ac:dyDescent="0.25">
      <c r="B13" s="32" t="s">
        <v>1</v>
      </c>
      <c r="C13" s="33" t="s">
        <v>2</v>
      </c>
      <c r="D13" s="34" t="s">
        <v>3</v>
      </c>
      <c r="E13" s="34" t="s">
        <v>4</v>
      </c>
      <c r="F13" s="34" t="s">
        <v>5</v>
      </c>
      <c r="G13" s="31" t="s">
        <v>62</v>
      </c>
      <c r="H13" s="31" t="s">
        <v>63</v>
      </c>
      <c r="I13" s="31" t="s">
        <v>64</v>
      </c>
      <c r="J13" s="31" t="s">
        <v>65</v>
      </c>
      <c r="K13" s="31" t="s">
        <v>66</v>
      </c>
      <c r="L13" s="31" t="s">
        <v>67</v>
      </c>
      <c r="M13" s="31" t="s">
        <v>68</v>
      </c>
      <c r="N13" s="31" t="s">
        <v>69</v>
      </c>
    </row>
    <row r="14" spans="1:16" x14ac:dyDescent="0.25">
      <c r="B14" s="8">
        <v>1</v>
      </c>
      <c r="C14" s="8" t="s">
        <v>7</v>
      </c>
      <c r="D14" s="8" t="s">
        <v>10</v>
      </c>
      <c r="E14" s="10">
        <v>1</v>
      </c>
      <c r="F14" s="8" t="s">
        <v>11</v>
      </c>
      <c r="G14" s="35">
        <v>150</v>
      </c>
      <c r="H14" s="11">
        <f>(((((1855959*10.21)+3500))/30*G14))</f>
        <v>94764206.950000003</v>
      </c>
      <c r="I14" s="15">
        <v>0.1</v>
      </c>
      <c r="J14" s="16">
        <f>ROUND((H14)*0.1,0)</f>
        <v>9476421</v>
      </c>
      <c r="K14" s="16">
        <f>ROUND(H14+J14,0)</f>
        <v>104240628</v>
      </c>
      <c r="L14" s="5">
        <f>+K14*10%</f>
        <v>10424062.800000001</v>
      </c>
      <c r="M14" s="16">
        <f>ROUND(+L14*19%,0)</f>
        <v>1980572</v>
      </c>
      <c r="N14" s="14">
        <f>+K14+M14</f>
        <v>106221200</v>
      </c>
      <c r="O14" s="6">
        <v>106221199.57025501</v>
      </c>
      <c r="P14" s="27">
        <f>N14-O14</f>
        <v>0.42974498867988586</v>
      </c>
    </row>
    <row r="15" spans="1:16" x14ac:dyDescent="0.25">
      <c r="B15" s="17">
        <v>2</v>
      </c>
      <c r="C15" s="8" t="s">
        <v>7</v>
      </c>
      <c r="D15" s="8" t="s">
        <v>12</v>
      </c>
      <c r="E15" s="10">
        <v>1</v>
      </c>
      <c r="F15" s="8" t="s">
        <v>13</v>
      </c>
      <c r="G15" s="35">
        <v>100</v>
      </c>
      <c r="H15" s="11">
        <f>((((((1855959*10.21)+3500)*47.59%)/13)*12)/30*G15)</f>
        <v>27752791.438464623</v>
      </c>
      <c r="I15" s="15">
        <v>0.1</v>
      </c>
      <c r="J15" s="16">
        <f>ROUND((H15)*0.1,0)</f>
        <v>2775279</v>
      </c>
      <c r="K15" s="16">
        <f>ROUND(H15+J15,0)</f>
        <v>30528070</v>
      </c>
      <c r="L15" s="5">
        <f>+K15*10%</f>
        <v>3052807</v>
      </c>
      <c r="M15" s="16">
        <f>ROUND(+L15*19%,0)</f>
        <v>580033</v>
      </c>
      <c r="N15" s="14">
        <f t="shared" ref="N15:N48" si="1">+K15+M15</f>
        <v>31108103</v>
      </c>
      <c r="O15" s="6">
        <v>31108103.923374988</v>
      </c>
      <c r="P15" s="27">
        <f t="shared" ref="P15:P48" si="2">N15-O15</f>
        <v>-0.92337498813867569</v>
      </c>
    </row>
    <row r="16" spans="1:16" x14ac:dyDescent="0.25">
      <c r="B16" s="8">
        <v>3</v>
      </c>
      <c r="C16" s="8" t="s">
        <v>7</v>
      </c>
      <c r="D16" s="8" t="s">
        <v>14</v>
      </c>
      <c r="E16" s="10">
        <v>1</v>
      </c>
      <c r="F16" s="8" t="s">
        <v>15</v>
      </c>
      <c r="G16" s="35">
        <v>100</v>
      </c>
      <c r="H16" s="11">
        <f>(((((1855959*10.21+3500)*47.59%)/13)*8)/30*G16)</f>
        <v>18501860.95897641</v>
      </c>
      <c r="I16" s="15">
        <v>0.08</v>
      </c>
      <c r="J16" s="16">
        <f>ROUND((H16)*0.08,0)</f>
        <v>1480149</v>
      </c>
      <c r="K16" s="16">
        <f>ROUND(H16+J16,0)</f>
        <v>19982010</v>
      </c>
      <c r="L16" s="5">
        <f t="shared" ref="L16:L48" si="3">+K16*10%</f>
        <v>1998201</v>
      </c>
      <c r="M16" s="16">
        <f t="shared" ref="M16:M48" si="4">ROUND(+L16*19%,0)</f>
        <v>379658</v>
      </c>
      <c r="N16" s="14">
        <f t="shared" si="1"/>
        <v>20361668</v>
      </c>
      <c r="O16" s="6">
        <v>20361668.022572719</v>
      </c>
      <c r="P16" s="27">
        <f t="shared" si="2"/>
        <v>-2.2572718560695648E-2</v>
      </c>
    </row>
    <row r="17" spans="2:16" x14ac:dyDescent="0.25">
      <c r="B17" s="17">
        <v>4</v>
      </c>
      <c r="C17" s="8" t="s">
        <v>7</v>
      </c>
      <c r="D17" s="8" t="s">
        <v>16</v>
      </c>
      <c r="E17" s="10">
        <v>1</v>
      </c>
      <c r="F17" s="8" t="s">
        <v>17</v>
      </c>
      <c r="G17" s="35">
        <v>150</v>
      </c>
      <c r="H17" s="11">
        <f t="shared" ref="H17:H18" si="5">(((((1855959*10.21)+3500))/30*G17))</f>
        <v>94764206.950000003</v>
      </c>
      <c r="I17" s="15">
        <v>0.1</v>
      </c>
      <c r="J17" s="16">
        <f t="shared" ref="J17:J18" si="6">ROUND((H17)*0.1,0)</f>
        <v>9476421</v>
      </c>
      <c r="K17" s="16">
        <f t="shared" ref="K17:K18" si="7">ROUND(H17+J17,0)</f>
        <v>104240628</v>
      </c>
      <c r="L17" s="5">
        <f t="shared" si="3"/>
        <v>10424062.800000001</v>
      </c>
      <c r="M17" s="16">
        <f t="shared" si="4"/>
        <v>1980572</v>
      </c>
      <c r="N17" s="14">
        <f t="shared" si="1"/>
        <v>106221200</v>
      </c>
      <c r="O17" s="6">
        <v>106221199.57025501</v>
      </c>
      <c r="P17" s="27">
        <f t="shared" si="2"/>
        <v>0.42974498867988586</v>
      </c>
    </row>
    <row r="18" spans="2:16" x14ac:dyDescent="0.25">
      <c r="B18" s="8">
        <v>5</v>
      </c>
      <c r="C18" s="8" t="s">
        <v>7</v>
      </c>
      <c r="D18" s="8" t="s">
        <v>16</v>
      </c>
      <c r="E18" s="10">
        <v>1</v>
      </c>
      <c r="F18" s="8" t="s">
        <v>17</v>
      </c>
      <c r="G18" s="35">
        <v>150</v>
      </c>
      <c r="H18" s="11">
        <f t="shared" si="5"/>
        <v>94764206.950000003</v>
      </c>
      <c r="I18" s="15">
        <v>0.1</v>
      </c>
      <c r="J18" s="16">
        <f t="shared" si="6"/>
        <v>9476421</v>
      </c>
      <c r="K18" s="16">
        <f t="shared" si="7"/>
        <v>104240628</v>
      </c>
      <c r="L18" s="5">
        <f t="shared" si="3"/>
        <v>10424062.800000001</v>
      </c>
      <c r="M18" s="16">
        <f t="shared" si="4"/>
        <v>1980572</v>
      </c>
      <c r="N18" s="14">
        <f t="shared" si="1"/>
        <v>106221200</v>
      </c>
      <c r="O18" s="6">
        <v>106221199.57025501</v>
      </c>
      <c r="P18" s="27">
        <f t="shared" si="2"/>
        <v>0.42974498867988586</v>
      </c>
    </row>
    <row r="19" spans="2:16" x14ac:dyDescent="0.25">
      <c r="B19" s="17">
        <v>6</v>
      </c>
      <c r="C19" s="8" t="s">
        <v>7</v>
      </c>
      <c r="D19" s="8" t="s">
        <v>19</v>
      </c>
      <c r="E19" s="10">
        <v>1</v>
      </c>
      <c r="F19" s="8" t="s">
        <v>18</v>
      </c>
      <c r="G19" s="35">
        <v>150</v>
      </c>
      <c r="H19" s="11">
        <f>(((((((1855959*10.21)+3500)*47.59%)/13)*12)/30*G19))</f>
        <v>41629187.157696933</v>
      </c>
      <c r="I19" s="15">
        <v>0.1</v>
      </c>
      <c r="J19" s="16">
        <f>ROUND((H19)*0.1,0)</f>
        <v>4162919</v>
      </c>
      <c r="K19" s="16">
        <f>ROUND(H19+J19,0)</f>
        <v>45792106</v>
      </c>
      <c r="L19" s="5">
        <f t="shared" si="3"/>
        <v>4579210.6000000006</v>
      </c>
      <c r="M19" s="16">
        <f t="shared" si="4"/>
        <v>870050</v>
      </c>
      <c r="N19" s="14">
        <f t="shared" si="1"/>
        <v>46662156</v>
      </c>
      <c r="O19" s="6">
        <v>46662155.885062486</v>
      </c>
      <c r="P19" s="27">
        <f t="shared" si="2"/>
        <v>0.11493751406669617</v>
      </c>
    </row>
    <row r="20" spans="2:16" x14ac:dyDescent="0.25">
      <c r="B20" s="8">
        <v>7</v>
      </c>
      <c r="C20" s="8" t="s">
        <v>7</v>
      </c>
      <c r="D20" s="8" t="s">
        <v>20</v>
      </c>
      <c r="E20" s="10">
        <v>1</v>
      </c>
      <c r="F20" s="8" t="s">
        <v>21</v>
      </c>
      <c r="G20" s="35">
        <v>150</v>
      </c>
      <c r="H20" s="11">
        <f>(((((1855959*10.21)+3500))/30*G20))</f>
        <v>94764206.950000003</v>
      </c>
      <c r="I20" s="15">
        <v>0.08</v>
      </c>
      <c r="J20" s="16">
        <f>ROUND((H20)*0.08,0)</f>
        <v>7581137</v>
      </c>
      <c r="K20" s="16">
        <f t="shared" ref="K20" si="8">ROUND(H20+J20,0)</f>
        <v>102345344</v>
      </c>
      <c r="L20" s="5">
        <f t="shared" si="3"/>
        <v>10234534.4</v>
      </c>
      <c r="M20" s="16">
        <f t="shared" si="4"/>
        <v>1944562</v>
      </c>
      <c r="N20" s="14">
        <f t="shared" si="1"/>
        <v>104289906</v>
      </c>
      <c r="O20" s="6">
        <v>104289905.03261399</v>
      </c>
      <c r="P20" s="27">
        <f t="shared" si="2"/>
        <v>0.96738600730895996</v>
      </c>
    </row>
    <row r="21" spans="2:16" x14ac:dyDescent="0.25">
      <c r="B21" s="17">
        <v>8</v>
      </c>
      <c r="C21" s="8" t="s">
        <v>7</v>
      </c>
      <c r="D21" s="8" t="s">
        <v>22</v>
      </c>
      <c r="E21" s="10">
        <v>1</v>
      </c>
      <c r="F21" s="18" t="s">
        <v>11</v>
      </c>
      <c r="G21" s="35">
        <v>150</v>
      </c>
      <c r="H21" s="11">
        <f>(((((1855959*10.21)+3500))/30*G21))</f>
        <v>94764206.950000003</v>
      </c>
      <c r="I21" s="15">
        <v>0.1</v>
      </c>
      <c r="J21" s="16">
        <f>ROUND((H21)*0.1,0)</f>
        <v>9476421</v>
      </c>
      <c r="K21" s="16">
        <f>ROUND(H21+I21+J21,0)</f>
        <v>104240628</v>
      </c>
      <c r="L21" s="5">
        <f>+K21*10%</f>
        <v>10424062.800000001</v>
      </c>
      <c r="M21" s="16">
        <f t="shared" si="4"/>
        <v>1980572</v>
      </c>
      <c r="N21" s="14">
        <f t="shared" si="1"/>
        <v>106221200</v>
      </c>
      <c r="O21" s="6">
        <v>106221199.57025501</v>
      </c>
      <c r="P21" s="27">
        <f t="shared" si="2"/>
        <v>0.42974498867988586</v>
      </c>
    </row>
    <row r="22" spans="2:16" x14ac:dyDescent="0.25">
      <c r="B22" s="8">
        <v>9</v>
      </c>
      <c r="C22" s="8" t="s">
        <v>7</v>
      </c>
      <c r="D22" s="8" t="s">
        <v>23</v>
      </c>
      <c r="E22" s="10">
        <v>1</v>
      </c>
      <c r="F22" s="18" t="s">
        <v>18</v>
      </c>
      <c r="G22" s="35">
        <v>150</v>
      </c>
      <c r="H22" s="11">
        <f>((((((1855959*10.21+3500)*47.59%)/13)*12)/30*G22))</f>
        <v>41629187.157696933</v>
      </c>
      <c r="I22" s="15">
        <v>0.1</v>
      </c>
      <c r="J22" s="16">
        <f>ROUND((H22)*0.1,0)</f>
        <v>4162919</v>
      </c>
      <c r="K22" s="16">
        <f>ROUND(H22+J22,0)</f>
        <v>45792106</v>
      </c>
      <c r="L22" s="5">
        <f t="shared" si="3"/>
        <v>4579210.6000000006</v>
      </c>
      <c r="M22" s="16">
        <f t="shared" si="4"/>
        <v>870050</v>
      </c>
      <c r="N22" s="14">
        <f t="shared" si="1"/>
        <v>46662156</v>
      </c>
      <c r="O22" s="6">
        <v>46662155.885062486</v>
      </c>
      <c r="P22" s="27">
        <f t="shared" si="2"/>
        <v>0.11493751406669617</v>
      </c>
    </row>
    <row r="23" spans="2:16" x14ac:dyDescent="0.25">
      <c r="B23" s="17">
        <v>10</v>
      </c>
      <c r="C23" s="8" t="s">
        <v>7</v>
      </c>
      <c r="D23" s="8" t="s">
        <v>24</v>
      </c>
      <c r="E23" s="10">
        <v>1</v>
      </c>
      <c r="F23" s="8" t="s">
        <v>25</v>
      </c>
      <c r="G23" s="35">
        <v>150</v>
      </c>
      <c r="H23" s="11">
        <f>((((((1855959*10.21+3500)*47.59%)/13)*12)/30*G23))</f>
        <v>41629187.157696933</v>
      </c>
      <c r="I23" s="15">
        <v>0.11</v>
      </c>
      <c r="J23" s="16">
        <f>ROUND((H23)*0.11,0)</f>
        <v>4579211</v>
      </c>
      <c r="K23" s="16">
        <f>ROUND(H23+J23,0)</f>
        <v>46208398</v>
      </c>
      <c r="L23" s="45">
        <f>+K23*11%</f>
        <v>5082923.78</v>
      </c>
      <c r="M23" s="44">
        <f>ROUND(+L23*19%,0)</f>
        <v>965756</v>
      </c>
      <c r="N23" s="14">
        <f>+K23+M23</f>
        <v>47174154</v>
      </c>
      <c r="O23" s="6">
        <v>47174153.257915005</v>
      </c>
      <c r="P23" s="27">
        <f t="shared" si="2"/>
        <v>0.74208499491214752</v>
      </c>
    </row>
    <row r="24" spans="2:16" x14ac:dyDescent="0.25">
      <c r="B24" s="8">
        <v>11</v>
      </c>
      <c r="C24" s="8" t="s">
        <v>7</v>
      </c>
      <c r="D24" s="8" t="s">
        <v>26</v>
      </c>
      <c r="E24" s="10">
        <v>1</v>
      </c>
      <c r="F24" s="38" t="s">
        <v>84</v>
      </c>
      <c r="G24" s="35">
        <v>150</v>
      </c>
      <c r="H24" s="11">
        <f>((1855959*10.21+3500)*52.41%)/30*G24</f>
        <v>49665920.862495005</v>
      </c>
      <c r="I24" s="15">
        <v>0.1</v>
      </c>
      <c r="J24" s="16">
        <f>ROUND((H24)*0.1,0)</f>
        <v>4966592</v>
      </c>
      <c r="K24" s="16">
        <f>ROUND(H24+J24,0)</f>
        <v>54632513</v>
      </c>
      <c r="L24" s="45">
        <f t="shared" si="3"/>
        <v>5463251.3000000007</v>
      </c>
      <c r="M24" s="44">
        <f t="shared" si="4"/>
        <v>1038018</v>
      </c>
      <c r="N24" s="14">
        <f t="shared" si="1"/>
        <v>55670531</v>
      </c>
      <c r="O24" s="6">
        <v>55670530.694770649</v>
      </c>
      <c r="P24" s="27">
        <f t="shared" si="2"/>
        <v>0.30522935092449188</v>
      </c>
    </row>
    <row r="25" spans="2:16" x14ac:dyDescent="0.25">
      <c r="B25" s="17">
        <v>12</v>
      </c>
      <c r="C25" s="8" t="s">
        <v>7</v>
      </c>
      <c r="D25" s="8" t="s">
        <v>27</v>
      </c>
      <c r="E25" s="10">
        <v>1</v>
      </c>
      <c r="F25" s="8" t="s">
        <v>13</v>
      </c>
      <c r="G25" s="35">
        <v>100</v>
      </c>
      <c r="H25" s="11">
        <f>((((((1855959*10.21+3500)*47.59%)/13)*12)/30*G25))</f>
        <v>27752791.438464623</v>
      </c>
      <c r="I25" s="15">
        <v>0.1</v>
      </c>
      <c r="J25" s="16">
        <f>ROUND((H25)*0.1,0)</f>
        <v>2775279</v>
      </c>
      <c r="K25" s="16">
        <f>ROUND(H25+J25,0)</f>
        <v>30528070</v>
      </c>
      <c r="L25" s="45">
        <f t="shared" si="3"/>
        <v>3052807</v>
      </c>
      <c r="M25" s="44">
        <f t="shared" si="4"/>
        <v>580033</v>
      </c>
      <c r="N25" s="14">
        <f t="shared" si="1"/>
        <v>31108103</v>
      </c>
      <c r="O25" s="6">
        <v>31108103.923374988</v>
      </c>
      <c r="P25" s="27">
        <f t="shared" si="2"/>
        <v>-0.92337498813867569</v>
      </c>
    </row>
    <row r="26" spans="2:16" x14ac:dyDescent="0.25">
      <c r="B26" s="8">
        <v>13</v>
      </c>
      <c r="C26" s="8" t="s">
        <v>7</v>
      </c>
      <c r="D26" s="8" t="s">
        <v>28</v>
      </c>
      <c r="E26" s="10">
        <v>1</v>
      </c>
      <c r="F26" s="8" t="s">
        <v>11</v>
      </c>
      <c r="G26" s="35">
        <v>150</v>
      </c>
      <c r="H26" s="11">
        <f t="shared" ref="H26:H34" si="9">(((((1855959*10.21)+3500))/30*G26))</f>
        <v>94764206.950000003</v>
      </c>
      <c r="I26" s="15">
        <v>0.1</v>
      </c>
      <c r="J26" s="16">
        <f t="shared" ref="J26:J34" si="10">ROUND((H26)*0.1,0)</f>
        <v>9476421</v>
      </c>
      <c r="K26" s="16">
        <f t="shared" ref="K26:K34" si="11">ROUND(H26+I26+J26,0)</f>
        <v>104240628</v>
      </c>
      <c r="L26" s="45">
        <f t="shared" si="3"/>
        <v>10424062.800000001</v>
      </c>
      <c r="M26" s="44">
        <f t="shared" si="4"/>
        <v>1980572</v>
      </c>
      <c r="N26" s="14">
        <f t="shared" si="1"/>
        <v>106221200</v>
      </c>
      <c r="O26" s="6">
        <v>106221199.57025501</v>
      </c>
      <c r="P26" s="27">
        <f t="shared" si="2"/>
        <v>0.42974498867988586</v>
      </c>
    </row>
    <row r="27" spans="2:16" x14ac:dyDescent="0.25">
      <c r="B27" s="17">
        <v>14</v>
      </c>
      <c r="C27" s="8" t="s">
        <v>7</v>
      </c>
      <c r="D27" s="8" t="s">
        <v>29</v>
      </c>
      <c r="E27" s="10">
        <v>1</v>
      </c>
      <c r="F27" s="8" t="s">
        <v>11</v>
      </c>
      <c r="G27" s="35">
        <v>150</v>
      </c>
      <c r="H27" s="11">
        <f t="shared" si="9"/>
        <v>94764206.950000003</v>
      </c>
      <c r="I27" s="15">
        <v>0.1</v>
      </c>
      <c r="J27" s="16">
        <f t="shared" si="10"/>
        <v>9476421</v>
      </c>
      <c r="K27" s="16">
        <f t="shared" si="11"/>
        <v>104240628</v>
      </c>
      <c r="L27" s="45">
        <f t="shared" si="3"/>
        <v>10424062.800000001</v>
      </c>
      <c r="M27" s="44">
        <f t="shared" si="4"/>
        <v>1980572</v>
      </c>
      <c r="N27" s="14">
        <f t="shared" si="1"/>
        <v>106221200</v>
      </c>
      <c r="O27" s="6">
        <v>106221199.57025501</v>
      </c>
      <c r="P27" s="27">
        <f t="shared" si="2"/>
        <v>0.42974498867988586</v>
      </c>
    </row>
    <row r="28" spans="2:16" x14ac:dyDescent="0.25">
      <c r="B28" s="8">
        <v>15</v>
      </c>
      <c r="C28" s="8" t="s">
        <v>7</v>
      </c>
      <c r="D28" s="8" t="s">
        <v>30</v>
      </c>
      <c r="E28" s="10">
        <v>1</v>
      </c>
      <c r="F28" s="8" t="s">
        <v>11</v>
      </c>
      <c r="G28" s="35">
        <v>150</v>
      </c>
      <c r="H28" s="11">
        <f t="shared" si="9"/>
        <v>94764206.950000003</v>
      </c>
      <c r="I28" s="15">
        <v>0.1</v>
      </c>
      <c r="J28" s="16">
        <f t="shared" si="10"/>
        <v>9476421</v>
      </c>
      <c r="K28" s="16">
        <f t="shared" si="11"/>
        <v>104240628</v>
      </c>
      <c r="L28" s="45">
        <f t="shared" si="3"/>
        <v>10424062.800000001</v>
      </c>
      <c r="M28" s="44">
        <f t="shared" si="4"/>
        <v>1980572</v>
      </c>
      <c r="N28" s="14">
        <f t="shared" si="1"/>
        <v>106221200</v>
      </c>
      <c r="O28" s="6">
        <v>106221199.57025501</v>
      </c>
      <c r="P28" s="27">
        <f t="shared" si="2"/>
        <v>0.42974498867988586</v>
      </c>
    </row>
    <row r="29" spans="2:16" x14ac:dyDescent="0.25">
      <c r="B29" s="17">
        <v>16</v>
      </c>
      <c r="C29" s="8" t="s">
        <v>31</v>
      </c>
      <c r="D29" s="8" t="s">
        <v>32</v>
      </c>
      <c r="E29" s="10">
        <v>1</v>
      </c>
      <c r="F29" s="8" t="s">
        <v>11</v>
      </c>
      <c r="G29" s="35">
        <v>150</v>
      </c>
      <c r="H29" s="11">
        <f t="shared" si="9"/>
        <v>94764206.950000003</v>
      </c>
      <c r="I29" s="15">
        <v>0.1</v>
      </c>
      <c r="J29" s="16">
        <f t="shared" si="10"/>
        <v>9476421</v>
      </c>
      <c r="K29" s="16">
        <f t="shared" si="11"/>
        <v>104240628</v>
      </c>
      <c r="L29" s="45">
        <f t="shared" si="3"/>
        <v>10424062.800000001</v>
      </c>
      <c r="M29" s="44">
        <f t="shared" si="4"/>
        <v>1980572</v>
      </c>
      <c r="N29" s="14">
        <f t="shared" si="1"/>
        <v>106221200</v>
      </c>
      <c r="O29" s="6">
        <v>106221199.57025501</v>
      </c>
      <c r="P29" s="27">
        <f t="shared" si="2"/>
        <v>0.42974498867988586</v>
      </c>
    </row>
    <row r="30" spans="2:16" x14ac:dyDescent="0.25">
      <c r="B30" s="8">
        <v>17</v>
      </c>
      <c r="C30" s="8" t="s">
        <v>31</v>
      </c>
      <c r="D30" s="8" t="s">
        <v>33</v>
      </c>
      <c r="E30" s="10">
        <v>1</v>
      </c>
      <c r="F30" s="8" t="s">
        <v>11</v>
      </c>
      <c r="G30" s="35">
        <v>150</v>
      </c>
      <c r="H30" s="11">
        <f t="shared" si="9"/>
        <v>94764206.950000003</v>
      </c>
      <c r="I30" s="15">
        <v>0.1</v>
      </c>
      <c r="J30" s="16">
        <f t="shared" si="10"/>
        <v>9476421</v>
      </c>
      <c r="K30" s="16">
        <f t="shared" si="11"/>
        <v>104240628</v>
      </c>
      <c r="L30" s="45">
        <f t="shared" si="3"/>
        <v>10424062.800000001</v>
      </c>
      <c r="M30" s="44">
        <f t="shared" si="4"/>
        <v>1980572</v>
      </c>
      <c r="N30" s="14">
        <f t="shared" si="1"/>
        <v>106221200</v>
      </c>
      <c r="O30" s="6">
        <v>106221199.57025501</v>
      </c>
      <c r="P30" s="27">
        <f t="shared" si="2"/>
        <v>0.42974498867988586</v>
      </c>
    </row>
    <row r="31" spans="2:16" x14ac:dyDescent="0.25">
      <c r="B31" s="17">
        <v>18</v>
      </c>
      <c r="C31" s="8" t="s">
        <v>34</v>
      </c>
      <c r="D31" s="8" t="s">
        <v>35</v>
      </c>
      <c r="E31" s="10">
        <v>1</v>
      </c>
      <c r="F31" s="8" t="s">
        <v>11</v>
      </c>
      <c r="G31" s="35">
        <v>150</v>
      </c>
      <c r="H31" s="11">
        <f t="shared" si="9"/>
        <v>94764206.950000003</v>
      </c>
      <c r="I31" s="15">
        <v>0.1</v>
      </c>
      <c r="J31" s="16">
        <f t="shared" si="10"/>
        <v>9476421</v>
      </c>
      <c r="K31" s="16">
        <f t="shared" si="11"/>
        <v>104240628</v>
      </c>
      <c r="L31" s="45">
        <f t="shared" si="3"/>
        <v>10424062.800000001</v>
      </c>
      <c r="M31" s="44">
        <f t="shared" si="4"/>
        <v>1980572</v>
      </c>
      <c r="N31" s="14">
        <f t="shared" si="1"/>
        <v>106221200</v>
      </c>
      <c r="O31" s="6">
        <v>106221199.57025501</v>
      </c>
      <c r="P31" s="27">
        <f t="shared" si="2"/>
        <v>0.42974498867988586</v>
      </c>
    </row>
    <row r="32" spans="2:16" x14ac:dyDescent="0.25">
      <c r="B32" s="8">
        <v>19</v>
      </c>
      <c r="C32" s="8" t="s">
        <v>34</v>
      </c>
      <c r="D32" s="8" t="s">
        <v>36</v>
      </c>
      <c r="E32" s="10">
        <v>1</v>
      </c>
      <c r="F32" s="8" t="s">
        <v>11</v>
      </c>
      <c r="G32" s="35">
        <v>150</v>
      </c>
      <c r="H32" s="11">
        <f t="shared" si="9"/>
        <v>94764206.950000003</v>
      </c>
      <c r="I32" s="15">
        <v>0.1</v>
      </c>
      <c r="J32" s="16">
        <f t="shared" si="10"/>
        <v>9476421</v>
      </c>
      <c r="K32" s="16">
        <f t="shared" si="11"/>
        <v>104240628</v>
      </c>
      <c r="L32" s="45">
        <f t="shared" si="3"/>
        <v>10424062.800000001</v>
      </c>
      <c r="M32" s="44">
        <f t="shared" si="4"/>
        <v>1980572</v>
      </c>
      <c r="N32" s="14">
        <f t="shared" si="1"/>
        <v>106221200</v>
      </c>
      <c r="O32" s="6">
        <v>106221199.57025501</v>
      </c>
      <c r="P32" s="27">
        <f t="shared" si="2"/>
        <v>0.42974498867988586</v>
      </c>
    </row>
    <row r="33" spans="2:16" x14ac:dyDescent="0.25">
      <c r="B33" s="17">
        <v>20</v>
      </c>
      <c r="C33" s="8" t="s">
        <v>37</v>
      </c>
      <c r="D33" s="8" t="s">
        <v>38</v>
      </c>
      <c r="E33" s="10">
        <v>1</v>
      </c>
      <c r="F33" s="8" t="s">
        <v>11</v>
      </c>
      <c r="G33" s="35">
        <v>150</v>
      </c>
      <c r="H33" s="11">
        <f t="shared" si="9"/>
        <v>94764206.950000003</v>
      </c>
      <c r="I33" s="15">
        <v>0.1</v>
      </c>
      <c r="J33" s="16">
        <f t="shared" si="10"/>
        <v>9476421</v>
      </c>
      <c r="K33" s="16">
        <f t="shared" si="11"/>
        <v>104240628</v>
      </c>
      <c r="L33" s="45">
        <f t="shared" si="3"/>
        <v>10424062.800000001</v>
      </c>
      <c r="M33" s="44">
        <f t="shared" si="4"/>
        <v>1980572</v>
      </c>
      <c r="N33" s="14">
        <f t="shared" si="1"/>
        <v>106221200</v>
      </c>
      <c r="O33" s="6">
        <v>106221199.57025501</v>
      </c>
      <c r="P33" s="27">
        <f t="shared" si="2"/>
        <v>0.42974498867988586</v>
      </c>
    </row>
    <row r="34" spans="2:16" x14ac:dyDescent="0.25">
      <c r="B34" s="8">
        <v>21</v>
      </c>
      <c r="C34" s="8" t="s">
        <v>37</v>
      </c>
      <c r="D34" s="8" t="s">
        <v>39</v>
      </c>
      <c r="E34" s="10">
        <v>1</v>
      </c>
      <c r="F34" s="8" t="s">
        <v>11</v>
      </c>
      <c r="G34" s="35">
        <v>150</v>
      </c>
      <c r="H34" s="11">
        <f t="shared" si="9"/>
        <v>94764206.950000003</v>
      </c>
      <c r="I34" s="15">
        <v>0.1</v>
      </c>
      <c r="J34" s="16">
        <f t="shared" si="10"/>
        <v>9476421</v>
      </c>
      <c r="K34" s="16">
        <f t="shared" si="11"/>
        <v>104240628</v>
      </c>
      <c r="L34" s="45">
        <f t="shared" si="3"/>
        <v>10424062.800000001</v>
      </c>
      <c r="M34" s="44">
        <f t="shared" si="4"/>
        <v>1980572</v>
      </c>
      <c r="N34" s="14">
        <f t="shared" si="1"/>
        <v>106221200</v>
      </c>
      <c r="O34" s="6">
        <v>106221199.57025501</v>
      </c>
      <c r="P34" s="27">
        <f t="shared" si="2"/>
        <v>0.42974498867988586</v>
      </c>
    </row>
    <row r="35" spans="2:16" x14ac:dyDescent="0.25">
      <c r="B35" s="17">
        <v>22</v>
      </c>
      <c r="C35" s="8" t="s">
        <v>37</v>
      </c>
      <c r="D35" s="8" t="s">
        <v>40</v>
      </c>
      <c r="E35" s="10">
        <v>1</v>
      </c>
      <c r="F35" s="8" t="s">
        <v>25</v>
      </c>
      <c r="G35" s="35">
        <v>150</v>
      </c>
      <c r="H35" s="11">
        <f>((((((1855959*10.21+3500)*47.59%)/13)*12)/30*G35))</f>
        <v>41629187.157696933</v>
      </c>
      <c r="I35" s="15">
        <v>0.11</v>
      </c>
      <c r="J35" s="16">
        <f>ROUND((H35)*0.11,0)</f>
        <v>4579211</v>
      </c>
      <c r="K35" s="16">
        <f>ROUND(H35+J35,0)</f>
        <v>46208398</v>
      </c>
      <c r="L35" s="45">
        <f>+K35*11%</f>
        <v>5082923.78</v>
      </c>
      <c r="M35" s="44">
        <f t="shared" si="4"/>
        <v>965756</v>
      </c>
      <c r="N35" s="14">
        <f t="shared" si="1"/>
        <v>47174154</v>
      </c>
      <c r="O35" s="6">
        <v>47174153.257915005</v>
      </c>
      <c r="P35" s="27">
        <f t="shared" si="2"/>
        <v>0.74208499491214752</v>
      </c>
    </row>
    <row r="36" spans="2:16" x14ac:dyDescent="0.25">
      <c r="B36" s="8">
        <v>23</v>
      </c>
      <c r="C36" s="8" t="s">
        <v>37</v>
      </c>
      <c r="D36" s="8" t="s">
        <v>41</v>
      </c>
      <c r="E36" s="10">
        <v>1</v>
      </c>
      <c r="F36" s="8" t="s">
        <v>42</v>
      </c>
      <c r="G36" s="35">
        <v>150</v>
      </c>
      <c r="H36" s="11">
        <f>((((((1855959*10.21+3500)*47.59%)/13)*12)/30*G36))</f>
        <v>41629187.157696933</v>
      </c>
      <c r="I36" s="15">
        <v>0.1</v>
      </c>
      <c r="J36" s="16">
        <f t="shared" ref="J36" si="12">ROUND((H36)*0.1,0)</f>
        <v>4162919</v>
      </c>
      <c r="K36" s="16">
        <f t="shared" ref="K36" si="13">ROUND(H36+I36+J36,0)</f>
        <v>45792106</v>
      </c>
      <c r="L36" s="45">
        <f t="shared" si="3"/>
        <v>4579210.6000000006</v>
      </c>
      <c r="M36" s="44">
        <f t="shared" si="4"/>
        <v>870050</v>
      </c>
      <c r="N36" s="14">
        <f t="shared" si="1"/>
        <v>46662156</v>
      </c>
      <c r="O36" s="6">
        <v>46662155.885062486</v>
      </c>
      <c r="P36" s="27">
        <f t="shared" si="2"/>
        <v>0.11493751406669617</v>
      </c>
    </row>
    <row r="37" spans="2:16" x14ac:dyDescent="0.25">
      <c r="B37" s="17">
        <v>24</v>
      </c>
      <c r="C37" s="8" t="s">
        <v>43</v>
      </c>
      <c r="D37" s="8" t="s">
        <v>44</v>
      </c>
      <c r="E37" s="10">
        <v>1</v>
      </c>
      <c r="F37" s="8" t="s">
        <v>11</v>
      </c>
      <c r="G37" s="35">
        <v>150</v>
      </c>
      <c r="H37" s="11">
        <f>(((((1855959*10.21)+3500))/30*G37))</f>
        <v>94764206.950000003</v>
      </c>
      <c r="I37" s="15">
        <v>0.1</v>
      </c>
      <c r="J37" s="16">
        <f>ROUND((H37)*0.1,0)</f>
        <v>9476421</v>
      </c>
      <c r="K37" s="16">
        <f>ROUND(H37+I37+J37,0)</f>
        <v>104240628</v>
      </c>
      <c r="L37" s="45">
        <f t="shared" si="3"/>
        <v>10424062.800000001</v>
      </c>
      <c r="M37" s="44">
        <f t="shared" si="4"/>
        <v>1980572</v>
      </c>
      <c r="N37" s="14">
        <f t="shared" si="1"/>
        <v>106221200</v>
      </c>
      <c r="O37" s="6">
        <v>106221199.57025501</v>
      </c>
      <c r="P37" s="27">
        <f t="shared" si="2"/>
        <v>0.42974498867988586</v>
      </c>
    </row>
    <row r="38" spans="2:16" x14ac:dyDescent="0.25">
      <c r="B38" s="8">
        <v>25</v>
      </c>
      <c r="C38" s="8" t="s">
        <v>43</v>
      </c>
      <c r="D38" s="8" t="s">
        <v>45</v>
      </c>
      <c r="E38" s="10">
        <v>1</v>
      </c>
      <c r="F38" s="8" t="s">
        <v>46</v>
      </c>
      <c r="G38" s="35">
        <v>100</v>
      </c>
      <c r="H38" s="11">
        <f>((((((1855959*10.21+3500)*47.59%)/13)*8)/30*G38))</f>
        <v>18501860.95897641</v>
      </c>
      <c r="I38" s="15">
        <v>0.08</v>
      </c>
      <c r="J38" s="16">
        <f>ROUND((H38)*0.08,0)</f>
        <v>1480149</v>
      </c>
      <c r="K38" s="16">
        <f>ROUND(H38+J38,0)</f>
        <v>19982010</v>
      </c>
      <c r="L38" s="45">
        <f t="shared" si="3"/>
        <v>1998201</v>
      </c>
      <c r="M38" s="44">
        <f t="shared" si="4"/>
        <v>379658</v>
      </c>
      <c r="N38" s="14">
        <f t="shared" si="1"/>
        <v>20361668</v>
      </c>
      <c r="O38" s="6">
        <v>20361668.022572719</v>
      </c>
      <c r="P38" s="27">
        <f t="shared" si="2"/>
        <v>-2.2572718560695648E-2</v>
      </c>
    </row>
    <row r="39" spans="2:16" x14ac:dyDescent="0.25">
      <c r="B39" s="17">
        <v>26</v>
      </c>
      <c r="C39" s="8" t="s">
        <v>43</v>
      </c>
      <c r="D39" s="8" t="s">
        <v>47</v>
      </c>
      <c r="E39" s="10">
        <v>1</v>
      </c>
      <c r="F39" s="8" t="s">
        <v>11</v>
      </c>
      <c r="G39" s="35">
        <v>150</v>
      </c>
      <c r="H39" s="11">
        <f>(((((1855959*10.21)+3500))/30*G39))</f>
        <v>94764206.950000003</v>
      </c>
      <c r="I39" s="15">
        <v>0.1</v>
      </c>
      <c r="J39" s="16">
        <f>ROUND((H39)*0.1,0)</f>
        <v>9476421</v>
      </c>
      <c r="K39" s="16">
        <f>ROUND(H39+I39+J39,0)</f>
        <v>104240628</v>
      </c>
      <c r="L39" s="45">
        <f t="shared" si="3"/>
        <v>10424062.800000001</v>
      </c>
      <c r="M39" s="44">
        <f t="shared" si="4"/>
        <v>1980572</v>
      </c>
      <c r="N39" s="14">
        <f t="shared" si="1"/>
        <v>106221200</v>
      </c>
      <c r="O39" s="6">
        <v>106221199.57025501</v>
      </c>
      <c r="P39" s="27">
        <f t="shared" si="2"/>
        <v>0.42974498867988586</v>
      </c>
    </row>
    <row r="40" spans="2:16" x14ac:dyDescent="0.25">
      <c r="B40" s="8">
        <v>27</v>
      </c>
      <c r="C40" s="8" t="s">
        <v>43</v>
      </c>
      <c r="D40" s="8" t="s">
        <v>48</v>
      </c>
      <c r="E40" s="10">
        <v>1</v>
      </c>
      <c r="F40" s="8" t="s">
        <v>25</v>
      </c>
      <c r="G40" s="35">
        <v>150</v>
      </c>
      <c r="H40" s="11">
        <f>((((((1855959*10.21+3500)*47.59%)/13)*12)/30*G40))</f>
        <v>41629187.157696933</v>
      </c>
      <c r="I40" s="15">
        <v>0.11</v>
      </c>
      <c r="J40" s="16">
        <f>ROUND((H40)*0.11,0)</f>
        <v>4579211</v>
      </c>
      <c r="K40" s="16">
        <f>ROUND(H40+J40,0)</f>
        <v>46208398</v>
      </c>
      <c r="L40" s="45">
        <f>+K40*11%</f>
        <v>5082923.78</v>
      </c>
      <c r="M40" s="44">
        <f t="shared" si="4"/>
        <v>965756</v>
      </c>
      <c r="N40" s="14">
        <f t="shared" si="1"/>
        <v>47174154</v>
      </c>
      <c r="O40" s="6">
        <v>47174153.257915005</v>
      </c>
      <c r="P40" s="27">
        <f t="shared" si="2"/>
        <v>0.74208499491214752</v>
      </c>
    </row>
    <row r="41" spans="2:16" x14ac:dyDescent="0.25">
      <c r="B41" s="17">
        <v>28</v>
      </c>
      <c r="C41" s="8" t="s">
        <v>49</v>
      </c>
      <c r="D41" s="8" t="s">
        <v>50</v>
      </c>
      <c r="E41" s="10">
        <v>1</v>
      </c>
      <c r="F41" s="8" t="s">
        <v>51</v>
      </c>
      <c r="G41" s="35">
        <v>150</v>
      </c>
      <c r="H41" s="11">
        <f>(((((1855959*10.21)+3500))/30*G41))</f>
        <v>94764206.950000003</v>
      </c>
      <c r="I41" s="15">
        <v>0.1</v>
      </c>
      <c r="J41" s="16">
        <f>ROUND((H41)*0.1,0)</f>
        <v>9476421</v>
      </c>
      <c r="K41" s="16">
        <f>ROUND(H41+I41+J41,0)</f>
        <v>104240628</v>
      </c>
      <c r="L41" s="45">
        <f t="shared" si="3"/>
        <v>10424062.800000001</v>
      </c>
      <c r="M41" s="44">
        <f t="shared" si="4"/>
        <v>1980572</v>
      </c>
      <c r="N41" s="14">
        <f t="shared" si="1"/>
        <v>106221200</v>
      </c>
      <c r="O41" s="6">
        <v>106221199.57025501</v>
      </c>
      <c r="P41" s="27">
        <f t="shared" si="2"/>
        <v>0.42974498867988586</v>
      </c>
    </row>
    <row r="42" spans="2:16" x14ac:dyDescent="0.25">
      <c r="B42" s="8">
        <v>29</v>
      </c>
      <c r="C42" s="8" t="s">
        <v>49</v>
      </c>
      <c r="D42" s="8" t="s">
        <v>52</v>
      </c>
      <c r="E42" s="10">
        <v>1</v>
      </c>
      <c r="F42" s="8" t="s">
        <v>42</v>
      </c>
      <c r="G42" s="35">
        <v>150</v>
      </c>
      <c r="H42" s="11">
        <f>((((((1855959*10.21+3500)*47.59%)/13)*12)/30*G42))</f>
        <v>41629187.157696933</v>
      </c>
      <c r="I42" s="15">
        <v>0.1</v>
      </c>
      <c r="J42" s="16">
        <f t="shared" ref="J42" si="14">ROUND((H42)*0.1,0)</f>
        <v>4162919</v>
      </c>
      <c r="K42" s="16">
        <f t="shared" ref="K42" si="15">ROUND(H42+I42+J42,0)</f>
        <v>45792106</v>
      </c>
      <c r="L42" s="5">
        <f t="shared" si="3"/>
        <v>4579210.6000000006</v>
      </c>
      <c r="M42" s="16">
        <f t="shared" si="4"/>
        <v>870050</v>
      </c>
      <c r="N42" s="14">
        <f t="shared" si="1"/>
        <v>46662156</v>
      </c>
      <c r="O42" s="6">
        <v>46662155.885062486</v>
      </c>
      <c r="P42" s="27">
        <f t="shared" si="2"/>
        <v>0.11493751406669617</v>
      </c>
    </row>
    <row r="43" spans="2:16" x14ac:dyDescent="0.25">
      <c r="B43" s="17">
        <v>30</v>
      </c>
      <c r="C43" s="8" t="s">
        <v>49</v>
      </c>
      <c r="D43" s="8" t="s">
        <v>41</v>
      </c>
      <c r="E43" s="10">
        <v>1</v>
      </c>
      <c r="F43" s="8" t="s">
        <v>53</v>
      </c>
      <c r="G43" s="35">
        <v>150</v>
      </c>
      <c r="H43" s="11">
        <f>((((((1855959*10.21+3500)*47.59%)/13)*12)/30*G43))</f>
        <v>41629187.157696933</v>
      </c>
      <c r="I43" s="15">
        <v>0.1</v>
      </c>
      <c r="J43" s="16">
        <f>ROUND((H43)*0.1,0)</f>
        <v>4162919</v>
      </c>
      <c r="K43" s="16">
        <f>ROUND(H43+J43,0)</f>
        <v>45792106</v>
      </c>
      <c r="L43" s="5">
        <f t="shared" si="3"/>
        <v>4579210.6000000006</v>
      </c>
      <c r="M43" s="16">
        <f t="shared" si="4"/>
        <v>870050</v>
      </c>
      <c r="N43" s="14">
        <f t="shared" si="1"/>
        <v>46662156</v>
      </c>
      <c r="O43" s="6">
        <v>46662155.885062486</v>
      </c>
      <c r="P43" s="27">
        <f t="shared" si="2"/>
        <v>0.11493751406669617</v>
      </c>
    </row>
    <row r="44" spans="2:16" x14ac:dyDescent="0.25">
      <c r="B44" s="8">
        <v>31</v>
      </c>
      <c r="C44" s="8" t="s">
        <v>54</v>
      </c>
      <c r="D44" s="8" t="s">
        <v>50</v>
      </c>
      <c r="E44" s="10">
        <v>1</v>
      </c>
      <c r="F44" s="8" t="s">
        <v>11</v>
      </c>
      <c r="G44" s="35">
        <v>150</v>
      </c>
      <c r="H44" s="11">
        <f t="shared" ref="H44:H48" si="16">(((((1855959*10.21)+3500))/30*G44))</f>
        <v>94764206.950000003</v>
      </c>
      <c r="I44" s="15">
        <v>0.1</v>
      </c>
      <c r="J44" s="16">
        <f t="shared" ref="J44:J48" si="17">ROUND((H44)*0.1,0)</f>
        <v>9476421</v>
      </c>
      <c r="K44" s="16">
        <f t="shared" ref="K44:K48" si="18">ROUND(H44+I44+J44,0)</f>
        <v>104240628</v>
      </c>
      <c r="L44" s="5">
        <f t="shared" si="3"/>
        <v>10424062.800000001</v>
      </c>
      <c r="M44" s="16">
        <f t="shared" si="4"/>
        <v>1980572</v>
      </c>
      <c r="N44" s="14">
        <f t="shared" si="1"/>
        <v>106221200</v>
      </c>
      <c r="O44" s="6">
        <v>106221199.57025501</v>
      </c>
      <c r="P44" s="27">
        <f t="shared" si="2"/>
        <v>0.42974498867988586</v>
      </c>
    </row>
    <row r="45" spans="2:16" x14ac:dyDescent="0.25">
      <c r="B45" s="17">
        <v>32</v>
      </c>
      <c r="C45" s="8" t="s">
        <v>55</v>
      </c>
      <c r="D45" s="8" t="s">
        <v>50</v>
      </c>
      <c r="E45" s="10">
        <v>1</v>
      </c>
      <c r="F45" s="8" t="s">
        <v>56</v>
      </c>
      <c r="G45" s="35">
        <v>150</v>
      </c>
      <c r="H45" s="11">
        <f t="shared" si="16"/>
        <v>94764206.950000003</v>
      </c>
      <c r="I45" s="15">
        <v>0.1</v>
      </c>
      <c r="J45" s="16">
        <f t="shared" si="17"/>
        <v>9476421</v>
      </c>
      <c r="K45" s="16">
        <f t="shared" si="18"/>
        <v>104240628</v>
      </c>
      <c r="L45" s="5">
        <f t="shared" si="3"/>
        <v>10424062.800000001</v>
      </c>
      <c r="M45" s="16">
        <f t="shared" si="4"/>
        <v>1980572</v>
      </c>
      <c r="N45" s="14">
        <f t="shared" si="1"/>
        <v>106221200</v>
      </c>
      <c r="O45" s="6">
        <v>106221199.57025501</v>
      </c>
      <c r="P45" s="27">
        <f t="shared" si="2"/>
        <v>0.42974498867988586</v>
      </c>
    </row>
    <row r="46" spans="2:16" x14ac:dyDescent="0.25">
      <c r="B46" s="8">
        <v>33</v>
      </c>
      <c r="C46" s="8" t="s">
        <v>57</v>
      </c>
      <c r="D46" s="8" t="s">
        <v>50</v>
      </c>
      <c r="E46" s="10">
        <v>1</v>
      </c>
      <c r="F46" s="8" t="s">
        <v>11</v>
      </c>
      <c r="G46" s="35">
        <v>150</v>
      </c>
      <c r="H46" s="11">
        <f t="shared" si="16"/>
        <v>94764206.950000003</v>
      </c>
      <c r="I46" s="15">
        <v>0.1</v>
      </c>
      <c r="J46" s="16">
        <f t="shared" si="17"/>
        <v>9476421</v>
      </c>
      <c r="K46" s="16">
        <f t="shared" si="18"/>
        <v>104240628</v>
      </c>
      <c r="L46" s="5">
        <f t="shared" si="3"/>
        <v>10424062.800000001</v>
      </c>
      <c r="M46" s="16">
        <f t="shared" si="4"/>
        <v>1980572</v>
      </c>
      <c r="N46" s="14">
        <f t="shared" si="1"/>
        <v>106221200</v>
      </c>
      <c r="O46" s="6">
        <v>106221199.57025501</v>
      </c>
      <c r="P46" s="27">
        <f t="shared" si="2"/>
        <v>0.42974498867988586</v>
      </c>
    </row>
    <row r="47" spans="2:16" x14ac:dyDescent="0.25">
      <c r="B47" s="17">
        <v>34</v>
      </c>
      <c r="C47" s="8" t="s">
        <v>58</v>
      </c>
      <c r="D47" s="8" t="s">
        <v>59</v>
      </c>
      <c r="E47" s="10">
        <v>1</v>
      </c>
      <c r="F47" s="8" t="s">
        <v>11</v>
      </c>
      <c r="G47" s="35">
        <v>150</v>
      </c>
      <c r="H47" s="11">
        <f t="shared" si="16"/>
        <v>94764206.950000003</v>
      </c>
      <c r="I47" s="15">
        <v>0.1</v>
      </c>
      <c r="J47" s="16">
        <f t="shared" si="17"/>
        <v>9476421</v>
      </c>
      <c r="K47" s="16">
        <f t="shared" si="18"/>
        <v>104240628</v>
      </c>
      <c r="L47" s="5">
        <f t="shared" si="3"/>
        <v>10424062.800000001</v>
      </c>
      <c r="M47" s="16">
        <f t="shared" si="4"/>
        <v>1980572</v>
      </c>
      <c r="N47" s="14">
        <f t="shared" si="1"/>
        <v>106221200</v>
      </c>
      <c r="O47" s="6">
        <v>106221199.57025501</v>
      </c>
      <c r="P47" s="27">
        <f t="shared" si="2"/>
        <v>0.42974498867988586</v>
      </c>
    </row>
    <row r="48" spans="2:16" x14ac:dyDescent="0.25">
      <c r="B48" s="8">
        <v>35</v>
      </c>
      <c r="C48" s="8" t="s">
        <v>60</v>
      </c>
      <c r="D48" s="8" t="s">
        <v>59</v>
      </c>
      <c r="E48" s="10">
        <v>1</v>
      </c>
      <c r="F48" s="8" t="s">
        <v>11</v>
      </c>
      <c r="G48" s="35">
        <v>150</v>
      </c>
      <c r="H48" s="11">
        <f t="shared" si="16"/>
        <v>94764206.950000003</v>
      </c>
      <c r="I48" s="15">
        <v>0.1</v>
      </c>
      <c r="J48" s="16">
        <f t="shared" si="17"/>
        <v>9476421</v>
      </c>
      <c r="K48" s="16">
        <f t="shared" si="18"/>
        <v>104240628</v>
      </c>
      <c r="L48" s="5">
        <f t="shared" si="3"/>
        <v>10424062.800000001</v>
      </c>
      <c r="M48" s="16">
        <f t="shared" si="4"/>
        <v>1980572</v>
      </c>
      <c r="N48" s="14">
        <f t="shared" si="1"/>
        <v>106221200</v>
      </c>
      <c r="O48" s="6">
        <v>106221199.57025501</v>
      </c>
      <c r="P48" s="27">
        <f t="shared" si="2"/>
        <v>0.42974498867988586</v>
      </c>
    </row>
    <row r="49" spans="2:14" x14ac:dyDescent="0.25">
      <c r="B49" s="50" t="s">
        <v>70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2"/>
    </row>
    <row r="50" spans="2:14" ht="5.25" customHeight="1" x14ac:dyDescent="0.25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5"/>
    </row>
    <row r="51" spans="2:14" x14ac:dyDescent="0.25">
      <c r="B51" s="17">
        <v>36</v>
      </c>
      <c r="C51" s="8"/>
      <c r="D51" s="8" t="s">
        <v>61</v>
      </c>
      <c r="E51" s="10">
        <v>1</v>
      </c>
      <c r="F51" s="8" t="s">
        <v>61</v>
      </c>
      <c r="G51" s="35">
        <v>150</v>
      </c>
      <c r="H51" s="11">
        <f>100000/30*G51</f>
        <v>500000</v>
      </c>
      <c r="I51" s="15"/>
      <c r="J51" s="16">
        <f t="shared" ref="J51" si="19">ROUND(H51*I51,0)</f>
        <v>0</v>
      </c>
      <c r="K51" s="16">
        <f t="shared" ref="K51" si="20">+H51+J51</f>
        <v>500000</v>
      </c>
      <c r="L51" s="5">
        <f t="shared" ref="L51" si="21">ROUND(K51*10%,0)</f>
        <v>50000</v>
      </c>
      <c r="M51" s="16">
        <f t="shared" ref="M51" si="22">ROUND(L51*19%,0)</f>
        <v>9500</v>
      </c>
      <c r="N51" s="14">
        <f>+K51+M51</f>
        <v>509500</v>
      </c>
    </row>
    <row r="52" spans="2:14" x14ac:dyDescent="0.25">
      <c r="B52" s="2"/>
      <c r="C52" s="3"/>
      <c r="D52" s="4"/>
      <c r="E52" s="2"/>
      <c r="F52" s="4"/>
      <c r="G52" s="22"/>
    </row>
    <row r="54" spans="2:14" x14ac:dyDescent="0.25">
      <c r="E54" s="48" t="s">
        <v>78</v>
      </c>
      <c r="F54" s="48"/>
      <c r="G54" s="48"/>
      <c r="H54" s="48"/>
      <c r="I54" s="48"/>
      <c r="J54" s="48"/>
      <c r="K54" s="48"/>
      <c r="L54" s="48"/>
      <c r="M54" s="48"/>
      <c r="N54" s="49">
        <f>SUM(N14:N48)+N51+N6</f>
        <v>2899430422</v>
      </c>
    </row>
    <row r="55" spans="2:14" x14ac:dyDescent="0.25">
      <c r="E55" s="48"/>
      <c r="F55" s="48"/>
      <c r="G55" s="48"/>
      <c r="H55" s="48"/>
      <c r="I55" s="48"/>
      <c r="J55" s="48"/>
      <c r="K55" s="48"/>
      <c r="L55" s="48"/>
      <c r="M55" s="48"/>
      <c r="N55" s="49"/>
    </row>
    <row r="56" spans="2:14" x14ac:dyDescent="0.25">
      <c r="D56" t="s">
        <v>80</v>
      </c>
    </row>
    <row r="57" spans="2:14" x14ac:dyDescent="0.25">
      <c r="D57" t="s">
        <v>81</v>
      </c>
    </row>
    <row r="58" spans="2:14" x14ac:dyDescent="0.25">
      <c r="D58" t="s">
        <v>83</v>
      </c>
    </row>
  </sheetData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C75D5-4DE6-498D-96C2-1C0FAE077BBD}">
  <dimension ref="A4:P60"/>
  <sheetViews>
    <sheetView topLeftCell="G37" zoomScale="85" zoomScaleNormal="85" workbookViewId="0">
      <selection activeCell="E56" sqref="E56:M56"/>
    </sheetView>
  </sheetViews>
  <sheetFormatPr baseColWidth="10" defaultRowHeight="15" x14ac:dyDescent="0.25"/>
  <cols>
    <col min="1" max="1" width="12.5703125" hidden="1" customWidth="1"/>
    <col min="2" max="2" width="6.5703125" style="23" customWidth="1"/>
    <col min="3" max="3" width="28.28515625" style="24" customWidth="1"/>
    <col min="4" max="4" width="67.140625" customWidth="1"/>
    <col min="5" max="5" width="11.42578125" style="23"/>
    <col min="6" max="6" width="148.28515625" customWidth="1"/>
    <col min="7" max="7" width="13.42578125" customWidth="1"/>
    <col min="8" max="8" width="17.140625" bestFit="1" customWidth="1"/>
    <col min="10" max="10" width="13" bestFit="1" customWidth="1"/>
    <col min="11" max="11" width="14.140625" bestFit="1" customWidth="1"/>
    <col min="12" max="12" width="14.5703125" bestFit="1" customWidth="1"/>
    <col min="13" max="13" width="11.28515625" bestFit="1" customWidth="1"/>
    <col min="14" max="14" width="29.28515625" customWidth="1"/>
    <col min="15" max="15" width="15.7109375" bestFit="1" customWidth="1"/>
    <col min="16" max="16" width="12.140625" bestFit="1" customWidth="1"/>
  </cols>
  <sheetData>
    <row r="4" spans="1:16" ht="21" x14ac:dyDescent="0.35">
      <c r="A4" s="8"/>
      <c r="B4" s="46" t="s">
        <v>75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6" ht="63.75" thickBot="1" x14ac:dyDescent="0.3">
      <c r="A5" s="28" t="s">
        <v>0</v>
      </c>
      <c r="B5" s="32" t="s">
        <v>1</v>
      </c>
      <c r="C5" s="33" t="s">
        <v>2</v>
      </c>
      <c r="D5" s="34" t="s">
        <v>3</v>
      </c>
      <c r="E5" s="34" t="s">
        <v>4</v>
      </c>
      <c r="F5" s="34" t="s">
        <v>5</v>
      </c>
      <c r="G5" s="34" t="s">
        <v>62</v>
      </c>
      <c r="H5" s="34" t="s">
        <v>63</v>
      </c>
      <c r="I5" s="34" t="s">
        <v>64</v>
      </c>
      <c r="J5" s="34" t="s">
        <v>65</v>
      </c>
      <c r="K5" s="34" t="s">
        <v>66</v>
      </c>
      <c r="L5" s="34" t="s">
        <v>67</v>
      </c>
      <c r="M5" s="34" t="s">
        <v>68</v>
      </c>
      <c r="N5" s="34" t="s">
        <v>69</v>
      </c>
    </row>
    <row r="6" spans="1:16" x14ac:dyDescent="0.25">
      <c r="A6" s="9" t="s">
        <v>6</v>
      </c>
      <c r="B6" s="8">
        <v>1</v>
      </c>
      <c r="C6" s="8" t="s">
        <v>7</v>
      </c>
      <c r="D6" s="8" t="s">
        <v>8</v>
      </c>
      <c r="E6" s="10">
        <v>1</v>
      </c>
      <c r="F6" s="8" t="s">
        <v>9</v>
      </c>
      <c r="G6" s="35">
        <v>19</v>
      </c>
      <c r="H6" s="11">
        <f>(((((1855959*10.21)+3500)*47.59%)/13*12)/30*G6)</f>
        <v>5273030.3733082786</v>
      </c>
      <c r="I6" s="12">
        <v>0.08</v>
      </c>
      <c r="J6" s="13">
        <f>ROUND((H6)*0.08,0)</f>
        <v>421842</v>
      </c>
      <c r="K6" s="13">
        <f>ROUND(H6+J6,0)</f>
        <v>5694872</v>
      </c>
      <c r="L6" s="5">
        <f t="shared" ref="L6" si="0">+K6*10%</f>
        <v>569487.20000000007</v>
      </c>
      <c r="M6" s="13">
        <f>ROUND(+L6*19%,0)</f>
        <v>108203</v>
      </c>
      <c r="N6" s="14">
        <f>+K6+M6</f>
        <v>5803075</v>
      </c>
    </row>
    <row r="7" spans="1:16" s="1" customFormat="1" x14ac:dyDescent="0.25">
      <c r="B7" s="2"/>
      <c r="C7" s="3"/>
      <c r="D7" s="4"/>
      <c r="E7" s="2"/>
      <c r="F7" s="4"/>
    </row>
    <row r="12" spans="1:16" ht="21" x14ac:dyDescent="0.35">
      <c r="B12" s="46" t="s">
        <v>76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6" ht="63" x14ac:dyDescent="0.25">
      <c r="B13" s="32" t="s">
        <v>1</v>
      </c>
      <c r="C13" s="33" t="s">
        <v>2</v>
      </c>
      <c r="D13" s="34" t="s">
        <v>3</v>
      </c>
      <c r="E13" s="34" t="s">
        <v>4</v>
      </c>
      <c r="F13" s="34" t="s">
        <v>5</v>
      </c>
      <c r="G13" s="31" t="s">
        <v>62</v>
      </c>
      <c r="H13" s="31" t="s">
        <v>63</v>
      </c>
      <c r="I13" s="31" t="s">
        <v>64</v>
      </c>
      <c r="J13" s="31" t="s">
        <v>65</v>
      </c>
      <c r="K13" s="31" t="s">
        <v>66</v>
      </c>
      <c r="L13" s="31" t="s">
        <v>67</v>
      </c>
      <c r="M13" s="31" t="s">
        <v>68</v>
      </c>
      <c r="N13" s="31" t="s">
        <v>69</v>
      </c>
    </row>
    <row r="14" spans="1:16" x14ac:dyDescent="0.25">
      <c r="B14" s="8">
        <v>1</v>
      </c>
      <c r="C14" s="8" t="s">
        <v>7</v>
      </c>
      <c r="D14" s="8" t="s">
        <v>10</v>
      </c>
      <c r="E14" s="10">
        <v>1</v>
      </c>
      <c r="F14" s="8" t="s">
        <v>11</v>
      </c>
      <c r="G14" s="35">
        <v>28</v>
      </c>
      <c r="H14" s="11">
        <f>(((((1855959*10.21)+3500))/30*G14))</f>
        <v>17689318.630666669</v>
      </c>
      <c r="I14" s="15">
        <v>0.1</v>
      </c>
      <c r="J14" s="16">
        <f>ROUND((H14)*0.1,0)</f>
        <v>1768932</v>
      </c>
      <c r="K14" s="16">
        <f>ROUND(H14+J14,0)</f>
        <v>19458251</v>
      </c>
      <c r="L14" s="5">
        <f>+K14*10%</f>
        <v>1945825.1</v>
      </c>
      <c r="M14" s="16">
        <f>ROUND(+L14*19%,0)</f>
        <v>369707</v>
      </c>
      <c r="N14" s="14">
        <f>+K14+M14</f>
        <v>19827958</v>
      </c>
      <c r="O14" s="6"/>
      <c r="P14" s="27"/>
    </row>
    <row r="15" spans="1:16" x14ac:dyDescent="0.25">
      <c r="B15" s="17">
        <v>2</v>
      </c>
      <c r="C15" s="8" t="s">
        <v>7</v>
      </c>
      <c r="D15" s="8" t="s">
        <v>12</v>
      </c>
      <c r="E15" s="10">
        <v>1</v>
      </c>
      <c r="F15" s="8" t="s">
        <v>13</v>
      </c>
      <c r="G15" s="35">
        <v>19</v>
      </c>
      <c r="H15" s="11">
        <f>((((((1855959*10.21)+3500)*47.59%)/13)*12)/30*G15)</f>
        <v>5273030.3733082786</v>
      </c>
      <c r="I15" s="15">
        <v>0.1</v>
      </c>
      <c r="J15" s="16">
        <f>ROUND((H15)*0.1,0)</f>
        <v>527303</v>
      </c>
      <c r="K15" s="16">
        <f>ROUND(H15+J15,0)</f>
        <v>5800333</v>
      </c>
      <c r="L15" s="5">
        <f>+K15*10%</f>
        <v>580033.30000000005</v>
      </c>
      <c r="M15" s="16">
        <f>ROUND(+L15*19%,0)</f>
        <v>110206</v>
      </c>
      <c r="N15" s="14">
        <f t="shared" ref="N15:N48" si="1">+K15+M15</f>
        <v>5910539</v>
      </c>
      <c r="O15" s="6"/>
      <c r="P15" s="27"/>
    </row>
    <row r="16" spans="1:16" x14ac:dyDescent="0.25">
      <c r="B16" s="8">
        <v>3</v>
      </c>
      <c r="C16" s="8" t="s">
        <v>7</v>
      </c>
      <c r="D16" s="8" t="s">
        <v>14</v>
      </c>
      <c r="E16" s="10">
        <v>1</v>
      </c>
      <c r="F16" s="8" t="s">
        <v>15</v>
      </c>
      <c r="G16" s="35">
        <v>19</v>
      </c>
      <c r="H16" s="11">
        <f>(((((1855959*10.21+3500)*47.59%)/13)*8)/30*G16)</f>
        <v>3515353.5822055181</v>
      </c>
      <c r="I16" s="15">
        <v>0.08</v>
      </c>
      <c r="J16" s="16">
        <f>ROUND((H16)*0.08,0)</f>
        <v>281228</v>
      </c>
      <c r="K16" s="16">
        <f>ROUND(H16+J16,0)</f>
        <v>3796582</v>
      </c>
      <c r="L16" s="5">
        <f t="shared" ref="L16:L48" si="2">+K16*10%</f>
        <v>379658.2</v>
      </c>
      <c r="M16" s="16">
        <f t="shared" ref="M16:M48" si="3">ROUND(+L16*19%,0)</f>
        <v>72135</v>
      </c>
      <c r="N16" s="14">
        <f t="shared" si="1"/>
        <v>3868717</v>
      </c>
      <c r="O16" s="6"/>
      <c r="P16" s="27"/>
    </row>
    <row r="17" spans="2:16" x14ac:dyDescent="0.25">
      <c r="B17" s="17">
        <v>4</v>
      </c>
      <c r="C17" s="8" t="s">
        <v>7</v>
      </c>
      <c r="D17" s="8" t="s">
        <v>16</v>
      </c>
      <c r="E17" s="10">
        <v>1</v>
      </c>
      <c r="F17" s="8" t="s">
        <v>17</v>
      </c>
      <c r="G17" s="35">
        <v>28</v>
      </c>
      <c r="H17" s="11">
        <f t="shared" ref="H17:H18" si="4">(((((1855959*10.21)+3500))/30*G17))</f>
        <v>17689318.630666669</v>
      </c>
      <c r="I17" s="15">
        <v>0.1</v>
      </c>
      <c r="J17" s="16">
        <f t="shared" ref="J17:J18" si="5">ROUND((H17)*0.1,0)</f>
        <v>1768932</v>
      </c>
      <c r="K17" s="16">
        <f t="shared" ref="K17:K18" si="6">ROUND(H17+J17,0)</f>
        <v>19458251</v>
      </c>
      <c r="L17" s="5">
        <f t="shared" si="2"/>
        <v>1945825.1</v>
      </c>
      <c r="M17" s="16">
        <f t="shared" si="3"/>
        <v>369707</v>
      </c>
      <c r="N17" s="14">
        <f t="shared" si="1"/>
        <v>19827958</v>
      </c>
      <c r="O17" s="6"/>
      <c r="P17" s="27"/>
    </row>
    <row r="18" spans="2:16" x14ac:dyDescent="0.25">
      <c r="B18" s="8">
        <v>5</v>
      </c>
      <c r="C18" s="8" t="s">
        <v>7</v>
      </c>
      <c r="D18" s="8" t="s">
        <v>16</v>
      </c>
      <c r="E18" s="10">
        <v>1</v>
      </c>
      <c r="F18" s="8" t="s">
        <v>17</v>
      </c>
      <c r="G18" s="35">
        <v>28</v>
      </c>
      <c r="H18" s="11">
        <f t="shared" si="4"/>
        <v>17689318.630666669</v>
      </c>
      <c r="I18" s="15">
        <v>0.1</v>
      </c>
      <c r="J18" s="16">
        <f t="shared" si="5"/>
        <v>1768932</v>
      </c>
      <c r="K18" s="16">
        <f t="shared" si="6"/>
        <v>19458251</v>
      </c>
      <c r="L18" s="5">
        <f t="shared" si="2"/>
        <v>1945825.1</v>
      </c>
      <c r="M18" s="16">
        <f t="shared" si="3"/>
        <v>369707</v>
      </c>
      <c r="N18" s="14">
        <f t="shared" si="1"/>
        <v>19827958</v>
      </c>
      <c r="O18" s="6"/>
      <c r="P18" s="27"/>
    </row>
    <row r="19" spans="2:16" x14ac:dyDescent="0.25">
      <c r="B19" s="17">
        <v>6</v>
      </c>
      <c r="C19" s="8" t="s">
        <v>7</v>
      </c>
      <c r="D19" s="8" t="s">
        <v>19</v>
      </c>
      <c r="E19" s="10">
        <v>1</v>
      </c>
      <c r="F19" s="8" t="s">
        <v>18</v>
      </c>
      <c r="G19" s="35">
        <v>28</v>
      </c>
      <c r="H19" s="11">
        <f>(((((((1855959*10.21)+3500)*47.59%)/13)*12)/30*G19))</f>
        <v>7770781.6027700938</v>
      </c>
      <c r="I19" s="15">
        <v>0.1</v>
      </c>
      <c r="J19" s="16">
        <f>ROUND((H19)*0.1,0)</f>
        <v>777078</v>
      </c>
      <c r="K19" s="16">
        <f>ROUND(H19+J19,0)</f>
        <v>8547860</v>
      </c>
      <c r="L19" s="5">
        <f t="shared" si="2"/>
        <v>854786</v>
      </c>
      <c r="M19" s="16">
        <f t="shared" si="3"/>
        <v>162409</v>
      </c>
      <c r="N19" s="14">
        <f t="shared" si="1"/>
        <v>8710269</v>
      </c>
      <c r="O19" s="6"/>
      <c r="P19" s="27"/>
    </row>
    <row r="20" spans="2:16" x14ac:dyDescent="0.25">
      <c r="B20" s="8">
        <v>7</v>
      </c>
      <c r="C20" s="8" t="s">
        <v>7</v>
      </c>
      <c r="D20" s="57" t="s">
        <v>20</v>
      </c>
      <c r="E20" s="58">
        <v>1</v>
      </c>
      <c r="F20" s="57" t="s">
        <v>21</v>
      </c>
      <c r="G20" s="62">
        <v>28</v>
      </c>
      <c r="H20" s="42">
        <f>(((((1855959*10.21)+3500))/30*G20))</f>
        <v>17689318.630666669</v>
      </c>
      <c r="I20" s="43">
        <v>0.08</v>
      </c>
      <c r="J20" s="44">
        <f>ROUND((H20)*0.08,0)</f>
        <v>1415145</v>
      </c>
      <c r="K20" s="44">
        <f t="shared" ref="K20" si="7">ROUND(H20+J20,0)</f>
        <v>19104464</v>
      </c>
      <c r="L20" s="45">
        <f t="shared" si="2"/>
        <v>1910446.4000000001</v>
      </c>
      <c r="M20" s="44">
        <f t="shared" si="3"/>
        <v>362985</v>
      </c>
      <c r="N20" s="59">
        <f t="shared" si="1"/>
        <v>19467449</v>
      </c>
      <c r="O20" s="63"/>
      <c r="P20" s="64"/>
    </row>
    <row r="21" spans="2:16" x14ac:dyDescent="0.25">
      <c r="B21" s="17">
        <v>8</v>
      </c>
      <c r="C21" s="8" t="s">
        <v>7</v>
      </c>
      <c r="D21" s="57" t="s">
        <v>22</v>
      </c>
      <c r="E21" s="58">
        <v>1</v>
      </c>
      <c r="F21" s="61" t="s">
        <v>11</v>
      </c>
      <c r="G21" s="62">
        <v>28</v>
      </c>
      <c r="H21" s="42">
        <f>(((((1855959*10.21)+3500))/30*G21))</f>
        <v>17689318.630666669</v>
      </c>
      <c r="I21" s="43">
        <v>0.1</v>
      </c>
      <c r="J21" s="44">
        <f>ROUND((H21)*0.1,0)</f>
        <v>1768932</v>
      </c>
      <c r="K21" s="44">
        <f>ROUND(H21+I21+J21,0)</f>
        <v>19458251</v>
      </c>
      <c r="L21" s="45">
        <f t="shared" si="2"/>
        <v>1945825.1</v>
      </c>
      <c r="M21" s="44">
        <f t="shared" si="3"/>
        <v>369707</v>
      </c>
      <c r="N21" s="59">
        <f t="shared" si="1"/>
        <v>19827958</v>
      </c>
      <c r="O21" s="63"/>
      <c r="P21" s="64"/>
    </row>
    <row r="22" spans="2:16" x14ac:dyDescent="0.25">
      <c r="B22" s="8">
        <v>9</v>
      </c>
      <c r="C22" s="8" t="s">
        <v>7</v>
      </c>
      <c r="D22" s="57" t="s">
        <v>23</v>
      </c>
      <c r="E22" s="58">
        <v>1</v>
      </c>
      <c r="F22" s="61" t="s">
        <v>18</v>
      </c>
      <c r="G22" s="62">
        <v>28</v>
      </c>
      <c r="H22" s="42">
        <f>((((((1855959*10.21+3500)*47.59%)/13)*12)/30*G22))</f>
        <v>7770781.6027700938</v>
      </c>
      <c r="I22" s="43">
        <v>0.1</v>
      </c>
      <c r="J22" s="44">
        <f>ROUND((H22)*0.1,0)</f>
        <v>777078</v>
      </c>
      <c r="K22" s="44">
        <f>ROUND(H22+J22,0)</f>
        <v>8547860</v>
      </c>
      <c r="L22" s="45">
        <f t="shared" si="2"/>
        <v>854786</v>
      </c>
      <c r="M22" s="44">
        <f t="shared" si="3"/>
        <v>162409</v>
      </c>
      <c r="N22" s="59">
        <f t="shared" si="1"/>
        <v>8710269</v>
      </c>
      <c r="O22" s="63"/>
      <c r="P22" s="64"/>
    </row>
    <row r="23" spans="2:16" x14ac:dyDescent="0.25">
      <c r="B23" s="17">
        <v>10</v>
      </c>
      <c r="C23" s="8" t="s">
        <v>7</v>
      </c>
      <c r="D23" s="57" t="s">
        <v>24</v>
      </c>
      <c r="E23" s="58">
        <v>1</v>
      </c>
      <c r="F23" s="57" t="s">
        <v>25</v>
      </c>
      <c r="G23" s="62">
        <v>28</v>
      </c>
      <c r="H23" s="42">
        <f>((((((1855959*10.21+3500)*47.59%)/13)*12)/30*G23))</f>
        <v>7770781.6027700938</v>
      </c>
      <c r="I23" s="43">
        <v>0.11</v>
      </c>
      <c r="J23" s="44">
        <f>ROUND((H23)*0.11,0)</f>
        <v>854786</v>
      </c>
      <c r="K23" s="44">
        <f>ROUND(H23+J23,0)</f>
        <v>8625568</v>
      </c>
      <c r="L23" s="45">
        <f>+K23*11%</f>
        <v>948812.48</v>
      </c>
      <c r="M23" s="44">
        <f>ROUND(+L23*19%,0)</f>
        <v>180274</v>
      </c>
      <c r="N23" s="59">
        <f t="shared" si="1"/>
        <v>8805842</v>
      </c>
      <c r="O23" s="63"/>
      <c r="P23" s="64"/>
    </row>
    <row r="24" spans="2:16" x14ac:dyDescent="0.25">
      <c r="B24" s="8">
        <v>11</v>
      </c>
      <c r="C24" s="8" t="s">
        <v>7</v>
      </c>
      <c r="D24" s="57" t="s">
        <v>26</v>
      </c>
      <c r="E24" s="58">
        <v>1</v>
      </c>
      <c r="F24" s="61" t="s">
        <v>84</v>
      </c>
      <c r="G24" s="62">
        <v>28</v>
      </c>
      <c r="H24" s="42">
        <f>((1855959*10.21+3500)*52.41%)/30*G24</f>
        <v>9270971.8943324015</v>
      </c>
      <c r="I24" s="43">
        <v>0.1</v>
      </c>
      <c r="J24" s="44">
        <f>ROUND((H24)*0.1,0)</f>
        <v>927097</v>
      </c>
      <c r="K24" s="44">
        <f>ROUND(H24+J24,0)</f>
        <v>10198069</v>
      </c>
      <c r="L24" s="45">
        <f t="shared" si="2"/>
        <v>1019806.9</v>
      </c>
      <c r="M24" s="44">
        <f t="shared" si="3"/>
        <v>193763</v>
      </c>
      <c r="N24" s="59">
        <f t="shared" si="1"/>
        <v>10391832</v>
      </c>
      <c r="O24" s="63"/>
      <c r="P24" s="64"/>
    </row>
    <row r="25" spans="2:16" x14ac:dyDescent="0.25">
      <c r="B25" s="17">
        <v>12</v>
      </c>
      <c r="C25" s="8" t="s">
        <v>7</v>
      </c>
      <c r="D25" s="57" t="s">
        <v>27</v>
      </c>
      <c r="E25" s="58">
        <v>1</v>
      </c>
      <c r="F25" s="57" t="s">
        <v>13</v>
      </c>
      <c r="G25" s="62">
        <v>19</v>
      </c>
      <c r="H25" s="42">
        <f>((((((1855959*10.21+3500)*47.59%)/13)*12)/30*G25))</f>
        <v>5273030.3733082786</v>
      </c>
      <c r="I25" s="43">
        <v>0.1</v>
      </c>
      <c r="J25" s="44">
        <f>ROUND((H25)*0.1,0)</f>
        <v>527303</v>
      </c>
      <c r="K25" s="44">
        <f>ROUND(H25+J25,0)</f>
        <v>5800333</v>
      </c>
      <c r="L25" s="45">
        <f t="shared" si="2"/>
        <v>580033.30000000005</v>
      </c>
      <c r="M25" s="44">
        <f t="shared" si="3"/>
        <v>110206</v>
      </c>
      <c r="N25" s="59">
        <f t="shared" si="1"/>
        <v>5910539</v>
      </c>
      <c r="O25" s="63"/>
      <c r="P25" s="64"/>
    </row>
    <row r="26" spans="2:16" x14ac:dyDescent="0.25">
      <c r="B26" s="8">
        <v>13</v>
      </c>
      <c r="C26" s="8" t="s">
        <v>7</v>
      </c>
      <c r="D26" s="57" t="s">
        <v>28</v>
      </c>
      <c r="E26" s="58">
        <v>1</v>
      </c>
      <c r="F26" s="57" t="s">
        <v>11</v>
      </c>
      <c r="G26" s="62">
        <v>28</v>
      </c>
      <c r="H26" s="42">
        <f t="shared" ref="H26:H34" si="8">(((((1855959*10.21)+3500))/30*G26))</f>
        <v>17689318.630666669</v>
      </c>
      <c r="I26" s="43">
        <v>0.1</v>
      </c>
      <c r="J26" s="44">
        <f t="shared" ref="J26:J34" si="9">ROUND((H26)*0.1,0)</f>
        <v>1768932</v>
      </c>
      <c r="K26" s="44">
        <f t="shared" ref="K26:K34" si="10">ROUND(H26+I26+J26,0)</f>
        <v>19458251</v>
      </c>
      <c r="L26" s="45">
        <f t="shared" si="2"/>
        <v>1945825.1</v>
      </c>
      <c r="M26" s="44">
        <f t="shared" si="3"/>
        <v>369707</v>
      </c>
      <c r="N26" s="59">
        <f t="shared" si="1"/>
        <v>19827958</v>
      </c>
      <c r="O26" s="63"/>
      <c r="P26" s="64"/>
    </row>
    <row r="27" spans="2:16" x14ac:dyDescent="0.25">
      <c r="B27" s="17">
        <v>14</v>
      </c>
      <c r="C27" s="8" t="s">
        <v>7</v>
      </c>
      <c r="D27" s="57" t="s">
        <v>29</v>
      </c>
      <c r="E27" s="58">
        <v>1</v>
      </c>
      <c r="F27" s="57" t="s">
        <v>11</v>
      </c>
      <c r="G27" s="62">
        <v>28</v>
      </c>
      <c r="H27" s="42">
        <f t="shared" si="8"/>
        <v>17689318.630666669</v>
      </c>
      <c r="I27" s="43">
        <v>0.1</v>
      </c>
      <c r="J27" s="44">
        <f t="shared" si="9"/>
        <v>1768932</v>
      </c>
      <c r="K27" s="44">
        <f t="shared" si="10"/>
        <v>19458251</v>
      </c>
      <c r="L27" s="45">
        <f t="shared" si="2"/>
        <v>1945825.1</v>
      </c>
      <c r="M27" s="44">
        <f t="shared" si="3"/>
        <v>369707</v>
      </c>
      <c r="N27" s="59">
        <f t="shared" si="1"/>
        <v>19827958</v>
      </c>
      <c r="O27" s="63"/>
      <c r="P27" s="64"/>
    </row>
    <row r="28" spans="2:16" x14ac:dyDescent="0.25">
      <c r="B28" s="8">
        <v>15</v>
      </c>
      <c r="C28" s="8" t="s">
        <v>7</v>
      </c>
      <c r="D28" s="57" t="s">
        <v>30</v>
      </c>
      <c r="E28" s="58">
        <v>1</v>
      </c>
      <c r="F28" s="57" t="s">
        <v>11</v>
      </c>
      <c r="G28" s="62">
        <v>28</v>
      </c>
      <c r="H28" s="42">
        <f t="shared" si="8"/>
        <v>17689318.630666669</v>
      </c>
      <c r="I28" s="43">
        <v>0.1</v>
      </c>
      <c r="J28" s="44">
        <f t="shared" si="9"/>
        <v>1768932</v>
      </c>
      <c r="K28" s="44">
        <f t="shared" si="10"/>
        <v>19458251</v>
      </c>
      <c r="L28" s="45">
        <f t="shared" si="2"/>
        <v>1945825.1</v>
      </c>
      <c r="M28" s="44">
        <f t="shared" si="3"/>
        <v>369707</v>
      </c>
      <c r="N28" s="59">
        <f t="shared" si="1"/>
        <v>19827958</v>
      </c>
      <c r="O28" s="63"/>
      <c r="P28" s="64"/>
    </row>
    <row r="29" spans="2:16" x14ac:dyDescent="0.25">
      <c r="B29" s="17">
        <v>16</v>
      </c>
      <c r="C29" s="8" t="s">
        <v>31</v>
      </c>
      <c r="D29" s="57" t="s">
        <v>32</v>
      </c>
      <c r="E29" s="58">
        <v>1</v>
      </c>
      <c r="F29" s="57" t="s">
        <v>11</v>
      </c>
      <c r="G29" s="62">
        <v>28</v>
      </c>
      <c r="H29" s="42">
        <f t="shared" si="8"/>
        <v>17689318.630666669</v>
      </c>
      <c r="I29" s="43">
        <v>0.1</v>
      </c>
      <c r="J29" s="44">
        <f t="shared" si="9"/>
        <v>1768932</v>
      </c>
      <c r="K29" s="44">
        <f t="shared" si="10"/>
        <v>19458251</v>
      </c>
      <c r="L29" s="45">
        <f t="shared" si="2"/>
        <v>1945825.1</v>
      </c>
      <c r="M29" s="44">
        <f t="shared" si="3"/>
        <v>369707</v>
      </c>
      <c r="N29" s="59">
        <f t="shared" si="1"/>
        <v>19827958</v>
      </c>
      <c r="O29" s="63"/>
      <c r="P29" s="64"/>
    </row>
    <row r="30" spans="2:16" x14ac:dyDescent="0.25">
      <c r="B30" s="8">
        <v>17</v>
      </c>
      <c r="C30" s="8" t="s">
        <v>31</v>
      </c>
      <c r="D30" s="57" t="s">
        <v>33</v>
      </c>
      <c r="E30" s="58">
        <v>1</v>
      </c>
      <c r="F30" s="57" t="s">
        <v>11</v>
      </c>
      <c r="G30" s="62">
        <v>28</v>
      </c>
      <c r="H30" s="42">
        <f t="shared" si="8"/>
        <v>17689318.630666669</v>
      </c>
      <c r="I30" s="43">
        <v>0.1</v>
      </c>
      <c r="J30" s="44">
        <f t="shared" si="9"/>
        <v>1768932</v>
      </c>
      <c r="K30" s="44">
        <f t="shared" si="10"/>
        <v>19458251</v>
      </c>
      <c r="L30" s="45">
        <f t="shared" si="2"/>
        <v>1945825.1</v>
      </c>
      <c r="M30" s="44">
        <f t="shared" si="3"/>
        <v>369707</v>
      </c>
      <c r="N30" s="59">
        <f t="shared" si="1"/>
        <v>19827958</v>
      </c>
      <c r="O30" s="63"/>
      <c r="P30" s="64"/>
    </row>
    <row r="31" spans="2:16" x14ac:dyDescent="0.25">
      <c r="B31" s="17">
        <v>18</v>
      </c>
      <c r="C31" s="8" t="s">
        <v>34</v>
      </c>
      <c r="D31" s="57" t="s">
        <v>35</v>
      </c>
      <c r="E31" s="58">
        <v>1</v>
      </c>
      <c r="F31" s="57" t="s">
        <v>11</v>
      </c>
      <c r="G31" s="62">
        <v>28</v>
      </c>
      <c r="H31" s="42">
        <f t="shared" si="8"/>
        <v>17689318.630666669</v>
      </c>
      <c r="I31" s="43">
        <v>0.1</v>
      </c>
      <c r="J31" s="44">
        <f t="shared" si="9"/>
        <v>1768932</v>
      </c>
      <c r="K31" s="44">
        <f t="shared" si="10"/>
        <v>19458251</v>
      </c>
      <c r="L31" s="45">
        <f t="shared" si="2"/>
        <v>1945825.1</v>
      </c>
      <c r="M31" s="44">
        <f t="shared" si="3"/>
        <v>369707</v>
      </c>
      <c r="N31" s="59">
        <f t="shared" si="1"/>
        <v>19827958</v>
      </c>
      <c r="O31" s="63"/>
      <c r="P31" s="64"/>
    </row>
    <row r="32" spans="2:16" x14ac:dyDescent="0.25">
      <c r="B32" s="8">
        <v>19</v>
      </c>
      <c r="C32" s="8" t="s">
        <v>34</v>
      </c>
      <c r="D32" s="57" t="s">
        <v>36</v>
      </c>
      <c r="E32" s="58">
        <v>1</v>
      </c>
      <c r="F32" s="57" t="s">
        <v>11</v>
      </c>
      <c r="G32" s="62">
        <v>28</v>
      </c>
      <c r="H32" s="42">
        <f t="shared" si="8"/>
        <v>17689318.630666669</v>
      </c>
      <c r="I32" s="43">
        <v>0.1</v>
      </c>
      <c r="J32" s="44">
        <f t="shared" si="9"/>
        <v>1768932</v>
      </c>
      <c r="K32" s="44">
        <f t="shared" si="10"/>
        <v>19458251</v>
      </c>
      <c r="L32" s="45">
        <f t="shared" si="2"/>
        <v>1945825.1</v>
      </c>
      <c r="M32" s="44">
        <f t="shared" si="3"/>
        <v>369707</v>
      </c>
      <c r="N32" s="59">
        <f t="shared" si="1"/>
        <v>19827958</v>
      </c>
      <c r="O32" s="63"/>
      <c r="P32" s="64"/>
    </row>
    <row r="33" spans="2:16" x14ac:dyDescent="0.25">
      <c r="B33" s="17">
        <v>20</v>
      </c>
      <c r="C33" s="8" t="s">
        <v>37</v>
      </c>
      <c r="D33" s="57" t="s">
        <v>38</v>
      </c>
      <c r="E33" s="58">
        <v>1</v>
      </c>
      <c r="F33" s="57" t="s">
        <v>11</v>
      </c>
      <c r="G33" s="62">
        <v>28</v>
      </c>
      <c r="H33" s="42">
        <f t="shared" si="8"/>
        <v>17689318.630666669</v>
      </c>
      <c r="I33" s="43">
        <v>0.1</v>
      </c>
      <c r="J33" s="44">
        <f t="shared" si="9"/>
        <v>1768932</v>
      </c>
      <c r="K33" s="44">
        <f t="shared" si="10"/>
        <v>19458251</v>
      </c>
      <c r="L33" s="45">
        <f t="shared" si="2"/>
        <v>1945825.1</v>
      </c>
      <c r="M33" s="44">
        <f t="shared" si="3"/>
        <v>369707</v>
      </c>
      <c r="N33" s="59">
        <f t="shared" si="1"/>
        <v>19827958</v>
      </c>
      <c r="O33" s="63"/>
      <c r="P33" s="64"/>
    </row>
    <row r="34" spans="2:16" x14ac:dyDescent="0.25">
      <c r="B34" s="8">
        <v>21</v>
      </c>
      <c r="C34" s="8" t="s">
        <v>37</v>
      </c>
      <c r="D34" s="57" t="s">
        <v>39</v>
      </c>
      <c r="E34" s="58">
        <v>1</v>
      </c>
      <c r="F34" s="57" t="s">
        <v>11</v>
      </c>
      <c r="G34" s="62">
        <v>28</v>
      </c>
      <c r="H34" s="42">
        <f t="shared" si="8"/>
        <v>17689318.630666669</v>
      </c>
      <c r="I34" s="43">
        <v>0.1</v>
      </c>
      <c r="J34" s="44">
        <f t="shared" si="9"/>
        <v>1768932</v>
      </c>
      <c r="K34" s="44">
        <f t="shared" si="10"/>
        <v>19458251</v>
      </c>
      <c r="L34" s="45">
        <f t="shared" si="2"/>
        <v>1945825.1</v>
      </c>
      <c r="M34" s="44">
        <f t="shared" si="3"/>
        <v>369707</v>
      </c>
      <c r="N34" s="59">
        <f t="shared" si="1"/>
        <v>19827958</v>
      </c>
      <c r="O34" s="63"/>
      <c r="P34" s="64"/>
    </row>
    <row r="35" spans="2:16" x14ac:dyDescent="0.25">
      <c r="B35" s="17">
        <v>22</v>
      </c>
      <c r="C35" s="8" t="s">
        <v>37</v>
      </c>
      <c r="D35" s="57" t="s">
        <v>40</v>
      </c>
      <c r="E35" s="58">
        <v>1</v>
      </c>
      <c r="F35" s="57" t="s">
        <v>25</v>
      </c>
      <c r="G35" s="62">
        <v>28</v>
      </c>
      <c r="H35" s="42">
        <f>((((((1855959*10.21+3500)*47.59%)/13)*12)/30*G35))</f>
        <v>7770781.6027700938</v>
      </c>
      <c r="I35" s="43">
        <v>0.11</v>
      </c>
      <c r="J35" s="44">
        <f>ROUND((H35)*0.11,0)</f>
        <v>854786</v>
      </c>
      <c r="K35" s="44">
        <f>ROUND(H35+J35,0)</f>
        <v>8625568</v>
      </c>
      <c r="L35" s="45">
        <f>+K35*11%</f>
        <v>948812.48</v>
      </c>
      <c r="M35" s="44">
        <f t="shared" si="3"/>
        <v>180274</v>
      </c>
      <c r="N35" s="59">
        <f t="shared" si="1"/>
        <v>8805842</v>
      </c>
      <c r="O35" s="63"/>
      <c r="P35" s="64"/>
    </row>
    <row r="36" spans="2:16" x14ac:dyDescent="0.25">
      <c r="B36" s="8">
        <v>23</v>
      </c>
      <c r="C36" s="8" t="s">
        <v>37</v>
      </c>
      <c r="D36" s="57" t="s">
        <v>41</v>
      </c>
      <c r="E36" s="58">
        <v>1</v>
      </c>
      <c r="F36" s="57" t="s">
        <v>42</v>
      </c>
      <c r="G36" s="62">
        <v>28</v>
      </c>
      <c r="H36" s="42">
        <f>((((((1855959*10.21+3500)*47.59%)/13)*12)/30*G36))</f>
        <v>7770781.6027700938</v>
      </c>
      <c r="I36" s="43">
        <v>0.1</v>
      </c>
      <c r="J36" s="44">
        <f t="shared" ref="J36" si="11">ROUND((H36)*0.1,0)</f>
        <v>777078</v>
      </c>
      <c r="K36" s="44">
        <f t="shared" ref="K36" si="12">ROUND(H36+I36+J36,0)</f>
        <v>8547860</v>
      </c>
      <c r="L36" s="45">
        <f t="shared" si="2"/>
        <v>854786</v>
      </c>
      <c r="M36" s="44">
        <f t="shared" si="3"/>
        <v>162409</v>
      </c>
      <c r="N36" s="59">
        <f t="shared" si="1"/>
        <v>8710269</v>
      </c>
      <c r="O36" s="63"/>
      <c r="P36" s="64"/>
    </row>
    <row r="37" spans="2:16" x14ac:dyDescent="0.25">
      <c r="B37" s="17">
        <v>24</v>
      </c>
      <c r="C37" s="8" t="s">
        <v>43</v>
      </c>
      <c r="D37" s="57" t="s">
        <v>44</v>
      </c>
      <c r="E37" s="58">
        <v>1</v>
      </c>
      <c r="F37" s="57" t="s">
        <v>11</v>
      </c>
      <c r="G37" s="62">
        <v>28</v>
      </c>
      <c r="H37" s="42">
        <f>(((((1855959*10.21)+3500))/30*G37))</f>
        <v>17689318.630666669</v>
      </c>
      <c r="I37" s="43">
        <v>0.1</v>
      </c>
      <c r="J37" s="44">
        <f>ROUND((H37)*0.1,0)</f>
        <v>1768932</v>
      </c>
      <c r="K37" s="44">
        <f>ROUND(H37+I37+J37,0)</f>
        <v>19458251</v>
      </c>
      <c r="L37" s="45">
        <f t="shared" si="2"/>
        <v>1945825.1</v>
      </c>
      <c r="M37" s="44">
        <f t="shared" si="3"/>
        <v>369707</v>
      </c>
      <c r="N37" s="59">
        <f t="shared" si="1"/>
        <v>19827958</v>
      </c>
      <c r="O37" s="63"/>
      <c r="P37" s="64"/>
    </row>
    <row r="38" spans="2:16" x14ac:dyDescent="0.25">
      <c r="B38" s="8">
        <v>25</v>
      </c>
      <c r="C38" s="8" t="s">
        <v>43</v>
      </c>
      <c r="D38" s="57" t="s">
        <v>45</v>
      </c>
      <c r="E38" s="58">
        <v>1</v>
      </c>
      <c r="F38" s="57" t="s">
        <v>46</v>
      </c>
      <c r="G38" s="62">
        <v>19</v>
      </c>
      <c r="H38" s="42">
        <f>((((((1855959*10.21+3500)*47.59%)/13)*8)/30*G38))</f>
        <v>3515353.5822055181</v>
      </c>
      <c r="I38" s="43">
        <v>0.08</v>
      </c>
      <c r="J38" s="44">
        <f>ROUND((H38)*0.08,0)</f>
        <v>281228</v>
      </c>
      <c r="K38" s="44">
        <f>ROUND(H38+J38,0)</f>
        <v>3796582</v>
      </c>
      <c r="L38" s="45">
        <f t="shared" si="2"/>
        <v>379658.2</v>
      </c>
      <c r="M38" s="44">
        <f t="shared" si="3"/>
        <v>72135</v>
      </c>
      <c r="N38" s="59">
        <f t="shared" si="1"/>
        <v>3868717</v>
      </c>
      <c r="O38" s="63"/>
      <c r="P38" s="64"/>
    </row>
    <row r="39" spans="2:16" x14ac:dyDescent="0.25">
      <c r="B39" s="17">
        <v>26</v>
      </c>
      <c r="C39" s="8" t="s">
        <v>43</v>
      </c>
      <c r="D39" s="57" t="s">
        <v>47</v>
      </c>
      <c r="E39" s="58">
        <v>1</v>
      </c>
      <c r="F39" s="57" t="s">
        <v>11</v>
      </c>
      <c r="G39" s="62">
        <v>28</v>
      </c>
      <c r="H39" s="42">
        <f>(((((1855959*10.21)+3500))/30*G39))</f>
        <v>17689318.630666669</v>
      </c>
      <c r="I39" s="43">
        <v>0.1</v>
      </c>
      <c r="J39" s="44">
        <f>ROUND((H39)*0.1,0)</f>
        <v>1768932</v>
      </c>
      <c r="K39" s="44">
        <f>ROUND(H39+I39+J39,0)</f>
        <v>19458251</v>
      </c>
      <c r="L39" s="45">
        <f t="shared" si="2"/>
        <v>1945825.1</v>
      </c>
      <c r="M39" s="44">
        <f t="shared" si="3"/>
        <v>369707</v>
      </c>
      <c r="N39" s="59">
        <f t="shared" si="1"/>
        <v>19827958</v>
      </c>
      <c r="O39" s="63"/>
      <c r="P39" s="64"/>
    </row>
    <row r="40" spans="2:16" x14ac:dyDescent="0.25">
      <c r="B40" s="8">
        <v>27</v>
      </c>
      <c r="C40" s="8" t="s">
        <v>43</v>
      </c>
      <c r="D40" s="57" t="s">
        <v>48</v>
      </c>
      <c r="E40" s="58">
        <v>1</v>
      </c>
      <c r="F40" s="57" t="s">
        <v>25</v>
      </c>
      <c r="G40" s="62">
        <v>28</v>
      </c>
      <c r="H40" s="42">
        <f>((((((1855959*10.21+3500)*47.59%)/13)*12)/30*G40))</f>
        <v>7770781.6027700938</v>
      </c>
      <c r="I40" s="43">
        <v>0.11</v>
      </c>
      <c r="J40" s="44">
        <f>ROUND((H40)*0.11,0)</f>
        <v>854786</v>
      </c>
      <c r="K40" s="44">
        <f>ROUND(H40+J40,0)</f>
        <v>8625568</v>
      </c>
      <c r="L40" s="45">
        <f>+K40*11%</f>
        <v>948812.48</v>
      </c>
      <c r="M40" s="44">
        <f t="shared" si="3"/>
        <v>180274</v>
      </c>
      <c r="N40" s="59">
        <f t="shared" si="1"/>
        <v>8805842</v>
      </c>
      <c r="O40" s="63"/>
      <c r="P40" s="64"/>
    </row>
    <row r="41" spans="2:16" x14ac:dyDescent="0.25">
      <c r="B41" s="17">
        <v>28</v>
      </c>
      <c r="C41" s="8" t="s">
        <v>49</v>
      </c>
      <c r="D41" s="57" t="s">
        <v>50</v>
      </c>
      <c r="E41" s="58">
        <v>1</v>
      </c>
      <c r="F41" s="57" t="s">
        <v>51</v>
      </c>
      <c r="G41" s="62">
        <v>28</v>
      </c>
      <c r="H41" s="42">
        <f>(((((1855959*10.21)+3500))/30*G41))</f>
        <v>17689318.630666669</v>
      </c>
      <c r="I41" s="43">
        <v>0.1</v>
      </c>
      <c r="J41" s="44">
        <f>ROUND((H41)*0.1,0)</f>
        <v>1768932</v>
      </c>
      <c r="K41" s="44">
        <f>ROUND(H41+I41+J41,0)</f>
        <v>19458251</v>
      </c>
      <c r="L41" s="45">
        <f t="shared" si="2"/>
        <v>1945825.1</v>
      </c>
      <c r="M41" s="44">
        <f t="shared" si="3"/>
        <v>369707</v>
      </c>
      <c r="N41" s="59">
        <f t="shared" si="1"/>
        <v>19827958</v>
      </c>
      <c r="O41" s="63"/>
      <c r="P41" s="64"/>
    </row>
    <row r="42" spans="2:16" x14ac:dyDescent="0.25">
      <c r="B42" s="8">
        <v>29</v>
      </c>
      <c r="C42" s="8" t="s">
        <v>49</v>
      </c>
      <c r="D42" s="57" t="s">
        <v>52</v>
      </c>
      <c r="E42" s="58">
        <v>1</v>
      </c>
      <c r="F42" s="57" t="s">
        <v>42</v>
      </c>
      <c r="G42" s="62">
        <v>28</v>
      </c>
      <c r="H42" s="42">
        <f>((((((1855959*10.21+3500)*47.59%)/13)*12)/30*G42))</f>
        <v>7770781.6027700938</v>
      </c>
      <c r="I42" s="43">
        <v>0.1</v>
      </c>
      <c r="J42" s="44">
        <f t="shared" ref="J42" si="13">ROUND((H42)*0.1,0)</f>
        <v>777078</v>
      </c>
      <c r="K42" s="44">
        <f t="shared" ref="K42" si="14">ROUND(H42+I42+J42,0)</f>
        <v>8547860</v>
      </c>
      <c r="L42" s="45">
        <f t="shared" si="2"/>
        <v>854786</v>
      </c>
      <c r="M42" s="44">
        <f t="shared" si="3"/>
        <v>162409</v>
      </c>
      <c r="N42" s="59">
        <f t="shared" si="1"/>
        <v>8710269</v>
      </c>
      <c r="O42" s="63"/>
      <c r="P42" s="64"/>
    </row>
    <row r="43" spans="2:16" x14ac:dyDescent="0.25">
      <c r="B43" s="17">
        <v>30</v>
      </c>
      <c r="C43" s="8" t="s">
        <v>49</v>
      </c>
      <c r="D43" s="57" t="s">
        <v>41</v>
      </c>
      <c r="E43" s="58">
        <v>1</v>
      </c>
      <c r="F43" s="57" t="s">
        <v>53</v>
      </c>
      <c r="G43" s="62">
        <v>28</v>
      </c>
      <c r="H43" s="42">
        <f>((((((1855959*10.21+3500)*47.59%)/13)*12)/30*G43))</f>
        <v>7770781.6027700938</v>
      </c>
      <c r="I43" s="43">
        <v>0.1</v>
      </c>
      <c r="J43" s="44">
        <f>ROUND((H43)*0.1,0)</f>
        <v>777078</v>
      </c>
      <c r="K43" s="44">
        <f>ROUND(H43+J43,0)</f>
        <v>8547860</v>
      </c>
      <c r="L43" s="45">
        <f t="shared" si="2"/>
        <v>854786</v>
      </c>
      <c r="M43" s="44">
        <f t="shared" si="3"/>
        <v>162409</v>
      </c>
      <c r="N43" s="59">
        <f t="shared" si="1"/>
        <v>8710269</v>
      </c>
      <c r="O43" s="63"/>
      <c r="P43" s="64"/>
    </row>
    <row r="44" spans="2:16" x14ac:dyDescent="0.25">
      <c r="B44" s="8">
        <v>31</v>
      </c>
      <c r="C44" s="8" t="s">
        <v>54</v>
      </c>
      <c r="D44" s="57" t="s">
        <v>50</v>
      </c>
      <c r="E44" s="58">
        <v>1</v>
      </c>
      <c r="F44" s="57" t="s">
        <v>11</v>
      </c>
      <c r="G44" s="62">
        <v>28</v>
      </c>
      <c r="H44" s="42">
        <f>(((((1855959*10.21)+3500))/30*G44))</f>
        <v>17689318.630666669</v>
      </c>
      <c r="I44" s="43">
        <v>0.1</v>
      </c>
      <c r="J44" s="44">
        <f t="shared" ref="J44:J48" si="15">ROUND((H44)*0.1,0)</f>
        <v>1768932</v>
      </c>
      <c r="K44" s="44">
        <f t="shared" ref="K44:K48" si="16">ROUND(H44+I44+J44,0)</f>
        <v>19458251</v>
      </c>
      <c r="L44" s="45">
        <f t="shared" si="2"/>
        <v>1945825.1</v>
      </c>
      <c r="M44" s="44">
        <f t="shared" si="3"/>
        <v>369707</v>
      </c>
      <c r="N44" s="59">
        <f t="shared" si="1"/>
        <v>19827958</v>
      </c>
      <c r="O44" s="63"/>
      <c r="P44" s="64"/>
    </row>
    <row r="45" spans="2:16" x14ac:dyDescent="0.25">
      <c r="B45" s="17">
        <v>32</v>
      </c>
      <c r="C45" s="8" t="s">
        <v>55</v>
      </c>
      <c r="D45" s="57" t="s">
        <v>50</v>
      </c>
      <c r="E45" s="58">
        <v>1</v>
      </c>
      <c r="F45" s="57" t="s">
        <v>56</v>
      </c>
      <c r="G45" s="62">
        <v>28</v>
      </c>
      <c r="H45" s="42">
        <f t="shared" ref="H45:H48" si="17">(((((1855959*10.21)+3500))/30*G45))</f>
        <v>17689318.630666669</v>
      </c>
      <c r="I45" s="43">
        <v>0.1</v>
      </c>
      <c r="J45" s="44">
        <f t="shared" si="15"/>
        <v>1768932</v>
      </c>
      <c r="K45" s="44">
        <f t="shared" si="16"/>
        <v>19458251</v>
      </c>
      <c r="L45" s="45">
        <f t="shared" si="2"/>
        <v>1945825.1</v>
      </c>
      <c r="M45" s="44">
        <f t="shared" si="3"/>
        <v>369707</v>
      </c>
      <c r="N45" s="59">
        <f t="shared" si="1"/>
        <v>19827958</v>
      </c>
      <c r="O45" s="63"/>
      <c r="P45" s="64"/>
    </row>
    <row r="46" spans="2:16" x14ac:dyDescent="0.25">
      <c r="B46" s="8">
        <v>33</v>
      </c>
      <c r="C46" s="8" t="s">
        <v>57</v>
      </c>
      <c r="D46" s="57" t="s">
        <v>50</v>
      </c>
      <c r="E46" s="58">
        <v>1</v>
      </c>
      <c r="F46" s="57" t="s">
        <v>11</v>
      </c>
      <c r="G46" s="62">
        <v>28</v>
      </c>
      <c r="H46" s="42">
        <f t="shared" si="17"/>
        <v>17689318.630666669</v>
      </c>
      <c r="I46" s="43">
        <v>0.1</v>
      </c>
      <c r="J46" s="44">
        <f t="shared" si="15"/>
        <v>1768932</v>
      </c>
      <c r="K46" s="44">
        <f t="shared" si="16"/>
        <v>19458251</v>
      </c>
      <c r="L46" s="45">
        <f t="shared" si="2"/>
        <v>1945825.1</v>
      </c>
      <c r="M46" s="44">
        <f t="shared" si="3"/>
        <v>369707</v>
      </c>
      <c r="N46" s="59">
        <f t="shared" si="1"/>
        <v>19827958</v>
      </c>
      <c r="O46" s="63"/>
      <c r="P46" s="64"/>
    </row>
    <row r="47" spans="2:16" x14ac:dyDescent="0.25">
      <c r="B47" s="17">
        <v>34</v>
      </c>
      <c r="C47" s="8" t="s">
        <v>58</v>
      </c>
      <c r="D47" s="8" t="s">
        <v>59</v>
      </c>
      <c r="E47" s="10">
        <v>1</v>
      </c>
      <c r="F47" s="8" t="s">
        <v>11</v>
      </c>
      <c r="G47" s="35">
        <v>28</v>
      </c>
      <c r="H47" s="11">
        <f t="shared" si="17"/>
        <v>17689318.630666669</v>
      </c>
      <c r="I47" s="15">
        <v>0.1</v>
      </c>
      <c r="J47" s="16">
        <f t="shared" si="15"/>
        <v>1768932</v>
      </c>
      <c r="K47" s="16">
        <f t="shared" si="16"/>
        <v>19458251</v>
      </c>
      <c r="L47" s="5">
        <f t="shared" si="2"/>
        <v>1945825.1</v>
      </c>
      <c r="M47" s="16">
        <f t="shared" si="3"/>
        <v>369707</v>
      </c>
      <c r="N47" s="14">
        <f t="shared" si="1"/>
        <v>19827958</v>
      </c>
      <c r="O47" s="6"/>
      <c r="P47" s="27"/>
    </row>
    <row r="48" spans="2:16" x14ac:dyDescent="0.25">
      <c r="B48" s="8">
        <v>35</v>
      </c>
      <c r="C48" s="8" t="s">
        <v>60</v>
      </c>
      <c r="D48" s="8" t="s">
        <v>59</v>
      </c>
      <c r="E48" s="10">
        <v>1</v>
      </c>
      <c r="F48" s="8" t="s">
        <v>11</v>
      </c>
      <c r="G48" s="35">
        <v>28</v>
      </c>
      <c r="H48" s="11">
        <f t="shared" si="17"/>
        <v>17689318.630666669</v>
      </c>
      <c r="I48" s="15">
        <v>0.1</v>
      </c>
      <c r="J48" s="16">
        <f t="shared" si="15"/>
        <v>1768932</v>
      </c>
      <c r="K48" s="16">
        <f t="shared" si="16"/>
        <v>19458251</v>
      </c>
      <c r="L48" s="5">
        <f t="shared" si="2"/>
        <v>1945825.1</v>
      </c>
      <c r="M48" s="16">
        <f t="shared" si="3"/>
        <v>369707</v>
      </c>
      <c r="N48" s="14">
        <f t="shared" si="1"/>
        <v>19827958</v>
      </c>
      <c r="O48" s="6"/>
      <c r="P48" s="27"/>
    </row>
    <row r="49" spans="2:16" x14ac:dyDescent="0.25">
      <c r="B49" s="50" t="s">
        <v>70</v>
      </c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2"/>
    </row>
    <row r="50" spans="2:16" ht="5.25" customHeight="1" x14ac:dyDescent="0.25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5"/>
    </row>
    <row r="51" spans="2:16" x14ac:dyDescent="0.25">
      <c r="B51" s="17">
        <v>36</v>
      </c>
      <c r="C51" s="8"/>
      <c r="D51" s="8" t="s">
        <v>61</v>
      </c>
      <c r="E51" s="10">
        <v>1</v>
      </c>
      <c r="F51" s="8" t="s">
        <v>61</v>
      </c>
      <c r="G51" s="35">
        <v>28</v>
      </c>
      <c r="H51" s="11">
        <f>100000/30*G51</f>
        <v>93333.333333333343</v>
      </c>
      <c r="I51" s="15"/>
      <c r="J51" s="16">
        <f t="shared" ref="J51" si="18">ROUND(H51*I51,0)</f>
        <v>0</v>
      </c>
      <c r="K51" s="16">
        <f t="shared" ref="K51" si="19">+H51+J51</f>
        <v>93333.333333333343</v>
      </c>
      <c r="L51" s="5">
        <f t="shared" ref="L51" si="20">ROUND(K51*10%,0)</f>
        <v>9333</v>
      </c>
      <c r="M51" s="16">
        <f t="shared" ref="M51" si="21">ROUND(L51*19%,0)</f>
        <v>1773</v>
      </c>
      <c r="N51" s="14">
        <f>+K51+M51</f>
        <v>95106.333333333343</v>
      </c>
      <c r="P51" s="36"/>
    </row>
    <row r="52" spans="2:16" x14ac:dyDescent="0.25">
      <c r="B52" s="2"/>
      <c r="C52" s="3"/>
      <c r="D52" s="4"/>
      <c r="E52" s="2"/>
      <c r="F52" s="4"/>
      <c r="G52" s="22"/>
      <c r="P52" s="36"/>
    </row>
    <row r="53" spans="2:16" x14ac:dyDescent="0.25">
      <c r="P53" s="36"/>
    </row>
    <row r="54" spans="2:16" x14ac:dyDescent="0.25">
      <c r="E54" s="48" t="s">
        <v>77</v>
      </c>
      <c r="F54" s="48"/>
      <c r="G54" s="48"/>
      <c r="H54" s="48"/>
      <c r="I54" s="48"/>
      <c r="J54" s="48"/>
      <c r="K54" s="48"/>
      <c r="L54" s="48"/>
      <c r="M54" s="48"/>
      <c r="N54" s="49">
        <f>SUM(N14:N48)+N6+N51</f>
        <v>541671963.33333337</v>
      </c>
      <c r="P54" s="36"/>
    </row>
    <row r="55" spans="2:16" x14ac:dyDescent="0.25">
      <c r="E55" s="48"/>
      <c r="F55" s="48"/>
      <c r="G55" s="48"/>
      <c r="H55" s="48"/>
      <c r="I55" s="48"/>
      <c r="J55" s="48"/>
      <c r="K55" s="48"/>
      <c r="L55" s="48"/>
      <c r="M55" s="48"/>
      <c r="N55" s="49"/>
    </row>
    <row r="56" spans="2:16" ht="50.45" customHeight="1" x14ac:dyDescent="0.35">
      <c r="E56" s="56" t="s">
        <v>79</v>
      </c>
      <c r="F56" s="56"/>
      <c r="G56" s="56"/>
      <c r="H56" s="56"/>
      <c r="I56" s="56"/>
      <c r="J56" s="56"/>
      <c r="K56" s="56"/>
      <c r="L56" s="56"/>
      <c r="M56" s="56"/>
      <c r="N56" s="39" cm="1">
        <f t="array" ref="N56:N57">+'29 a 31 Diciembre 2026'!N54:N55+'De enero a mayo de 2027'!N54:N55+'1 al 28 de junio 2027'!N54:N55</f>
        <v>3497069083.3333335</v>
      </c>
    </row>
    <row r="57" spans="2:16" ht="23.25" x14ac:dyDescent="0.35">
      <c r="E57" s="40"/>
      <c r="F57" s="40"/>
      <c r="G57" s="40"/>
      <c r="H57" s="40"/>
      <c r="I57" s="40"/>
      <c r="J57" s="40"/>
      <c r="K57" s="40"/>
      <c r="L57" s="40"/>
      <c r="M57" s="40"/>
      <c r="N57" s="41">
        <v>0</v>
      </c>
    </row>
    <row r="58" spans="2:16" x14ac:dyDescent="0.25">
      <c r="D58" t="s">
        <v>80</v>
      </c>
    </row>
    <row r="59" spans="2:16" x14ac:dyDescent="0.25">
      <c r="D59" t="s">
        <v>81</v>
      </c>
    </row>
    <row r="60" spans="2:16" x14ac:dyDescent="0.25">
      <c r="D60" t="s">
        <v>83</v>
      </c>
    </row>
  </sheetData>
  <mergeCells count="6">
    <mergeCell ref="E56:M56"/>
    <mergeCell ref="B4:N4"/>
    <mergeCell ref="B12:N12"/>
    <mergeCell ref="B49:N50"/>
    <mergeCell ref="E54:M55"/>
    <mergeCell ref="N54:N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29 a 31 Diciembre 2026</vt:lpstr>
      <vt:lpstr>De enero a mayo de 2027</vt:lpstr>
      <vt:lpstr>1 al 28 de junio 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Ramirez</dc:creator>
  <cp:lastModifiedBy>Administrativa Procesos Desaj - Santander - Bucaramang</cp:lastModifiedBy>
  <dcterms:created xsi:type="dcterms:W3CDTF">2026-07-23T19:29:41Z</dcterms:created>
  <dcterms:modified xsi:type="dcterms:W3CDTF">2026-09-21T12:39:21Z</dcterms:modified>
</cp:coreProperties>
</file>