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/>
  <mc:AlternateContent xmlns:mc="http://schemas.openxmlformats.org/markup-compatibility/2006">
    <mc:Choice Requires="x15">
      <x15ac:absPath xmlns:x15ac="http://schemas.microsoft.com/office/spreadsheetml/2010/11/ac" url="C:\Users\emelo\Desktop\"/>
    </mc:Choice>
  </mc:AlternateContent>
  <xr:revisionPtr revIDLastSave="0" documentId="13_ncr:1_{82A954E6-241D-48E4-A1EE-1DF2FE03225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CONSOLIDADO PROPUESTA" sheetId="5" r:id="rId1"/>
    <sheet name="TOYOTA PROPUESTA" sheetId="4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50" i="4" l="1"/>
  <c r="M51" i="4"/>
  <c r="M52" i="4"/>
  <c r="E10" i="4" s="1"/>
  <c r="M53" i="4"/>
  <c r="M54" i="4"/>
  <c r="M55" i="4"/>
  <c r="M56" i="4"/>
  <c r="M57" i="4"/>
  <c r="E28" i="4" s="1"/>
  <c r="M58" i="4"/>
  <c r="E29" i="4" s="1"/>
  <c r="M59" i="4"/>
  <c r="E30" i="4" s="1"/>
  <c r="M60" i="4"/>
  <c r="E31" i="4" s="1"/>
  <c r="M61" i="4"/>
  <c r="E32" i="4" s="1"/>
  <c r="M62" i="4"/>
  <c r="M63" i="4"/>
  <c r="M64" i="4"/>
  <c r="M65" i="4"/>
  <c r="M66" i="4"/>
  <c r="M67" i="4"/>
  <c r="M68" i="4"/>
  <c r="M69" i="4"/>
  <c r="M70" i="4"/>
  <c r="E41" i="4" s="1"/>
  <c r="M71" i="4"/>
  <c r="M72" i="4"/>
  <c r="G19" i="4" s="1"/>
  <c r="M49" i="4"/>
  <c r="E7" i="4" s="1"/>
  <c r="G6" i="4"/>
  <c r="E8" i="4"/>
  <c r="E9" i="4"/>
  <c r="E11" i="4"/>
  <c r="E12" i="4"/>
  <c r="F6" i="4"/>
  <c r="E6" i="4"/>
  <c r="E27" i="4"/>
  <c r="E33" i="4"/>
  <c r="E35" i="4"/>
  <c r="E37" i="4"/>
  <c r="E38" i="4"/>
  <c r="E42" i="4"/>
  <c r="E26" i="4"/>
  <c r="E34" i="4"/>
  <c r="E36" i="4"/>
  <c r="E39" i="4"/>
  <c r="E40" i="4"/>
  <c r="I19" i="4" l="1"/>
  <c r="E4" i="5" a="1"/>
  <c r="E4" i="5" s="1"/>
  <c r="G4" i="5" s="1"/>
  <c r="F73" i="4"/>
  <c r="G73" i="4" s="1"/>
  <c r="O72" i="4"/>
  <c r="P72" i="4" s="1"/>
  <c r="K72" i="4"/>
  <c r="L72" i="4" s="1"/>
  <c r="G72" i="4"/>
  <c r="H72" i="4" s="1"/>
  <c r="N71" i="4"/>
  <c r="J71" i="4"/>
  <c r="K71" i="4" s="1"/>
  <c r="L71" i="4" s="1"/>
  <c r="F71" i="4"/>
  <c r="G71" i="4" s="1"/>
  <c r="H71" i="4" s="1"/>
  <c r="N70" i="4"/>
  <c r="J70" i="4"/>
  <c r="K70" i="4" s="1"/>
  <c r="L70" i="4" s="1"/>
  <c r="F70" i="4"/>
  <c r="G70" i="4" s="1"/>
  <c r="H70" i="4" s="1"/>
  <c r="J69" i="4"/>
  <c r="K69" i="4" s="1"/>
  <c r="L69" i="4" s="1"/>
  <c r="F69" i="4"/>
  <c r="G69" i="4" s="1"/>
  <c r="H69" i="4" s="1"/>
  <c r="J68" i="4"/>
  <c r="K68" i="4" s="1"/>
  <c r="L68" i="4" s="1"/>
  <c r="F68" i="4"/>
  <c r="G68" i="4" s="1"/>
  <c r="H68" i="4" s="1"/>
  <c r="J67" i="4"/>
  <c r="K67" i="4" s="1"/>
  <c r="L67" i="4" s="1"/>
  <c r="F67" i="4"/>
  <c r="G67" i="4" s="1"/>
  <c r="H67" i="4" s="1"/>
  <c r="N66" i="4"/>
  <c r="J66" i="4"/>
  <c r="K66" i="4" s="1"/>
  <c r="L66" i="4" s="1"/>
  <c r="F66" i="4"/>
  <c r="G66" i="4" s="1"/>
  <c r="H66" i="4" s="1"/>
  <c r="J65" i="4"/>
  <c r="K65" i="4" s="1"/>
  <c r="L65" i="4" s="1"/>
  <c r="F65" i="4"/>
  <c r="G65" i="4" s="1"/>
  <c r="H65" i="4" s="1"/>
  <c r="J64" i="4"/>
  <c r="K64" i="4" s="1"/>
  <c r="L64" i="4" s="1"/>
  <c r="F64" i="4"/>
  <c r="G64" i="4" s="1"/>
  <c r="H64" i="4" s="1"/>
  <c r="J63" i="4"/>
  <c r="K63" i="4" s="1"/>
  <c r="L63" i="4" s="1"/>
  <c r="F63" i="4"/>
  <c r="G63" i="4" s="1"/>
  <c r="H63" i="4" s="1"/>
  <c r="N62" i="4"/>
  <c r="J62" i="4"/>
  <c r="K62" i="4" s="1"/>
  <c r="L62" i="4" s="1"/>
  <c r="F62" i="4"/>
  <c r="G62" i="4" s="1"/>
  <c r="H62" i="4" s="1"/>
  <c r="J61" i="4"/>
  <c r="K61" i="4" s="1"/>
  <c r="L61" i="4" s="1"/>
  <c r="F61" i="4"/>
  <c r="G61" i="4" s="1"/>
  <c r="H61" i="4" s="1"/>
  <c r="J60" i="4"/>
  <c r="K60" i="4" s="1"/>
  <c r="L60" i="4" s="1"/>
  <c r="F60" i="4"/>
  <c r="G60" i="4" s="1"/>
  <c r="H60" i="4" s="1"/>
  <c r="J59" i="4"/>
  <c r="K59" i="4" s="1"/>
  <c r="L59" i="4" s="1"/>
  <c r="F59" i="4"/>
  <c r="G59" i="4" s="1"/>
  <c r="H59" i="4" s="1"/>
  <c r="N58" i="4"/>
  <c r="J58" i="4"/>
  <c r="K58" i="4" s="1"/>
  <c r="L58" i="4" s="1"/>
  <c r="F58" i="4"/>
  <c r="G58" i="4" s="1"/>
  <c r="H58" i="4" s="1"/>
  <c r="J57" i="4"/>
  <c r="K57" i="4" s="1"/>
  <c r="L57" i="4" s="1"/>
  <c r="F57" i="4"/>
  <c r="G57" i="4" s="1"/>
  <c r="H57" i="4" s="1"/>
  <c r="J56" i="4"/>
  <c r="K56" i="4" s="1"/>
  <c r="L56" i="4" s="1"/>
  <c r="F56" i="4"/>
  <c r="G56" i="4" s="1"/>
  <c r="H56" i="4" s="1"/>
  <c r="N55" i="4"/>
  <c r="J55" i="4"/>
  <c r="K55" i="4" s="1"/>
  <c r="L55" i="4" s="1"/>
  <c r="F55" i="4"/>
  <c r="G55" i="4" s="1"/>
  <c r="H55" i="4" s="1"/>
  <c r="N54" i="4"/>
  <c r="J54" i="4"/>
  <c r="K54" i="4" s="1"/>
  <c r="L54" i="4" s="1"/>
  <c r="F54" i="4"/>
  <c r="G54" i="4" s="1"/>
  <c r="H54" i="4" s="1"/>
  <c r="J53" i="4"/>
  <c r="K53" i="4" s="1"/>
  <c r="L53" i="4" s="1"/>
  <c r="F53" i="4"/>
  <c r="G53" i="4" s="1"/>
  <c r="H53" i="4" s="1"/>
  <c r="J52" i="4"/>
  <c r="K52" i="4" s="1"/>
  <c r="L52" i="4" s="1"/>
  <c r="F52" i="4"/>
  <c r="G52" i="4" s="1"/>
  <c r="H52" i="4" s="1"/>
  <c r="J51" i="4"/>
  <c r="K51" i="4" s="1"/>
  <c r="L51" i="4" s="1"/>
  <c r="F51" i="4"/>
  <c r="G51" i="4" s="1"/>
  <c r="H51" i="4" s="1"/>
  <c r="N50" i="4"/>
  <c r="J50" i="4"/>
  <c r="K50" i="4" s="1"/>
  <c r="L50" i="4" s="1"/>
  <c r="F50" i="4"/>
  <c r="G50" i="4" s="1"/>
  <c r="H50" i="4" s="1"/>
  <c r="J49" i="4"/>
  <c r="K49" i="4" s="1"/>
  <c r="L49" i="4" s="1"/>
  <c r="F49" i="4"/>
  <c r="G49" i="4" s="1"/>
  <c r="H49" i="4" s="1"/>
  <c r="M48" i="4"/>
  <c r="J48" i="4"/>
  <c r="K48" i="4" s="1"/>
  <c r="F48" i="4"/>
  <c r="G48" i="4" s="1"/>
  <c r="H48" i="4" s="1"/>
  <c r="I6" i="4"/>
  <c r="O54" i="4" l="1"/>
  <c r="P54" i="4" s="1"/>
  <c r="F12" i="4"/>
  <c r="G12" i="4" s="1"/>
  <c r="I12" i="4" s="1"/>
  <c r="O50" i="4"/>
  <c r="P50" i="4" s="1"/>
  <c r="F8" i="4"/>
  <c r="G8" i="4" s="1"/>
  <c r="I8" i="4" s="1"/>
  <c r="O70" i="4"/>
  <c r="P70" i="4" s="1"/>
  <c r="F41" i="4"/>
  <c r="G41" i="4" s="1"/>
  <c r="O66" i="4"/>
  <c r="P66" i="4" s="1"/>
  <c r="F37" i="4"/>
  <c r="G37" i="4" s="1"/>
  <c r="O71" i="4"/>
  <c r="P71" i="4" s="1"/>
  <c r="F42" i="4"/>
  <c r="G42" i="4" s="1"/>
  <c r="O62" i="4"/>
  <c r="P62" i="4" s="1"/>
  <c r="F33" i="4"/>
  <c r="G33" i="4" s="1"/>
  <c r="O55" i="4"/>
  <c r="P55" i="4" s="1"/>
  <c r="F26" i="4"/>
  <c r="G26" i="4" s="1"/>
  <c r="O58" i="4"/>
  <c r="P58" i="4" s="1"/>
  <c r="F29" i="4"/>
  <c r="G29" i="4" s="1"/>
  <c r="H73" i="4"/>
  <c r="N59" i="4"/>
  <c r="N60" i="4"/>
  <c r="N53" i="4"/>
  <c r="K73" i="4"/>
  <c r="N51" i="4"/>
  <c r="N52" i="4"/>
  <c r="N63" i="4"/>
  <c r="N64" i="4"/>
  <c r="L48" i="4"/>
  <c r="L73" i="4" s="1"/>
  <c r="N49" i="4"/>
  <c r="N67" i="4"/>
  <c r="N68" i="4"/>
  <c r="N48" i="4"/>
  <c r="O48" i="4" s="1"/>
  <c r="P48" i="4" s="1"/>
  <c r="N56" i="4"/>
  <c r="N57" i="4"/>
  <c r="N61" i="4"/>
  <c r="N65" i="4"/>
  <c r="N69" i="4"/>
  <c r="O52" i="4" l="1"/>
  <c r="P52" i="4" s="1"/>
  <c r="F10" i="4"/>
  <c r="G10" i="4" s="1"/>
  <c r="I10" i="4" s="1"/>
  <c r="O51" i="4"/>
  <c r="P51" i="4" s="1"/>
  <c r="F9" i="4"/>
  <c r="G9" i="4" s="1"/>
  <c r="I9" i="4" s="1"/>
  <c r="O53" i="4"/>
  <c r="P53" i="4" s="1"/>
  <c r="F11" i="4"/>
  <c r="G11" i="4" s="1"/>
  <c r="I11" i="4" s="1"/>
  <c r="O49" i="4"/>
  <c r="P49" i="4" s="1"/>
  <c r="F7" i="4"/>
  <c r="G7" i="4" s="1"/>
  <c r="I7" i="4" s="1"/>
  <c r="I13" i="4" s="1"/>
  <c r="E2" i="5" s="1"/>
  <c r="G2" i="5" s="1"/>
  <c r="O64" i="4"/>
  <c r="P64" i="4" s="1"/>
  <c r="F35" i="4"/>
  <c r="G35" i="4" s="1"/>
  <c r="O69" i="4"/>
  <c r="P69" i="4" s="1"/>
  <c r="F40" i="4"/>
  <c r="G40" i="4" s="1"/>
  <c r="O65" i="4"/>
  <c r="P65" i="4" s="1"/>
  <c r="F36" i="4"/>
  <c r="G36" i="4" s="1"/>
  <c r="O57" i="4"/>
  <c r="P57" i="4" s="1"/>
  <c r="F28" i="4"/>
  <c r="G28" i="4" s="1"/>
  <c r="O56" i="4"/>
  <c r="P56" i="4" s="1"/>
  <c r="F27" i="4"/>
  <c r="G27" i="4" s="1"/>
  <c r="G43" i="4" s="1"/>
  <c r="O60" i="4"/>
  <c r="P60" i="4" s="1"/>
  <c r="F31" i="4"/>
  <c r="G31" i="4" s="1"/>
  <c r="O63" i="4"/>
  <c r="P63" i="4" s="1"/>
  <c r="F34" i="4"/>
  <c r="G34" i="4" s="1"/>
  <c r="O61" i="4"/>
  <c r="P61" i="4" s="1"/>
  <c r="F32" i="4"/>
  <c r="G32" i="4" s="1"/>
  <c r="O59" i="4"/>
  <c r="P59" i="4" s="1"/>
  <c r="F30" i="4"/>
  <c r="G30" i="4" s="1"/>
  <c r="O67" i="4"/>
  <c r="P67" i="4" s="1"/>
  <c r="F38" i="4"/>
  <c r="G38" i="4" s="1"/>
  <c r="O68" i="4"/>
  <c r="P68" i="4" s="1"/>
  <c r="F39" i="4"/>
  <c r="G39" i="4" s="1"/>
  <c r="P73" i="4"/>
  <c r="G5" i="5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<sst xmlns="http://schemas.openxmlformats.org/spreadsheetml/2006/main" count="212" uniqueCount="98">
  <si>
    <t xml:space="preserve">Total mensual 2026 </t>
  </si>
  <si>
    <t>Servicio/ Repuesto</t>
  </si>
  <si>
    <t>Descripción del Elemento</t>
  </si>
  <si>
    <t>Tipo</t>
  </si>
  <si>
    <t>Cant. Vehiuclos</t>
  </si>
  <si>
    <t>Neto Unitario</t>
  </si>
  <si>
    <t>IVA (19%)</t>
  </si>
  <si>
    <t>Total Unitario</t>
  </si>
  <si>
    <t>Total incluido IVA</t>
  </si>
  <si>
    <t>Servicio (Prev.)</t>
  </si>
  <si>
    <t>Prev.</t>
  </si>
  <si>
    <t>Corr.</t>
  </si>
  <si>
    <t xml:space="preserve">servicio </t>
  </si>
  <si>
    <t>TOTAL</t>
  </si>
  <si>
    <t>HISTORICOS</t>
  </si>
  <si>
    <t>Cant.</t>
  </si>
  <si>
    <t>Neto Unitario 2024</t>
  </si>
  <si>
    <t>IVA 2024 (19%)</t>
  </si>
  <si>
    <t>V. Unitario 2024</t>
  </si>
  <si>
    <t>V. total 2024</t>
  </si>
  <si>
    <t>Neto Unitario 2025</t>
  </si>
  <si>
    <t>IVA 2025 (19%)</t>
  </si>
  <si>
    <t>V. Total 2025</t>
  </si>
  <si>
    <t>IVA 2026 (19%)</t>
  </si>
  <si>
    <t>Total Unitario 2026</t>
  </si>
  <si>
    <t>Total Anual 2026</t>
  </si>
  <si>
    <t>S1</t>
  </si>
  <si>
    <t>Mantenimiento Preventivo (M.O.)</t>
  </si>
  <si>
    <t>R1</t>
  </si>
  <si>
    <t>Aceite Motor (Por Cuarto)</t>
  </si>
  <si>
    <t>R2</t>
  </si>
  <si>
    <t>Filtro de Aceite Original</t>
  </si>
  <si>
    <t>R3</t>
  </si>
  <si>
    <t>Filtro de Aire Original</t>
  </si>
  <si>
    <t>R4</t>
  </si>
  <si>
    <t>Filtro de Combustible Original</t>
  </si>
  <si>
    <t>R5</t>
  </si>
  <si>
    <t>Refrigerante Radiador (Galón)</t>
  </si>
  <si>
    <t>R6</t>
  </si>
  <si>
    <t>Líquido de Frenos (DOT 4)</t>
  </si>
  <si>
    <t>R7</t>
  </si>
  <si>
    <t>Pastillas de Freno Delanteras</t>
  </si>
  <si>
    <t>R8</t>
  </si>
  <si>
    <t>Bandas Traseras (Juego)</t>
  </si>
  <si>
    <t>R9</t>
  </si>
  <si>
    <t>Discos de Frenos Delanteros</t>
  </si>
  <si>
    <t>R10</t>
  </si>
  <si>
    <t>Rectificar Discos y Campanas</t>
  </si>
  <si>
    <t>R11</t>
  </si>
  <si>
    <t>Tijera Inferior Completa (LH)</t>
  </si>
  <si>
    <t>R12</t>
  </si>
  <si>
    <t>Muñecos Barra Estabilizadora</t>
  </si>
  <si>
    <t>R13</t>
  </si>
  <si>
    <t>Batería Sellada (Alta Capacidad)</t>
  </si>
  <si>
    <t>R14</t>
  </si>
  <si>
    <t>Kit de Distribución / Accesorios</t>
  </si>
  <si>
    <t>R15</t>
  </si>
  <si>
    <t>Llanta 265/65 R17 All-Terrain</t>
  </si>
  <si>
    <t>R16</t>
  </si>
  <si>
    <t>Amortiguadores Delanteros (Par - Reforzados)</t>
  </si>
  <si>
    <t>R17</t>
  </si>
  <si>
    <t>Amortiguadores Traseros (Par - Reforzados)</t>
  </si>
  <si>
    <t>R18</t>
  </si>
  <si>
    <t>Kit de Embrague Completo (Original)</t>
  </si>
  <si>
    <t>R19</t>
  </si>
  <si>
    <t>Terminales de Dirección y Esferas (Juego)</t>
  </si>
  <si>
    <t>R20</t>
  </si>
  <si>
    <t>Kit de Correas de Accesorio y Poleas</t>
  </si>
  <si>
    <t>R21</t>
  </si>
  <si>
    <t>Sincronización Sistema de Inyección</t>
  </si>
  <si>
    <t>R22</t>
  </si>
  <si>
    <t>Pastillas de Freno Traseras (Juego Adicional)</t>
  </si>
  <si>
    <t>R23</t>
  </si>
  <si>
    <t>Bomba de Agua y Termostato</t>
  </si>
  <si>
    <t>S2</t>
  </si>
  <si>
    <t>lavado</t>
  </si>
  <si>
    <t>VALOR TOTAL LOTE 1</t>
  </si>
  <si>
    <t>V. unitario 2025</t>
  </si>
  <si>
    <t>Cantidad de vehiculos</t>
  </si>
  <si>
    <t>Cantidad de lavados mensuales</t>
  </si>
  <si>
    <t>Bolsa de repuestos</t>
  </si>
  <si>
    <t>Total 3 meses</t>
  </si>
  <si>
    <t>Cantidad</t>
  </si>
  <si>
    <t>Mantenimiento Preventivo Mensual</t>
  </si>
  <si>
    <t>Total Mantenimientos Preventivos Mensual</t>
  </si>
  <si>
    <t>Cantidad Mensual de lavados</t>
  </si>
  <si>
    <t>Lavados Mensuales</t>
  </si>
  <si>
    <t>Listado de repuestos para mantenimiento correctivo</t>
  </si>
  <si>
    <t>Mantenimiento Preventivo</t>
  </si>
  <si>
    <t>Servicio</t>
  </si>
  <si>
    <t>Bolsa de repuestos Mantenimiento correctivo</t>
  </si>
  <si>
    <t>Lavado</t>
  </si>
  <si>
    <t>Total incluido IVA Mesual</t>
  </si>
  <si>
    <t>Meses</t>
  </si>
  <si>
    <t xml:space="preserve"> FLOTA EXCLUSIVA TOYOTA (4 CAMIONETAS)</t>
  </si>
  <si>
    <t>FLOTA EXCLUSIVA TOYOTA (4 CAMIONETAS)</t>
  </si>
  <si>
    <t>VALOR UNITARIO DE LA BOLSA DE REPUESTOS TOYOTA (4 CAMIONETAS)</t>
  </si>
  <si>
    <t>Neto Unitario 2026 incremnetado ipc (5,74% repuestos) y smmlv( 23% servicio)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</si>
</sst>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6" formatCode="&quot;$&quot;\ #,##0;[Red]\-&quot;$&quot;\ #,##0"/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  <numFmt numFmtId="165" formatCode="_-[$$-409]* #,##0.00_ ;_-[$$-409]* \-#,##0.00\ ;_-[$$-409]* &quot;-&quot;??_ ;_-@_ "/>
  </numFmts>
  <fonts count="8" x14ac:knownFonts="1">
    <font>
      <sz val="10"/>
      <color rgb="FF000000"/>
      <name val="Arial"/>
      <scheme val="minor"/>
    </font>
    <font>
      <sz val="10"/>
      <color rgb="FF000000"/>
      <name val="Arial"/>
      <family val="2"/>
      <scheme val="minor"/>
    </font>
    <font>
      <b/>
      <sz val="10"/>
      <color rgb="FF000000"/>
      <name val="Arial"/>
      <family val="2"/>
      <scheme val="minor"/>
    </font>
    <font>
      <b/>
      <sz val="10"/>
      <color theme="0"/>
      <name val="Arial"/>
      <family val="2"/>
      <scheme val="minor"/>
    </font>
    <font>
      <b/>
      <sz val="12"/>
      <color rgb="FF000000"/>
      <name val="Arial"/>
      <family val="2"/>
      <scheme val="minor"/>
    </font>
    <font>
      <sz val="10"/>
      <color theme="1"/>
      <name val="Arial"/>
      <family val="2"/>
      <scheme val="minor"/>
    </font>
    <font>
      <b/>
      <sz val="10"/>
      <color theme="1"/>
      <name val="Arial"/>
      <family val="2"/>
      <scheme val="minor"/>
    </font>
    <font>
      <sz val="10"/>
      <color theme="1"/>
      <name val="Arial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1"/>
        <bgColor theme="1"/>
      </patternFill>
    </fill>
    <fill>
      <patternFill patternType="solid">
        <fgColor theme="0" tint="-0.14999847407452621"/>
        <bgColor theme="0" tint="-0.14999847407452621"/>
      </patternFill>
    </fill>
  </fills>
  <borders count="18">
    <border>
      <left/>
      <right/>
      <top/>
      <bottom/>
      <diagonal/>
    </border>
    <border>
      <left style="medium">
        <color rgb="FFC4C7C5"/>
      </left>
      <right style="medium">
        <color rgb="FFC4C7C5"/>
      </right>
      <top style="medium">
        <color rgb="FFC4C7C5"/>
      </top>
      <bottom style="medium">
        <color rgb="FFC4C7C5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/>
      <right/>
      <top/>
      <bottom style="medium">
        <color rgb="FFC4C7C5"/>
      </bottom>
      <diagonal/>
    </border>
    <border>
      <left style="medium">
        <color rgb="FFC4C7C5"/>
      </left>
      <right style="medium">
        <color rgb="FFC4C7C5"/>
      </right>
      <top/>
      <bottom style="medium">
        <color rgb="FFC4C7C5"/>
      </bottom>
      <diagonal/>
    </border>
    <border>
      <left style="medium">
        <color rgb="FFC4C7C5"/>
      </left>
      <right style="medium">
        <color rgb="FFC4C7C5"/>
      </right>
      <top style="medium">
        <color rgb="FFC4C7C5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rgb="FFCCCCCC"/>
      </right>
      <top style="medium">
        <color rgb="FFCCCCCC"/>
      </top>
      <bottom/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53">
    <xf numFmtId="0" fontId="0" fillId="0" borderId="0" xfId="0"/>
    <xf numFmtId="0" fontId="2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164" fontId="1" fillId="0" borderId="1" xfId="1" applyNumberFormat="1" applyFont="1" applyBorder="1" applyAlignment="1">
      <alignment vertical="center" wrapText="1"/>
    </xf>
    <xf numFmtId="164" fontId="2" fillId="0" borderId="1" xfId="1" applyNumberFormat="1" applyFont="1" applyBorder="1" applyAlignment="1">
      <alignment vertical="center" wrapText="1"/>
    </xf>
    <xf numFmtId="0" fontId="3" fillId="2" borderId="1" xfId="0" applyFont="1" applyFill="1" applyBorder="1" applyAlignment="1">
      <alignment vertical="center" wrapText="1"/>
    </xf>
    <xf numFmtId="164" fontId="1" fillId="0" borderId="2" xfId="1" applyNumberFormat="1" applyFont="1" applyBorder="1" applyAlignment="1">
      <alignment wrapText="1"/>
    </xf>
    <xf numFmtId="164" fontId="1" fillId="0" borderId="2" xfId="1" applyNumberFormat="1" applyFont="1" applyBorder="1" applyAlignment="1">
      <alignment horizontal="right" wrapText="1"/>
    </xf>
    <xf numFmtId="164" fontId="2" fillId="0" borderId="1" xfId="0" applyNumberFormat="1" applyFont="1" applyBorder="1" applyAlignment="1">
      <alignment vertical="center" wrapText="1"/>
    </xf>
    <xf numFmtId="164" fontId="1" fillId="0" borderId="1" xfId="0" applyNumberFormat="1" applyFont="1" applyBorder="1" applyAlignment="1">
      <alignment vertical="center" wrapText="1"/>
    </xf>
    <xf numFmtId="164" fontId="0" fillId="0" borderId="0" xfId="0" applyNumberFormat="1" applyAlignment="1">
      <alignment horizontal="center"/>
    </xf>
    <xf numFmtId="165" fontId="1" fillId="0" borderId="1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 wrapText="1"/>
    </xf>
    <xf numFmtId="6" fontId="5" fillId="3" borderId="6" xfId="0" applyNumberFormat="1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6" fontId="5" fillId="0" borderId="6" xfId="0" applyNumberFormat="1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6" fontId="0" fillId="0" borderId="0" xfId="0" applyNumberFormat="1"/>
    <xf numFmtId="164" fontId="0" fillId="0" borderId="0" xfId="1" applyNumberFormat="1" applyFont="1" applyAlignment="1">
      <alignment horizontal="center"/>
    </xf>
    <xf numFmtId="164" fontId="2" fillId="0" borderId="6" xfId="1" applyNumberFormat="1" applyFont="1" applyBorder="1"/>
    <xf numFmtId="0" fontId="3" fillId="2" borderId="14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6" fontId="6" fillId="0" borderId="6" xfId="0" applyNumberFormat="1" applyFont="1" applyBorder="1" applyAlignment="1">
      <alignment horizontal="center" vertical="center" wrapText="1"/>
    </xf>
    <xf numFmtId="164" fontId="5" fillId="3" borderId="6" xfId="0" applyNumberFormat="1" applyFont="1" applyFill="1" applyBorder="1" applyAlignment="1">
      <alignment horizontal="center" vertical="center" wrapText="1"/>
    </xf>
    <xf numFmtId="164" fontId="0" fillId="0" borderId="0" xfId="0" applyNumberFormat="1"/>
    <xf numFmtId="1" fontId="5" fillId="0" borderId="6" xfId="0" applyNumberFormat="1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5" fillId="3" borderId="10" xfId="0" applyFont="1" applyFill="1" applyBorder="1" applyAlignment="1">
      <alignment horizontal="center"/>
    </xf>
    <xf numFmtId="0" fontId="7" fillId="3" borderId="8" xfId="0" applyFont="1" applyFill="1" applyBorder="1" applyAlignment="1">
      <alignment horizontal="center"/>
    </xf>
    <xf numFmtId="0" fontId="7" fillId="3" borderId="9" xfId="0" applyFont="1" applyFill="1" applyBorder="1" applyAlignment="1">
      <alignment horizontal="center"/>
    </xf>
    <xf numFmtId="0" fontId="7" fillId="0" borderId="10" xfId="0" applyFont="1" applyBorder="1" applyAlignment="1">
      <alignment horizontal="center"/>
    </xf>
    <xf numFmtId="0" fontId="7" fillId="0" borderId="8" xfId="0" applyFont="1" applyBorder="1" applyAlignment="1">
      <alignment horizontal="center"/>
    </xf>
    <xf numFmtId="0" fontId="7" fillId="0" borderId="9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5" fillId="0" borderId="11" xfId="0" applyFont="1" applyBorder="1" applyAlignment="1">
      <alignment horizontal="center"/>
    </xf>
    <xf numFmtId="0" fontId="7" fillId="0" borderId="12" xfId="0" applyFont="1" applyBorder="1" applyAlignment="1">
      <alignment horizontal="center"/>
    </xf>
    <xf numFmtId="0" fontId="7" fillId="0" borderId="13" xfId="0" applyFont="1" applyBorder="1" applyAlignment="1">
      <alignment horizontal="center"/>
    </xf>
    <xf numFmtId="0" fontId="5" fillId="3" borderId="15" xfId="0" applyFont="1" applyFill="1" applyBorder="1" applyAlignment="1">
      <alignment horizontal="center"/>
    </xf>
    <xf numFmtId="0" fontId="5" fillId="3" borderId="16" xfId="0" applyFont="1" applyFill="1" applyBorder="1" applyAlignment="1">
      <alignment horizontal="center"/>
    </xf>
    <xf numFmtId="0" fontId="5" fillId="3" borderId="17" xfId="0" applyFont="1" applyFill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5" fillId="0" borderId="16" xfId="0" applyFont="1" applyBorder="1" applyAlignment="1">
      <alignment horizontal="center"/>
    </xf>
    <xf numFmtId="0" fontId="5" fillId="0" borderId="17" xfId="0" applyFont="1" applyBorder="1" applyAlignment="1">
      <alignment horizontal="center"/>
    </xf>
  </cellXfs>
  <cellStyles count="2">
    <cellStyle name="Moneda" xfId="1" builtinId="4"/>
    <cellStyle name="Normal" xfId="0" builtinId="0"/>
  </cellStyles>
  <dxfs count="46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family val="2"/>
        <scheme val="minor"/>
      </font>
      <alignment horizontal="general" vertical="center" textRotation="0" wrapText="1" indent="0" justifyLastLine="0" shrinkToFit="0" readingOrder="0"/>
      <border diagonalUp="0" diagonalDown="0">
        <left style="medium">
          <color rgb="FFC4C7C5"/>
        </left>
        <right style="medium">
          <color rgb="FFC4C7C5"/>
        </right>
        <top style="medium">
          <color rgb="FFC4C7C5"/>
        </top>
        <bottom style="medium">
          <color rgb="FFC4C7C5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family val="2"/>
        <scheme val="minor"/>
      </font>
      <alignment horizontal="general" vertical="center" textRotation="0" wrapText="1" indent="0" justifyLastLine="0" shrinkToFit="0" readingOrder="0"/>
      <border diagonalUp="0" diagonalDown="0">
        <left style="medium">
          <color rgb="FFC4C7C5"/>
        </left>
        <right style="medium">
          <color rgb="FFC4C7C5"/>
        </right>
        <top style="medium">
          <color rgb="FFC4C7C5"/>
        </top>
        <bottom style="medium">
          <color rgb="FFC4C7C5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family val="2"/>
        <scheme val="minor"/>
      </font>
      <alignment horizontal="general" vertical="center" textRotation="0" wrapText="1" indent="0" justifyLastLine="0" shrinkToFit="0" readingOrder="0"/>
      <border diagonalUp="0" diagonalDown="0">
        <left style="medium">
          <color rgb="FFC4C7C5"/>
        </left>
        <right style="medium">
          <color rgb="FFC4C7C5"/>
        </right>
        <top style="medium">
          <color rgb="FFC4C7C5"/>
        </top>
        <bottom style="medium">
          <color rgb="FFC4C7C5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family val="2"/>
        <scheme val="minor"/>
      </font>
      <numFmt numFmtId="0" formatCode="General"/>
      <alignment horizontal="center" vertical="center" textRotation="0" wrapText="1" indent="0" justifyLastLine="0" shrinkToFit="0" readingOrder="0"/>
      <border diagonalUp="0" diagonalDown="0">
        <left style="medium">
          <color rgb="FFC4C7C5"/>
        </left>
        <right style="medium">
          <color rgb="FFC4C7C5"/>
        </right>
        <top style="medium">
          <color rgb="FFC4C7C5"/>
        </top>
        <bottom style="medium">
          <color rgb="FFC4C7C5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family val="2"/>
        <scheme val="minor"/>
      </font>
      <alignment horizontal="center" vertical="center" textRotation="0" wrapText="1" indent="0" justifyLastLine="0" shrinkToFit="0" readingOrder="0"/>
      <border diagonalUp="0" diagonalDown="0">
        <left style="medium">
          <color rgb="FFC4C7C5"/>
        </left>
        <right style="medium">
          <color rgb="FFC4C7C5"/>
        </right>
        <top style="medium">
          <color rgb="FFC4C7C5"/>
        </top>
        <bottom style="medium">
          <color rgb="FFC4C7C5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family val="2"/>
        <scheme val="minor"/>
      </font>
      <alignment horizontal="general" vertical="center" textRotation="0" wrapText="1" indent="0" justifyLastLine="0" shrinkToFit="0" readingOrder="0"/>
      <border diagonalUp="0" diagonalDown="0">
        <left style="medium">
          <color rgb="FFC4C7C5"/>
        </left>
        <right style="medium">
          <color rgb="FFC4C7C5"/>
        </right>
        <top style="medium">
          <color rgb="FFC4C7C5"/>
        </top>
        <bottom style="medium">
          <color rgb="FFC4C7C5"/>
        </bottom>
        <vertical/>
        <horizontal/>
      </border>
    </dxf>
    <dxf>
      <alignment horizontal="center" vertical="center" textRotation="0" indent="0" justifyLastLine="0" shrinkToFit="0" readingOrder="0"/>
    </dxf>
    <dxf>
      <numFmt numFmtId="164" formatCode="_-&quot;$&quot;\ * #,##0_-;\-&quot;$&quot;\ * #,##0_-;_-&quot;$&quot;\ * &quot;-&quot;??_-;_-@_-"/>
      <alignment horizontal="center" vertical="bottom" textRotation="0" wrapText="0" indent="0" justifyLastLine="0" shrinkToFit="0" readingOrder="0"/>
    </dxf>
    <dxf>
      <numFmt numFmtId="164" formatCode="_-&quot;$&quot;\ * #,##0_-;\-&quot;$&quot;\ * #,##0_-;_-&quot;$&quot;\ * &quot;-&quot;??_-;_-@_-"/>
      <alignment horizontal="center" vertical="bottom" textRotation="0" wrapText="0" indent="0" justifyLastLine="0" shrinkToFit="0" readingOrder="0"/>
    </dxf>
    <dxf>
      <numFmt numFmtId="164" formatCode="_-&quot;$&quot;\ * #,##0_-;\-&quot;$&quot;\ * #,##0_-;_-&quot;$&quot;\ * &quot;-&quot;??_-;_-@_-"/>
      <alignment horizontal="center" vertical="bottom" textRotation="0" wrapText="0" indent="0" justifyLastLine="0" shrinkToFit="0" readingOrder="0"/>
    </dxf>
    <dxf>
      <numFmt numFmtId="164" formatCode="_-&quot;$&quot;\ * #,##0_-;\-&quot;$&quot;\ * #,##0_-;_-&quot;$&quot;\ * &quot;-&quot;??_-;_-@_-"/>
      <alignment horizontal="center" vertical="bottom" textRotation="0" wrapText="0" indent="0" justifyLastLine="0" shrinkToFit="0" readingOrder="0"/>
    </dxf>
    <dxf>
      <numFmt numFmtId="164" formatCode="_-&quot;$&quot;\ * #,##0_-;\-&quot;$&quot;\ * #,##0_-;_-&quot;$&quot;\ * &quot;-&quot;??_-;_-@_-"/>
      <alignment horizontal="center" vertical="bottom" textRotation="0" wrapText="0" indent="0" justifyLastLine="0" shrinkToFit="0" readingOrder="0"/>
    </dxf>
    <dxf>
      <numFmt numFmtId="164" formatCode="_-&quot;$&quot;\ * #,##0_-;\-&quot;$&quot;\ * #,##0_-;_-&quot;$&quot;\ * &quot;-&quot;??_-;_-@_-"/>
      <alignment horizontal="center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bottom" textRotation="0" indent="0" justifyLastLine="0" shrinkToFit="0" readingOrder="0"/>
    </dxf>
    <dxf>
      <alignment horizontal="center" vertical="bottom" textRotation="0" indent="0" justifyLastLine="0" shrinkToFit="0" readingOrder="0"/>
    </dxf>
    <dxf>
      <numFmt numFmtId="164" formatCode="_-&quot;$&quot;\ * #,##0_-;\-&quot;$&quot;\ * #,##0_-;_-&quot;$&quot;\ * &quot;-&quot;??_-;_-@_-"/>
      <alignment horizontal="center" vertical="bottom" textRotation="0" wrapText="0" indent="0" justifyLastLine="0" shrinkToFit="0" readingOrder="0"/>
    </dxf>
    <dxf>
      <alignment horizontal="center" vertical="bottom" textRotation="0" indent="0" justifyLastLine="0" shrinkToFit="0" readingOrder="0"/>
    </dxf>
    <dxf>
      <numFmt numFmtId="164" formatCode="_-&quot;$&quot;\ * #,##0_-;\-&quot;$&quot;\ * #,##0_-;_-&quot;$&quot;\ * &quot;-&quot;??_-;_-@_-"/>
      <alignment horizontal="center" vertical="bottom" textRotation="0" wrapText="0" indent="0" justifyLastLine="0" shrinkToFit="0" readingOrder="0"/>
    </dxf>
    <dxf>
      <alignment horizontal="center" vertical="bottom" textRotation="0" indent="0" justifyLastLine="0" shrinkToFit="0" readingOrder="0"/>
    </dxf>
    <dxf>
      <alignment horizontal="center" vertical="bottom" textRotation="0" indent="0" justifyLastLine="0" shrinkToFit="0" readingOrder="0"/>
    </dxf>
    <dxf>
      <alignment horizontal="center" vertical="bottom" textRotation="0" indent="0" justifyLastLine="0" shrinkToFit="0" readingOrder="0"/>
    </dxf>
    <dxf>
      <alignment horizontal="center" vertical="bottom" textRotation="0" indent="0" justifyLastLine="0" shrinkToFit="0" readingOrder="0"/>
    </dxf>
    <dxf>
      <border outline="0">
        <top style="thin">
          <color theme="1"/>
        </top>
      </border>
    </dxf>
    <dxf>
      <alignment horizontal="center" vertical="bottom" textRotation="0" indent="0" justifyLastLine="0" shrinkToFit="0" readingOrder="0"/>
    </dxf>
    <dxf>
      <alignment horizontal="center" vertical="center" textRotation="0" wrapText="1" indent="0" justifyLastLine="0" shrinkToFit="0" readingOrder="0"/>
    </dxf>
    <dxf>
      <numFmt numFmtId="164" formatCode="_-&quot;$&quot;\ * #,##0_-;\-&quot;$&quot;\ * #,##0_-;_-&quot;$&quot;\ * &quot;-&quot;??_-;_-@_-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10" Type="http://schemas.openxmlformats.org/officeDocument/2006/relationships/customXml" Target="../customXml/item3.xml"/><Relationship Id="rId4" Type="http://schemas.openxmlformats.org/officeDocument/2006/relationships/styles" Target="styles.xml"/><Relationship Id="rId9" Type="http://schemas.openxmlformats.org/officeDocument/2006/relationships/customXml" Target="../customXml/item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B0563902-A3EE-467D-8B72-0CDA6A674BF5}" name="Tabla5" displayName="Tabla5" ref="A5:I12" totalsRowShown="0" headerRowDxfId="45" dataDxfId="44">
  <autoFilter ref="A5:I12" xr:uid="{B0563902-A3EE-467D-8B72-0CDA6A674BF5}"/>
  <tableColumns count="9">
    <tableColumn id="1" xr3:uid="{4F62464B-C198-4A44-9167-EC7A4B7F141B}" name="Servicio/ Repuesto" dataDxfId="43"/>
    <tableColumn id="2" xr3:uid="{6D1E305D-AE6B-4570-88B9-8BF1F2BB69C8}" name="Descripción del Elemento" dataDxfId="42"/>
    <tableColumn id="3" xr3:uid="{B869DD5E-FEC1-43EE-84A5-9E17B64F37A7}" name="Tipo" dataDxfId="41"/>
    <tableColumn id="4" xr3:uid="{9C87FD13-6BAB-415C-B6CB-C7DAE764134C}" name="Cantidad" dataDxfId="40"/>
    <tableColumn id="5" xr3:uid="{D82F698A-E4EF-46D5-860F-07EDAA0BE10C}" name="Neto Unitario" dataDxfId="39">
      <calculatedColumnFormula>+M48</calculatedColumnFormula>
    </tableColumn>
    <tableColumn id="6" xr3:uid="{0E68200C-464D-47B8-B399-FBD245004A6B}" name="IVA (19%)" dataDxfId="38">
      <calculatedColumnFormula>+N48</calculatedColumnFormula>
    </tableColumn>
    <tableColumn id="7" xr3:uid="{1E306231-E716-4284-B14E-9EA0829D6660}" name="Total Unitario" dataDxfId="37">
      <calculatedColumnFormula>+Tabla5[[#This Row],[Neto Unitario]]+Tabla5[[#This Row],[IVA (19%)]]</calculatedColumnFormula>
    </tableColumn>
    <tableColumn id="8" xr3:uid="{A3708220-41C3-447C-AE58-23629E6AAFEB}" name="Cant. Vehiuclos" dataDxfId="36"/>
    <tableColumn id="9" xr3:uid="{0792AC55-82DA-44E7-8C57-080E7FF11BA8}" name="Total incluido IVA" dataDxfId="35" dataCellStyle="Moneda"/>
  </tableColumns>
  <tableStyleInfo name="TableStyleMedium8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3B269EC4-E1EC-49A5-8AC1-C5368C0D6CB3}" name="Tabla6" displayName="Tabla6" ref="A18:I19" totalsRowShown="0" headerRowDxfId="34" dataDxfId="33" tableBorderDxfId="32">
  <autoFilter ref="A18:I19" xr:uid="{3B269EC4-E1EC-49A5-8AC1-C5368C0D6CB3}"/>
  <tableColumns count="9">
    <tableColumn id="1" xr3:uid="{DD13644F-3D76-4DAD-86BE-30B42DCC2EFE}" name="Servicio/ Repuesto" dataDxfId="31"/>
    <tableColumn id="2" xr3:uid="{43B9077D-2958-432D-8AA5-4B4E5A9710AA}" name="Descripción del Elemento" dataDxfId="30"/>
    <tableColumn id="3" xr3:uid="{9230DEB9-8FFC-411F-86BB-13E8B51D5A10}" name="Tipo" dataDxfId="29"/>
    <tableColumn id="4" xr3:uid="{C853D14D-FCF9-433A-A8C2-099B4A028A11}" name="Cantidad Mensual de lavados" dataDxfId="28"/>
    <tableColumn id="5" xr3:uid="{4E47E535-4987-40F5-B91B-1915B4E7D111}" name="Neto Unitario" dataDxfId="27" dataCellStyle="Moneda"/>
    <tableColumn id="6" xr3:uid="{BA31FC9E-8CF4-4D22-B38E-394DD15A7743}" name="IVA (19%)" dataDxfId="26"/>
    <tableColumn id="7" xr3:uid="{661963B5-6BFA-46DB-92AE-750473DB8D4E}" name="Total Unitario" dataDxfId="25" dataCellStyle="Moneda">
      <calculatedColumnFormula>+M72</calculatedColumnFormula>
    </tableColumn>
    <tableColumn id="8" xr3:uid="{22F20CD0-9D4D-484C-98B0-5FB85C0B591A}" name="Cant. Vehiuclos" dataDxfId="24"/>
    <tableColumn id="9" xr3:uid="{399DBF77-4FF5-41CC-93C5-E99164E7336D}" name="Total incluido IVA Mesual" dataDxfId="23">
      <calculatedColumnFormula>Tabla6[[#This Row],[Cantidad Mensual de lavados]]*Tabla6[[#This Row],[Total Unitario]]</calculatedColumnFormula>
    </tableColumn>
  </tableColumns>
  <tableStyleInfo name="TableStyleMedium8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D3A097F1-FD29-4EEF-8A6F-F3CED8068A71}" name="Tabla8" displayName="Tabla8" ref="A25:G43" totalsRowCount="1" headerRowDxfId="22" dataDxfId="21">
  <autoFilter ref="A25:G42" xr:uid="{D3A097F1-FD29-4EEF-8A6F-F3CED8068A71}"/>
  <tableColumns count="7">
    <tableColumn id="1" xr3:uid="{90FD849D-6C62-489F-854F-D7E8D8DA8CC2}" name="Servicio/ Repuesto" dataDxfId="20" totalsRowDxfId="19"/>
    <tableColumn id="2" xr3:uid="{F4B49B5D-46B4-4914-92DB-928FB521739F}" name="Descripción del Elemento" dataDxfId="18" totalsRowDxfId="17"/>
    <tableColumn id="3" xr3:uid="{ECA73497-9E0F-4DCA-AAF8-46C8CF30DE50}" name="Tipo" dataDxfId="16" totalsRowDxfId="15"/>
    <tableColumn id="4" xr3:uid="{8AEE38D6-FD6D-4DCB-B0B0-033C68768E60}" name="Cantidad" dataDxfId="14" totalsRowDxfId="13"/>
    <tableColumn id="5" xr3:uid="{DF42C1FE-A6DA-42C9-B90A-02FEDAE9F5EB}" name="Neto Unitario" dataDxfId="12" totalsRowDxfId="11" dataCellStyle="Moneda">
      <calculatedColumnFormula>+M55</calculatedColumnFormula>
    </tableColumn>
    <tableColumn id="6" xr3:uid="{41EE4A99-4D01-4023-96A7-5CDD918CF4F9}" name="IVA (19%)" dataDxfId="10" totalsRowDxfId="9" dataCellStyle="Moneda">
      <calculatedColumnFormula>+N55</calculatedColumnFormula>
    </tableColumn>
    <tableColumn id="8" xr3:uid="{79C00D56-3858-4E53-A1AD-7A65FD3E4C8E}" name="Total incluido IVA" totalsRowFunction="custom" dataDxfId="8" totalsRowDxfId="7" dataCellStyle="Moneda">
      <calculatedColumnFormula>+Tabla8[[#This Row],[Neto Unitario]]+Tabla8[[#This Row],[IVA (19%)]]</calculatedColumnFormula>
      <totalsRowFormula>SUM(G26:G42)</totalsRowFormula>
    </tableColumn>
  </tableColumns>
  <tableStyleInfo name="TableStyleMedium8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27C56072-1A8E-4912-AB3A-5173EF1AE1EA}" name="Tabla710" displayName="Tabla710" ref="A47:P73" totalsRowShown="0" headerRowDxfId="6">
  <autoFilter ref="A47:P73" xr:uid="{27C56072-1A8E-4912-AB3A-5173EF1AE1EA}"/>
  <tableColumns count="16">
    <tableColumn id="1" xr3:uid="{3605A7BF-A41F-4018-B70C-0F7C66A44B14}" name="Servicio/ Repuesto"/>
    <tableColumn id="2" xr3:uid="{66036633-B800-4A10-B5D6-C83094336265}" name="Descripción del Elemento"/>
    <tableColumn id="9" xr3:uid="{CDE52D4C-285C-497C-9430-3728A2E7528F}" name="Tipo" dataDxfId="5"/>
    <tableColumn id="3" xr3:uid="{76761979-4B4A-4BF7-991E-71A86FA140A6}" name="Cant."/>
    <tableColumn id="16" xr3:uid="{A26DA113-C9EB-4986-9D7E-0D9B45FF42E0}" name="Neto Unitario 2024" dataDxfId="4"/>
    <tableColumn id="15" xr3:uid="{F7C8A057-897E-4C02-8896-768CA93C4E8D}" name="IVA 2024 (19%)" dataDxfId="3">
      <calculatedColumnFormula>+Tabla710[[#This Row],[Neto Unitario 2024]]*19%</calculatedColumnFormula>
    </tableColumn>
    <tableColumn id="13" xr3:uid="{2B8FB61E-9D6F-4B5B-8129-11DED7BF18D2}" name="V. Unitario 2024" dataDxfId="2" dataCellStyle="Moneda">
      <calculatedColumnFormula>+Tabla710[[#This Row],[Neto Unitario 2024]]+Tabla710[[#This Row],[IVA 2024 (19%)]]</calculatedColumnFormula>
    </tableColumn>
    <tableColumn id="14" xr3:uid="{40862AD0-726D-454D-88C8-6786C7C53C0B}" name="V. total 2024" dataDxfId="1" dataCellStyle="Moneda">
      <calculatedColumnFormula>+Tabla710[[#This Row],[V. Unitario 2024]]*Tabla710[[#This Row],[Cant.]]</calculatedColumnFormula>
    </tableColumn>
    <tableColumn id="4" xr3:uid="{00CD7251-FADC-4C13-9AF3-4E7122AF2B12}" name="Neto Unitario 2025" dataCellStyle="Moneda"/>
    <tableColumn id="10" xr3:uid="{6DD267F6-CA61-43E5-AAF6-C90A17C23D5D}" name="IVA 2025 (19%)" dataCellStyle="Moneda"/>
    <tableColumn id="5" xr3:uid="{C5306A5C-15A4-4335-BB64-169C8BD46D0F}" name="V. unitario 2025" dataCellStyle="Moneda"/>
    <tableColumn id="12" xr3:uid="{C462FEF6-25A4-4560-A016-8B3388DD8D10}" name="V. Total 2025" dataDxfId="0" dataCellStyle="Moneda">
      <calculatedColumnFormula>+Tabla710[[#This Row],[V. unitario 2025]]*Tabla710[[#This Row],[Cant.]]</calculatedColumnFormula>
    </tableColumn>
    <tableColumn id="11" xr3:uid="{FDD5FE07-6473-4788-9E4A-30E527D2C987}" name="Neto Unitario 2026 incremnetado ipc (5,74% repuestos) y smmlv( 23% servicio)" dataCellStyle="Moneda"/>
    <tableColumn id="6" xr3:uid="{BDA9CA67-D7F5-48AA-96EE-877763BA690C}" name="IVA 2026 (19%)" dataCellStyle="Moneda"/>
    <tableColumn id="7" xr3:uid="{F28C153F-32F3-4B68-B64B-EB33BB50AB9F}" name="Total Unitario 2026" dataCellStyle="Moneda"/>
    <tableColumn id="8" xr3:uid="{2DD7D0F3-84E9-4801-8C26-EE635E866F4C}" name="Total Anual 2026" dataCellStyle="Moneda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4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F246D0-5207-4347-84B6-758F578D3733}">
  <dimension ref="A1:J7"/>
  <sheetViews>
    <sheetView tabSelected="1" workbookViewId="0">
      <selection activeCell="E4" sqref="E4"/>
    </sheetView>
  </sheetViews>
  <sheetFormatPr baseColWidth="10" defaultRowHeight="12.75" x14ac:dyDescent="0.2"/>
  <cols>
    <col min="1" max="1" width="23.7109375" customWidth="1"/>
    <col min="5" max="6" width="14.5703125" customWidth="1"/>
    <col min="7" max="7" width="22.7109375" customWidth="1"/>
    <col min="9" max="10" width="11.7109375" bestFit="1" customWidth="1"/>
  </cols>
  <sheetData>
    <row r="1" spans="1:10" ht="38.25" x14ac:dyDescent="0.2">
      <c r="A1" s="27" t="s">
        <v>89</v>
      </c>
      <c r="B1" s="28" t="s">
        <v>78</v>
      </c>
      <c r="C1" s="28" t="s">
        <v>80</v>
      </c>
      <c r="D1" s="27" t="s">
        <v>79</v>
      </c>
      <c r="E1" s="27" t="s">
        <v>0</v>
      </c>
      <c r="F1" s="27" t="s">
        <v>93</v>
      </c>
      <c r="G1" s="27" t="s">
        <v>81</v>
      </c>
    </row>
    <row r="2" spans="1:10" x14ac:dyDescent="0.2">
      <c r="A2" s="19" t="s">
        <v>88</v>
      </c>
      <c r="B2" s="19">
        <v>4</v>
      </c>
      <c r="C2" s="19"/>
      <c r="D2" s="19"/>
      <c r="E2" s="20">
        <f>'TOYOTA PROPUESTA'!I13</f>
        <v>3386189.4831520002</v>
      </c>
      <c r="F2" s="19">
        <v>3</v>
      </c>
      <c r="G2" s="20">
        <f>E2*3</f>
        <v>10158568.449456001</v>
      </c>
    </row>
    <row r="3" spans="1:10" ht="25.5" x14ac:dyDescent="0.2">
      <c r="A3" s="21" t="s">
        <v>90</v>
      </c>
      <c r="B3" s="21"/>
      <c r="C3" s="21">
        <v>1</v>
      </c>
      <c r="D3" s="21"/>
      <c r="E3" s="22"/>
      <c r="F3" s="32"/>
      <c r="G3" s="22">
        <v>44150386.550544001</v>
      </c>
      <c r="I3" s="24"/>
      <c r="J3" s="24"/>
    </row>
    <row r="4" spans="1:10" x14ac:dyDescent="0.2">
      <c r="A4" s="19" t="s">
        <v>91</v>
      </c>
      <c r="B4" s="19">
        <v>4</v>
      </c>
      <c r="C4" s="19"/>
      <c r="D4" s="19">
        <v>16</v>
      </c>
      <c r="E4" s="30" cm="1">
        <f t="array" ref="E4">Tabla6[Total Unitario]*D4</f>
        <v>845920</v>
      </c>
      <c r="F4" s="19">
        <v>3</v>
      </c>
      <c r="G4" s="20">
        <f>E4*3</f>
        <v>2537760</v>
      </c>
    </row>
    <row r="5" spans="1:10" x14ac:dyDescent="0.2">
      <c r="A5" s="33" t="s">
        <v>13</v>
      </c>
      <c r="B5" s="34"/>
      <c r="C5" s="34"/>
      <c r="D5" s="34"/>
      <c r="E5" s="34"/>
      <c r="F5" s="35"/>
      <c r="G5" s="29">
        <f>SUM(G2:G4)</f>
        <v>56846715</v>
      </c>
    </row>
    <row r="7" spans="1:10" x14ac:dyDescent="0.2">
      <c r="G7" s="24"/>
    </row>
  </sheetData>
  <mergeCells count="1">
    <mergeCell ref="A5:F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616626-6A1E-4346-B3AF-162EB23B3052}">
  <dimension ref="A3:P73"/>
  <sheetViews>
    <sheetView workbookViewId="0">
      <selection activeCell="J28" sqref="J28"/>
    </sheetView>
  </sheetViews>
  <sheetFormatPr baseColWidth="10" defaultRowHeight="12.75" x14ac:dyDescent="0.2"/>
  <cols>
    <col min="1" max="1" width="18.5703125" customWidth="1"/>
    <col min="2" max="2" width="39.7109375" bestFit="1" customWidth="1"/>
    <col min="3" max="3" width="13.28515625" bestFit="1" customWidth="1"/>
    <col min="4" max="4" width="19.85546875" customWidth="1"/>
    <col min="5" max="5" width="15.140625" bestFit="1" customWidth="1"/>
    <col min="6" max="6" width="12" bestFit="1" customWidth="1"/>
    <col min="7" max="7" width="16.5703125" customWidth="1"/>
    <col min="8" max="8" width="17.5703125" customWidth="1"/>
    <col min="9" max="9" width="19.5703125" bestFit="1" customWidth="1"/>
    <col min="11" max="11" width="15" bestFit="1" customWidth="1"/>
    <col min="12" max="12" width="12.85546875" bestFit="1" customWidth="1"/>
    <col min="13" max="13" width="15.85546875" bestFit="1" customWidth="1"/>
    <col min="15" max="15" width="12.7109375" bestFit="1" customWidth="1"/>
    <col min="16" max="16" width="16" bestFit="1" customWidth="1"/>
  </cols>
  <sheetData>
    <row r="3" spans="1:9" x14ac:dyDescent="0.2">
      <c r="A3" s="36" t="s">
        <v>94</v>
      </c>
      <c r="B3" s="37"/>
      <c r="C3" s="37"/>
      <c r="D3" s="37"/>
      <c r="E3" s="37"/>
      <c r="F3" s="37"/>
      <c r="G3" s="37"/>
      <c r="H3" s="37"/>
      <c r="I3" s="38"/>
    </row>
    <row r="4" spans="1:9" x14ac:dyDescent="0.2">
      <c r="A4" s="39" t="s">
        <v>83</v>
      </c>
      <c r="B4" s="40"/>
      <c r="C4" s="40"/>
      <c r="D4" s="40"/>
      <c r="E4" s="40"/>
      <c r="F4" s="40"/>
      <c r="G4" s="40"/>
      <c r="H4" s="40"/>
      <c r="I4" s="41"/>
    </row>
    <row r="5" spans="1:9" s="3" customFormat="1" ht="42.75" customHeight="1" x14ac:dyDescent="0.2">
      <c r="A5" s="23" t="s">
        <v>1</v>
      </c>
      <c r="B5" s="23" t="s">
        <v>2</v>
      </c>
      <c r="C5" s="23" t="s">
        <v>3</v>
      </c>
      <c r="D5" s="23" t="s">
        <v>82</v>
      </c>
      <c r="E5" s="23" t="s">
        <v>5</v>
      </c>
      <c r="F5" s="23" t="s">
        <v>6</v>
      </c>
      <c r="G5" s="23" t="s">
        <v>7</v>
      </c>
      <c r="H5" s="23" t="s">
        <v>4</v>
      </c>
      <c r="I5" s="23" t="s">
        <v>8</v>
      </c>
    </row>
    <row r="6" spans="1:9" x14ac:dyDescent="0.2">
      <c r="A6" s="5" t="s">
        <v>26</v>
      </c>
      <c r="B6" s="5" t="s">
        <v>27</v>
      </c>
      <c r="C6" s="5" t="s">
        <v>9</v>
      </c>
      <c r="D6" s="5">
        <v>1</v>
      </c>
      <c r="E6" s="25">
        <f>+M48</f>
        <v>116281.74</v>
      </c>
      <c r="F6" s="25">
        <f>+N48</f>
        <v>22093.530600000002</v>
      </c>
      <c r="G6" s="25">
        <f>+Tabla5[[#This Row],[Neto Unitario]]+Tabla5[[#This Row],[IVA (19%)]]</f>
        <v>138375.27060000002</v>
      </c>
      <c r="H6" s="5">
        <v>4</v>
      </c>
      <c r="I6" s="25">
        <f>D6*G6*H6</f>
        <v>553501.08240000007</v>
      </c>
    </row>
    <row r="7" spans="1:9" x14ac:dyDescent="0.2">
      <c r="A7" s="5" t="s">
        <v>28</v>
      </c>
      <c r="B7" s="5" t="s">
        <v>29</v>
      </c>
      <c r="C7" s="5" t="s">
        <v>10</v>
      </c>
      <c r="D7" s="5">
        <v>4</v>
      </c>
      <c r="E7" s="25">
        <f t="shared" ref="E7:E12" si="0">+M49</f>
        <v>32876.680800000002</v>
      </c>
      <c r="F7" s="25">
        <f t="shared" ref="F7:F12" si="1">+N49</f>
        <v>6246.5693520000004</v>
      </c>
      <c r="G7" s="25">
        <f>+Tabla5[[#This Row],[Neto Unitario]]+Tabla5[[#This Row],[IVA (19%)]]</f>
        <v>39123.250152000001</v>
      </c>
      <c r="H7" s="5">
        <v>4</v>
      </c>
      <c r="I7" s="25">
        <f t="shared" ref="I7:I12" si="2">D7*G7*H7</f>
        <v>625972.00243200001</v>
      </c>
    </row>
    <row r="8" spans="1:9" x14ac:dyDescent="0.2">
      <c r="A8" s="5" t="s">
        <v>30</v>
      </c>
      <c r="B8" s="5" t="s">
        <v>31</v>
      </c>
      <c r="C8" s="5" t="s">
        <v>10</v>
      </c>
      <c r="D8" s="5">
        <v>1</v>
      </c>
      <c r="E8" s="25">
        <f t="shared" si="0"/>
        <v>47942.516000000003</v>
      </c>
      <c r="F8" s="25">
        <f t="shared" si="1"/>
        <v>9109.0780400000003</v>
      </c>
      <c r="G8" s="25">
        <f>+Tabla5[[#This Row],[Neto Unitario]]+Tabla5[[#This Row],[IVA (19%)]]</f>
        <v>57051.594040000004</v>
      </c>
      <c r="H8" s="5">
        <v>4</v>
      </c>
      <c r="I8" s="25">
        <f t="shared" si="2"/>
        <v>228206.37616000001</v>
      </c>
    </row>
    <row r="9" spans="1:9" x14ac:dyDescent="0.2">
      <c r="A9" s="5" t="s">
        <v>32</v>
      </c>
      <c r="B9" s="5" t="s">
        <v>33</v>
      </c>
      <c r="C9" s="5" t="s">
        <v>10</v>
      </c>
      <c r="D9" s="5">
        <v>1</v>
      </c>
      <c r="E9" s="25">
        <f t="shared" si="0"/>
        <v>112715.6678</v>
      </c>
      <c r="F9" s="25">
        <f t="shared" si="1"/>
        <v>21415.976881999999</v>
      </c>
      <c r="G9" s="25">
        <f>+Tabla5[[#This Row],[Neto Unitario]]+Tabla5[[#This Row],[IVA (19%)]]</f>
        <v>134131.64468199998</v>
      </c>
      <c r="H9" s="5">
        <v>4</v>
      </c>
      <c r="I9" s="25">
        <f t="shared" si="2"/>
        <v>536526.57872799993</v>
      </c>
    </row>
    <row r="10" spans="1:9" x14ac:dyDescent="0.2">
      <c r="A10" s="5" t="s">
        <v>34</v>
      </c>
      <c r="B10" s="5" t="s">
        <v>35</v>
      </c>
      <c r="C10" s="5" t="s">
        <v>10</v>
      </c>
      <c r="D10" s="5">
        <v>1</v>
      </c>
      <c r="E10" s="25">
        <f t="shared" si="0"/>
        <v>120134.38619999999</v>
      </c>
      <c r="F10" s="25">
        <f t="shared" si="1"/>
        <v>22825.533378</v>
      </c>
      <c r="G10" s="25">
        <f>+Tabla5[[#This Row],[Neto Unitario]]+Tabla5[[#This Row],[IVA (19%)]]</f>
        <v>142959.919578</v>
      </c>
      <c r="H10" s="5">
        <v>4</v>
      </c>
      <c r="I10" s="25">
        <f t="shared" si="2"/>
        <v>571839.678312</v>
      </c>
    </row>
    <row r="11" spans="1:9" x14ac:dyDescent="0.2">
      <c r="A11" s="5" t="s">
        <v>36</v>
      </c>
      <c r="B11" s="5" t="s">
        <v>37</v>
      </c>
      <c r="C11" s="5" t="s">
        <v>10</v>
      </c>
      <c r="D11" s="5">
        <v>1</v>
      </c>
      <c r="E11" s="25">
        <f t="shared" si="0"/>
        <v>97742.883799999996</v>
      </c>
      <c r="F11" s="25">
        <f t="shared" si="1"/>
        <v>18571.147922</v>
      </c>
      <c r="G11" s="25">
        <f>+Tabla5[[#This Row],[Neto Unitario]]+Tabla5[[#This Row],[IVA (19%)]]</f>
        <v>116314.031722</v>
      </c>
      <c r="H11" s="5">
        <v>4</v>
      </c>
      <c r="I11" s="25">
        <f t="shared" si="2"/>
        <v>465256.126888</v>
      </c>
    </row>
    <row r="12" spans="1:9" ht="13.5" customHeight="1" x14ac:dyDescent="0.2">
      <c r="A12" s="5" t="s">
        <v>38</v>
      </c>
      <c r="B12" s="5" t="s">
        <v>39</v>
      </c>
      <c r="C12" s="5" t="s">
        <v>10</v>
      </c>
      <c r="D12" s="5">
        <v>1</v>
      </c>
      <c r="E12" s="25">
        <f t="shared" si="0"/>
        <v>85060.428199999995</v>
      </c>
      <c r="F12" s="25">
        <f t="shared" si="1"/>
        <v>16161.481357999999</v>
      </c>
      <c r="G12" s="25">
        <f>+Tabla5[[#This Row],[Neto Unitario]]+Tabla5[[#This Row],[IVA (19%)]]</f>
        <v>101221.909558</v>
      </c>
      <c r="H12" s="5">
        <v>4</v>
      </c>
      <c r="I12" s="25">
        <f t="shared" si="2"/>
        <v>404887.638232</v>
      </c>
    </row>
    <row r="13" spans="1:9" x14ac:dyDescent="0.2">
      <c r="A13" s="43" t="s">
        <v>84</v>
      </c>
      <c r="B13" s="43"/>
      <c r="C13" s="43"/>
      <c r="D13" s="43"/>
      <c r="E13" s="43"/>
      <c r="F13" s="43"/>
      <c r="G13" s="43"/>
      <c r="H13" s="43"/>
      <c r="I13" s="26">
        <f>SUM(Tabla5[Total incluido IVA])</f>
        <v>3386189.4831520002</v>
      </c>
    </row>
    <row r="16" spans="1:9" x14ac:dyDescent="0.2">
      <c r="A16" s="36" t="s">
        <v>95</v>
      </c>
      <c r="B16" s="37"/>
      <c r="C16" s="37"/>
      <c r="D16" s="37"/>
      <c r="E16" s="37"/>
      <c r="F16" s="37"/>
      <c r="G16" s="37"/>
      <c r="H16" s="37"/>
      <c r="I16" s="38"/>
    </row>
    <row r="17" spans="1:9" x14ac:dyDescent="0.2">
      <c r="A17" s="44" t="s">
        <v>86</v>
      </c>
      <c r="B17" s="45"/>
      <c r="C17" s="45"/>
      <c r="D17" s="45"/>
      <c r="E17" s="45"/>
      <c r="F17" s="45"/>
      <c r="G17" s="45"/>
      <c r="H17" s="45"/>
      <c r="I17" s="46"/>
    </row>
    <row r="18" spans="1:9" ht="25.5" x14ac:dyDescent="0.2">
      <c r="A18" s="23" t="s">
        <v>1</v>
      </c>
      <c r="B18" s="23" t="s">
        <v>2</v>
      </c>
      <c r="C18" s="23" t="s">
        <v>3</v>
      </c>
      <c r="D18" s="18" t="s">
        <v>85</v>
      </c>
      <c r="E18" s="23" t="s">
        <v>5</v>
      </c>
      <c r="F18" s="23" t="s">
        <v>6</v>
      </c>
      <c r="G18" s="23" t="s">
        <v>7</v>
      </c>
      <c r="H18" s="23" t="s">
        <v>4</v>
      </c>
      <c r="I18" s="18" t="s">
        <v>92</v>
      </c>
    </row>
    <row r="19" spans="1:9" x14ac:dyDescent="0.2">
      <c r="A19" s="5" t="s">
        <v>74</v>
      </c>
      <c r="B19" s="5" t="s">
        <v>75</v>
      </c>
      <c r="C19" s="5" t="s">
        <v>12</v>
      </c>
      <c r="D19" s="5">
        <v>16</v>
      </c>
      <c r="E19" s="25">
        <v>52675</v>
      </c>
      <c r="F19" s="5">
        <v>0</v>
      </c>
      <c r="G19" s="25">
        <f>+M72</f>
        <v>52870</v>
      </c>
      <c r="H19" s="5">
        <v>4</v>
      </c>
      <c r="I19" s="16">
        <f>Tabla6[[#This Row],[Cantidad Mensual de lavados]]*Tabla6[[#This Row],[Total Unitario]]</f>
        <v>845920</v>
      </c>
    </row>
    <row r="23" spans="1:9" x14ac:dyDescent="0.2">
      <c r="A23" s="47" t="s">
        <v>96</v>
      </c>
      <c r="B23" s="48"/>
      <c r="C23" s="48"/>
      <c r="D23" s="48"/>
      <c r="E23" s="48"/>
      <c r="F23" s="48"/>
      <c r="G23" s="49"/>
    </row>
    <row r="24" spans="1:9" x14ac:dyDescent="0.2">
      <c r="A24" s="50" t="s">
        <v>87</v>
      </c>
      <c r="B24" s="51"/>
      <c r="C24" s="51"/>
      <c r="D24" s="51"/>
      <c r="E24" s="51"/>
      <c r="F24" s="51"/>
      <c r="G24" s="52"/>
    </row>
    <row r="25" spans="1:9" x14ac:dyDescent="0.2">
      <c r="A25" s="3" t="s">
        <v>1</v>
      </c>
      <c r="B25" s="3" t="s">
        <v>2</v>
      </c>
      <c r="C25" s="3" t="s">
        <v>3</v>
      </c>
      <c r="D25" s="3" t="s">
        <v>82</v>
      </c>
      <c r="E25" s="3" t="s">
        <v>5</v>
      </c>
      <c r="F25" s="3" t="s">
        <v>6</v>
      </c>
      <c r="G25" s="3" t="s">
        <v>8</v>
      </c>
    </row>
    <row r="26" spans="1:9" x14ac:dyDescent="0.2">
      <c r="A26" s="3" t="s">
        <v>40</v>
      </c>
      <c r="B26" s="3" t="s">
        <v>41</v>
      </c>
      <c r="C26" s="3" t="s">
        <v>11</v>
      </c>
      <c r="D26" s="3">
        <v>1</v>
      </c>
      <c r="E26" s="25">
        <f>+M55</f>
        <v>324702.16240000003</v>
      </c>
      <c r="F26" s="25">
        <f>+N55</f>
        <v>61693.41085600001</v>
      </c>
      <c r="G26" s="25">
        <f>+Tabla8[[#This Row],[Neto Unitario]]+Tabla8[[#This Row],[IVA (19%)]]</f>
        <v>386395.57325600006</v>
      </c>
    </row>
    <row r="27" spans="1:9" x14ac:dyDescent="0.2">
      <c r="A27" s="3" t="s">
        <v>42</v>
      </c>
      <c r="B27" s="3" t="s">
        <v>43</v>
      </c>
      <c r="C27" s="3" t="s">
        <v>11</v>
      </c>
      <c r="D27" s="3">
        <v>1</v>
      </c>
      <c r="E27" s="25">
        <f t="shared" ref="E27:E42" si="3">+M56</f>
        <v>208814.29459999999</v>
      </c>
      <c r="F27" s="25">
        <f t="shared" ref="F27:F42" si="4">+N56</f>
        <v>39674.715973999999</v>
      </c>
      <c r="G27" s="25">
        <f>+Tabla8[[#This Row],[Neto Unitario]]+Tabla8[[#This Row],[IVA (19%)]]</f>
        <v>248489.01057399999</v>
      </c>
    </row>
    <row r="28" spans="1:9" x14ac:dyDescent="0.2">
      <c r="A28" s="3" t="s">
        <v>44</v>
      </c>
      <c r="B28" s="3" t="s">
        <v>45</v>
      </c>
      <c r="C28" s="3" t="s">
        <v>11</v>
      </c>
      <c r="D28" s="3">
        <v>1</v>
      </c>
      <c r="E28" s="25">
        <f t="shared" si="3"/>
        <v>453170.9754</v>
      </c>
      <c r="F28" s="25">
        <f t="shared" si="4"/>
        <v>86102.485325999995</v>
      </c>
      <c r="G28" s="25">
        <f>+Tabla8[[#This Row],[Neto Unitario]]+Tabla8[[#This Row],[IVA (19%)]]</f>
        <v>539273.46072600002</v>
      </c>
    </row>
    <row r="29" spans="1:9" x14ac:dyDescent="0.2">
      <c r="A29" s="3" t="s">
        <v>46</v>
      </c>
      <c r="B29" s="3" t="s">
        <v>47</v>
      </c>
      <c r="C29" s="3" t="s">
        <v>11</v>
      </c>
      <c r="D29" s="3">
        <v>1</v>
      </c>
      <c r="E29" s="25">
        <f t="shared" si="3"/>
        <v>97742.883799999996</v>
      </c>
      <c r="F29" s="25">
        <f t="shared" si="4"/>
        <v>18571.147922</v>
      </c>
      <c r="G29" s="25">
        <f>+Tabla8[[#This Row],[Neto Unitario]]+Tabla8[[#This Row],[IVA (19%)]]</f>
        <v>116314.031722</v>
      </c>
    </row>
    <row r="30" spans="1:9" x14ac:dyDescent="0.2">
      <c r="A30" s="3" t="s">
        <v>48</v>
      </c>
      <c r="B30" s="3" t="s">
        <v>49</v>
      </c>
      <c r="C30" s="3" t="s">
        <v>11</v>
      </c>
      <c r="D30" s="3">
        <v>1</v>
      </c>
      <c r="E30" s="25">
        <f t="shared" si="3"/>
        <v>755286.01639999996</v>
      </c>
      <c r="F30" s="25">
        <f t="shared" si="4"/>
        <v>143504.343116</v>
      </c>
      <c r="G30" s="25">
        <f>+Tabla8[[#This Row],[Neto Unitario]]+Tabla8[[#This Row],[IVA (19%)]]</f>
        <v>898790.35951599991</v>
      </c>
    </row>
    <row r="31" spans="1:9" x14ac:dyDescent="0.2">
      <c r="A31" s="3" t="s">
        <v>50</v>
      </c>
      <c r="B31" s="3" t="s">
        <v>51</v>
      </c>
      <c r="C31" s="3" t="s">
        <v>11</v>
      </c>
      <c r="D31" s="3">
        <v>1</v>
      </c>
      <c r="E31" s="25">
        <f t="shared" si="3"/>
        <v>102186.07859999999</v>
      </c>
      <c r="F31" s="25">
        <f t="shared" si="4"/>
        <v>19415.354933999999</v>
      </c>
      <c r="G31" s="25">
        <f>+Tabla8[[#This Row],[Neto Unitario]]+Tabla8[[#This Row],[IVA (19%)]]</f>
        <v>121601.433534</v>
      </c>
    </row>
    <row r="32" spans="1:9" x14ac:dyDescent="0.2">
      <c r="A32" s="3" t="s">
        <v>52</v>
      </c>
      <c r="B32" s="3" t="s">
        <v>53</v>
      </c>
      <c r="C32" s="3" t="s">
        <v>11</v>
      </c>
      <c r="D32" s="3">
        <v>1</v>
      </c>
      <c r="E32" s="25">
        <f t="shared" si="3"/>
        <v>524256.8052</v>
      </c>
      <c r="F32" s="25">
        <f t="shared" si="4"/>
        <v>99608.792988000001</v>
      </c>
      <c r="G32" s="25">
        <f>+Tabla8[[#This Row],[Neto Unitario]]+Tabla8[[#This Row],[IVA (19%)]]</f>
        <v>623865.59818800003</v>
      </c>
    </row>
    <row r="33" spans="1:16" x14ac:dyDescent="0.2">
      <c r="A33" s="3" t="s">
        <v>54</v>
      </c>
      <c r="B33" s="3" t="s">
        <v>55</v>
      </c>
      <c r="C33" s="3" t="s">
        <v>11</v>
      </c>
      <c r="D33" s="3">
        <v>1</v>
      </c>
      <c r="E33" s="25">
        <f t="shared" si="3"/>
        <v>413185.39439999999</v>
      </c>
      <c r="F33" s="25">
        <f t="shared" si="4"/>
        <v>78505.224935999999</v>
      </c>
      <c r="G33" s="25">
        <f>+Tabla8[[#This Row],[Neto Unitario]]+Tabla8[[#This Row],[IVA (19%)]]</f>
        <v>491690.619336</v>
      </c>
    </row>
    <row r="34" spans="1:16" x14ac:dyDescent="0.2">
      <c r="A34" s="3" t="s">
        <v>56</v>
      </c>
      <c r="B34" s="3" t="s">
        <v>57</v>
      </c>
      <c r="C34" s="3" t="s">
        <v>11</v>
      </c>
      <c r="D34" s="3">
        <v>1</v>
      </c>
      <c r="E34" s="25">
        <f t="shared" si="3"/>
        <v>844142.51060000004</v>
      </c>
      <c r="F34" s="25">
        <f t="shared" si="4"/>
        <v>160387.07701400001</v>
      </c>
      <c r="G34" s="25">
        <f>+Tabla8[[#This Row],[Neto Unitario]]+Tabla8[[#This Row],[IVA (19%)]]</f>
        <v>1004529.5876140001</v>
      </c>
    </row>
    <row r="35" spans="1:16" x14ac:dyDescent="0.2">
      <c r="A35" s="3" t="s">
        <v>58</v>
      </c>
      <c r="B35" s="3" t="s">
        <v>59</v>
      </c>
      <c r="C35" s="3" t="s">
        <v>11</v>
      </c>
      <c r="D35" s="3">
        <v>1</v>
      </c>
      <c r="E35" s="25">
        <f t="shared" si="3"/>
        <v>995203.73199999996</v>
      </c>
      <c r="F35" s="25">
        <f t="shared" si="4"/>
        <v>189088.70908</v>
      </c>
      <c r="G35" s="25">
        <f>+Tabla8[[#This Row],[Neto Unitario]]+Tabla8[[#This Row],[IVA (19%)]]</f>
        <v>1184292.44108</v>
      </c>
    </row>
    <row r="36" spans="1:16" x14ac:dyDescent="0.2">
      <c r="A36" s="3" t="s">
        <v>60</v>
      </c>
      <c r="B36" s="3" t="s">
        <v>61</v>
      </c>
      <c r="C36" s="3" t="s">
        <v>11</v>
      </c>
      <c r="D36" s="3">
        <v>1</v>
      </c>
      <c r="E36" s="25">
        <f t="shared" si="3"/>
        <v>870800.62199999997</v>
      </c>
      <c r="F36" s="25">
        <f t="shared" si="4"/>
        <v>165452.11817999999</v>
      </c>
      <c r="G36" s="25">
        <f>+Tabla8[[#This Row],[Neto Unitario]]+Tabla8[[#This Row],[IVA (19%)]]</f>
        <v>1036252.74018</v>
      </c>
    </row>
    <row r="37" spans="1:16" x14ac:dyDescent="0.2">
      <c r="A37" s="3" t="s">
        <v>62</v>
      </c>
      <c r="B37" s="3" t="s">
        <v>63</v>
      </c>
      <c r="C37" s="3" t="s">
        <v>11</v>
      </c>
      <c r="D37" s="3">
        <v>1</v>
      </c>
      <c r="E37" s="25">
        <f t="shared" si="3"/>
        <v>2043714.1702000001</v>
      </c>
      <c r="F37" s="25">
        <f t="shared" si="4"/>
        <v>388305.69233799999</v>
      </c>
      <c r="G37" s="25">
        <f>+Tabla8[[#This Row],[Neto Unitario]]+Tabla8[[#This Row],[IVA (19%)]]</f>
        <v>2432019.8625380001</v>
      </c>
    </row>
    <row r="38" spans="1:16" x14ac:dyDescent="0.2">
      <c r="A38" s="3" t="s">
        <v>64</v>
      </c>
      <c r="B38" s="3" t="s">
        <v>65</v>
      </c>
      <c r="C38" s="3" t="s">
        <v>11</v>
      </c>
      <c r="D38" s="3">
        <v>1</v>
      </c>
      <c r="E38" s="25">
        <f t="shared" si="3"/>
        <v>639769.29599999997</v>
      </c>
      <c r="F38" s="25">
        <f t="shared" si="4"/>
        <v>121556.16623999999</v>
      </c>
      <c r="G38" s="25">
        <f>+Tabla8[[#This Row],[Neto Unitario]]+Tabla8[[#This Row],[IVA (19%)]]</f>
        <v>761325.46224000002</v>
      </c>
    </row>
    <row r="39" spans="1:16" x14ac:dyDescent="0.2">
      <c r="A39" s="3" t="s">
        <v>66</v>
      </c>
      <c r="B39" s="3" t="s">
        <v>67</v>
      </c>
      <c r="C39" s="3" t="s">
        <v>11</v>
      </c>
      <c r="D39" s="3">
        <v>1</v>
      </c>
      <c r="E39" s="25">
        <f t="shared" si="3"/>
        <v>470944.81199999998</v>
      </c>
      <c r="F39" s="25">
        <f t="shared" si="4"/>
        <v>89479.514280000003</v>
      </c>
      <c r="G39" s="25">
        <f>+Tabla8[[#This Row],[Neto Unitario]]+Tabla8[[#This Row],[IVA (19%)]]</f>
        <v>560424.32627999992</v>
      </c>
    </row>
    <row r="40" spans="1:16" x14ac:dyDescent="0.2">
      <c r="A40" s="3" t="s">
        <v>68</v>
      </c>
      <c r="B40" s="3" t="s">
        <v>69</v>
      </c>
      <c r="C40" s="3" t="s">
        <v>11</v>
      </c>
      <c r="D40" s="3">
        <v>1</v>
      </c>
      <c r="E40" s="25">
        <f t="shared" si="3"/>
        <v>355423.86200000002</v>
      </c>
      <c r="F40" s="25">
        <f t="shared" si="4"/>
        <v>67530.533779999998</v>
      </c>
      <c r="G40" s="25">
        <f>+Tabla8[[#This Row],[Neto Unitario]]+Tabla8[[#This Row],[IVA (19%)]]</f>
        <v>422954.39578000002</v>
      </c>
    </row>
    <row r="41" spans="1:16" x14ac:dyDescent="0.2">
      <c r="A41" s="3" t="s">
        <v>70</v>
      </c>
      <c r="B41" s="3" t="s">
        <v>71</v>
      </c>
      <c r="C41" s="3" t="s">
        <v>11</v>
      </c>
      <c r="D41" s="3">
        <v>1</v>
      </c>
      <c r="E41" s="25">
        <f t="shared" si="3"/>
        <v>195481.538</v>
      </c>
      <c r="F41" s="25">
        <f t="shared" si="4"/>
        <v>37141.49222</v>
      </c>
      <c r="G41" s="25">
        <f>+Tabla8[[#This Row],[Neto Unitario]]+Tabla8[[#This Row],[IVA (19%)]]</f>
        <v>232623.03022000002</v>
      </c>
    </row>
    <row r="42" spans="1:16" x14ac:dyDescent="0.2">
      <c r="A42" s="3" t="s">
        <v>72</v>
      </c>
      <c r="B42" s="3" t="s">
        <v>73</v>
      </c>
      <c r="C42" s="3" t="s">
        <v>11</v>
      </c>
      <c r="D42" s="3">
        <v>1</v>
      </c>
      <c r="E42" s="25">
        <f t="shared" si="3"/>
        <v>755290.24600000004</v>
      </c>
      <c r="F42" s="25">
        <f t="shared" si="4"/>
        <v>143505.14674</v>
      </c>
      <c r="G42" s="25">
        <f>+Tabla8[[#This Row],[Neto Unitario]]+Tabla8[[#This Row],[IVA (19%)]]</f>
        <v>898795.39274000004</v>
      </c>
    </row>
    <row r="43" spans="1:16" x14ac:dyDescent="0.2">
      <c r="A43" s="3"/>
      <c r="B43" s="3"/>
      <c r="C43" s="3"/>
      <c r="D43" s="3"/>
      <c r="E43" s="16"/>
      <c r="F43" s="16"/>
      <c r="G43" s="16">
        <f>SUM(G26:G42)</f>
        <v>11959637.325524</v>
      </c>
      <c r="H43" s="31"/>
    </row>
    <row r="46" spans="1:16" ht="16.5" thickBot="1" x14ac:dyDescent="0.3">
      <c r="A46" s="42" t="s">
        <v>14</v>
      </c>
      <c r="B46" s="42"/>
      <c r="C46" s="42"/>
      <c r="D46" s="42"/>
      <c r="E46" s="42"/>
      <c r="F46" s="42"/>
      <c r="G46" s="42"/>
      <c r="H46" s="42"/>
      <c r="I46" s="42"/>
      <c r="J46" s="42"/>
      <c r="K46" s="42"/>
      <c r="L46" s="42"/>
      <c r="M46" s="42"/>
      <c r="N46" s="42"/>
      <c r="O46" s="5"/>
      <c r="P46" s="5"/>
    </row>
    <row r="47" spans="1:16" ht="90" thickBot="1" x14ac:dyDescent="0.25">
      <c r="A47" s="4" t="s">
        <v>1</v>
      </c>
      <c r="B47" s="4" t="s">
        <v>2</v>
      </c>
      <c r="C47" s="7" t="s">
        <v>3</v>
      </c>
      <c r="D47" s="4" t="s">
        <v>15</v>
      </c>
      <c r="E47" s="1" t="s">
        <v>16</v>
      </c>
      <c r="F47" s="1" t="s">
        <v>17</v>
      </c>
      <c r="G47" s="1" t="s">
        <v>18</v>
      </c>
      <c r="H47" s="11" t="s">
        <v>19</v>
      </c>
      <c r="I47" s="4" t="s">
        <v>20</v>
      </c>
      <c r="J47" s="4" t="s">
        <v>21</v>
      </c>
      <c r="K47" s="4" t="s">
        <v>77</v>
      </c>
      <c r="L47" s="4" t="s">
        <v>22</v>
      </c>
      <c r="M47" s="4" t="s">
        <v>97</v>
      </c>
      <c r="N47" s="4" t="s">
        <v>23</v>
      </c>
      <c r="O47" s="4" t="s">
        <v>24</v>
      </c>
      <c r="P47" s="4" t="s">
        <v>25</v>
      </c>
    </row>
    <row r="48" spans="1:16" ht="13.5" thickBot="1" x14ac:dyDescent="0.25">
      <c r="A48" s="1" t="s">
        <v>26</v>
      </c>
      <c r="B48" s="2" t="s">
        <v>27</v>
      </c>
      <c r="C48" s="6" t="s">
        <v>9</v>
      </c>
      <c r="D48" s="6">
        <v>4</v>
      </c>
      <c r="E48" s="17">
        <v>84034</v>
      </c>
      <c r="F48" s="17">
        <f>+Tabla710[[#This Row],[Neto Unitario 2024]]*19%</f>
        <v>15966.460000000001</v>
      </c>
      <c r="G48" s="9">
        <f>+Tabla710[[#This Row],[Neto Unitario 2024]]+Tabla710[[#This Row],[IVA 2024 (19%)]]</f>
        <v>100000.46</v>
      </c>
      <c r="H48" s="10">
        <f>+Tabla710[[#This Row],[V. Unitario 2024]]*Tabla710[[#This Row],[Cant.]]</f>
        <v>400001.84</v>
      </c>
      <c r="I48" s="9">
        <v>94538</v>
      </c>
      <c r="J48" s="9">
        <f>+Tabla710[[#This Row],[Neto Unitario 2025]]*19%</f>
        <v>17962.22</v>
      </c>
      <c r="K48" s="9">
        <f>+Tabla710[[#This Row],[Neto Unitario 2025]]+Tabla710[[#This Row],[IVA 2025 (19%)]]</f>
        <v>112500.22</v>
      </c>
      <c r="L48" s="10">
        <f>+Tabla710[[#This Row],[V. unitario 2025]]*Tabla710[[#This Row],[Cant.]]</f>
        <v>450000.88</v>
      </c>
      <c r="M48" s="9">
        <f>(Tabla710[[#This Row],[Neto Unitario 2025]]*23%)+Tabla710[[#This Row],[Neto Unitario 2025]]</f>
        <v>116281.74</v>
      </c>
      <c r="N48" s="9">
        <f>+Tabla710[[#This Row],[Neto Unitario 2026 incremnetado ipc (5,74% repuestos) y smmlv( 23% servicio)]]*19%</f>
        <v>22093.530600000002</v>
      </c>
      <c r="O48" s="10">
        <f>+Tabla710[[#This Row],[Neto Unitario 2026 incremnetado ipc (5,74% repuestos) y smmlv( 23% servicio)]]+Tabla710[[#This Row],[IVA 2026 (19%)]]</f>
        <v>138375.27060000002</v>
      </c>
      <c r="P48" s="10">
        <f>+Tabla710[[#This Row],[Total Unitario 2026]]*Tabla710[[#This Row],[Cant.]]</f>
        <v>553501.08240000007</v>
      </c>
    </row>
    <row r="49" spans="1:16" ht="13.5" thickBot="1" x14ac:dyDescent="0.25">
      <c r="A49" s="1" t="s">
        <v>28</v>
      </c>
      <c r="B49" s="2" t="s">
        <v>29</v>
      </c>
      <c r="C49" s="6" t="s">
        <v>10</v>
      </c>
      <c r="D49" s="6">
        <v>4</v>
      </c>
      <c r="E49" s="17">
        <v>29412</v>
      </c>
      <c r="F49" s="17">
        <f>+Tabla710[[#This Row],[Neto Unitario 2024]]*19%</f>
        <v>5588.28</v>
      </c>
      <c r="G49" s="9">
        <f>+Tabla710[[#This Row],[Neto Unitario 2024]]+Tabla710[[#This Row],[IVA 2024 (19%)]]</f>
        <v>35000.28</v>
      </c>
      <c r="H49" s="10">
        <f>+Tabla710[[#This Row],[V. Unitario 2024]]*Tabla710[[#This Row],[Cant.]]</f>
        <v>140001.12</v>
      </c>
      <c r="I49" s="9">
        <v>31092</v>
      </c>
      <c r="J49" s="9">
        <f>+Tabla710[[#This Row],[Neto Unitario 2025]]*19%</f>
        <v>5907.4800000000005</v>
      </c>
      <c r="K49" s="9">
        <f>+Tabla710[[#This Row],[Neto Unitario 2025]]+Tabla710[[#This Row],[IVA 2025 (19%)]]</f>
        <v>36999.480000000003</v>
      </c>
      <c r="L49" s="10">
        <f>+Tabla710[[#This Row],[V. unitario 2025]]*Tabla710[[#This Row],[Cant.]]</f>
        <v>147997.92000000001</v>
      </c>
      <c r="M49" s="9">
        <f>(Tabla710[[#This Row],[Neto Unitario 2025]]*5.74%)+Tabla710[[#This Row],[Neto Unitario 2025]]</f>
        <v>32876.680800000002</v>
      </c>
      <c r="N49" s="9">
        <f>+Tabla710[[#This Row],[Neto Unitario 2026 incremnetado ipc (5,74% repuestos) y smmlv( 23% servicio)]]*19%</f>
        <v>6246.5693520000004</v>
      </c>
      <c r="O49" s="10">
        <f>+Tabla710[[#This Row],[Neto Unitario 2026 incremnetado ipc (5,74% repuestos) y smmlv( 23% servicio)]]+Tabla710[[#This Row],[IVA 2026 (19%)]]</f>
        <v>39123.250152000001</v>
      </c>
      <c r="P49" s="10">
        <f>+Tabla710[[#This Row],[Total Unitario 2026]]*Tabla710[[#This Row],[Cant.]]</f>
        <v>156493.000608</v>
      </c>
    </row>
    <row r="50" spans="1:16" ht="13.5" thickBot="1" x14ac:dyDescent="0.25">
      <c r="A50" s="1" t="s">
        <v>30</v>
      </c>
      <c r="B50" s="2" t="s">
        <v>31</v>
      </c>
      <c r="C50" s="6" t="s">
        <v>10</v>
      </c>
      <c r="D50" s="6">
        <v>4</v>
      </c>
      <c r="E50" s="17">
        <v>40336</v>
      </c>
      <c r="F50" s="17">
        <f>+Tabla710[[#This Row],[Neto Unitario 2024]]*19%</f>
        <v>7663.84</v>
      </c>
      <c r="G50" s="9">
        <f>+Tabla710[[#This Row],[Neto Unitario 2024]]+Tabla710[[#This Row],[IVA 2024 (19%)]]</f>
        <v>47999.839999999997</v>
      </c>
      <c r="H50" s="10">
        <f>+Tabla710[[#This Row],[V. Unitario 2024]]*Tabla710[[#This Row],[Cant.]]</f>
        <v>191999.35999999999</v>
      </c>
      <c r="I50" s="9">
        <v>45340</v>
      </c>
      <c r="J50" s="9">
        <f>+Tabla710[[#This Row],[Neto Unitario 2025]]*19%</f>
        <v>8614.6</v>
      </c>
      <c r="K50" s="9">
        <f>+Tabla710[[#This Row],[Neto Unitario 2025]]+Tabla710[[#This Row],[IVA 2025 (19%)]]</f>
        <v>53954.6</v>
      </c>
      <c r="L50" s="10">
        <f>+Tabla710[[#This Row],[V. unitario 2025]]*Tabla710[[#This Row],[Cant.]]</f>
        <v>215818.4</v>
      </c>
      <c r="M50" s="9">
        <f>(Tabla710[[#This Row],[Neto Unitario 2025]]*5.74%)+Tabla710[[#This Row],[Neto Unitario 2025]]</f>
        <v>47942.516000000003</v>
      </c>
      <c r="N50" s="9">
        <f>+Tabla710[[#This Row],[Neto Unitario 2026 incremnetado ipc (5,74% repuestos) y smmlv( 23% servicio)]]*19%</f>
        <v>9109.0780400000003</v>
      </c>
      <c r="O50" s="10">
        <f>+Tabla710[[#This Row],[Neto Unitario 2026 incremnetado ipc (5,74% repuestos) y smmlv( 23% servicio)]]+Tabla710[[#This Row],[IVA 2026 (19%)]]</f>
        <v>57051.594040000004</v>
      </c>
      <c r="P50" s="10">
        <f>+Tabla710[[#This Row],[Total Unitario 2026]]*Tabla710[[#This Row],[Cant.]]</f>
        <v>228206.37616000001</v>
      </c>
    </row>
    <row r="51" spans="1:16" ht="13.5" thickBot="1" x14ac:dyDescent="0.25">
      <c r="A51" s="1" t="s">
        <v>32</v>
      </c>
      <c r="B51" s="2" t="s">
        <v>33</v>
      </c>
      <c r="C51" s="6" t="s">
        <v>10</v>
      </c>
      <c r="D51" s="6">
        <v>4</v>
      </c>
      <c r="E51" s="17">
        <v>96639</v>
      </c>
      <c r="F51" s="17">
        <f>+Tabla710[[#This Row],[Neto Unitario 2024]]*19%</f>
        <v>18361.41</v>
      </c>
      <c r="G51" s="9">
        <f>+Tabla710[[#This Row],[Neto Unitario 2024]]+Tabla710[[#This Row],[IVA 2024 (19%)]]</f>
        <v>115000.41</v>
      </c>
      <c r="H51" s="10">
        <f>+Tabla710[[#This Row],[V. Unitario 2024]]*Tabla710[[#This Row],[Cant.]]</f>
        <v>460001.64</v>
      </c>
      <c r="I51" s="9">
        <v>106597</v>
      </c>
      <c r="J51" s="9">
        <f>+Tabla710[[#This Row],[Neto Unitario 2025]]*19%</f>
        <v>20253.43</v>
      </c>
      <c r="K51" s="9">
        <f>+Tabla710[[#This Row],[Neto Unitario 2025]]+Tabla710[[#This Row],[IVA 2025 (19%)]]</f>
        <v>126850.43</v>
      </c>
      <c r="L51" s="10">
        <f>+Tabla710[[#This Row],[V. unitario 2025]]*Tabla710[[#This Row],[Cant.]]</f>
        <v>507401.72</v>
      </c>
      <c r="M51" s="9">
        <f>(Tabla710[[#This Row],[Neto Unitario 2025]]*5.74%)+Tabla710[[#This Row],[Neto Unitario 2025]]</f>
        <v>112715.6678</v>
      </c>
      <c r="N51" s="9">
        <f>+Tabla710[[#This Row],[Neto Unitario 2026 incremnetado ipc (5,74% repuestos) y smmlv( 23% servicio)]]*19%</f>
        <v>21415.976881999999</v>
      </c>
      <c r="O51" s="10">
        <f>+Tabla710[[#This Row],[Neto Unitario 2026 incremnetado ipc (5,74% repuestos) y smmlv( 23% servicio)]]+Tabla710[[#This Row],[IVA 2026 (19%)]]</f>
        <v>134131.64468199998</v>
      </c>
      <c r="P51" s="10">
        <f>+Tabla710[[#This Row],[Total Unitario 2026]]*Tabla710[[#This Row],[Cant.]]</f>
        <v>536526.57872799993</v>
      </c>
    </row>
    <row r="52" spans="1:16" ht="13.5" thickBot="1" x14ac:dyDescent="0.25">
      <c r="A52" s="1" t="s">
        <v>34</v>
      </c>
      <c r="B52" s="2" t="s">
        <v>35</v>
      </c>
      <c r="C52" s="6" t="s">
        <v>10</v>
      </c>
      <c r="D52" s="6">
        <v>4</v>
      </c>
      <c r="E52" s="17">
        <v>103361</v>
      </c>
      <c r="F52" s="17">
        <f>+Tabla710[[#This Row],[Neto Unitario 2024]]*19%</f>
        <v>19638.59</v>
      </c>
      <c r="G52" s="9">
        <f>+Tabla710[[#This Row],[Neto Unitario 2024]]+Tabla710[[#This Row],[IVA 2024 (19%)]]</f>
        <v>122999.59</v>
      </c>
      <c r="H52" s="10">
        <f>+Tabla710[[#This Row],[V. Unitario 2024]]*Tabla710[[#This Row],[Cant.]]</f>
        <v>491998.36</v>
      </c>
      <c r="I52" s="9">
        <v>113613</v>
      </c>
      <c r="J52" s="9">
        <f>+Tabla710[[#This Row],[Neto Unitario 2025]]*19%</f>
        <v>21586.47</v>
      </c>
      <c r="K52" s="9">
        <f>+Tabla710[[#This Row],[Neto Unitario 2025]]+Tabla710[[#This Row],[IVA 2025 (19%)]]</f>
        <v>135199.47</v>
      </c>
      <c r="L52" s="10">
        <f>+Tabla710[[#This Row],[V. unitario 2025]]*Tabla710[[#This Row],[Cant.]]</f>
        <v>540797.88</v>
      </c>
      <c r="M52" s="9">
        <f>(Tabla710[[#This Row],[Neto Unitario 2025]]*5.74%)+Tabla710[[#This Row],[Neto Unitario 2025]]</f>
        <v>120134.38619999999</v>
      </c>
      <c r="N52" s="9">
        <f>+Tabla710[[#This Row],[Neto Unitario 2026 incremnetado ipc (5,74% repuestos) y smmlv( 23% servicio)]]*19%</f>
        <v>22825.533378</v>
      </c>
      <c r="O52" s="10">
        <f>+Tabla710[[#This Row],[Neto Unitario 2026 incremnetado ipc (5,74% repuestos) y smmlv( 23% servicio)]]+Tabla710[[#This Row],[IVA 2026 (19%)]]</f>
        <v>142959.919578</v>
      </c>
      <c r="P52" s="10">
        <f>+Tabla710[[#This Row],[Total Unitario 2026]]*Tabla710[[#This Row],[Cant.]]</f>
        <v>571839.678312</v>
      </c>
    </row>
    <row r="53" spans="1:16" ht="13.5" thickBot="1" x14ac:dyDescent="0.25">
      <c r="A53" s="1" t="s">
        <v>36</v>
      </c>
      <c r="B53" s="2" t="s">
        <v>37</v>
      </c>
      <c r="C53" s="6" t="s">
        <v>10</v>
      </c>
      <c r="D53" s="6">
        <v>4</v>
      </c>
      <c r="E53" s="17">
        <v>82350</v>
      </c>
      <c r="F53" s="17">
        <f>+Tabla710[[#This Row],[Neto Unitario 2024]]*19%</f>
        <v>15646.5</v>
      </c>
      <c r="G53" s="9">
        <f>+Tabla710[[#This Row],[Neto Unitario 2024]]+Tabla710[[#This Row],[IVA 2024 (19%)]]</f>
        <v>97996.5</v>
      </c>
      <c r="H53" s="10">
        <f>+Tabla710[[#This Row],[V. Unitario 2024]]*Tabla710[[#This Row],[Cant.]]</f>
        <v>391986</v>
      </c>
      <c r="I53" s="9">
        <v>92437</v>
      </c>
      <c r="J53" s="9">
        <f>+Tabla710[[#This Row],[Neto Unitario 2025]]*19%</f>
        <v>17563.03</v>
      </c>
      <c r="K53" s="9">
        <f>+Tabla710[[#This Row],[Neto Unitario 2025]]+Tabla710[[#This Row],[IVA 2025 (19%)]]</f>
        <v>110000.03</v>
      </c>
      <c r="L53" s="10">
        <f>+Tabla710[[#This Row],[V. unitario 2025]]*Tabla710[[#This Row],[Cant.]]</f>
        <v>440000.12</v>
      </c>
      <c r="M53" s="9">
        <f>(Tabla710[[#This Row],[Neto Unitario 2025]]*5.74%)+Tabla710[[#This Row],[Neto Unitario 2025]]</f>
        <v>97742.883799999996</v>
      </c>
      <c r="N53" s="9">
        <f>+Tabla710[[#This Row],[Neto Unitario 2026 incremnetado ipc (5,74% repuestos) y smmlv( 23% servicio)]]*19%</f>
        <v>18571.147922</v>
      </c>
      <c r="O53" s="10">
        <f>+Tabla710[[#This Row],[Neto Unitario 2026 incremnetado ipc (5,74% repuestos) y smmlv( 23% servicio)]]+Tabla710[[#This Row],[IVA 2026 (19%)]]</f>
        <v>116314.031722</v>
      </c>
      <c r="P53" s="10">
        <f>+Tabla710[[#This Row],[Total Unitario 2026]]*Tabla710[[#This Row],[Cant.]]</f>
        <v>465256.126888</v>
      </c>
    </row>
    <row r="54" spans="1:16" ht="13.5" thickBot="1" x14ac:dyDescent="0.25">
      <c r="A54" s="1" t="s">
        <v>38</v>
      </c>
      <c r="B54" s="2" t="s">
        <v>39</v>
      </c>
      <c r="C54" s="6" t="s">
        <v>10</v>
      </c>
      <c r="D54" s="6">
        <v>4</v>
      </c>
      <c r="E54" s="17">
        <v>71429</v>
      </c>
      <c r="F54" s="17">
        <f>+Tabla710[[#This Row],[Neto Unitario 2024]]*19%</f>
        <v>13571.51</v>
      </c>
      <c r="G54" s="9">
        <f>+Tabla710[[#This Row],[Neto Unitario 2024]]+Tabla710[[#This Row],[IVA 2024 (19%)]]</f>
        <v>85000.51</v>
      </c>
      <c r="H54" s="10">
        <f>+Tabla710[[#This Row],[V. Unitario 2024]]*Tabla710[[#This Row],[Cant.]]</f>
        <v>340002.04</v>
      </c>
      <c r="I54" s="9">
        <v>80443</v>
      </c>
      <c r="J54" s="9">
        <f>+Tabla710[[#This Row],[Neto Unitario 2025]]*19%</f>
        <v>15284.17</v>
      </c>
      <c r="K54" s="9">
        <f>+Tabla710[[#This Row],[Neto Unitario 2025]]+Tabla710[[#This Row],[IVA 2025 (19%)]]</f>
        <v>95727.17</v>
      </c>
      <c r="L54" s="10">
        <f>+Tabla710[[#This Row],[V. unitario 2025]]*Tabla710[[#This Row],[Cant.]]</f>
        <v>382908.68</v>
      </c>
      <c r="M54" s="9">
        <f>(Tabla710[[#This Row],[Neto Unitario 2025]]*5.74%)+Tabla710[[#This Row],[Neto Unitario 2025]]</f>
        <v>85060.428199999995</v>
      </c>
      <c r="N54" s="9">
        <f>+Tabla710[[#This Row],[Neto Unitario 2026 incremnetado ipc (5,74% repuestos) y smmlv( 23% servicio)]]*19%</f>
        <v>16161.481357999999</v>
      </c>
      <c r="O54" s="10">
        <f>+Tabla710[[#This Row],[Neto Unitario 2026 incremnetado ipc (5,74% repuestos) y smmlv( 23% servicio)]]+Tabla710[[#This Row],[IVA 2026 (19%)]]</f>
        <v>101221.909558</v>
      </c>
      <c r="P54" s="10">
        <f>+Tabla710[[#This Row],[Total Unitario 2026]]*Tabla710[[#This Row],[Cant.]]</f>
        <v>404887.638232</v>
      </c>
    </row>
    <row r="55" spans="1:16" ht="13.5" thickBot="1" x14ac:dyDescent="0.25">
      <c r="A55" s="1" t="s">
        <v>40</v>
      </c>
      <c r="B55" s="2" t="s">
        <v>41</v>
      </c>
      <c r="C55" s="6" t="s">
        <v>11</v>
      </c>
      <c r="D55" s="6">
        <v>1</v>
      </c>
      <c r="E55" s="17">
        <v>277311</v>
      </c>
      <c r="F55" s="17">
        <f>+Tabla710[[#This Row],[Neto Unitario 2024]]*19%</f>
        <v>52689.090000000004</v>
      </c>
      <c r="G55" s="9">
        <f>+Tabla710[[#This Row],[Neto Unitario 2024]]+Tabla710[[#This Row],[IVA 2024 (19%)]]</f>
        <v>330000.09000000003</v>
      </c>
      <c r="H55" s="10">
        <f>+Tabla710[[#This Row],[V. Unitario 2024]]*Tabla710[[#This Row],[Cant.]]</f>
        <v>330000.09000000003</v>
      </c>
      <c r="I55" s="9">
        <v>307076</v>
      </c>
      <c r="J55" s="9">
        <f>+Tabla710[[#This Row],[Neto Unitario 2025]]*19%</f>
        <v>58344.44</v>
      </c>
      <c r="K55" s="9">
        <f>+Tabla710[[#This Row],[Neto Unitario 2025]]+Tabla710[[#This Row],[IVA 2025 (19%)]]</f>
        <v>365420.44</v>
      </c>
      <c r="L55" s="10">
        <f>+Tabla710[[#This Row],[V. unitario 2025]]*Tabla710[[#This Row],[Cant.]]</f>
        <v>365420.44</v>
      </c>
      <c r="M55" s="9">
        <f>(Tabla710[[#This Row],[Neto Unitario 2025]]*5.74%)+Tabla710[[#This Row],[Neto Unitario 2025]]</f>
        <v>324702.16240000003</v>
      </c>
      <c r="N55" s="9">
        <f>+Tabla710[[#This Row],[Neto Unitario 2026 incremnetado ipc (5,74% repuestos) y smmlv( 23% servicio)]]*19%</f>
        <v>61693.41085600001</v>
      </c>
      <c r="O55" s="10">
        <f>+Tabla710[[#This Row],[Neto Unitario 2026 incremnetado ipc (5,74% repuestos) y smmlv( 23% servicio)]]+Tabla710[[#This Row],[IVA 2026 (19%)]]</f>
        <v>386395.57325600006</v>
      </c>
      <c r="P55" s="10">
        <f>+Tabla710[[#This Row],[Total Unitario 2026]]*Tabla710[[#This Row],[Cant.]]</f>
        <v>386395.57325600006</v>
      </c>
    </row>
    <row r="56" spans="1:16" ht="13.5" thickBot="1" x14ac:dyDescent="0.25">
      <c r="A56" s="1" t="s">
        <v>42</v>
      </c>
      <c r="B56" s="2" t="s">
        <v>43</v>
      </c>
      <c r="C56" s="6" t="s">
        <v>11</v>
      </c>
      <c r="D56" s="6">
        <v>1</v>
      </c>
      <c r="E56" s="17">
        <v>176471</v>
      </c>
      <c r="F56" s="17">
        <f>+Tabla710[[#This Row],[Neto Unitario 2024]]*19%</f>
        <v>33529.49</v>
      </c>
      <c r="G56" s="9">
        <f>+Tabla710[[#This Row],[Neto Unitario 2024]]+Tabla710[[#This Row],[IVA 2024 (19%)]]</f>
        <v>210000.49</v>
      </c>
      <c r="H56" s="10">
        <f>+Tabla710[[#This Row],[V. Unitario 2024]]*Tabla710[[#This Row],[Cant.]]</f>
        <v>210000.49</v>
      </c>
      <c r="I56" s="9">
        <v>197479</v>
      </c>
      <c r="J56" s="9">
        <f>+Tabla710[[#This Row],[Neto Unitario 2025]]*19%</f>
        <v>37521.01</v>
      </c>
      <c r="K56" s="9">
        <f>+Tabla710[[#This Row],[Neto Unitario 2025]]+Tabla710[[#This Row],[IVA 2025 (19%)]]</f>
        <v>235000.01</v>
      </c>
      <c r="L56" s="10">
        <f>+Tabla710[[#This Row],[V. unitario 2025]]*Tabla710[[#This Row],[Cant.]]</f>
        <v>235000.01</v>
      </c>
      <c r="M56" s="9">
        <f>(Tabla710[[#This Row],[Neto Unitario 2025]]*5.74%)+Tabla710[[#This Row],[Neto Unitario 2025]]</f>
        <v>208814.29459999999</v>
      </c>
      <c r="N56" s="9">
        <f>+Tabla710[[#This Row],[Neto Unitario 2026 incremnetado ipc (5,74% repuestos) y smmlv( 23% servicio)]]*19%</f>
        <v>39674.715973999999</v>
      </c>
      <c r="O56" s="10">
        <f>+Tabla710[[#This Row],[Neto Unitario 2026 incremnetado ipc (5,74% repuestos) y smmlv( 23% servicio)]]+Tabla710[[#This Row],[IVA 2026 (19%)]]</f>
        <v>248489.01057399999</v>
      </c>
      <c r="P56" s="10">
        <f>+Tabla710[[#This Row],[Total Unitario 2026]]*Tabla710[[#This Row],[Cant.]]</f>
        <v>248489.01057399999</v>
      </c>
    </row>
    <row r="57" spans="1:16" ht="13.5" thickBot="1" x14ac:dyDescent="0.25">
      <c r="A57" s="1" t="s">
        <v>44</v>
      </c>
      <c r="B57" s="2" t="s">
        <v>45</v>
      </c>
      <c r="C57" s="6" t="s">
        <v>11</v>
      </c>
      <c r="D57" s="6">
        <v>1</v>
      </c>
      <c r="E57" s="17">
        <v>386555</v>
      </c>
      <c r="F57" s="17">
        <f>+Tabla710[[#This Row],[Neto Unitario 2024]]*19%</f>
        <v>73445.45</v>
      </c>
      <c r="G57" s="9">
        <f>+Tabla710[[#This Row],[Neto Unitario 2024]]+Tabla710[[#This Row],[IVA 2024 (19%)]]</f>
        <v>460000.45</v>
      </c>
      <c r="H57" s="10">
        <f>+Tabla710[[#This Row],[V. Unitario 2024]]*Tabla710[[#This Row],[Cant.]]</f>
        <v>460000.45</v>
      </c>
      <c r="I57" s="9">
        <v>428571</v>
      </c>
      <c r="J57" s="9">
        <f>+Tabla710[[#This Row],[Neto Unitario 2025]]*19%</f>
        <v>81428.490000000005</v>
      </c>
      <c r="K57" s="9">
        <f>+Tabla710[[#This Row],[Neto Unitario 2025]]+Tabla710[[#This Row],[IVA 2025 (19%)]]</f>
        <v>509999.49</v>
      </c>
      <c r="L57" s="10">
        <f>+Tabla710[[#This Row],[V. unitario 2025]]*Tabla710[[#This Row],[Cant.]]</f>
        <v>509999.49</v>
      </c>
      <c r="M57" s="9">
        <f>(Tabla710[[#This Row],[Neto Unitario 2025]]*5.74%)+Tabla710[[#This Row],[Neto Unitario 2025]]</f>
        <v>453170.9754</v>
      </c>
      <c r="N57" s="9">
        <f>+Tabla710[[#This Row],[Neto Unitario 2026 incremnetado ipc (5,74% repuestos) y smmlv( 23% servicio)]]*19%</f>
        <v>86102.485325999995</v>
      </c>
      <c r="O57" s="10">
        <f>+Tabla710[[#This Row],[Neto Unitario 2026 incremnetado ipc (5,74% repuestos) y smmlv( 23% servicio)]]+Tabla710[[#This Row],[IVA 2026 (19%)]]</f>
        <v>539273.46072600002</v>
      </c>
      <c r="P57" s="10">
        <f>+Tabla710[[#This Row],[Total Unitario 2026]]*Tabla710[[#This Row],[Cant.]]</f>
        <v>539273.46072600002</v>
      </c>
    </row>
    <row r="58" spans="1:16" ht="13.5" thickBot="1" x14ac:dyDescent="0.25">
      <c r="A58" s="1" t="s">
        <v>46</v>
      </c>
      <c r="B58" s="2" t="s">
        <v>47</v>
      </c>
      <c r="C58" s="6" t="s">
        <v>11</v>
      </c>
      <c r="D58" s="6">
        <v>1</v>
      </c>
      <c r="E58" s="17">
        <v>84034</v>
      </c>
      <c r="F58" s="17">
        <f>+Tabla710[[#This Row],[Neto Unitario 2024]]*19%</f>
        <v>15966.460000000001</v>
      </c>
      <c r="G58" s="9">
        <f>+Tabla710[[#This Row],[Neto Unitario 2024]]+Tabla710[[#This Row],[IVA 2024 (19%)]]</f>
        <v>100000.46</v>
      </c>
      <c r="H58" s="10">
        <f>+Tabla710[[#This Row],[V. Unitario 2024]]*Tabla710[[#This Row],[Cant.]]</f>
        <v>100000.46</v>
      </c>
      <c r="I58" s="9">
        <v>92437</v>
      </c>
      <c r="J58" s="9">
        <f>+Tabla710[[#This Row],[Neto Unitario 2025]]*19%</f>
        <v>17563.03</v>
      </c>
      <c r="K58" s="9">
        <f>+Tabla710[[#This Row],[Neto Unitario 2025]]+Tabla710[[#This Row],[IVA 2025 (19%)]]</f>
        <v>110000.03</v>
      </c>
      <c r="L58" s="10">
        <f>+Tabla710[[#This Row],[V. unitario 2025]]*Tabla710[[#This Row],[Cant.]]</f>
        <v>110000.03</v>
      </c>
      <c r="M58" s="9">
        <f>(Tabla710[[#This Row],[Neto Unitario 2025]]*5.74%)+Tabla710[[#This Row],[Neto Unitario 2025]]</f>
        <v>97742.883799999996</v>
      </c>
      <c r="N58" s="9">
        <f>+Tabla710[[#This Row],[Neto Unitario 2026 incremnetado ipc (5,74% repuestos) y smmlv( 23% servicio)]]*19%</f>
        <v>18571.147922</v>
      </c>
      <c r="O58" s="10">
        <f>+Tabla710[[#This Row],[Neto Unitario 2026 incremnetado ipc (5,74% repuestos) y smmlv( 23% servicio)]]+Tabla710[[#This Row],[IVA 2026 (19%)]]</f>
        <v>116314.031722</v>
      </c>
      <c r="P58" s="10">
        <f>+Tabla710[[#This Row],[Total Unitario 2026]]*Tabla710[[#This Row],[Cant.]]</f>
        <v>116314.031722</v>
      </c>
    </row>
    <row r="59" spans="1:16" ht="13.5" thickBot="1" x14ac:dyDescent="0.25">
      <c r="A59" s="1" t="s">
        <v>48</v>
      </c>
      <c r="B59" s="2" t="s">
        <v>49</v>
      </c>
      <c r="C59" s="6" t="s">
        <v>11</v>
      </c>
      <c r="D59" s="6">
        <v>1</v>
      </c>
      <c r="E59" s="17">
        <v>655462</v>
      </c>
      <c r="F59" s="17">
        <f>+Tabla710[[#This Row],[Neto Unitario 2024]]*19%</f>
        <v>124537.78</v>
      </c>
      <c r="G59" s="9">
        <f>+Tabla710[[#This Row],[Neto Unitario 2024]]+Tabla710[[#This Row],[IVA 2024 (19%)]]</f>
        <v>779999.78</v>
      </c>
      <c r="H59" s="10">
        <f>+Tabla710[[#This Row],[V. Unitario 2024]]*Tabla710[[#This Row],[Cant.]]</f>
        <v>779999.78</v>
      </c>
      <c r="I59" s="9">
        <v>714286</v>
      </c>
      <c r="J59" s="9">
        <f>+Tabla710[[#This Row],[Neto Unitario 2025]]*19%</f>
        <v>135714.34</v>
      </c>
      <c r="K59" s="9">
        <f>+Tabla710[[#This Row],[Neto Unitario 2025]]+Tabla710[[#This Row],[IVA 2025 (19%)]]</f>
        <v>850000.34</v>
      </c>
      <c r="L59" s="10">
        <f>+Tabla710[[#This Row],[V. unitario 2025]]*Tabla710[[#This Row],[Cant.]]</f>
        <v>850000.34</v>
      </c>
      <c r="M59" s="9">
        <f>(Tabla710[[#This Row],[Neto Unitario 2025]]*5.74%)+Tabla710[[#This Row],[Neto Unitario 2025]]</f>
        <v>755286.01639999996</v>
      </c>
      <c r="N59" s="9">
        <f>+Tabla710[[#This Row],[Neto Unitario 2026 incremnetado ipc (5,74% repuestos) y smmlv( 23% servicio)]]*19%</f>
        <v>143504.343116</v>
      </c>
      <c r="O59" s="10">
        <f>+Tabla710[[#This Row],[Neto Unitario 2026 incremnetado ipc (5,74% repuestos) y smmlv( 23% servicio)]]+Tabla710[[#This Row],[IVA 2026 (19%)]]</f>
        <v>898790.35951599991</v>
      </c>
      <c r="P59" s="10">
        <f>+Tabla710[[#This Row],[Total Unitario 2026]]*Tabla710[[#This Row],[Cant.]]</f>
        <v>898790.35951599991</v>
      </c>
    </row>
    <row r="60" spans="1:16" ht="13.5" thickBot="1" x14ac:dyDescent="0.25">
      <c r="A60" s="1" t="s">
        <v>50</v>
      </c>
      <c r="B60" s="2" t="s">
        <v>51</v>
      </c>
      <c r="C60" s="6" t="s">
        <v>11</v>
      </c>
      <c r="D60" s="6">
        <v>1</v>
      </c>
      <c r="E60" s="17">
        <v>88235</v>
      </c>
      <c r="F60" s="17">
        <f>+Tabla710[[#This Row],[Neto Unitario 2024]]*19%</f>
        <v>16764.650000000001</v>
      </c>
      <c r="G60" s="9">
        <f>+Tabla710[[#This Row],[Neto Unitario 2024]]+Tabla710[[#This Row],[IVA 2024 (19%)]]</f>
        <v>104999.65</v>
      </c>
      <c r="H60" s="10">
        <f>+Tabla710[[#This Row],[V. Unitario 2024]]*Tabla710[[#This Row],[Cant.]]</f>
        <v>104999.65</v>
      </c>
      <c r="I60" s="9">
        <v>96639</v>
      </c>
      <c r="J60" s="9">
        <f>+Tabla710[[#This Row],[Neto Unitario 2025]]*19%</f>
        <v>18361.41</v>
      </c>
      <c r="K60" s="9">
        <f>+Tabla710[[#This Row],[Neto Unitario 2025]]+Tabla710[[#This Row],[IVA 2025 (19%)]]</f>
        <v>115000.41</v>
      </c>
      <c r="L60" s="10">
        <f>+Tabla710[[#This Row],[V. unitario 2025]]*Tabla710[[#This Row],[Cant.]]</f>
        <v>115000.41</v>
      </c>
      <c r="M60" s="9">
        <f>(Tabla710[[#This Row],[Neto Unitario 2025]]*5.74%)+Tabla710[[#This Row],[Neto Unitario 2025]]</f>
        <v>102186.07859999999</v>
      </c>
      <c r="N60" s="9">
        <f>+Tabla710[[#This Row],[Neto Unitario 2026 incremnetado ipc (5,74% repuestos) y smmlv( 23% servicio)]]*19%</f>
        <v>19415.354933999999</v>
      </c>
      <c r="O60" s="10">
        <f>+Tabla710[[#This Row],[Neto Unitario 2026 incremnetado ipc (5,74% repuestos) y smmlv( 23% servicio)]]+Tabla710[[#This Row],[IVA 2026 (19%)]]</f>
        <v>121601.433534</v>
      </c>
      <c r="P60" s="10">
        <f>+Tabla710[[#This Row],[Total Unitario 2026]]*Tabla710[[#This Row],[Cant.]]</f>
        <v>121601.433534</v>
      </c>
    </row>
    <row r="61" spans="1:16" ht="13.5" thickBot="1" x14ac:dyDescent="0.25">
      <c r="A61" s="1" t="s">
        <v>52</v>
      </c>
      <c r="B61" s="2" t="s">
        <v>53</v>
      </c>
      <c r="C61" s="6" t="s">
        <v>11</v>
      </c>
      <c r="D61" s="6">
        <v>1</v>
      </c>
      <c r="E61" s="17">
        <v>445378</v>
      </c>
      <c r="F61" s="17">
        <f>+Tabla710[[#This Row],[Neto Unitario 2024]]*19%</f>
        <v>84621.82</v>
      </c>
      <c r="G61" s="9">
        <f>+Tabla710[[#This Row],[Neto Unitario 2024]]+Tabla710[[#This Row],[IVA 2024 (19%)]]</f>
        <v>529999.82000000007</v>
      </c>
      <c r="H61" s="10">
        <f>+Tabla710[[#This Row],[V. Unitario 2024]]*Tabla710[[#This Row],[Cant.]]</f>
        <v>529999.82000000007</v>
      </c>
      <c r="I61" s="9">
        <v>495798</v>
      </c>
      <c r="J61" s="9">
        <f>+Tabla710[[#This Row],[Neto Unitario 2025]]*19%</f>
        <v>94201.62</v>
      </c>
      <c r="K61" s="9">
        <f>+Tabla710[[#This Row],[Neto Unitario 2025]]+Tabla710[[#This Row],[IVA 2025 (19%)]]</f>
        <v>589999.62</v>
      </c>
      <c r="L61" s="10">
        <f>+Tabla710[[#This Row],[V. unitario 2025]]*Tabla710[[#This Row],[Cant.]]</f>
        <v>589999.62</v>
      </c>
      <c r="M61" s="9">
        <f>(Tabla710[[#This Row],[Neto Unitario 2025]]*5.74%)+Tabla710[[#This Row],[Neto Unitario 2025]]</f>
        <v>524256.8052</v>
      </c>
      <c r="N61" s="9">
        <f>+Tabla710[[#This Row],[Neto Unitario 2026 incremnetado ipc (5,74% repuestos) y smmlv( 23% servicio)]]*19%</f>
        <v>99608.792988000001</v>
      </c>
      <c r="O61" s="10">
        <f>+Tabla710[[#This Row],[Neto Unitario 2026 incremnetado ipc (5,74% repuestos) y smmlv( 23% servicio)]]+Tabla710[[#This Row],[IVA 2026 (19%)]]</f>
        <v>623865.59818800003</v>
      </c>
      <c r="P61" s="10">
        <f>+Tabla710[[#This Row],[Total Unitario 2026]]*Tabla710[[#This Row],[Cant.]]</f>
        <v>623865.59818800003</v>
      </c>
    </row>
    <row r="62" spans="1:16" ht="13.5" thickBot="1" x14ac:dyDescent="0.25">
      <c r="A62" s="1" t="s">
        <v>54</v>
      </c>
      <c r="B62" s="2" t="s">
        <v>55</v>
      </c>
      <c r="C62" s="6" t="s">
        <v>11</v>
      </c>
      <c r="D62" s="6">
        <v>1</v>
      </c>
      <c r="E62" s="17">
        <v>35294</v>
      </c>
      <c r="F62" s="17">
        <f>+Tabla710[[#This Row],[Neto Unitario 2024]]*19%</f>
        <v>6705.86</v>
      </c>
      <c r="G62" s="9">
        <f>+Tabla710[[#This Row],[Neto Unitario 2024]]+Tabla710[[#This Row],[IVA 2024 (19%)]]</f>
        <v>41999.86</v>
      </c>
      <c r="H62" s="10">
        <f>+Tabla710[[#This Row],[V. Unitario 2024]]*Tabla710[[#This Row],[Cant.]]</f>
        <v>41999.86</v>
      </c>
      <c r="I62" s="9">
        <v>390756</v>
      </c>
      <c r="J62" s="9">
        <f>+Tabla710[[#This Row],[Neto Unitario 2025]]*19%</f>
        <v>74243.64</v>
      </c>
      <c r="K62" s="9">
        <f>+Tabla710[[#This Row],[Neto Unitario 2025]]+Tabla710[[#This Row],[IVA 2025 (19%)]]</f>
        <v>464999.64</v>
      </c>
      <c r="L62" s="10">
        <f>+Tabla710[[#This Row],[V. unitario 2025]]*Tabla710[[#This Row],[Cant.]]</f>
        <v>464999.64</v>
      </c>
      <c r="M62" s="9">
        <f>(Tabla710[[#This Row],[Neto Unitario 2025]]*5.74%)+Tabla710[[#This Row],[Neto Unitario 2025]]</f>
        <v>413185.39439999999</v>
      </c>
      <c r="N62" s="9">
        <f>+Tabla710[[#This Row],[Neto Unitario 2026 incremnetado ipc (5,74% repuestos) y smmlv( 23% servicio)]]*19%</f>
        <v>78505.224935999999</v>
      </c>
      <c r="O62" s="10">
        <f>+Tabla710[[#This Row],[Neto Unitario 2026 incremnetado ipc (5,74% repuestos) y smmlv( 23% servicio)]]+Tabla710[[#This Row],[IVA 2026 (19%)]]</f>
        <v>491690.619336</v>
      </c>
      <c r="P62" s="10">
        <f>+Tabla710[[#This Row],[Total Unitario 2026]]*Tabla710[[#This Row],[Cant.]]</f>
        <v>491690.619336</v>
      </c>
    </row>
    <row r="63" spans="1:16" ht="13.5" thickBot="1" x14ac:dyDescent="0.25">
      <c r="A63" s="1" t="s">
        <v>56</v>
      </c>
      <c r="B63" s="2" t="s">
        <v>57</v>
      </c>
      <c r="C63" s="6" t="s">
        <v>11</v>
      </c>
      <c r="D63" s="6">
        <v>1</v>
      </c>
      <c r="E63" s="17">
        <v>71429</v>
      </c>
      <c r="F63" s="17">
        <f>+Tabla710[[#This Row],[Neto Unitario 2024]]*19%</f>
        <v>13571.51</v>
      </c>
      <c r="G63" s="9">
        <f>+Tabla710[[#This Row],[Neto Unitario 2024]]+Tabla710[[#This Row],[IVA 2024 (19%)]]</f>
        <v>85000.51</v>
      </c>
      <c r="H63" s="10">
        <f>+Tabla710[[#This Row],[V. Unitario 2024]]*Tabla710[[#This Row],[Cant.]]</f>
        <v>85000.51</v>
      </c>
      <c r="I63" s="9">
        <v>798319</v>
      </c>
      <c r="J63" s="9">
        <f>+Tabla710[[#This Row],[Neto Unitario 2025]]*19%</f>
        <v>151680.61000000002</v>
      </c>
      <c r="K63" s="9">
        <f>+Tabla710[[#This Row],[Neto Unitario 2025]]+Tabla710[[#This Row],[IVA 2025 (19%)]]</f>
        <v>949999.61</v>
      </c>
      <c r="L63" s="10">
        <f>+Tabla710[[#This Row],[V. unitario 2025]]*Tabla710[[#This Row],[Cant.]]</f>
        <v>949999.61</v>
      </c>
      <c r="M63" s="9">
        <f>(Tabla710[[#This Row],[Neto Unitario 2025]]*5.74%)+Tabla710[[#This Row],[Neto Unitario 2025]]</f>
        <v>844142.51060000004</v>
      </c>
      <c r="N63" s="9">
        <f>+Tabla710[[#This Row],[Neto Unitario 2026 incremnetado ipc (5,74% repuestos) y smmlv( 23% servicio)]]*19%</f>
        <v>160387.07701400001</v>
      </c>
      <c r="O63" s="10">
        <f>+Tabla710[[#This Row],[Neto Unitario 2026 incremnetado ipc (5,74% repuestos) y smmlv( 23% servicio)]]+Tabla710[[#This Row],[IVA 2026 (19%)]]</f>
        <v>1004529.5876140001</v>
      </c>
      <c r="P63" s="10">
        <f>+Tabla710[[#This Row],[Total Unitario 2026]]*Tabla710[[#This Row],[Cant.]]</f>
        <v>1004529.5876140001</v>
      </c>
    </row>
    <row r="64" spans="1:16" ht="13.5" thickBot="1" x14ac:dyDescent="0.25">
      <c r="A64" s="1" t="s">
        <v>58</v>
      </c>
      <c r="B64" s="2" t="s">
        <v>59</v>
      </c>
      <c r="C64" s="6" t="s">
        <v>11</v>
      </c>
      <c r="D64" s="6">
        <v>1</v>
      </c>
      <c r="E64" s="17">
        <v>840336</v>
      </c>
      <c r="F64" s="17">
        <f>+Tabla710[[#This Row],[Neto Unitario 2024]]*19%</f>
        <v>159663.84</v>
      </c>
      <c r="G64" s="9">
        <f>+Tabla710[[#This Row],[Neto Unitario 2024]]+Tabla710[[#This Row],[IVA 2024 (19%)]]</f>
        <v>999999.84</v>
      </c>
      <c r="H64" s="10">
        <f>+Tabla710[[#This Row],[V. Unitario 2024]]*Tabla710[[#This Row],[Cant.]]</f>
        <v>999999.84</v>
      </c>
      <c r="I64" s="12">
        <v>941180</v>
      </c>
      <c r="J64" s="9">
        <f>+Tabla710[[#This Row],[Neto Unitario 2025]]*19%</f>
        <v>178824.2</v>
      </c>
      <c r="K64" s="9">
        <f>+Tabla710[[#This Row],[Neto Unitario 2025]]+Tabla710[[#This Row],[IVA 2025 (19%)]]</f>
        <v>1120004.2</v>
      </c>
      <c r="L64" s="10">
        <f>+Tabla710[[#This Row],[V. unitario 2025]]*Tabla710[[#This Row],[Cant.]]</f>
        <v>1120004.2</v>
      </c>
      <c r="M64" s="9">
        <f>(Tabla710[[#This Row],[Neto Unitario 2025]]*5.74%)+Tabla710[[#This Row],[Neto Unitario 2025]]</f>
        <v>995203.73199999996</v>
      </c>
      <c r="N64" s="9">
        <f>+Tabla710[[#This Row],[Neto Unitario 2026 incremnetado ipc (5,74% repuestos) y smmlv( 23% servicio)]]*19%</f>
        <v>189088.70908</v>
      </c>
      <c r="O64" s="10">
        <f>+Tabla710[[#This Row],[Neto Unitario 2026 incremnetado ipc (5,74% repuestos) y smmlv( 23% servicio)]]+Tabla710[[#This Row],[IVA 2026 (19%)]]</f>
        <v>1184292.44108</v>
      </c>
      <c r="P64" s="10">
        <f>+Tabla710[[#This Row],[Total Unitario 2026]]*Tabla710[[#This Row],[Cant.]]</f>
        <v>1184292.44108</v>
      </c>
    </row>
    <row r="65" spans="1:16" ht="13.5" thickBot="1" x14ac:dyDescent="0.25">
      <c r="A65" s="1" t="s">
        <v>60</v>
      </c>
      <c r="B65" s="2" t="s">
        <v>61</v>
      </c>
      <c r="C65" s="6" t="s">
        <v>11</v>
      </c>
      <c r="D65" s="6">
        <v>1</v>
      </c>
      <c r="E65" s="17">
        <v>739496</v>
      </c>
      <c r="F65" s="17">
        <f>+Tabla710[[#This Row],[Neto Unitario 2024]]*19%</f>
        <v>140504.24</v>
      </c>
      <c r="G65" s="9">
        <f>+Tabla710[[#This Row],[Neto Unitario 2024]]+Tabla710[[#This Row],[IVA 2024 (19%)]]</f>
        <v>880000.24</v>
      </c>
      <c r="H65" s="10">
        <f>+Tabla710[[#This Row],[V. Unitario 2024]]*Tabla710[[#This Row],[Cant.]]</f>
        <v>880000.24</v>
      </c>
      <c r="I65" s="13">
        <v>823530</v>
      </c>
      <c r="J65" s="9">
        <f>+Tabla710[[#This Row],[Neto Unitario 2025]]*19%</f>
        <v>156470.70000000001</v>
      </c>
      <c r="K65" s="9">
        <f>+Tabla710[[#This Row],[Neto Unitario 2025]]+Tabla710[[#This Row],[IVA 2025 (19%)]]</f>
        <v>980000.7</v>
      </c>
      <c r="L65" s="10">
        <f>+Tabla710[[#This Row],[V. unitario 2025]]*Tabla710[[#This Row],[Cant.]]</f>
        <v>980000.7</v>
      </c>
      <c r="M65" s="9">
        <f>(Tabla710[[#This Row],[Neto Unitario 2025]]*5.74%)+Tabla710[[#This Row],[Neto Unitario 2025]]</f>
        <v>870800.62199999997</v>
      </c>
      <c r="N65" s="9">
        <f>+Tabla710[[#This Row],[Neto Unitario 2026 incremnetado ipc (5,74% repuestos) y smmlv( 23% servicio)]]*19%</f>
        <v>165452.11817999999</v>
      </c>
      <c r="O65" s="10">
        <f>+Tabla710[[#This Row],[Neto Unitario 2026 incremnetado ipc (5,74% repuestos) y smmlv( 23% servicio)]]+Tabla710[[#This Row],[IVA 2026 (19%)]]</f>
        <v>1036252.74018</v>
      </c>
      <c r="P65" s="10">
        <f>+Tabla710[[#This Row],[Total Unitario 2026]]*Tabla710[[#This Row],[Cant.]]</f>
        <v>1036252.74018</v>
      </c>
    </row>
    <row r="66" spans="1:16" ht="13.5" thickBot="1" x14ac:dyDescent="0.25">
      <c r="A66" s="1" t="s">
        <v>62</v>
      </c>
      <c r="B66" s="2" t="s">
        <v>63</v>
      </c>
      <c r="C66" s="6" t="s">
        <v>11</v>
      </c>
      <c r="D66" s="6">
        <v>1</v>
      </c>
      <c r="E66" s="17">
        <v>1722689</v>
      </c>
      <c r="F66" s="17">
        <f>+Tabla710[[#This Row],[Neto Unitario 2024]]*19%</f>
        <v>327310.91000000003</v>
      </c>
      <c r="G66" s="9">
        <f>+Tabla710[[#This Row],[Neto Unitario 2024]]+Tabla710[[#This Row],[IVA 2024 (19%)]]</f>
        <v>2049999.9100000001</v>
      </c>
      <c r="H66" s="10">
        <f>+Tabla710[[#This Row],[V. Unitario 2024]]*Tabla710[[#This Row],[Cant.]]</f>
        <v>2049999.9100000001</v>
      </c>
      <c r="I66" s="12">
        <v>1932773</v>
      </c>
      <c r="J66" s="9">
        <f>+Tabla710[[#This Row],[Neto Unitario 2025]]*19%</f>
        <v>367226.87</v>
      </c>
      <c r="K66" s="9">
        <f>+Tabla710[[#This Row],[Neto Unitario 2025]]+Tabla710[[#This Row],[IVA 2025 (19%)]]</f>
        <v>2299999.87</v>
      </c>
      <c r="L66" s="10">
        <f>+Tabla710[[#This Row],[V. unitario 2025]]*Tabla710[[#This Row],[Cant.]]</f>
        <v>2299999.87</v>
      </c>
      <c r="M66" s="9">
        <f>(Tabla710[[#This Row],[Neto Unitario 2025]]*5.74%)+Tabla710[[#This Row],[Neto Unitario 2025]]</f>
        <v>2043714.1702000001</v>
      </c>
      <c r="N66" s="9">
        <f>+Tabla710[[#This Row],[Neto Unitario 2026 incremnetado ipc (5,74% repuestos) y smmlv( 23% servicio)]]*19%</f>
        <v>388305.69233799999</v>
      </c>
      <c r="O66" s="10">
        <f>+Tabla710[[#This Row],[Neto Unitario 2026 incremnetado ipc (5,74% repuestos) y smmlv( 23% servicio)]]+Tabla710[[#This Row],[IVA 2026 (19%)]]</f>
        <v>2432019.8625380001</v>
      </c>
      <c r="P66" s="10">
        <f>+Tabla710[[#This Row],[Total Unitario 2026]]*Tabla710[[#This Row],[Cant.]]</f>
        <v>2432019.8625380001</v>
      </c>
    </row>
    <row r="67" spans="1:16" ht="13.5" thickBot="1" x14ac:dyDescent="0.25">
      <c r="A67" s="1" t="s">
        <v>64</v>
      </c>
      <c r="B67" s="2" t="s">
        <v>65</v>
      </c>
      <c r="C67" s="6" t="s">
        <v>11</v>
      </c>
      <c r="D67" s="6">
        <v>1</v>
      </c>
      <c r="E67" s="17">
        <v>537815</v>
      </c>
      <c r="F67" s="17">
        <f>+Tabla710[[#This Row],[Neto Unitario 2024]]*19%</f>
        <v>102184.85</v>
      </c>
      <c r="G67" s="9">
        <f>+Tabla710[[#This Row],[Neto Unitario 2024]]+Tabla710[[#This Row],[IVA 2024 (19%)]]</f>
        <v>639999.85</v>
      </c>
      <c r="H67" s="10">
        <f>+Tabla710[[#This Row],[V. Unitario 2024]]*Tabla710[[#This Row],[Cant.]]</f>
        <v>639999.85</v>
      </c>
      <c r="I67" s="13">
        <v>605040</v>
      </c>
      <c r="J67" s="9">
        <f>+Tabla710[[#This Row],[Neto Unitario 2025]]*19%</f>
        <v>114957.6</v>
      </c>
      <c r="K67" s="9">
        <f>+Tabla710[[#This Row],[Neto Unitario 2025]]+Tabla710[[#This Row],[IVA 2025 (19%)]]</f>
        <v>719997.6</v>
      </c>
      <c r="L67" s="10">
        <f>+Tabla710[[#This Row],[V. unitario 2025]]*Tabla710[[#This Row],[Cant.]]</f>
        <v>719997.6</v>
      </c>
      <c r="M67" s="9">
        <f>(Tabla710[[#This Row],[Neto Unitario 2025]]*5.74%)+Tabla710[[#This Row],[Neto Unitario 2025]]</f>
        <v>639769.29599999997</v>
      </c>
      <c r="N67" s="9">
        <f>+Tabla710[[#This Row],[Neto Unitario 2026 incremnetado ipc (5,74% repuestos) y smmlv( 23% servicio)]]*19%</f>
        <v>121556.16623999999</v>
      </c>
      <c r="O67" s="10">
        <f>+Tabla710[[#This Row],[Neto Unitario 2026 incremnetado ipc (5,74% repuestos) y smmlv( 23% servicio)]]+Tabla710[[#This Row],[IVA 2026 (19%)]]</f>
        <v>761325.46224000002</v>
      </c>
      <c r="P67" s="10">
        <f>+Tabla710[[#This Row],[Total Unitario 2026]]*Tabla710[[#This Row],[Cant.]]</f>
        <v>761325.46224000002</v>
      </c>
    </row>
    <row r="68" spans="1:16" ht="13.5" thickBot="1" x14ac:dyDescent="0.25">
      <c r="A68" s="1" t="s">
        <v>66</v>
      </c>
      <c r="B68" s="2" t="s">
        <v>67</v>
      </c>
      <c r="C68" s="6" t="s">
        <v>11</v>
      </c>
      <c r="D68" s="6">
        <v>1</v>
      </c>
      <c r="E68" s="17">
        <v>394958</v>
      </c>
      <c r="F68" s="17">
        <f>+Tabla710[[#This Row],[Neto Unitario 2024]]*19%</f>
        <v>75042.02</v>
      </c>
      <c r="G68" s="9">
        <f>+Tabla710[[#This Row],[Neto Unitario 2024]]+Tabla710[[#This Row],[IVA 2024 (19%)]]</f>
        <v>470000.02</v>
      </c>
      <c r="H68" s="10">
        <f>+Tabla710[[#This Row],[V. Unitario 2024]]*Tabla710[[#This Row],[Cant.]]</f>
        <v>470000.02</v>
      </c>
      <c r="I68" s="13">
        <v>445380</v>
      </c>
      <c r="J68" s="9">
        <f>+Tabla710[[#This Row],[Neto Unitario 2025]]*19%</f>
        <v>84622.2</v>
      </c>
      <c r="K68" s="9">
        <f>+Tabla710[[#This Row],[Neto Unitario 2025]]+Tabla710[[#This Row],[IVA 2025 (19%)]]</f>
        <v>530002.19999999995</v>
      </c>
      <c r="L68" s="10">
        <f>+Tabla710[[#This Row],[V. unitario 2025]]*Tabla710[[#This Row],[Cant.]]</f>
        <v>530002.19999999995</v>
      </c>
      <c r="M68" s="9">
        <f>(Tabla710[[#This Row],[Neto Unitario 2025]]*5.74%)+Tabla710[[#This Row],[Neto Unitario 2025]]</f>
        <v>470944.81199999998</v>
      </c>
      <c r="N68" s="9">
        <f>+Tabla710[[#This Row],[Neto Unitario 2026 incremnetado ipc (5,74% repuestos) y smmlv( 23% servicio)]]*19%</f>
        <v>89479.514280000003</v>
      </c>
      <c r="O68" s="10">
        <f>+Tabla710[[#This Row],[Neto Unitario 2026 incremnetado ipc (5,74% repuestos) y smmlv( 23% servicio)]]+Tabla710[[#This Row],[IVA 2026 (19%)]]</f>
        <v>560424.32627999992</v>
      </c>
      <c r="P68" s="10">
        <f>+Tabla710[[#This Row],[Total Unitario 2026]]*Tabla710[[#This Row],[Cant.]]</f>
        <v>560424.32627999992</v>
      </c>
    </row>
    <row r="69" spans="1:16" ht="13.5" thickBot="1" x14ac:dyDescent="0.25">
      <c r="A69" s="1" t="s">
        <v>68</v>
      </c>
      <c r="B69" s="2" t="s">
        <v>69</v>
      </c>
      <c r="C69" s="6" t="s">
        <v>11</v>
      </c>
      <c r="D69" s="6">
        <v>1</v>
      </c>
      <c r="E69" s="17">
        <v>302521</v>
      </c>
      <c r="F69" s="17">
        <f>+Tabla710[[#This Row],[Neto Unitario 2024]]*19%</f>
        <v>57478.99</v>
      </c>
      <c r="G69" s="9">
        <f>+Tabla710[[#This Row],[Neto Unitario 2024]]+Tabla710[[#This Row],[IVA 2024 (19%)]]</f>
        <v>359999.99</v>
      </c>
      <c r="H69" s="10">
        <f>+Tabla710[[#This Row],[V. Unitario 2024]]*Tabla710[[#This Row],[Cant.]]</f>
        <v>359999.99</v>
      </c>
      <c r="I69" s="13">
        <v>336130</v>
      </c>
      <c r="J69" s="9">
        <f>+Tabla710[[#This Row],[Neto Unitario 2025]]*19%</f>
        <v>63864.700000000004</v>
      </c>
      <c r="K69" s="9">
        <f>+Tabla710[[#This Row],[Neto Unitario 2025]]+Tabla710[[#This Row],[IVA 2025 (19%)]]</f>
        <v>399994.7</v>
      </c>
      <c r="L69" s="10">
        <f>+Tabla710[[#This Row],[V. unitario 2025]]*Tabla710[[#This Row],[Cant.]]</f>
        <v>399994.7</v>
      </c>
      <c r="M69" s="9">
        <f>(Tabla710[[#This Row],[Neto Unitario 2025]]*5.74%)+Tabla710[[#This Row],[Neto Unitario 2025]]</f>
        <v>355423.86200000002</v>
      </c>
      <c r="N69" s="9">
        <f>+Tabla710[[#This Row],[Neto Unitario 2026 incremnetado ipc (5,74% repuestos) y smmlv( 23% servicio)]]*19%</f>
        <v>67530.533779999998</v>
      </c>
      <c r="O69" s="10">
        <f>+Tabla710[[#This Row],[Neto Unitario 2026 incremnetado ipc (5,74% repuestos) y smmlv( 23% servicio)]]+Tabla710[[#This Row],[IVA 2026 (19%)]]</f>
        <v>422954.39578000002</v>
      </c>
      <c r="P69" s="10">
        <f>+Tabla710[[#This Row],[Total Unitario 2026]]*Tabla710[[#This Row],[Cant.]]</f>
        <v>422954.39578000002</v>
      </c>
    </row>
    <row r="70" spans="1:16" ht="13.5" thickBot="1" x14ac:dyDescent="0.25">
      <c r="A70" s="1" t="s">
        <v>70</v>
      </c>
      <c r="B70" s="2" t="s">
        <v>71</v>
      </c>
      <c r="C70" s="6" t="s">
        <v>11</v>
      </c>
      <c r="D70" s="6">
        <v>1</v>
      </c>
      <c r="E70" s="17">
        <v>168067</v>
      </c>
      <c r="F70" s="17">
        <f>+Tabla710[[#This Row],[Neto Unitario 2024]]*19%</f>
        <v>31932.73</v>
      </c>
      <c r="G70" s="9">
        <f>+Tabla710[[#This Row],[Neto Unitario 2024]]+Tabla710[[#This Row],[IVA 2024 (19%)]]</f>
        <v>199999.73</v>
      </c>
      <c r="H70" s="10">
        <f>+Tabla710[[#This Row],[V. Unitario 2024]]*Tabla710[[#This Row],[Cant.]]</f>
        <v>199999.73</v>
      </c>
      <c r="I70" s="13">
        <v>184870</v>
      </c>
      <c r="J70" s="9">
        <f>+Tabla710[[#This Row],[Neto Unitario 2025]]*19%</f>
        <v>35125.300000000003</v>
      </c>
      <c r="K70" s="9">
        <f>+Tabla710[[#This Row],[Neto Unitario 2025]]+Tabla710[[#This Row],[IVA 2025 (19%)]]</f>
        <v>219995.3</v>
      </c>
      <c r="L70" s="10">
        <f>+Tabla710[[#This Row],[V. unitario 2025]]*Tabla710[[#This Row],[Cant.]]</f>
        <v>219995.3</v>
      </c>
      <c r="M70" s="9">
        <f>(Tabla710[[#This Row],[Neto Unitario 2025]]*5.74%)+Tabla710[[#This Row],[Neto Unitario 2025]]</f>
        <v>195481.538</v>
      </c>
      <c r="N70" s="9">
        <f>+Tabla710[[#This Row],[Neto Unitario 2026 incremnetado ipc (5,74% repuestos) y smmlv( 23% servicio)]]*19%</f>
        <v>37141.49222</v>
      </c>
      <c r="O70" s="10">
        <f>+Tabla710[[#This Row],[Neto Unitario 2026 incremnetado ipc (5,74% repuestos) y smmlv( 23% servicio)]]+Tabla710[[#This Row],[IVA 2026 (19%)]]</f>
        <v>232623.03022000002</v>
      </c>
      <c r="P70" s="10">
        <f>+Tabla710[[#This Row],[Total Unitario 2026]]*Tabla710[[#This Row],[Cant.]]</f>
        <v>232623.03022000002</v>
      </c>
    </row>
    <row r="71" spans="1:16" ht="13.5" thickBot="1" x14ac:dyDescent="0.25">
      <c r="A71" s="1" t="s">
        <v>72</v>
      </c>
      <c r="B71" s="2" t="s">
        <v>73</v>
      </c>
      <c r="C71" s="6" t="s">
        <v>11</v>
      </c>
      <c r="D71" s="6">
        <v>1</v>
      </c>
      <c r="E71" s="17">
        <v>638656</v>
      </c>
      <c r="F71" s="17">
        <f>+Tabla710[[#This Row],[Neto Unitario 2024]]*19%</f>
        <v>121344.64</v>
      </c>
      <c r="G71" s="9">
        <f>+Tabla710[[#This Row],[Neto Unitario 2024]]+Tabla710[[#This Row],[IVA 2024 (19%)]]</f>
        <v>760000.64</v>
      </c>
      <c r="H71" s="10">
        <f>+Tabla710[[#This Row],[V. Unitario 2024]]*Tabla710[[#This Row],[Cant.]]</f>
        <v>760000.64</v>
      </c>
      <c r="I71" s="13">
        <v>714290</v>
      </c>
      <c r="J71" s="9">
        <f>+Tabla710[[#This Row],[Neto Unitario 2025]]*19%</f>
        <v>135715.1</v>
      </c>
      <c r="K71" s="9">
        <f>+Tabla710[[#This Row],[Neto Unitario 2025]]+Tabla710[[#This Row],[IVA 2025 (19%)]]</f>
        <v>850005.1</v>
      </c>
      <c r="L71" s="10">
        <f>+Tabla710[[#This Row],[V. unitario 2025]]*Tabla710[[#This Row],[Cant.]]</f>
        <v>850005.1</v>
      </c>
      <c r="M71" s="9">
        <f>(Tabla710[[#This Row],[Neto Unitario 2025]]*5.74%)+Tabla710[[#This Row],[Neto Unitario 2025]]</f>
        <v>755290.24600000004</v>
      </c>
      <c r="N71" s="9">
        <f>+Tabla710[[#This Row],[Neto Unitario 2026 incremnetado ipc (5,74% repuestos) y smmlv( 23% servicio)]]*19%</f>
        <v>143505.14674</v>
      </c>
      <c r="O71" s="10">
        <f>+Tabla710[[#This Row],[Neto Unitario 2026 incremnetado ipc (5,74% repuestos) y smmlv( 23% servicio)]]+Tabla710[[#This Row],[IVA 2026 (19%)]]</f>
        <v>898795.39274000004</v>
      </c>
      <c r="P71" s="10">
        <f>+Tabla710[[#This Row],[Total Unitario 2026]]*Tabla710[[#This Row],[Cant.]]</f>
        <v>898795.39274000004</v>
      </c>
    </row>
    <row r="72" spans="1:16" ht="13.5" thickBot="1" x14ac:dyDescent="0.25">
      <c r="A72" s="1" t="s">
        <v>74</v>
      </c>
      <c r="B72" s="2" t="s">
        <v>75</v>
      </c>
      <c r="C72" s="8" t="s">
        <v>12</v>
      </c>
      <c r="D72" s="6">
        <v>4</v>
      </c>
      <c r="E72" s="17">
        <v>40000</v>
      </c>
      <c r="F72" s="17"/>
      <c r="G72" s="9">
        <f>+Tabla710[[#This Row],[Neto Unitario 2024]]+Tabla710[[#This Row],[IVA 2024 (19%)]]</f>
        <v>40000</v>
      </c>
      <c r="H72" s="10">
        <f>+Tabla710[[#This Row],[V. Unitario 2024]]*Tabla710[[#This Row],[Cant.]]</f>
        <v>160000</v>
      </c>
      <c r="I72" s="9">
        <v>50000</v>
      </c>
      <c r="J72" s="9">
        <v>0</v>
      </c>
      <c r="K72" s="9">
        <f>+Tabla710[[#This Row],[Neto Unitario 2025]]+Tabla710[[#This Row],[IVA 2025 (19%)]]</f>
        <v>50000</v>
      </c>
      <c r="L72" s="10">
        <f>+Tabla710[[#This Row],[V. unitario 2025]]*Tabla710[[#This Row],[Cant.]]</f>
        <v>200000</v>
      </c>
      <c r="M72" s="9">
        <f>(Tabla710[[#This Row],[Neto Unitario 2025]]*5.74%)+Tabla710[[#This Row],[Neto Unitario 2025]]</f>
        <v>52870</v>
      </c>
      <c r="N72" s="9">
        <v>0</v>
      </c>
      <c r="O72" s="10">
        <f>+Tabla710[[#This Row],[Neto Unitario 2026 incremnetado ipc (5,74% repuestos) y smmlv( 23% servicio)]]+Tabla710[[#This Row],[IVA 2026 (19%)]]</f>
        <v>52870</v>
      </c>
      <c r="P72" s="10">
        <f>+Tabla710[[#This Row],[Total Unitario 2026]]*Tabla710[[#This Row],[Cant.]]</f>
        <v>211480</v>
      </c>
    </row>
    <row r="73" spans="1:16" ht="13.5" thickBot="1" x14ac:dyDescent="0.25">
      <c r="A73" s="14" t="s">
        <v>13</v>
      </c>
      <c r="B73" s="14" t="s">
        <v>76</v>
      </c>
      <c r="C73" s="14"/>
      <c r="D73" s="15"/>
      <c r="E73" s="15"/>
      <c r="F73" s="15">
        <f>+Tabla710[[#This Row],[Neto Unitario 2024]]*19%</f>
        <v>0</v>
      </c>
      <c r="G73" s="9">
        <f>+Tabla710[[#This Row],[Neto Unitario 2024]]+Tabla710[[#This Row],[IVA 2024 (19%)]]</f>
        <v>0</v>
      </c>
      <c r="H73" s="10">
        <f>SUBTOTAL(109,H48:H72)</f>
        <v>11577991.690000001</v>
      </c>
      <c r="I73" s="9"/>
      <c r="J73" s="9"/>
      <c r="K73" s="9">
        <f>SUBTOTAL(109,K48:K72)</f>
        <v>12031650.66</v>
      </c>
      <c r="L73" s="9">
        <f>SUBTOTAL(109,L48:L72)</f>
        <v>14195344.859999999</v>
      </c>
      <c r="M73" s="9"/>
      <c r="N73" s="9"/>
      <c r="O73" s="9"/>
      <c r="P73" s="10">
        <f>ROUND(SUBTOTAL(109,P48:P72),0)</f>
        <v>15087828</v>
      </c>
    </row>
  </sheetData>
  <mergeCells count="8">
    <mergeCell ref="A3:I3"/>
    <mergeCell ref="A4:I4"/>
    <mergeCell ref="A46:N46"/>
    <mergeCell ref="A13:H13"/>
    <mergeCell ref="A16:I16"/>
    <mergeCell ref="A17:I17"/>
    <mergeCell ref="A23:G23"/>
    <mergeCell ref="A24:G24"/>
  </mergeCells>
  <pageMargins left="0.7" right="0.7" top="0.75" bottom="0.75" header="0.3" footer="0.3"/>
  <tableParts count="4">
    <tablePart r:id="rId1"/>
    <tablePart r:id="rId2"/>
    <tablePart r:id="rId3"/>
    <tablePart r:id="rId4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b6c84fa-4759-4d6c-aba1-65eb752196ed">
      <Terms xmlns="http://schemas.microsoft.com/office/infopath/2007/PartnerControls"/>
    </lcf76f155ced4ddcb4097134ff3c332f>
    <TaxCatchAll xmlns="a7c7cb90-0727-4817-a90d-ecece9a9a9c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283ED07786EEDC479115A200789B2A3A" ma:contentTypeVersion="14" ma:contentTypeDescription="Crear nuevo documento." ma:contentTypeScope="" ma:versionID="800ce8c8457724d672bd5c6ca97f4fa7">
  <xsd:schema xmlns:xsd="http://www.w3.org/2001/XMLSchema" xmlns:xs="http://www.w3.org/2001/XMLSchema" xmlns:p="http://schemas.microsoft.com/office/2006/metadata/properties" xmlns:ns2="bb6c84fa-4759-4d6c-aba1-65eb752196ed" xmlns:ns3="a7c7cb90-0727-4817-a90d-ecece9a9a9c5" targetNamespace="http://schemas.microsoft.com/office/2006/metadata/properties" ma:root="true" ma:fieldsID="d244ab1126c623636f943e7437a27867" ns2:_="" ns3:_="">
    <xsd:import namespace="bb6c84fa-4759-4d6c-aba1-65eb752196ed"/>
    <xsd:import namespace="a7c7cb90-0727-4817-a90d-ecece9a9a9c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Locatio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BillingMetadata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b6c84fa-4759-4d6c-aba1-65eb752196e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Etiquetas de imagen" ma:readOnly="false" ma:fieldId="{5cf76f15-5ced-4ddc-b409-7134ff3c332f}" ma:taxonomyMulti="true" ma:sspId="b4a1e0e0-3b50-4177-8d07-c02f28f102b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Location" ma:index="16" nillable="true" ma:displayName="Location" ma:indexed="true" ma:internalName="MediaServiceLocation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BillingMetadata" ma:index="20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7c7cb90-0727-4817-a90d-ecece9a9a9c5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4babe956-ef1e-4633-8026-73916d799854}" ma:internalName="TaxCatchAll" ma:showField="CatchAllData" ma:web="a7c7cb90-0727-4817-a90d-ecece9a9a9c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5FC137E-51EB-4D0E-992D-44A302C03AEB}">
  <ds:schemaRefs>
    <ds:schemaRef ds:uri="http://schemas.microsoft.com/office/2006/metadata/properties"/>
    <ds:schemaRef ds:uri="http://schemas.microsoft.com/office/infopath/2007/PartnerControls"/>
    <ds:schemaRef ds:uri="bb6c84fa-4759-4d6c-aba1-65eb752196ed"/>
    <ds:schemaRef ds:uri="a7c7cb90-0727-4817-a90d-ecece9a9a9c5"/>
  </ds:schemaRefs>
</ds:datastoreItem>
</file>

<file path=customXml/itemProps2.xml><?xml version="1.0" encoding="utf-8"?>
<ds:datastoreItem xmlns:ds="http://schemas.openxmlformats.org/officeDocument/2006/customXml" ds:itemID="{D7AC32DC-E376-4E2A-9030-BE1F1C3B6AD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0DE782C-0882-4DEB-B885-7F95FEEDC75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b6c84fa-4759-4d6c-aba1-65eb752196ed"/>
    <ds:schemaRef ds:uri="a7c7cb90-0727-4817-a90d-ecece9a9a9c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CONSOLIDADO PROPUESTA</vt:lpstr>
      <vt:lpstr>TOYOTA PROPUESTA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Edward Alexander Melo Mesa</dc:creator>
  <cp:keywords/>
  <dc:description/>
  <cp:lastModifiedBy>Edward Alexander Melo Mesa</cp:lastModifiedBy>
  <cp:revision/>
  <dcterms:created xsi:type="dcterms:W3CDTF">2026-06-03T20:33:23Z</dcterms:created>
  <dcterms:modified xsi:type="dcterms:W3CDTF">2026-10-19T20:16:02Z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0x010100283ED07786EEDC479115A200789B2A3A</vt:lpwstr>
  </property>
  <property fmtid="{D5CDD505-2E9C-101B-9397-08002B2CF9AE}" pid="3" name="MediaServiceImageTags">
    <vt:lpwstr/>
  </property>
</Properties>
</file>