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pple/Desktop/ESCUELA TECNOLOGICA/PROCESOS/19. OPERADOR LOGISTIVO EVENTOS VICERRECTORIAS/5. PUBLICACION SECOP/"/>
    </mc:Choice>
  </mc:AlternateContent>
  <xr:revisionPtr revIDLastSave="0" documentId="13_ncr:1_{D4BF3900-D15F-BF4E-88BE-933ECB22A157}" xr6:coauthVersionLast="47" xr6:coauthVersionMax="47" xr10:uidLastSave="{00000000-0000-0000-0000-000000000000}"/>
  <bookViews>
    <workbookView xWindow="0" yWindow="740" windowWidth="29400" windowHeight="18380" xr2:uid="{00000000-000D-0000-FFFF-FFFF00000000}"/>
  </bookViews>
  <sheets>
    <sheet name="FORMATO COTIZACIÓN" sheetId="1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24" i="1" l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J4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4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4" i="1"/>
  <c r="H24" i="1"/>
  <c r="J24" i="1"/>
  <c r="N24" i="1"/>
  <c r="U24" i="1"/>
  <c r="AG24" i="1"/>
  <c r="H23" i="1"/>
  <c r="J23" i="1"/>
  <c r="N23" i="1"/>
  <c r="U23" i="1"/>
  <c r="AG23" i="1"/>
  <c r="H22" i="1"/>
  <c r="J22" i="1"/>
  <c r="N22" i="1"/>
  <c r="U22" i="1"/>
  <c r="AG22" i="1"/>
  <c r="H21" i="1"/>
  <c r="J21" i="1"/>
  <c r="N21" i="1"/>
  <c r="U21" i="1"/>
  <c r="AG21" i="1"/>
  <c r="H20" i="1"/>
  <c r="J20" i="1"/>
  <c r="N20" i="1"/>
  <c r="U20" i="1"/>
  <c r="AG20" i="1"/>
  <c r="H19" i="1"/>
  <c r="J19" i="1"/>
  <c r="N19" i="1"/>
  <c r="U19" i="1"/>
  <c r="AG19" i="1"/>
  <c r="H18" i="1"/>
  <c r="J18" i="1"/>
  <c r="N18" i="1"/>
  <c r="U18" i="1"/>
  <c r="AG18" i="1"/>
  <c r="H17" i="1"/>
  <c r="J17" i="1"/>
  <c r="N17" i="1"/>
  <c r="U17" i="1"/>
  <c r="AG17" i="1"/>
  <c r="H16" i="1"/>
  <c r="J16" i="1"/>
  <c r="N16" i="1"/>
  <c r="U16" i="1"/>
  <c r="AG16" i="1"/>
  <c r="H15" i="1"/>
  <c r="J15" i="1"/>
  <c r="N15" i="1"/>
  <c r="U15" i="1"/>
  <c r="AG15" i="1"/>
  <c r="H14" i="1"/>
  <c r="J14" i="1"/>
  <c r="N14" i="1"/>
  <c r="U14" i="1"/>
  <c r="AG14" i="1"/>
  <c r="H13" i="1"/>
  <c r="J13" i="1"/>
  <c r="N13" i="1"/>
  <c r="U13" i="1"/>
  <c r="AG13" i="1"/>
  <c r="H12" i="1"/>
  <c r="J12" i="1"/>
  <c r="N12" i="1"/>
  <c r="U12" i="1"/>
  <c r="AG12" i="1"/>
  <c r="K11" i="1"/>
  <c r="M11" i="1"/>
  <c r="N11" i="1"/>
  <c r="U11" i="1"/>
  <c r="AG11" i="1"/>
  <c r="K10" i="1"/>
  <c r="M10" i="1"/>
  <c r="N10" i="1"/>
  <c r="U10" i="1"/>
  <c r="AG10" i="1"/>
  <c r="K9" i="1"/>
  <c r="M9" i="1"/>
  <c r="N9" i="1"/>
  <c r="U9" i="1"/>
  <c r="AG9" i="1"/>
  <c r="K8" i="1"/>
  <c r="M8" i="1"/>
  <c r="N8" i="1"/>
  <c r="U8" i="1"/>
  <c r="AG8" i="1"/>
  <c r="K7" i="1"/>
  <c r="M7" i="1"/>
  <c r="N7" i="1"/>
  <c r="U7" i="1"/>
  <c r="AG7" i="1"/>
  <c r="K6" i="1"/>
  <c r="M6" i="1"/>
  <c r="N6" i="1"/>
  <c r="U6" i="1"/>
  <c r="AG6" i="1"/>
  <c r="K5" i="1"/>
  <c r="M5" i="1"/>
  <c r="N5" i="1"/>
  <c r="U5" i="1"/>
  <c r="AG5" i="1"/>
  <c r="K4" i="1"/>
  <c r="M4" i="1"/>
  <c r="N4" i="1"/>
  <c r="U4" i="1"/>
  <c r="AG4" i="1"/>
  <c r="AF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4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AE4" i="1"/>
  <c r="AC4" i="1"/>
  <c r="AC5" i="1"/>
  <c r="AC6" i="1"/>
  <c r="AC7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D4" i="1"/>
  <c r="P24" i="1"/>
  <c r="O24" i="1"/>
  <c r="P23" i="1"/>
  <c r="O23" i="1"/>
  <c r="P22" i="1"/>
  <c r="O22" i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O11" i="1"/>
  <c r="O10" i="1"/>
  <c r="O9" i="1"/>
  <c r="O8" i="1"/>
  <c r="O7" i="1"/>
  <c r="O6" i="1"/>
  <c r="O5" i="1"/>
  <c r="O4" i="1"/>
  <c r="K24" i="1"/>
  <c r="M24" i="1"/>
  <c r="K12" i="1"/>
  <c r="M12" i="1"/>
  <c r="K13" i="1"/>
  <c r="M13" i="1"/>
  <c r="K14" i="1"/>
  <c r="M14" i="1"/>
  <c r="K15" i="1"/>
  <c r="M15" i="1"/>
  <c r="K16" i="1"/>
  <c r="M16" i="1"/>
  <c r="K17" i="1"/>
  <c r="M17" i="1"/>
  <c r="K18" i="1"/>
  <c r="M18" i="1"/>
  <c r="K19" i="1"/>
  <c r="M19" i="1"/>
  <c r="K20" i="1"/>
  <c r="M20" i="1"/>
  <c r="K21" i="1"/>
  <c r="M21" i="1"/>
  <c r="K22" i="1"/>
  <c r="M22" i="1"/>
  <c r="K23" i="1"/>
  <c r="M23" i="1"/>
  <c r="O25" i="1"/>
</calcChain>
</file>

<file path=xl/sharedStrings.xml><?xml version="1.0" encoding="utf-8"?>
<sst xmlns="http://schemas.openxmlformats.org/spreadsheetml/2006/main" count="108" uniqueCount="75">
  <si>
    <t>ITEM</t>
  </si>
  <si>
    <t>GRUPO</t>
  </si>
  <si>
    <t>DESCRIPCION</t>
  </si>
  <si>
    <t>CANTIDAD</t>
  </si>
  <si>
    <t>UNIDAD DE MEDIDA</t>
  </si>
  <si>
    <t>ALIMENTOS</t>
  </si>
  <si>
    <t>Alimentos- Desayuno</t>
  </si>
  <si>
    <t>Desayuno  servido a la mesa:  caldo de costilla,  chocolate o café,  jugo de naranja, huevos, arepa y queso
Servido a la mesa en platos de loza y  vasos de vidrio
HORA DE SERVICIO: 8:00 a.m</t>
  </si>
  <si>
    <t>UN</t>
  </si>
  <si>
    <t>Alimentos- Almuerzo</t>
  </si>
  <si>
    <t>Alimentos- Cena</t>
  </si>
  <si>
    <t>Alimentos- Coctel</t>
  </si>
  <si>
    <t xml:space="preserve">Alimentos- Refrigerio </t>
  </si>
  <si>
    <t xml:space="preserve">Refrigerio: incluye jugo natural (250 ml) servido en  vaso de cristal , un sándwich pequeño (pan artesanal con relleno de jamón, queso, pollo de 30 g, lechuga y tomate en rodajas, con salsas), y una porción de fruta fresca (100 g).
HORA DE SERVICIO: 3:00 p.m. </t>
  </si>
  <si>
    <t>PERSONAL</t>
  </si>
  <si>
    <t>Personal- Coordinador evento</t>
  </si>
  <si>
    <t>PERSONA</t>
  </si>
  <si>
    <t>Personal- Meseros</t>
  </si>
  <si>
    <t>Meseros expertos,  certificados con  uniforme distintivo -PARA CUBRIR EVENTO</t>
  </si>
  <si>
    <t>Personal-  Alistador cocina</t>
  </si>
  <si>
    <t>SERVICIO MUSICAL</t>
  </si>
  <si>
    <t>Servicio Musical</t>
  </si>
  <si>
    <t>HORA</t>
  </si>
  <si>
    <t xml:space="preserve">Servicio de  solista con interpretación de saxofón  con servicio  sonido incluido.
HORA DE SERVICIO: 6:00 p.m. -  8:00 p.m.   </t>
  </si>
  <si>
    <t>DECORACIÓN</t>
  </si>
  <si>
    <t>Arreglo floral</t>
  </si>
  <si>
    <t>Arreglo  floral  en V de flores de  girasol y/ flores tropicales ,  de 80 cm de ancho y 40 cm de alto</t>
  </si>
  <si>
    <t>Trofeos</t>
  </si>
  <si>
    <t>SONIDO</t>
  </si>
  <si>
    <t>Equipo de sonido</t>
  </si>
  <si>
    <t>Suministro, instalación, operación y desmontaje de sistema de sonido con capacidad de hasta 1.000 watts, adecuado al espacio y número de asistentes. Debe cubrir música, intervenciones y presentación musical.</t>
  </si>
  <si>
    <t>SERVICIO</t>
  </si>
  <si>
    <t>Personal técnico audiovisual</t>
  </si>
  <si>
    <t>ESPACIO PARA EVENTOS</t>
  </si>
  <si>
    <t>Centro de Eventos</t>
  </si>
  <si>
    <t>ELEMENTOS DE PREMIACIÓN</t>
  </si>
  <si>
    <t xml:space="preserve">
Servicio de alquiler de  centro de eventos para evento institucional en la ciudad de Bogotá D.C., ubicado en la zona norte o noroccidente de la ciudad,  que cuente con espacios para el desarrollo de jornadas académicas, trabajo colaborativo, integración y esparcimiento de los asistentes.
El servicio deberá incluir:
Con capacidad para 160 personas.
Mesa tipo conferencia.
Micrófono.
Video beam de mínimo 5.000 lúmenes.
Pantalla de proyección de 3 m x 2 m.
Conexión a internet.
Sistema de sonido.
Punto de conexión eléctrica.
160 sillas interlocutoras.
Horario de uso del auditorio:
6:00 p.m. a 900 Pm.
Jornada de trabajo colaborativo e integración:
Disponibilidad y acceso a espacios adecuados para el desarrollo de actividades grupales, mesas de trabajo, talleres, dinámicas de integración, ejercicios de construcción colectiva, actividades lúdicas y zonas de esparcimiento para los asistentes.
</t>
  </si>
  <si>
    <t>Alquiler de centro  para eventos</t>
  </si>
  <si>
    <t xml:space="preserve"> Estación de Bebidas</t>
  </si>
  <si>
    <t>Estación de bebidas. Montaje y servicio: que incluya tinto, aromatica, agua, instacream, azúcar, vasos mezcladores, para Máximo 50 personas</t>
  </si>
  <si>
    <t>Estación de Bebidas. Montaje y servicio: que incluya tinto, aromatica, agua, instacream, azúcar, vasos mezcladores, para Máximo100 personas</t>
  </si>
  <si>
    <t>Estación de Bebidas. Montaje y servicio: que incluya tinto, aromatica, agua, instacream, azúcar, vasos mezcladores, para 160 personas</t>
  </si>
  <si>
    <t>Personal - Apoyo Logístico</t>
  </si>
  <si>
    <t>Personal de apoyo logístico que se encargue de Montaje y desmontaje, Orientación de asistentes, Control de espacios, Atención de imprevistos, Seguridad y evacuación y cierre del evento</t>
  </si>
  <si>
    <t>Coordinador general del evento. Planificar el evento, Coordinar al equipo de trabajo, Supervisar el desarrollo del evento, Coordinar proveedores, Gestionar imprevistos, y demás funciones relacionadas con la planeación, ejecución y cierre del evento.</t>
  </si>
  <si>
    <t>Servicio de cocina alistadores de cocina, cuyas funciones son, preparar y organizar los alimentos, utensilios, equipos e insumos necesarios antes y durante el evento.</t>
  </si>
  <si>
    <r>
      <t xml:space="preserve">Cena servida a la mesa incluye: </t>
    </r>
    <r>
      <rPr>
        <u/>
        <sz val="10"/>
        <color theme="1"/>
        <rFont val="Century Gothic"/>
        <family val="1"/>
      </rPr>
      <t xml:space="preserve"> 
</t>
    </r>
    <r>
      <rPr>
        <b/>
        <u/>
        <sz val="10"/>
        <color theme="1"/>
        <rFont val="Century Gothic"/>
        <family val="1"/>
      </rPr>
      <t>Entrada</t>
    </r>
    <r>
      <rPr>
        <sz val="10"/>
        <color theme="1"/>
        <rFont val="Century Gothic"/>
        <family val="1"/>
      </rPr>
      <t xml:space="preserve"> (sopa especial, crema o carpaccio de 120 g), 
</t>
    </r>
    <r>
      <rPr>
        <b/>
        <u/>
        <sz val="10"/>
        <color theme="1"/>
        <rFont val="Century Gothic"/>
        <family val="1"/>
      </rPr>
      <t>Plato principa</t>
    </r>
    <r>
      <rPr>
        <b/>
        <sz val="10"/>
        <color theme="1"/>
        <rFont val="Century Gothic"/>
        <family val="1"/>
      </rPr>
      <t>l</t>
    </r>
    <r>
      <rPr>
        <sz val="10"/>
        <color theme="1"/>
        <rFont val="Century Gothic"/>
        <family val="1"/>
      </rPr>
      <t xml:space="preserve"> con proteína premium (salmón, lomo fino o medallón de res de 180 g), dos acompañamientos (puré de papa y vegetales al vapor, 100 g cada uno), porción de ensalada gourmet con aderezo (120 g), postre individual (70 g), y 
</t>
    </r>
    <r>
      <rPr>
        <b/>
        <u/>
        <sz val="10"/>
        <color theme="1"/>
        <rFont val="Century Gothic"/>
        <family val="1"/>
      </rPr>
      <t>Bebida</t>
    </r>
    <r>
      <rPr>
        <sz val="10"/>
        <color theme="1"/>
        <rFont val="Century Gothic"/>
        <family val="1"/>
      </rPr>
      <t xml:space="preserve"> (jugo natural o limonada de 300 ml) y 
</t>
    </r>
    <r>
      <rPr>
        <b/>
        <u/>
        <sz val="10"/>
        <color theme="1"/>
        <rFont val="Century Gothic"/>
        <family val="1"/>
      </rPr>
      <t>Postre  individual</t>
    </r>
    <r>
      <rPr>
        <u/>
        <sz val="10"/>
        <color theme="1"/>
        <rFont val="Century Gothic"/>
        <family val="1"/>
      </rPr>
      <t xml:space="preserve"> de 70 gra </t>
    </r>
    <r>
      <rPr>
        <sz val="10"/>
        <color theme="1"/>
        <rFont val="Century Gothic"/>
        <family val="1"/>
      </rPr>
      <t xml:space="preserve">mouse de maracuyá o fruta de cosecha
</t>
    </r>
    <r>
      <rPr>
        <b/>
        <u/>
        <sz val="10"/>
        <color theme="1"/>
        <rFont val="Century Gothic"/>
        <family val="1"/>
      </rPr>
      <t>**Opción de menú vegetariano:</t>
    </r>
    <r>
      <rPr>
        <b/>
        <sz val="10"/>
        <color theme="1"/>
        <rFont val="Century Gothic"/>
        <family val="1"/>
      </rPr>
      <t xml:space="preserve"> Crema  suave de zanahoria con un toque de coco y jengibre.Plato principal: Risotto de champiñones con unas gotas de aceite de trufa, o un elegante hojaldre relleno de berenjenas y calabaza.
</t>
    </r>
    <r>
      <rPr>
        <sz val="10"/>
        <color theme="1"/>
        <rFont val="Century Gothic"/>
        <family val="1"/>
      </rPr>
      <t xml:space="preserve">servido en vajilla de loza  y vasos de cristal
Servicio de mantel, sobremantel y servilletas
HORA DE SERVICIO:6:00 p.m
</t>
    </r>
  </si>
  <si>
    <r>
      <rPr>
        <b/>
        <sz val="10"/>
        <color rgb="FF000000"/>
        <rFont val="Century Gothic"/>
        <family val="1"/>
      </rPr>
      <t xml:space="preserve">Cóctel </t>
    </r>
    <r>
      <rPr>
        <sz val="10"/>
        <color rgb="FF000000"/>
        <rFont val="Century Gothic"/>
        <family val="1"/>
      </rPr>
      <t>sin bebidas alcohólicas, servido a la mesa en  copa de cristal
HORA DE SERVICIO: 6:00 p.m</t>
    </r>
  </si>
  <si>
    <r>
      <rPr>
        <b/>
        <sz val="10"/>
        <color theme="1"/>
        <rFont val="Century Gothic"/>
        <family val="1"/>
      </rPr>
      <t>Técnico para operación y soporte de sonido:</t>
    </r>
    <r>
      <rPr>
        <sz val="10"/>
        <color theme="1"/>
        <rFont val="Century Gothic"/>
        <family val="1"/>
      </rPr>
      <t xml:space="preserve"> iluminación y video. Incluir montaje, operación durante el evento, atención de requerimientos y desmontaje, durante el evento.</t>
    </r>
  </si>
  <si>
    <r>
      <rPr>
        <b/>
        <sz val="10"/>
        <color theme="1"/>
        <rFont val="Century Gothic"/>
        <family val="1"/>
      </rPr>
      <t>DUETO MUSICAL. Presentación:</t>
    </r>
    <r>
      <rPr>
        <sz val="10"/>
        <color theme="1"/>
        <rFont val="Century Gothic"/>
        <family val="1"/>
      </rPr>
      <t xml:space="preserve"> De dueto musical  musica de cuerda durante 2 horas. </t>
    </r>
  </si>
  <si>
    <r>
      <t>A</t>
    </r>
    <r>
      <rPr>
        <b/>
        <sz val="10"/>
        <color rgb="FF000000"/>
        <rFont val="Century Gothic"/>
        <family val="1"/>
      </rPr>
      <t>rreglo floral  bajo  de 25 cm   para centro  de mesa de  flores frescas rosas y margaritas</t>
    </r>
  </si>
  <si>
    <r>
      <rPr>
        <b/>
        <sz val="10"/>
        <color rgb="FF000000"/>
        <rFont val="Century Gothic"/>
        <family val="1"/>
      </rPr>
      <t>Placa conmemorativa</t>
    </r>
    <r>
      <rPr>
        <sz val="10"/>
        <color rgb="FF000000"/>
        <rFont val="Century Gothic"/>
        <family val="1"/>
      </rPr>
      <t xml:space="preserve"> en vidrio  18 cm de alto y  13 cm de ancho
elaborados en lámina traslucida importada de  acrílico,  en silueta  en triángulo con  grabación de  imágenes en láser  en color blanco , sobre base madera mdf tono  wuengu dde 16 cm de ancho por 3 cm de alto  con lámina metálica dorada o en la base ara grabación de logos y textos full color sin relieve
</t>
    </r>
  </si>
  <si>
    <r>
      <t xml:space="preserve">Servicio de alquiler de auditorio para evento institucional en la ciudad de Bogotá D.C., ubicado en la zona norte o noroccidente de la ciudad, en centro de convenciones, centro de eventos, hotel o establecimiento que cuente con espacios para el desarrollo de jornadas académicas, trabajo colaborativo, integración y esparcimiento de los asistentes.
El servicio deberá incluir:
Auditorio con capacidad para 90 personas.
Mesa tipo conferencia.
Micrófono.
Video beam de mínimo 5.000 lúmenes.
Pantalla de proyección de 3 m x 2 m.
Conexión a internet.
Sistema de sonido.
Punto de conexión eléctrica.
90 sillas interlocutoras tipo isósceles.
Horario de uso del auditorio:
 8:00 a.m. a 12:00 m.
</t>
    </r>
    <r>
      <rPr>
        <b/>
        <sz val="10"/>
        <rFont val="Century Gothic"/>
        <family val="1"/>
      </rPr>
      <t>Jornada de trabajo colaborativo e integración:</t>
    </r>
    <r>
      <rPr>
        <sz val="10"/>
        <rFont val="Century Gothic"/>
        <family val="1"/>
      </rPr>
      <t xml:space="preserve">
 Disponibilidad y acceso a espacios adecuados para el desarrollo de actividades grupales, mesas de trabajo, talleres, dinámicas de integración, ejercicios de construcción colectiva, actividades lúdicas y zonas de esparcimiento para los asistentes.
Horario de uso de los espacios para trabajo colaborativo e integración:
 1:00 p.m. a 5:00 p.m.</t>
    </r>
  </si>
  <si>
    <r>
      <t>Almuerzo</t>
    </r>
    <r>
      <rPr>
        <sz val="10"/>
        <rFont val="Century Gothic"/>
        <family val="1"/>
      </rPr>
      <t xml:space="preserve"> gourmet servido a la mesa incluye: 
</t>
    </r>
    <r>
      <rPr>
        <b/>
        <u/>
        <sz val="10"/>
        <rFont val="Century Gothic"/>
        <family val="1"/>
      </rPr>
      <t>Entrada</t>
    </r>
    <r>
      <rPr>
        <sz val="10"/>
        <rFont val="Century Gothic"/>
        <family val="1"/>
      </rPr>
      <t xml:space="preserve"> (sopa especial, crema o carpaccio de 120 g), 
</t>
    </r>
    <r>
      <rPr>
        <b/>
        <u/>
        <sz val="10"/>
        <rFont val="Century Gothic"/>
        <family val="1"/>
      </rPr>
      <t>Plato principal</t>
    </r>
    <r>
      <rPr>
        <sz val="10"/>
        <rFont val="Century Gothic"/>
        <family val="1"/>
      </rPr>
      <t xml:space="preserve"> con proteína premium (salmón, lomo fino o medallón de res de 180 g), dos acompañamientos (puré de papa y vegetales al vapor, 100 g cada uno), porción de ensalada gourmet con aderezo (120 g), 
</t>
    </r>
    <r>
      <rPr>
        <b/>
        <u/>
        <sz val="10"/>
        <rFont val="Century Gothic"/>
        <family val="1"/>
      </rPr>
      <t>Postre</t>
    </r>
    <r>
      <rPr>
        <sz val="10"/>
        <rFont val="Century Gothic"/>
        <family val="1"/>
      </rPr>
      <t xml:space="preserve"> individual (70 g), y
</t>
    </r>
    <r>
      <rPr>
        <b/>
        <u/>
        <sz val="10"/>
        <rFont val="Century Gothic"/>
        <family val="1"/>
      </rPr>
      <t>Bebida</t>
    </r>
    <r>
      <rPr>
        <sz val="10"/>
        <rFont val="Century Gothic"/>
        <family val="1"/>
      </rPr>
      <t xml:space="preserve"> (jugo natural o limonada de 300 ml). 
</t>
    </r>
    <r>
      <rPr>
        <b/>
        <u/>
        <sz val="10"/>
        <rFont val="Century Gothic"/>
        <family val="1"/>
      </rPr>
      <t>Opción de menú vegetariano</t>
    </r>
    <r>
      <rPr>
        <sz val="10"/>
        <rFont val="Century Gothic"/>
        <family val="1"/>
      </rPr>
      <t xml:space="preserve">   
Crema  suave de zanahoria con un toque de coco y jengibre.
Plato principal: Risotto de champiñones con unas gotas de aceite de trufa, o  hojaldre relleno de berenjenas y calabaza.
Servido en servido en vajilla de loza  y vasos de cristal
Servicio de mantel, sobremantel,  servilleta, servido en vajilla de loza y vasos de cristal
HORA DE SERVICIO: 12:00 P.M.</t>
    </r>
  </si>
  <si>
    <t>VALOR IVA</t>
  </si>
  <si>
    <t>TOTAL SIN IVA</t>
  </si>
  <si>
    <t>TOTAL CON IVA</t>
  </si>
  <si>
    <t>VALOR IPOCOSNUMO</t>
  </si>
  <si>
    <t>TOTAL SIN IPOCONSUMO</t>
  </si>
  <si>
    <t>TOTAL CON IPOCOSNUMO</t>
  </si>
  <si>
    <t>VALOR NETO</t>
  </si>
  <si>
    <t>FINGERPINT</t>
  </si>
  <si>
    <t>DOGMAN</t>
  </si>
  <si>
    <t>VALOR IPOCONSUMO</t>
  </si>
  <si>
    <t>TOTAL CON IPOCONSUMO</t>
  </si>
  <si>
    <t>ASOPLAMAORGANICO</t>
  </si>
  <si>
    <t>MEDIA GEOMETRICA</t>
  </si>
  <si>
    <t>MEDIA ARMONICA</t>
  </si>
  <si>
    <t>PROMEDIO</t>
  </si>
  <si>
    <t>CV X ITEM</t>
  </si>
  <si>
    <t>PROMEDIO TOTAL CV</t>
  </si>
  <si>
    <t>Análisis de sensibilidad del precio estimado según el método de promedio</t>
  </si>
  <si>
    <t>Diferencia de la geométrica frente al promedio</t>
  </si>
  <si>
    <t>Diferencia de la armónica frente al promedio</t>
  </si>
  <si>
    <t>PRECIOS TECHO DE REFERENCIA
(MEDIA GEOMETRICA)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</si>
</sst>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[$$-240A]\ #,##0.00"/>
  </numFmts>
  <fonts count="1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Century Gothic"/>
      <family val="1"/>
    </font>
    <font>
      <sz val="10"/>
      <name val="Century Gothic"/>
      <family val="1"/>
    </font>
    <font>
      <sz val="10"/>
      <color rgb="FF000000"/>
      <name val="Century Gothic"/>
      <family val="1"/>
    </font>
    <font>
      <b/>
      <sz val="10"/>
      <name val="Century Gothic"/>
      <family val="1"/>
    </font>
    <font>
      <u/>
      <sz val="10"/>
      <color theme="1"/>
      <name val="Century Gothic"/>
      <family val="1"/>
    </font>
    <font>
      <b/>
      <u/>
      <sz val="10"/>
      <color theme="1"/>
      <name val="Century Gothic"/>
      <family val="1"/>
    </font>
    <font>
      <b/>
      <sz val="10"/>
      <color theme="1"/>
      <name val="Century Gothic"/>
      <family val="1"/>
    </font>
    <font>
      <b/>
      <sz val="10"/>
      <color rgb="FF000000"/>
      <name val="Century Gothic"/>
      <family val="1"/>
    </font>
    <font>
      <b/>
      <u/>
      <sz val="10"/>
      <name val="Century Gothic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rgb="FFFFF2C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justify" wrapText="1"/>
    </xf>
    <xf numFmtId="0" fontId="4" fillId="0" borderId="6" xfId="0" applyFont="1" applyBorder="1" applyAlignment="1">
      <alignment horizontal="center" vertical="center" wrapText="1"/>
    </xf>
    <xf numFmtId="0" fontId="2" fillId="0" borderId="0" xfId="0" applyFont="1"/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justify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justify" wrapText="1"/>
    </xf>
    <xf numFmtId="0" fontId="4" fillId="0" borderId="8" xfId="0" applyFont="1" applyBorder="1" applyAlignment="1">
      <alignment horizontal="justify" vertical="justify" wrapText="1"/>
    </xf>
    <xf numFmtId="0" fontId="8" fillId="0" borderId="8" xfId="0" applyFont="1" applyBorder="1" applyAlignment="1">
      <alignment horizontal="justify" vertical="justify" wrapText="1"/>
    </xf>
    <xf numFmtId="0" fontId="9" fillId="0" borderId="8" xfId="0" applyFont="1" applyBorder="1" applyAlignment="1">
      <alignment horizontal="justify" vertical="justify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justify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justify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justify" vertical="justify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0" xfId="0" applyNumberFormat="1" applyFont="1"/>
    <xf numFmtId="164" fontId="2" fillId="0" borderId="1" xfId="1" applyNumberFormat="1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0" xfId="2" applyFont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9" fontId="8" fillId="5" borderId="1" xfId="2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top"/>
    </xf>
    <xf numFmtId="164" fontId="8" fillId="5" borderId="1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9" fontId="8" fillId="5" borderId="1" xfId="2" applyFont="1" applyFill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33"/>
  <sheetViews>
    <sheetView showGridLines="0" tabSelected="1" topLeftCell="G1" zoomScale="75" zoomScaleNormal="100" workbookViewId="0">
      <selection activeCell="AJ2" sqref="AJ2:AJ3"/>
    </sheetView>
  </sheetViews>
  <sheetFormatPr baseColWidth="10" defaultColWidth="48.1640625" defaultRowHeight="13" x14ac:dyDescent="0.15"/>
  <cols>
    <col min="1" max="1" width="20.83203125" style="6" customWidth="1"/>
    <col min="2" max="2" width="5.83203125" style="6" customWidth="1"/>
    <col min="3" max="3" width="23.83203125" style="6" customWidth="1"/>
    <col min="4" max="4" width="34.6640625" style="6" customWidth="1"/>
    <col min="5" max="5" width="54.5" style="24" hidden="1" customWidth="1"/>
    <col min="6" max="6" width="11.33203125" style="25" customWidth="1"/>
    <col min="7" max="7" width="18.83203125" style="25" customWidth="1"/>
    <col min="8" max="13" width="13.1640625" style="6" hidden="1" customWidth="1"/>
    <col min="14" max="14" width="22.33203125" style="33" customWidth="1"/>
    <col min="15" max="15" width="12.1640625" style="33" hidden="1" customWidth="1"/>
    <col min="16" max="16" width="14.6640625" style="33" hidden="1" customWidth="1"/>
    <col min="17" max="17" width="16.6640625" style="33" hidden="1" customWidth="1"/>
    <col min="18" max="18" width="15.1640625" style="6" hidden="1" customWidth="1"/>
    <col min="19" max="19" width="16.5" style="6" hidden="1" customWidth="1"/>
    <col min="20" max="20" width="16.83203125" style="6" hidden="1" customWidth="1"/>
    <col min="21" max="21" width="23" style="6" customWidth="1"/>
    <col min="22" max="24" width="20.83203125" style="6" hidden="1" customWidth="1"/>
    <col min="25" max="27" width="24" style="6" hidden="1" customWidth="1"/>
    <col min="28" max="28" width="21.33203125" style="6" customWidth="1"/>
    <col min="29" max="29" width="17.5" style="49" customWidth="1"/>
    <col min="30" max="30" width="19.83203125" style="6" customWidth="1"/>
    <col min="31" max="33" width="19.83203125" style="36" customWidth="1"/>
    <col min="34" max="34" width="23.33203125" style="49" customWidth="1"/>
    <col min="35" max="35" width="23.1640625" style="49" customWidth="1"/>
    <col min="36" max="36" width="22.6640625" style="25" customWidth="1"/>
    <col min="37" max="16384" width="48.1640625" style="6"/>
  </cols>
  <sheetData>
    <row r="1" spans="2:36" ht="27" customHeight="1" x14ac:dyDescent="0.15"/>
    <row r="2" spans="2:36" s="25" customFormat="1" ht="44" customHeight="1" x14ac:dyDescent="0.2">
      <c r="N2" s="38" t="s">
        <v>61</v>
      </c>
      <c r="O2" s="36"/>
      <c r="P2" s="36"/>
      <c r="Q2" s="36"/>
      <c r="U2" s="39" t="s">
        <v>62</v>
      </c>
      <c r="AB2" s="39" t="s">
        <v>65</v>
      </c>
      <c r="AC2" s="59" t="s">
        <v>69</v>
      </c>
      <c r="AD2" s="60" t="s">
        <v>70</v>
      </c>
      <c r="AE2" s="53" t="s">
        <v>66</v>
      </c>
      <c r="AF2" s="53" t="s">
        <v>67</v>
      </c>
      <c r="AG2" s="53" t="s">
        <v>68</v>
      </c>
      <c r="AH2" s="58" t="s">
        <v>71</v>
      </c>
      <c r="AI2" s="58"/>
      <c r="AJ2" s="61" t="s">
        <v>74</v>
      </c>
    </row>
    <row r="3" spans="2:36" s="40" customFormat="1" ht="34" customHeight="1" x14ac:dyDescent="0.2">
      <c r="B3" s="26" t="s">
        <v>0</v>
      </c>
      <c r="C3" s="41" t="s">
        <v>1</v>
      </c>
      <c r="D3" s="44" t="s">
        <v>2</v>
      </c>
      <c r="E3" s="44"/>
      <c r="F3" s="44" t="s">
        <v>3</v>
      </c>
      <c r="G3" s="44" t="s">
        <v>4</v>
      </c>
      <c r="H3" s="26" t="s">
        <v>54</v>
      </c>
      <c r="I3" s="26" t="s">
        <v>55</v>
      </c>
      <c r="J3" s="26" t="s">
        <v>56</v>
      </c>
      <c r="K3" s="26" t="s">
        <v>57</v>
      </c>
      <c r="L3" s="26" t="s">
        <v>58</v>
      </c>
      <c r="M3" s="26" t="s">
        <v>59</v>
      </c>
      <c r="N3" s="42" t="s">
        <v>60</v>
      </c>
      <c r="O3" s="43" t="s">
        <v>54</v>
      </c>
      <c r="P3" s="43" t="s">
        <v>55</v>
      </c>
      <c r="Q3" s="43" t="s">
        <v>56</v>
      </c>
      <c r="R3" s="43" t="s">
        <v>57</v>
      </c>
      <c r="S3" s="43" t="s">
        <v>58</v>
      </c>
      <c r="T3" s="43" t="s">
        <v>59</v>
      </c>
      <c r="U3" s="44" t="s">
        <v>60</v>
      </c>
      <c r="V3" s="48" t="s">
        <v>54</v>
      </c>
      <c r="W3" s="48" t="s">
        <v>55</v>
      </c>
      <c r="X3" s="48" t="s">
        <v>56</v>
      </c>
      <c r="Y3" s="48" t="s">
        <v>63</v>
      </c>
      <c r="Z3" s="48" t="s">
        <v>58</v>
      </c>
      <c r="AA3" s="48" t="s">
        <v>64</v>
      </c>
      <c r="AB3" s="44" t="s">
        <v>60</v>
      </c>
      <c r="AC3" s="59"/>
      <c r="AD3" s="60"/>
      <c r="AE3" s="53"/>
      <c r="AF3" s="53"/>
      <c r="AG3" s="53"/>
      <c r="AH3" s="51" t="s">
        <v>72</v>
      </c>
      <c r="AI3" s="51" t="s">
        <v>73</v>
      </c>
      <c r="AJ3" s="62"/>
    </row>
    <row r="4" spans="2:36" ht="56" x14ac:dyDescent="0.15">
      <c r="B4" s="1">
        <v>1</v>
      </c>
      <c r="C4" s="54" t="s">
        <v>5</v>
      </c>
      <c r="D4" s="3" t="s">
        <v>6</v>
      </c>
      <c r="E4" s="4" t="s">
        <v>7</v>
      </c>
      <c r="F4" s="5">
        <v>1</v>
      </c>
      <c r="G4" s="3" t="s">
        <v>8</v>
      </c>
      <c r="H4" s="28"/>
      <c r="I4" s="30"/>
      <c r="J4" s="30"/>
      <c r="K4" s="30">
        <f>+L4*0.08</f>
        <v>5120</v>
      </c>
      <c r="L4" s="30">
        <v>64000</v>
      </c>
      <c r="M4" s="30">
        <f>+L4+K4</f>
        <v>69120</v>
      </c>
      <c r="N4" s="34">
        <f>+M4</f>
        <v>69120</v>
      </c>
      <c r="O4" s="37">
        <f t="shared" ref="O4:O11" si="0">P4*0</f>
        <v>0</v>
      </c>
      <c r="P4" s="45"/>
      <c r="Q4" s="37"/>
      <c r="R4" s="37"/>
      <c r="S4" s="37"/>
      <c r="T4" s="37">
        <v>69000</v>
      </c>
      <c r="U4" s="37">
        <f>T4</f>
        <v>69000</v>
      </c>
      <c r="V4" s="37"/>
      <c r="W4" s="37"/>
      <c r="X4" s="37"/>
      <c r="Y4" s="37">
        <v>4720</v>
      </c>
      <c r="Z4" s="37">
        <v>59000</v>
      </c>
      <c r="AA4" s="37">
        <v>63720</v>
      </c>
      <c r="AB4" s="37">
        <v>63720</v>
      </c>
      <c r="AC4" s="50">
        <f t="shared" ref="AC4:AC24" si="1">_xlfn.STDEV.S(N4,U4,AB4)/AVERAGE(N4,U4,AB4)</f>
        <v>4.5832851063514944E-2</v>
      </c>
      <c r="AD4" s="52">
        <f>AVERAGE(AC4:AC24)</f>
        <v>0.13433013126154472</v>
      </c>
      <c r="AE4" s="37">
        <f>ROUND(GEOMEAN(N4,U4,AB4),0)</f>
        <v>67232</v>
      </c>
      <c r="AF4" s="37">
        <f>ROUND(HARMEAN(N4,U4,AB4),0)</f>
        <v>67183</v>
      </c>
      <c r="AG4" s="37">
        <f>ROUND(AVERAGE(N4,U4,AB4),0)</f>
        <v>67280</v>
      </c>
      <c r="AH4" s="50">
        <f t="shared" ref="AH4:AH24" si="2">(GEOMEAN(N4,U4,AB4)/AVERAGE(N4,U4,AB4))-1</f>
        <v>-7.1305660727838394E-4</v>
      </c>
      <c r="AI4" s="50">
        <f t="shared" ref="AI4:AI24" si="3">(HARMEAN(N4,U4,AB4)/AVERAGE(N4,U4,AB4))-1</f>
        <v>-1.4384353061652755E-3</v>
      </c>
      <c r="AJ4" s="63">
        <f t="shared" ref="AJ4:AJ24" si="4">AE4</f>
        <v>67232</v>
      </c>
    </row>
    <row r="5" spans="2:36" ht="224" x14ac:dyDescent="0.15">
      <c r="B5" s="7">
        <v>2</v>
      </c>
      <c r="C5" s="55"/>
      <c r="D5" s="8" t="s">
        <v>9</v>
      </c>
      <c r="E5" s="9" t="s">
        <v>53</v>
      </c>
      <c r="F5" s="8">
        <v>1</v>
      </c>
      <c r="G5" s="8" t="s">
        <v>8</v>
      </c>
      <c r="H5" s="28"/>
      <c r="I5" s="30"/>
      <c r="J5" s="30"/>
      <c r="K5" s="30">
        <f t="shared" ref="K5:K24" si="5">+L5*0.08</f>
        <v>7120</v>
      </c>
      <c r="L5" s="30">
        <v>89000</v>
      </c>
      <c r="M5" s="30">
        <f t="shared" ref="M5:M23" si="6">+L5+K5</f>
        <v>96120</v>
      </c>
      <c r="N5" s="34">
        <f t="shared" ref="N5:N11" si="7">+M5</f>
        <v>96120</v>
      </c>
      <c r="O5" s="37">
        <f t="shared" si="0"/>
        <v>0</v>
      </c>
      <c r="P5" s="45"/>
      <c r="Q5" s="37"/>
      <c r="R5" s="37"/>
      <c r="S5" s="37"/>
      <c r="T5" s="37">
        <v>72000</v>
      </c>
      <c r="U5" s="37">
        <f t="shared" ref="U5:U11" si="8">T5</f>
        <v>72000</v>
      </c>
      <c r="V5" s="37"/>
      <c r="W5" s="37"/>
      <c r="X5" s="37"/>
      <c r="Y5" s="37">
        <v>6720</v>
      </c>
      <c r="Z5" s="37">
        <v>84000</v>
      </c>
      <c r="AA5" s="37">
        <v>90720</v>
      </c>
      <c r="AB5" s="37">
        <v>90720</v>
      </c>
      <c r="AC5" s="50">
        <f t="shared" si="1"/>
        <v>0.14671014747126251</v>
      </c>
      <c r="AD5" s="52"/>
      <c r="AE5" s="37">
        <f t="shared" ref="AE5:AE24" si="9">ROUND(GEOMEAN(N5,U5,AB5),0)</f>
        <v>85628</v>
      </c>
      <c r="AF5" s="37">
        <f>ROUND(HARMEAN(N5,U5,AB5),0)</f>
        <v>84949</v>
      </c>
      <c r="AG5" s="37">
        <f t="shared" ref="AG5:AG24" si="10">ROUND(AVERAGE(N5,U5,AB5),0)</f>
        <v>86280</v>
      </c>
      <c r="AH5" s="50">
        <f t="shared" si="2"/>
        <v>-7.5553453637984269E-3</v>
      </c>
      <c r="AI5" s="50">
        <f t="shared" si="3"/>
        <v>-1.5431309003419491E-2</v>
      </c>
      <c r="AJ5" s="63">
        <f t="shared" si="4"/>
        <v>85628</v>
      </c>
    </row>
    <row r="6" spans="2:36" ht="252" x14ac:dyDescent="0.15">
      <c r="B6" s="10">
        <v>3</v>
      </c>
      <c r="C6" s="55"/>
      <c r="D6" s="11" t="s">
        <v>10</v>
      </c>
      <c r="E6" s="12" t="s">
        <v>46</v>
      </c>
      <c r="F6" s="11">
        <v>1</v>
      </c>
      <c r="G6" s="11" t="s">
        <v>8</v>
      </c>
      <c r="H6" s="28"/>
      <c r="I6" s="30"/>
      <c r="J6" s="30"/>
      <c r="K6" s="30">
        <f t="shared" si="5"/>
        <v>7120</v>
      </c>
      <c r="L6" s="30">
        <v>89000</v>
      </c>
      <c r="M6" s="30">
        <f t="shared" si="6"/>
        <v>96120</v>
      </c>
      <c r="N6" s="34">
        <f t="shared" si="7"/>
        <v>96120</v>
      </c>
      <c r="O6" s="37">
        <f t="shared" si="0"/>
        <v>0</v>
      </c>
      <c r="P6" s="45"/>
      <c r="Q6" s="37"/>
      <c r="R6" s="37"/>
      <c r="S6" s="37"/>
      <c r="T6" s="37">
        <v>72000</v>
      </c>
      <c r="U6" s="37">
        <f t="shared" si="8"/>
        <v>72000</v>
      </c>
      <c r="V6" s="37"/>
      <c r="W6" s="37"/>
      <c r="X6" s="37"/>
      <c r="Y6" s="37">
        <v>6720</v>
      </c>
      <c r="Z6" s="37">
        <v>84000</v>
      </c>
      <c r="AA6" s="37">
        <v>90720</v>
      </c>
      <c r="AB6" s="37">
        <v>90720</v>
      </c>
      <c r="AC6" s="50">
        <f t="shared" si="1"/>
        <v>0.14671014747126251</v>
      </c>
      <c r="AD6" s="52"/>
      <c r="AE6" s="37">
        <f t="shared" si="9"/>
        <v>85628</v>
      </c>
      <c r="AF6" s="37">
        <f t="shared" ref="AF6:AF24" si="11">ROUND(HARMEAN(N6,U6,AB6),0)</f>
        <v>84949</v>
      </c>
      <c r="AG6" s="37">
        <f t="shared" si="10"/>
        <v>86280</v>
      </c>
      <c r="AH6" s="50">
        <f t="shared" si="2"/>
        <v>-7.5553453637984269E-3</v>
      </c>
      <c r="AI6" s="50">
        <f t="shared" si="3"/>
        <v>-1.5431309003419491E-2</v>
      </c>
      <c r="AJ6" s="63">
        <f t="shared" si="4"/>
        <v>85628</v>
      </c>
    </row>
    <row r="7" spans="2:36" ht="42" x14ac:dyDescent="0.15">
      <c r="B7" s="1">
        <v>4</v>
      </c>
      <c r="C7" s="55"/>
      <c r="D7" s="11" t="s">
        <v>11</v>
      </c>
      <c r="E7" s="13" t="s">
        <v>47</v>
      </c>
      <c r="F7" s="11">
        <v>1</v>
      </c>
      <c r="G7" s="11" t="s">
        <v>8</v>
      </c>
      <c r="H7" s="28"/>
      <c r="I7" s="30"/>
      <c r="J7" s="30"/>
      <c r="K7" s="30">
        <f t="shared" si="5"/>
        <v>2560</v>
      </c>
      <c r="L7" s="30">
        <v>32000</v>
      </c>
      <c r="M7" s="30">
        <f t="shared" si="6"/>
        <v>34560</v>
      </c>
      <c r="N7" s="34">
        <f t="shared" si="7"/>
        <v>34560</v>
      </c>
      <c r="O7" s="37">
        <f t="shared" si="0"/>
        <v>0</v>
      </c>
      <c r="P7" s="45"/>
      <c r="Q7" s="37"/>
      <c r="R7" s="37"/>
      <c r="S7" s="37"/>
      <c r="T7" s="37">
        <v>39000</v>
      </c>
      <c r="U7" s="37">
        <f t="shared" si="8"/>
        <v>39000</v>
      </c>
      <c r="V7" s="37"/>
      <c r="W7" s="37"/>
      <c r="X7" s="37"/>
      <c r="Y7" s="37">
        <v>2880</v>
      </c>
      <c r="Z7" s="37">
        <v>36000</v>
      </c>
      <c r="AA7" s="37">
        <v>38880</v>
      </c>
      <c r="AB7" s="37">
        <v>38880</v>
      </c>
      <c r="AC7" s="50">
        <f t="shared" si="1"/>
        <v>6.7489484541141412E-2</v>
      </c>
      <c r="AD7" s="52"/>
      <c r="AE7" s="37">
        <f t="shared" si="9"/>
        <v>37422</v>
      </c>
      <c r="AF7" s="37">
        <f t="shared" si="11"/>
        <v>37362</v>
      </c>
      <c r="AG7" s="37">
        <f t="shared" si="10"/>
        <v>37480</v>
      </c>
      <c r="AH7" s="50">
        <f t="shared" si="2"/>
        <v>-1.560049340261549E-3</v>
      </c>
      <c r="AI7" s="50">
        <f t="shared" si="3"/>
        <v>-3.1593705136024886E-3</v>
      </c>
      <c r="AJ7" s="63">
        <f t="shared" si="4"/>
        <v>37422</v>
      </c>
    </row>
    <row r="8" spans="2:36" ht="70" x14ac:dyDescent="0.15">
      <c r="B8" s="7">
        <v>5</v>
      </c>
      <c r="C8" s="55"/>
      <c r="D8" s="11" t="s">
        <v>12</v>
      </c>
      <c r="E8" s="13" t="s">
        <v>13</v>
      </c>
      <c r="F8" s="8">
        <v>1</v>
      </c>
      <c r="G8" s="11" t="s">
        <v>8</v>
      </c>
      <c r="H8" s="28"/>
      <c r="I8" s="30"/>
      <c r="J8" s="30"/>
      <c r="K8" s="30">
        <f t="shared" si="5"/>
        <v>2480</v>
      </c>
      <c r="L8" s="30">
        <v>31000</v>
      </c>
      <c r="M8" s="30">
        <f t="shared" si="6"/>
        <v>33480</v>
      </c>
      <c r="N8" s="34">
        <f t="shared" si="7"/>
        <v>33480</v>
      </c>
      <c r="O8" s="37">
        <f t="shared" si="0"/>
        <v>0</v>
      </c>
      <c r="P8" s="45"/>
      <c r="Q8" s="37"/>
      <c r="R8" s="37"/>
      <c r="S8" s="37"/>
      <c r="T8" s="37">
        <v>29000</v>
      </c>
      <c r="U8" s="37">
        <f t="shared" si="8"/>
        <v>29000</v>
      </c>
      <c r="V8" s="37"/>
      <c r="W8" s="37"/>
      <c r="X8" s="37"/>
      <c r="Y8" s="37">
        <v>2320</v>
      </c>
      <c r="Z8" s="37">
        <v>29000</v>
      </c>
      <c r="AA8" s="37">
        <v>31320</v>
      </c>
      <c r="AB8" s="37">
        <v>31320</v>
      </c>
      <c r="AC8" s="50">
        <f t="shared" si="1"/>
        <v>7.1657019398874103E-2</v>
      </c>
      <c r="AD8" s="52"/>
      <c r="AE8" s="37">
        <f t="shared" si="9"/>
        <v>31213</v>
      </c>
      <c r="AF8" s="37">
        <f t="shared" si="11"/>
        <v>31159</v>
      </c>
      <c r="AG8" s="37">
        <f t="shared" si="10"/>
        <v>31267</v>
      </c>
      <c r="AH8" s="50">
        <f t="shared" si="2"/>
        <v>-1.717441939773301E-3</v>
      </c>
      <c r="AI8" s="50">
        <f t="shared" si="3"/>
        <v>-3.437789960887061E-3</v>
      </c>
      <c r="AJ8" s="63">
        <f t="shared" si="4"/>
        <v>31213</v>
      </c>
    </row>
    <row r="9" spans="2:36" ht="42" x14ac:dyDescent="0.15">
      <c r="B9" s="10">
        <v>6</v>
      </c>
      <c r="C9" s="55"/>
      <c r="D9" s="11" t="s">
        <v>38</v>
      </c>
      <c r="E9" s="12" t="s">
        <v>39</v>
      </c>
      <c r="F9" s="11">
        <v>1</v>
      </c>
      <c r="G9" s="11" t="s">
        <v>8</v>
      </c>
      <c r="H9" s="28"/>
      <c r="I9" s="30"/>
      <c r="J9" s="30"/>
      <c r="K9" s="30">
        <f t="shared" si="5"/>
        <v>124800</v>
      </c>
      <c r="L9" s="30">
        <v>1560000</v>
      </c>
      <c r="M9" s="30">
        <f t="shared" si="6"/>
        <v>1684800</v>
      </c>
      <c r="N9" s="34">
        <f t="shared" si="7"/>
        <v>1684800</v>
      </c>
      <c r="O9" s="37">
        <f t="shared" si="0"/>
        <v>0</v>
      </c>
      <c r="P9" s="45"/>
      <c r="Q9" s="37"/>
      <c r="R9" s="37"/>
      <c r="S9" s="37"/>
      <c r="T9" s="37">
        <v>1500000</v>
      </c>
      <c r="U9" s="37">
        <f t="shared" si="8"/>
        <v>1500000</v>
      </c>
      <c r="V9" s="37"/>
      <c r="W9" s="37"/>
      <c r="X9" s="37"/>
      <c r="Y9" s="37">
        <v>128000</v>
      </c>
      <c r="Z9" s="37">
        <v>1600000</v>
      </c>
      <c r="AA9" s="37">
        <v>1728000</v>
      </c>
      <c r="AB9" s="37">
        <v>1728000</v>
      </c>
      <c r="AC9" s="50">
        <f t="shared" si="1"/>
        <v>7.395389285033524E-2</v>
      </c>
      <c r="AD9" s="52"/>
      <c r="AE9" s="37">
        <f t="shared" si="9"/>
        <v>1634536</v>
      </c>
      <c r="AF9" s="37">
        <f t="shared" si="11"/>
        <v>1631399</v>
      </c>
      <c r="AG9" s="37">
        <f t="shared" si="10"/>
        <v>1637600</v>
      </c>
      <c r="AH9" s="50">
        <f t="shared" si="2"/>
        <v>-1.8711223329525017E-3</v>
      </c>
      <c r="AI9" s="50">
        <f t="shared" si="3"/>
        <v>-3.7867142359825356E-3</v>
      </c>
      <c r="AJ9" s="63">
        <f t="shared" si="4"/>
        <v>1634536</v>
      </c>
    </row>
    <row r="10" spans="2:36" ht="42" x14ac:dyDescent="0.15">
      <c r="B10" s="1">
        <v>7</v>
      </c>
      <c r="C10" s="55"/>
      <c r="D10" s="11" t="s">
        <v>38</v>
      </c>
      <c r="E10" s="12" t="s">
        <v>40</v>
      </c>
      <c r="F10" s="11">
        <v>1</v>
      </c>
      <c r="G10" s="11" t="s">
        <v>8</v>
      </c>
      <c r="H10" s="28"/>
      <c r="I10" s="30"/>
      <c r="J10" s="30"/>
      <c r="K10" s="30">
        <f t="shared" si="5"/>
        <v>208000</v>
      </c>
      <c r="L10" s="30">
        <v>2600000</v>
      </c>
      <c r="M10" s="30">
        <f t="shared" si="6"/>
        <v>2808000</v>
      </c>
      <c r="N10" s="34">
        <f t="shared" si="7"/>
        <v>2808000</v>
      </c>
      <c r="O10" s="37">
        <f t="shared" si="0"/>
        <v>0</v>
      </c>
      <c r="P10" s="45"/>
      <c r="Q10" s="37"/>
      <c r="R10" s="37"/>
      <c r="S10" s="37"/>
      <c r="T10" s="37">
        <v>2520000</v>
      </c>
      <c r="U10" s="37">
        <f t="shared" si="8"/>
        <v>2520000</v>
      </c>
      <c r="V10" s="37"/>
      <c r="W10" s="37"/>
      <c r="X10" s="37"/>
      <c r="Y10" s="37">
        <v>216000</v>
      </c>
      <c r="Z10" s="37">
        <v>2700000</v>
      </c>
      <c r="AA10" s="37">
        <v>2916000</v>
      </c>
      <c r="AB10" s="37">
        <v>2916000</v>
      </c>
      <c r="AC10" s="50">
        <f t="shared" si="1"/>
        <v>7.4492236284855809E-2</v>
      </c>
      <c r="AD10" s="52"/>
      <c r="AE10" s="37">
        <f t="shared" si="9"/>
        <v>2742806</v>
      </c>
      <c r="AF10" s="37">
        <f t="shared" si="11"/>
        <v>2737510</v>
      </c>
      <c r="AG10" s="37">
        <f t="shared" si="10"/>
        <v>2748000</v>
      </c>
      <c r="AH10" s="50">
        <f t="shared" si="2"/>
        <v>-1.8901850948734866E-3</v>
      </c>
      <c r="AI10" s="50">
        <f t="shared" si="3"/>
        <v>-3.8172065616307593E-3</v>
      </c>
      <c r="AJ10" s="63">
        <f t="shared" si="4"/>
        <v>2742806</v>
      </c>
    </row>
    <row r="11" spans="2:36" ht="42" x14ac:dyDescent="0.15">
      <c r="B11" s="7">
        <v>8</v>
      </c>
      <c r="C11" s="56"/>
      <c r="D11" s="11" t="s">
        <v>38</v>
      </c>
      <c r="E11" s="12" t="s">
        <v>41</v>
      </c>
      <c r="F11" s="11">
        <v>1</v>
      </c>
      <c r="G11" s="11" t="s">
        <v>8</v>
      </c>
      <c r="H11" s="28"/>
      <c r="I11" s="30"/>
      <c r="J11" s="30"/>
      <c r="K11" s="30">
        <f t="shared" si="5"/>
        <v>312000</v>
      </c>
      <c r="L11" s="30">
        <v>3900000</v>
      </c>
      <c r="M11" s="30">
        <f t="shared" si="6"/>
        <v>4212000</v>
      </c>
      <c r="N11" s="34">
        <f t="shared" si="7"/>
        <v>4212000</v>
      </c>
      <c r="O11" s="37">
        <f t="shared" si="0"/>
        <v>0</v>
      </c>
      <c r="P11" s="45"/>
      <c r="Q11" s="37"/>
      <c r="R11" s="37"/>
      <c r="S11" s="37"/>
      <c r="T11" s="37">
        <v>4032000</v>
      </c>
      <c r="U11" s="37">
        <f t="shared" si="8"/>
        <v>4032000</v>
      </c>
      <c r="V11" s="37"/>
      <c r="W11" s="37"/>
      <c r="X11" s="37"/>
      <c r="Y11" s="37">
        <v>339200</v>
      </c>
      <c r="Z11" s="37">
        <v>4240000</v>
      </c>
      <c r="AA11" s="37">
        <v>4579200</v>
      </c>
      <c r="AB11" s="37">
        <v>4579200</v>
      </c>
      <c r="AC11" s="50">
        <f t="shared" si="1"/>
        <v>6.5245597761690297E-2</v>
      </c>
      <c r="AD11" s="52"/>
      <c r="AE11" s="37">
        <f t="shared" si="9"/>
        <v>4268410</v>
      </c>
      <c r="AF11" s="37">
        <f t="shared" si="11"/>
        <v>4262505</v>
      </c>
      <c r="AG11" s="37">
        <f t="shared" si="10"/>
        <v>4274400</v>
      </c>
      <c r="AH11" s="50">
        <f t="shared" si="2"/>
        <v>-1.401280476197253E-3</v>
      </c>
      <c r="AI11" s="50">
        <f t="shared" si="3"/>
        <v>-2.7829063431098477E-3</v>
      </c>
      <c r="AJ11" s="63">
        <f t="shared" si="4"/>
        <v>4268410</v>
      </c>
    </row>
    <row r="12" spans="2:36" ht="83" customHeight="1" x14ac:dyDescent="0.15">
      <c r="B12" s="10">
        <v>9</v>
      </c>
      <c r="C12" s="54" t="s">
        <v>14</v>
      </c>
      <c r="D12" s="11" t="s">
        <v>15</v>
      </c>
      <c r="E12" s="12" t="s">
        <v>44</v>
      </c>
      <c r="F12" s="11">
        <v>1</v>
      </c>
      <c r="G12" s="11" t="s">
        <v>16</v>
      </c>
      <c r="H12" s="32">
        <f>+I12*0.19</f>
        <v>136800</v>
      </c>
      <c r="I12" s="30">
        <v>720000</v>
      </c>
      <c r="J12" s="30">
        <f>+I12+H12</f>
        <v>856800</v>
      </c>
      <c r="K12" s="30">
        <f t="shared" si="5"/>
        <v>0</v>
      </c>
      <c r="L12" s="30"/>
      <c r="M12" s="30">
        <f t="shared" si="6"/>
        <v>0</v>
      </c>
      <c r="N12" s="34">
        <f>+J12</f>
        <v>856800</v>
      </c>
      <c r="O12" s="37">
        <f>Q12-P12</f>
        <v>111764.70588235289</v>
      </c>
      <c r="P12" s="45">
        <f>+Q12/1.19</f>
        <v>588235.29411764711</v>
      </c>
      <c r="Q12" s="37">
        <v>700000</v>
      </c>
      <c r="R12" s="37"/>
      <c r="S12" s="37">
        <v>588235</v>
      </c>
      <c r="T12" s="37"/>
      <c r="U12" s="37">
        <f>Q12</f>
        <v>700000</v>
      </c>
      <c r="V12" s="37">
        <v>114000</v>
      </c>
      <c r="W12" s="37">
        <v>600000</v>
      </c>
      <c r="X12" s="37">
        <v>714000</v>
      </c>
      <c r="Y12" s="37"/>
      <c r="Z12" s="37"/>
      <c r="AA12" s="37"/>
      <c r="AB12" s="37">
        <v>714000</v>
      </c>
      <c r="AC12" s="50">
        <f t="shared" si="1"/>
        <v>0.11463346034403417</v>
      </c>
      <c r="AD12" s="52"/>
      <c r="AE12" s="37">
        <f t="shared" si="9"/>
        <v>753746</v>
      </c>
      <c r="AF12" s="37">
        <f t="shared" si="11"/>
        <v>750701</v>
      </c>
      <c r="AG12" s="37">
        <f t="shared" si="10"/>
        <v>756933</v>
      </c>
      <c r="AH12" s="50">
        <f t="shared" si="2"/>
        <v>-4.2103552858563376E-3</v>
      </c>
      <c r="AI12" s="50">
        <f t="shared" si="3"/>
        <v>-8.23374857393111E-3</v>
      </c>
      <c r="AJ12" s="63">
        <f t="shared" si="4"/>
        <v>753746</v>
      </c>
    </row>
    <row r="13" spans="2:36" ht="28" x14ac:dyDescent="0.15">
      <c r="B13" s="1">
        <v>10</v>
      </c>
      <c r="C13" s="55"/>
      <c r="D13" s="11" t="s">
        <v>17</v>
      </c>
      <c r="E13" s="13" t="s">
        <v>18</v>
      </c>
      <c r="F13" s="11">
        <v>1</v>
      </c>
      <c r="G13" s="11" t="s">
        <v>16</v>
      </c>
      <c r="H13" s="32">
        <f t="shared" ref="H13:H24" si="12">+I13*0.19</f>
        <v>53200</v>
      </c>
      <c r="I13" s="30">
        <v>280000</v>
      </c>
      <c r="J13" s="30">
        <f t="shared" ref="J13:J24" si="13">+I13+H13</f>
        <v>333200</v>
      </c>
      <c r="K13" s="30">
        <f t="shared" si="5"/>
        <v>0</v>
      </c>
      <c r="L13" s="30"/>
      <c r="M13" s="30">
        <f t="shared" si="6"/>
        <v>0</v>
      </c>
      <c r="N13" s="34">
        <f t="shared" ref="N13:N24" si="14">+J13</f>
        <v>333200</v>
      </c>
      <c r="O13" s="37">
        <f t="shared" ref="O13:O24" si="15">Q13-P13</f>
        <v>41512.605042016803</v>
      </c>
      <c r="P13" s="45">
        <f t="shared" ref="P13:P24" si="16">+Q13/1.19</f>
        <v>218487.3949579832</v>
      </c>
      <c r="Q13" s="37">
        <v>260000</v>
      </c>
      <c r="R13" s="37"/>
      <c r="S13" s="37"/>
      <c r="T13" s="37"/>
      <c r="U13" s="37">
        <f t="shared" ref="U13:U24" si="17">Q13</f>
        <v>260000</v>
      </c>
      <c r="V13" s="37">
        <v>58900</v>
      </c>
      <c r="W13" s="37">
        <v>310000</v>
      </c>
      <c r="X13" s="37">
        <v>368900</v>
      </c>
      <c r="Y13" s="37"/>
      <c r="Z13" s="37"/>
      <c r="AA13" s="37"/>
      <c r="AB13" s="37">
        <v>368900</v>
      </c>
      <c r="AC13" s="50">
        <f t="shared" si="1"/>
        <v>0.17310780624429589</v>
      </c>
      <c r="AD13" s="52"/>
      <c r="AE13" s="37">
        <f t="shared" si="9"/>
        <v>317343</v>
      </c>
      <c r="AF13" s="37">
        <f t="shared" si="11"/>
        <v>313869</v>
      </c>
      <c r="AG13" s="37">
        <f t="shared" si="10"/>
        <v>320700</v>
      </c>
      <c r="AH13" s="50">
        <f t="shared" si="2"/>
        <v>-1.0467554544095425E-2</v>
      </c>
      <c r="AI13" s="50">
        <f t="shared" si="3"/>
        <v>-2.1299082255975543E-2</v>
      </c>
      <c r="AJ13" s="63">
        <f t="shared" si="4"/>
        <v>317343</v>
      </c>
    </row>
    <row r="14" spans="2:36" ht="56" x14ac:dyDescent="0.15">
      <c r="B14" s="7">
        <v>11</v>
      </c>
      <c r="C14" s="55"/>
      <c r="D14" s="11" t="s">
        <v>42</v>
      </c>
      <c r="E14" s="13" t="s">
        <v>43</v>
      </c>
      <c r="F14" s="11">
        <v>1</v>
      </c>
      <c r="G14" s="11" t="s">
        <v>16</v>
      </c>
      <c r="H14" s="32">
        <f t="shared" si="12"/>
        <v>53200</v>
      </c>
      <c r="I14" s="30">
        <v>280000</v>
      </c>
      <c r="J14" s="30">
        <f t="shared" si="13"/>
        <v>333200</v>
      </c>
      <c r="K14" s="30">
        <f t="shared" si="5"/>
        <v>0</v>
      </c>
      <c r="L14" s="30"/>
      <c r="M14" s="30">
        <f t="shared" si="6"/>
        <v>0</v>
      </c>
      <c r="N14" s="34">
        <f t="shared" si="14"/>
        <v>333200</v>
      </c>
      <c r="O14" s="37">
        <f t="shared" si="15"/>
        <v>41512.605042016803</v>
      </c>
      <c r="P14" s="45">
        <f t="shared" si="16"/>
        <v>218487.3949579832</v>
      </c>
      <c r="Q14" s="37">
        <v>260000</v>
      </c>
      <c r="R14" s="37"/>
      <c r="S14" s="37"/>
      <c r="T14" s="37"/>
      <c r="U14" s="37">
        <f t="shared" si="17"/>
        <v>260000</v>
      </c>
      <c r="V14" s="37">
        <v>58900</v>
      </c>
      <c r="W14" s="37">
        <v>310000</v>
      </c>
      <c r="X14" s="37">
        <v>368900</v>
      </c>
      <c r="Y14" s="37"/>
      <c r="Z14" s="37"/>
      <c r="AA14" s="37"/>
      <c r="AB14" s="37">
        <v>368900</v>
      </c>
      <c r="AC14" s="50">
        <f t="shared" si="1"/>
        <v>0.17310780624429589</v>
      </c>
      <c r="AD14" s="52"/>
      <c r="AE14" s="37">
        <f t="shared" si="9"/>
        <v>317343</v>
      </c>
      <c r="AF14" s="37">
        <f t="shared" si="11"/>
        <v>313869</v>
      </c>
      <c r="AG14" s="37">
        <f t="shared" si="10"/>
        <v>320700</v>
      </c>
      <c r="AH14" s="50">
        <f t="shared" si="2"/>
        <v>-1.0467554544095425E-2</v>
      </c>
      <c r="AI14" s="50">
        <f t="shared" si="3"/>
        <v>-2.1299082255975543E-2</v>
      </c>
      <c r="AJ14" s="63">
        <f t="shared" si="4"/>
        <v>317343</v>
      </c>
    </row>
    <row r="15" spans="2:36" ht="51" customHeight="1" x14ac:dyDescent="0.15">
      <c r="B15" s="10">
        <v>12</v>
      </c>
      <c r="C15" s="55"/>
      <c r="D15" s="11" t="s">
        <v>19</v>
      </c>
      <c r="E15" s="13" t="s">
        <v>45</v>
      </c>
      <c r="F15" s="11">
        <v>1</v>
      </c>
      <c r="G15" s="11" t="s">
        <v>16</v>
      </c>
      <c r="H15" s="32">
        <f t="shared" si="12"/>
        <v>53200</v>
      </c>
      <c r="I15" s="30">
        <v>280000</v>
      </c>
      <c r="J15" s="30">
        <f t="shared" si="13"/>
        <v>333200</v>
      </c>
      <c r="K15" s="30">
        <f t="shared" si="5"/>
        <v>0</v>
      </c>
      <c r="L15" s="30"/>
      <c r="M15" s="30">
        <f t="shared" si="6"/>
        <v>0</v>
      </c>
      <c r="N15" s="34">
        <f t="shared" si="14"/>
        <v>333200</v>
      </c>
      <c r="O15" s="37">
        <f t="shared" si="15"/>
        <v>41512.605042016803</v>
      </c>
      <c r="P15" s="45">
        <f t="shared" si="16"/>
        <v>218487.3949579832</v>
      </c>
      <c r="Q15" s="37">
        <v>260000</v>
      </c>
      <c r="R15" s="37"/>
      <c r="S15" s="37"/>
      <c r="T15" s="37"/>
      <c r="U15" s="37">
        <f t="shared" si="17"/>
        <v>260000</v>
      </c>
      <c r="V15" s="37">
        <v>62700</v>
      </c>
      <c r="W15" s="37">
        <v>330000</v>
      </c>
      <c r="X15" s="37">
        <v>392700</v>
      </c>
      <c r="Y15" s="37"/>
      <c r="Z15" s="37"/>
      <c r="AA15" s="37"/>
      <c r="AB15" s="37">
        <v>392700</v>
      </c>
      <c r="AC15" s="50">
        <f t="shared" si="1"/>
        <v>0.20225508147632371</v>
      </c>
      <c r="AD15" s="52"/>
      <c r="AE15" s="37">
        <f t="shared" si="9"/>
        <v>324026</v>
      </c>
      <c r="AF15" s="37">
        <f t="shared" si="11"/>
        <v>319359</v>
      </c>
      <c r="AG15" s="37">
        <f t="shared" si="10"/>
        <v>328633</v>
      </c>
      <c r="AH15" s="50">
        <f t="shared" si="2"/>
        <v>-1.4019932349881303E-2</v>
      </c>
      <c r="AI15" s="50">
        <f t="shared" si="3"/>
        <v>-2.8221998152320849E-2</v>
      </c>
      <c r="AJ15" s="63">
        <f t="shared" si="4"/>
        <v>324026</v>
      </c>
    </row>
    <row r="16" spans="2:36" ht="42" x14ac:dyDescent="0.15">
      <c r="B16" s="1">
        <v>13</v>
      </c>
      <c r="C16" s="55"/>
      <c r="D16" s="11" t="s">
        <v>32</v>
      </c>
      <c r="E16" s="12" t="s">
        <v>48</v>
      </c>
      <c r="F16" s="11">
        <v>1</v>
      </c>
      <c r="G16" s="11" t="s">
        <v>16</v>
      </c>
      <c r="H16" s="32">
        <f t="shared" si="12"/>
        <v>85500</v>
      </c>
      <c r="I16" s="30">
        <v>450000</v>
      </c>
      <c r="J16" s="30">
        <f t="shared" si="13"/>
        <v>535500</v>
      </c>
      <c r="K16" s="30">
        <f t="shared" si="5"/>
        <v>0</v>
      </c>
      <c r="L16" s="30"/>
      <c r="M16" s="30">
        <f t="shared" si="6"/>
        <v>0</v>
      </c>
      <c r="N16" s="34">
        <f t="shared" si="14"/>
        <v>535500</v>
      </c>
      <c r="O16" s="37">
        <f t="shared" si="15"/>
        <v>66500</v>
      </c>
      <c r="P16" s="45">
        <f t="shared" si="16"/>
        <v>350000</v>
      </c>
      <c r="Q16" s="37">
        <v>416500</v>
      </c>
      <c r="R16" s="37"/>
      <c r="S16" s="37"/>
      <c r="T16" s="37"/>
      <c r="U16" s="37">
        <f t="shared" si="17"/>
        <v>416500</v>
      </c>
      <c r="V16" s="37">
        <v>87400</v>
      </c>
      <c r="W16" s="37">
        <v>460000</v>
      </c>
      <c r="X16" s="37">
        <v>547400</v>
      </c>
      <c r="Y16" s="37"/>
      <c r="Z16" s="37"/>
      <c r="AA16" s="37"/>
      <c r="AB16" s="37">
        <v>547400</v>
      </c>
      <c r="AC16" s="50">
        <f t="shared" si="1"/>
        <v>0.14482767929281476</v>
      </c>
      <c r="AD16" s="52"/>
      <c r="AE16" s="37">
        <f t="shared" si="9"/>
        <v>496089</v>
      </c>
      <c r="AF16" s="37">
        <f t="shared" si="11"/>
        <v>492191</v>
      </c>
      <c r="AG16" s="37">
        <f t="shared" si="10"/>
        <v>499800</v>
      </c>
      <c r="AH16" s="50">
        <f t="shared" si="2"/>
        <v>-7.4246028130016128E-3</v>
      </c>
      <c r="AI16" s="50">
        <f t="shared" si="3"/>
        <v>-1.5223596574690856E-2</v>
      </c>
      <c r="AJ16" s="63">
        <f t="shared" si="4"/>
        <v>496089</v>
      </c>
    </row>
    <row r="17" spans="2:36" ht="28" x14ac:dyDescent="0.15">
      <c r="B17" s="7">
        <v>14</v>
      </c>
      <c r="C17" s="54" t="s">
        <v>20</v>
      </c>
      <c r="D17" s="11" t="s">
        <v>21</v>
      </c>
      <c r="E17" s="12" t="s">
        <v>49</v>
      </c>
      <c r="F17" s="11">
        <v>1</v>
      </c>
      <c r="G17" s="11" t="s">
        <v>22</v>
      </c>
      <c r="H17" s="32">
        <f t="shared" si="12"/>
        <v>152000</v>
      </c>
      <c r="I17" s="30">
        <v>800000</v>
      </c>
      <c r="J17" s="30">
        <f t="shared" si="13"/>
        <v>952000</v>
      </c>
      <c r="K17" s="30">
        <f t="shared" si="5"/>
        <v>0</v>
      </c>
      <c r="L17" s="30"/>
      <c r="M17" s="30">
        <f t="shared" si="6"/>
        <v>0</v>
      </c>
      <c r="N17" s="34">
        <f t="shared" si="14"/>
        <v>952000</v>
      </c>
      <c r="O17" s="37">
        <f t="shared" si="15"/>
        <v>103781.51260504196</v>
      </c>
      <c r="P17" s="45">
        <f t="shared" si="16"/>
        <v>546218.48739495804</v>
      </c>
      <c r="Q17" s="37">
        <v>650000</v>
      </c>
      <c r="R17" s="37"/>
      <c r="S17" s="37"/>
      <c r="T17" s="37"/>
      <c r="U17" s="37">
        <f t="shared" si="17"/>
        <v>650000</v>
      </c>
      <c r="V17" s="37">
        <v>171000</v>
      </c>
      <c r="W17" s="37">
        <v>900000</v>
      </c>
      <c r="X17" s="37">
        <v>1071000</v>
      </c>
      <c r="Y17" s="37"/>
      <c r="Z17" s="37"/>
      <c r="AA17" s="37"/>
      <c r="AB17" s="37">
        <v>1071000</v>
      </c>
      <c r="AC17" s="50">
        <f t="shared" si="1"/>
        <v>0.24357760719221822</v>
      </c>
      <c r="AD17" s="52"/>
      <c r="AE17" s="37">
        <f t="shared" si="9"/>
        <v>871860</v>
      </c>
      <c r="AF17" s="37">
        <f t="shared" si="11"/>
        <v>851646</v>
      </c>
      <c r="AG17" s="37">
        <f t="shared" si="10"/>
        <v>891000</v>
      </c>
      <c r="AH17" s="50">
        <f t="shared" si="2"/>
        <v>-2.1481844692217256E-2</v>
      </c>
      <c r="AI17" s="50">
        <f t="shared" si="3"/>
        <v>-4.4167848327293813E-2</v>
      </c>
      <c r="AJ17" s="63">
        <f t="shared" si="4"/>
        <v>871860</v>
      </c>
    </row>
    <row r="18" spans="2:36" ht="42" x14ac:dyDescent="0.15">
      <c r="B18" s="10">
        <v>15</v>
      </c>
      <c r="C18" s="56"/>
      <c r="D18" s="11" t="s">
        <v>21</v>
      </c>
      <c r="E18" s="14" t="s">
        <v>23</v>
      </c>
      <c r="F18" s="11">
        <v>1</v>
      </c>
      <c r="G18" s="11" t="s">
        <v>22</v>
      </c>
      <c r="H18" s="32">
        <f t="shared" si="12"/>
        <v>157700</v>
      </c>
      <c r="I18" s="30">
        <v>830000</v>
      </c>
      <c r="J18" s="30">
        <f t="shared" si="13"/>
        <v>987700</v>
      </c>
      <c r="K18" s="30">
        <f t="shared" si="5"/>
        <v>0</v>
      </c>
      <c r="L18" s="30"/>
      <c r="M18" s="30">
        <f t="shared" si="6"/>
        <v>0</v>
      </c>
      <c r="N18" s="34">
        <f t="shared" si="14"/>
        <v>987700</v>
      </c>
      <c r="O18" s="37">
        <f t="shared" si="15"/>
        <v>148295.79831932765</v>
      </c>
      <c r="P18" s="45">
        <f t="shared" si="16"/>
        <v>780504.20168067235</v>
      </c>
      <c r="Q18" s="37">
        <v>928800</v>
      </c>
      <c r="R18" s="37"/>
      <c r="S18" s="37"/>
      <c r="T18" s="37"/>
      <c r="U18" s="37">
        <f t="shared" si="17"/>
        <v>928800</v>
      </c>
      <c r="V18" s="37">
        <v>144400</v>
      </c>
      <c r="W18" s="37">
        <v>760000</v>
      </c>
      <c r="X18" s="37">
        <v>904400</v>
      </c>
      <c r="Y18" s="37"/>
      <c r="Z18" s="37"/>
      <c r="AA18" s="37"/>
      <c r="AB18" s="37">
        <v>904400</v>
      </c>
      <c r="AC18" s="50">
        <f t="shared" si="1"/>
        <v>4.5543098389126346E-2</v>
      </c>
      <c r="AD18" s="52"/>
      <c r="AE18" s="37">
        <f t="shared" si="9"/>
        <v>939657</v>
      </c>
      <c r="AF18" s="37">
        <f t="shared" si="11"/>
        <v>939021</v>
      </c>
      <c r="AG18" s="37">
        <f t="shared" si="10"/>
        <v>940300</v>
      </c>
      <c r="AH18" s="50">
        <f t="shared" si="2"/>
        <v>-6.84013005543882E-4</v>
      </c>
      <c r="AI18" s="50">
        <f t="shared" si="3"/>
        <v>-1.3601848649360537E-3</v>
      </c>
      <c r="AJ18" s="63">
        <f t="shared" si="4"/>
        <v>939657</v>
      </c>
    </row>
    <row r="19" spans="2:36" ht="39" customHeight="1" x14ac:dyDescent="0.15">
      <c r="B19" s="1">
        <v>16</v>
      </c>
      <c r="C19" s="54" t="s">
        <v>24</v>
      </c>
      <c r="D19" s="11" t="s">
        <v>25</v>
      </c>
      <c r="E19" s="13" t="s">
        <v>50</v>
      </c>
      <c r="F19" s="11">
        <v>1</v>
      </c>
      <c r="G19" s="11" t="s">
        <v>8</v>
      </c>
      <c r="H19" s="32">
        <f t="shared" si="12"/>
        <v>53200</v>
      </c>
      <c r="I19" s="30">
        <v>280000</v>
      </c>
      <c r="J19" s="30">
        <f t="shared" si="13"/>
        <v>333200</v>
      </c>
      <c r="K19" s="30">
        <f t="shared" si="5"/>
        <v>0</v>
      </c>
      <c r="L19" s="30"/>
      <c r="M19" s="30">
        <f t="shared" si="6"/>
        <v>0</v>
      </c>
      <c r="N19" s="34">
        <f t="shared" si="14"/>
        <v>333200</v>
      </c>
      <c r="O19" s="37">
        <f t="shared" si="15"/>
        <v>31932.773109243688</v>
      </c>
      <c r="P19" s="45">
        <f t="shared" si="16"/>
        <v>168067.22689075631</v>
      </c>
      <c r="Q19" s="37">
        <v>200000</v>
      </c>
      <c r="R19" s="37"/>
      <c r="S19" s="37"/>
      <c r="T19" s="37"/>
      <c r="U19" s="37">
        <f t="shared" si="17"/>
        <v>200000</v>
      </c>
      <c r="V19" s="37">
        <v>47500</v>
      </c>
      <c r="W19" s="37">
        <v>250000</v>
      </c>
      <c r="X19" s="37">
        <v>297500</v>
      </c>
      <c r="Y19" s="37"/>
      <c r="Z19" s="37"/>
      <c r="AA19" s="37"/>
      <c r="AB19" s="37">
        <v>297500</v>
      </c>
      <c r="AC19" s="50">
        <f t="shared" si="1"/>
        <v>0.24899972517900681</v>
      </c>
      <c r="AD19" s="52"/>
      <c r="AE19" s="37">
        <f t="shared" si="9"/>
        <v>270650</v>
      </c>
      <c r="AF19" s="37">
        <f t="shared" si="11"/>
        <v>264025</v>
      </c>
      <c r="AG19" s="37">
        <f t="shared" si="10"/>
        <v>276900</v>
      </c>
      <c r="AH19" s="50">
        <f t="shared" si="2"/>
        <v>-2.2572927686571265E-2</v>
      </c>
      <c r="AI19" s="50">
        <f t="shared" si="3"/>
        <v>-4.649564255376637E-2</v>
      </c>
      <c r="AJ19" s="63">
        <f t="shared" si="4"/>
        <v>270650</v>
      </c>
    </row>
    <row r="20" spans="2:36" ht="46" customHeight="1" x14ac:dyDescent="0.15">
      <c r="B20" s="7">
        <v>17</v>
      </c>
      <c r="C20" s="56"/>
      <c r="D20" s="11" t="s">
        <v>25</v>
      </c>
      <c r="E20" s="15" t="s">
        <v>26</v>
      </c>
      <c r="F20" s="11">
        <v>1</v>
      </c>
      <c r="G20" s="11" t="s">
        <v>8</v>
      </c>
      <c r="H20" s="32">
        <f t="shared" si="12"/>
        <v>87400</v>
      </c>
      <c r="I20" s="30">
        <v>460000</v>
      </c>
      <c r="J20" s="30">
        <f t="shared" si="13"/>
        <v>547400</v>
      </c>
      <c r="K20" s="30">
        <f t="shared" si="5"/>
        <v>0</v>
      </c>
      <c r="L20" s="30"/>
      <c r="M20" s="30">
        <f t="shared" si="6"/>
        <v>0</v>
      </c>
      <c r="N20" s="34">
        <f t="shared" si="14"/>
        <v>547400</v>
      </c>
      <c r="O20" s="37">
        <f t="shared" si="15"/>
        <v>68655.462184873933</v>
      </c>
      <c r="P20" s="45">
        <f t="shared" si="16"/>
        <v>361344.53781512607</v>
      </c>
      <c r="Q20" s="37">
        <v>430000</v>
      </c>
      <c r="R20" s="37"/>
      <c r="S20" s="37"/>
      <c r="T20" s="37"/>
      <c r="U20" s="37">
        <f t="shared" si="17"/>
        <v>430000</v>
      </c>
      <c r="V20" s="37">
        <v>85500</v>
      </c>
      <c r="W20" s="37">
        <v>450000</v>
      </c>
      <c r="X20" s="37">
        <v>535500</v>
      </c>
      <c r="Y20" s="37"/>
      <c r="Z20" s="37"/>
      <c r="AA20" s="37"/>
      <c r="AB20" s="37">
        <v>535500</v>
      </c>
      <c r="AC20" s="50">
        <f t="shared" si="1"/>
        <v>0.12813840587108041</v>
      </c>
      <c r="AD20" s="52"/>
      <c r="AE20" s="37">
        <f t="shared" si="9"/>
        <v>501392</v>
      </c>
      <c r="AF20" s="37">
        <f t="shared" si="11"/>
        <v>498354</v>
      </c>
      <c r="AG20" s="37">
        <f t="shared" si="10"/>
        <v>504300</v>
      </c>
      <c r="AH20" s="50">
        <f t="shared" si="2"/>
        <v>-5.7660097429631518E-3</v>
      </c>
      <c r="AI20" s="50">
        <f t="shared" si="3"/>
        <v>-1.1789857636011036E-2</v>
      </c>
      <c r="AJ20" s="63">
        <f t="shared" si="4"/>
        <v>501392</v>
      </c>
    </row>
    <row r="21" spans="2:36" ht="126" x14ac:dyDescent="0.15">
      <c r="B21" s="10">
        <v>18</v>
      </c>
      <c r="C21" s="16" t="s">
        <v>35</v>
      </c>
      <c r="D21" s="11" t="s">
        <v>27</v>
      </c>
      <c r="E21" s="13" t="s">
        <v>51</v>
      </c>
      <c r="F21" s="11">
        <v>1</v>
      </c>
      <c r="G21" s="11" t="s">
        <v>8</v>
      </c>
      <c r="H21" s="32">
        <f t="shared" si="12"/>
        <v>53200</v>
      </c>
      <c r="I21" s="30">
        <v>280000</v>
      </c>
      <c r="J21" s="30">
        <f t="shared" si="13"/>
        <v>333200</v>
      </c>
      <c r="K21" s="30">
        <f t="shared" si="5"/>
        <v>0</v>
      </c>
      <c r="L21" s="30"/>
      <c r="M21" s="30">
        <f t="shared" si="6"/>
        <v>0</v>
      </c>
      <c r="N21" s="34">
        <f t="shared" si="14"/>
        <v>333200</v>
      </c>
      <c r="O21" s="37">
        <f t="shared" si="15"/>
        <v>37050</v>
      </c>
      <c r="P21" s="45">
        <f t="shared" si="16"/>
        <v>195000</v>
      </c>
      <c r="Q21" s="37">
        <v>232050</v>
      </c>
      <c r="R21" s="37"/>
      <c r="S21" s="37"/>
      <c r="T21" s="37"/>
      <c r="U21" s="37">
        <f t="shared" si="17"/>
        <v>232050</v>
      </c>
      <c r="V21" s="37">
        <v>48450</v>
      </c>
      <c r="W21" s="37">
        <v>255000</v>
      </c>
      <c r="X21" s="37">
        <v>303450</v>
      </c>
      <c r="Y21" s="37"/>
      <c r="Z21" s="37"/>
      <c r="AA21" s="37"/>
      <c r="AB21" s="37">
        <v>303450</v>
      </c>
      <c r="AC21" s="50">
        <f t="shared" si="1"/>
        <v>0.17952523865864581</v>
      </c>
      <c r="AD21" s="52"/>
      <c r="AE21" s="37">
        <f t="shared" si="9"/>
        <v>286280</v>
      </c>
      <c r="AF21" s="37">
        <f t="shared" si="11"/>
        <v>282857</v>
      </c>
      <c r="AG21" s="37">
        <f t="shared" si="10"/>
        <v>289567</v>
      </c>
      <c r="AH21" s="50">
        <f t="shared" si="2"/>
        <v>-1.1349776263755218E-2</v>
      </c>
      <c r="AI21" s="50">
        <f t="shared" si="3"/>
        <v>-2.3170154175363611E-2</v>
      </c>
      <c r="AJ21" s="63">
        <f t="shared" si="4"/>
        <v>286280</v>
      </c>
    </row>
    <row r="22" spans="2:36" ht="56" x14ac:dyDescent="0.15">
      <c r="B22" s="1">
        <v>19</v>
      </c>
      <c r="C22" s="2" t="s">
        <v>28</v>
      </c>
      <c r="D22" s="11" t="s">
        <v>29</v>
      </c>
      <c r="E22" s="12" t="s">
        <v>30</v>
      </c>
      <c r="F22" s="11">
        <v>1</v>
      </c>
      <c r="G22" s="11" t="s">
        <v>31</v>
      </c>
      <c r="H22" s="32">
        <f t="shared" si="12"/>
        <v>456000</v>
      </c>
      <c r="I22" s="30">
        <v>2400000</v>
      </c>
      <c r="J22" s="30">
        <f t="shared" si="13"/>
        <v>2856000</v>
      </c>
      <c r="K22" s="30">
        <f t="shared" si="5"/>
        <v>0</v>
      </c>
      <c r="L22" s="30"/>
      <c r="M22" s="30">
        <f t="shared" si="6"/>
        <v>0</v>
      </c>
      <c r="N22" s="34">
        <f t="shared" si="14"/>
        <v>2856000</v>
      </c>
      <c r="O22" s="37">
        <f t="shared" si="15"/>
        <v>351260.50420168065</v>
      </c>
      <c r="P22" s="45">
        <f t="shared" si="16"/>
        <v>1848739.4957983193</v>
      </c>
      <c r="Q22" s="37">
        <v>2200000</v>
      </c>
      <c r="R22" s="37"/>
      <c r="S22" s="37"/>
      <c r="T22" s="37"/>
      <c r="U22" s="37">
        <f t="shared" si="17"/>
        <v>2200000</v>
      </c>
      <c r="V22" s="37">
        <v>484500</v>
      </c>
      <c r="W22" s="37">
        <v>2550000</v>
      </c>
      <c r="X22" s="37">
        <v>3034500</v>
      </c>
      <c r="Y22" s="37"/>
      <c r="Z22" s="37"/>
      <c r="AA22" s="37"/>
      <c r="AB22" s="37">
        <v>3034500</v>
      </c>
      <c r="AC22" s="50">
        <f t="shared" si="1"/>
        <v>0.16294268710241044</v>
      </c>
      <c r="AD22" s="52"/>
      <c r="AE22" s="37">
        <f t="shared" si="9"/>
        <v>2671505</v>
      </c>
      <c r="AF22" s="37">
        <f t="shared" si="11"/>
        <v>2644968</v>
      </c>
      <c r="AG22" s="37">
        <f t="shared" si="10"/>
        <v>2696833</v>
      </c>
      <c r="AH22" s="50">
        <f t="shared" si="2"/>
        <v>-9.3918400473061991E-3</v>
      </c>
      <c r="AI22" s="50">
        <f t="shared" si="3"/>
        <v>-1.9231825865302921E-2</v>
      </c>
      <c r="AJ22" s="63">
        <f t="shared" si="4"/>
        <v>2671505</v>
      </c>
    </row>
    <row r="23" spans="2:36" ht="358" x14ac:dyDescent="0.15">
      <c r="B23" s="7">
        <v>20</v>
      </c>
      <c r="C23" s="54" t="s">
        <v>33</v>
      </c>
      <c r="D23" s="11" t="s">
        <v>34</v>
      </c>
      <c r="E23" s="17" t="s">
        <v>52</v>
      </c>
      <c r="F23" s="11">
        <v>1</v>
      </c>
      <c r="G23" s="11" t="s">
        <v>31</v>
      </c>
      <c r="H23" s="32">
        <f t="shared" si="12"/>
        <v>2907000</v>
      </c>
      <c r="I23" s="30">
        <v>15300000</v>
      </c>
      <c r="J23" s="30">
        <f t="shared" si="13"/>
        <v>18207000</v>
      </c>
      <c r="K23" s="30">
        <f t="shared" si="5"/>
        <v>0</v>
      </c>
      <c r="L23" s="30"/>
      <c r="M23" s="30">
        <f t="shared" si="6"/>
        <v>0</v>
      </c>
      <c r="N23" s="34">
        <f t="shared" si="14"/>
        <v>18207000</v>
      </c>
      <c r="O23" s="37">
        <f t="shared" si="15"/>
        <v>2075630.2521008402</v>
      </c>
      <c r="P23" s="45">
        <f t="shared" si="16"/>
        <v>10924369.74789916</v>
      </c>
      <c r="Q23" s="37">
        <v>13000000</v>
      </c>
      <c r="R23" s="37"/>
      <c r="S23" s="37"/>
      <c r="T23" s="37"/>
      <c r="U23" s="37">
        <f t="shared" si="17"/>
        <v>13000000</v>
      </c>
      <c r="V23" s="37">
        <v>3116000</v>
      </c>
      <c r="W23" s="37">
        <v>16400000</v>
      </c>
      <c r="X23" s="37">
        <v>19516000</v>
      </c>
      <c r="Y23" s="37"/>
      <c r="Z23" s="37"/>
      <c r="AA23" s="37"/>
      <c r="AB23" s="37">
        <v>19516000</v>
      </c>
      <c r="AC23" s="50">
        <f t="shared" si="1"/>
        <v>0.2038630481597298</v>
      </c>
      <c r="AD23" s="52"/>
      <c r="AE23" s="37">
        <f t="shared" si="9"/>
        <v>16654216</v>
      </c>
      <c r="AF23" s="37">
        <f t="shared" si="11"/>
        <v>16385651</v>
      </c>
      <c r="AG23" s="37">
        <f t="shared" si="10"/>
        <v>16907667</v>
      </c>
      <c r="AH23" s="50">
        <f t="shared" si="2"/>
        <v>-1.4990299528708784E-2</v>
      </c>
      <c r="AI23" s="50">
        <f t="shared" si="3"/>
        <v>-3.0874474858264223E-2</v>
      </c>
      <c r="AJ23" s="63">
        <f t="shared" si="4"/>
        <v>16654216</v>
      </c>
    </row>
    <row r="24" spans="2:36" ht="345" x14ac:dyDescent="0.15">
      <c r="B24" s="29">
        <v>21</v>
      </c>
      <c r="C24" s="57"/>
      <c r="D24" s="18" t="s">
        <v>37</v>
      </c>
      <c r="E24" s="19" t="s">
        <v>36</v>
      </c>
      <c r="F24" s="18">
        <v>1</v>
      </c>
      <c r="G24" s="27" t="s">
        <v>31</v>
      </c>
      <c r="H24" s="32">
        <f t="shared" si="12"/>
        <v>3572000</v>
      </c>
      <c r="I24" s="30">
        <v>18800000</v>
      </c>
      <c r="J24" s="30">
        <f t="shared" si="13"/>
        <v>22372000</v>
      </c>
      <c r="K24" s="30">
        <f t="shared" si="5"/>
        <v>0</v>
      </c>
      <c r="L24" s="30"/>
      <c r="M24" s="30">
        <f t="shared" ref="M24" si="18">+L24+K24</f>
        <v>0</v>
      </c>
      <c r="N24" s="34">
        <f t="shared" si="14"/>
        <v>22372000</v>
      </c>
      <c r="O24" s="37">
        <f t="shared" si="15"/>
        <v>3033613.4453781508</v>
      </c>
      <c r="P24" s="45">
        <f t="shared" si="16"/>
        <v>15966386.554621849</v>
      </c>
      <c r="Q24" s="37">
        <v>19000000</v>
      </c>
      <c r="R24" s="37"/>
      <c r="S24" s="37"/>
      <c r="T24" s="37"/>
      <c r="U24" s="37">
        <f t="shared" si="17"/>
        <v>19000000</v>
      </c>
      <c r="V24" s="37">
        <v>3752500</v>
      </c>
      <c r="W24" s="37">
        <v>19750000</v>
      </c>
      <c r="X24" s="37">
        <v>23502500</v>
      </c>
      <c r="Y24" s="37"/>
      <c r="Z24" s="37"/>
      <c r="AA24" s="37"/>
      <c r="AB24" s="37">
        <v>23502500</v>
      </c>
      <c r="AC24" s="50">
        <f t="shared" si="1"/>
        <v>0.10831973549552035</v>
      </c>
      <c r="AD24" s="52"/>
      <c r="AE24" s="37">
        <f t="shared" si="9"/>
        <v>21537279</v>
      </c>
      <c r="AF24" s="37">
        <f t="shared" si="11"/>
        <v>21447112</v>
      </c>
      <c r="AG24" s="37">
        <f t="shared" si="10"/>
        <v>21624833</v>
      </c>
      <c r="AH24" s="50">
        <f t="shared" si="2"/>
        <v>-4.0488088426002822E-3</v>
      </c>
      <c r="AI24" s="50">
        <f t="shared" si="3"/>
        <v>-8.2184019298188193E-3</v>
      </c>
      <c r="AJ24" s="63">
        <f t="shared" si="4"/>
        <v>21537279</v>
      </c>
    </row>
    <row r="25" spans="2:36" ht="56" customHeight="1" x14ac:dyDescent="0.15">
      <c r="B25" s="20"/>
      <c r="C25" s="21"/>
      <c r="D25" s="22"/>
      <c r="E25" s="23"/>
      <c r="F25" s="22"/>
      <c r="G25" s="22"/>
      <c r="I25" s="31"/>
      <c r="J25" s="31"/>
      <c r="K25" s="31"/>
      <c r="L25" s="31"/>
      <c r="M25" s="31"/>
      <c r="N25" s="47"/>
      <c r="O25" s="46">
        <f>SUM(N4:N24)</f>
        <v>58014600</v>
      </c>
    </row>
    <row r="26" spans="2:36" x14ac:dyDescent="0.15">
      <c r="I26" s="31"/>
      <c r="J26" s="31"/>
      <c r="K26" s="31"/>
      <c r="L26" s="31"/>
      <c r="M26" s="31"/>
      <c r="N26" s="35"/>
    </row>
    <row r="27" spans="2:36" x14ac:dyDescent="0.15">
      <c r="I27" s="31"/>
      <c r="J27" s="31"/>
      <c r="K27" s="31"/>
      <c r="L27" s="31"/>
      <c r="M27" s="31"/>
      <c r="N27" s="35"/>
    </row>
    <row r="28" spans="2:36" x14ac:dyDescent="0.15">
      <c r="I28" s="31"/>
      <c r="J28" s="31"/>
      <c r="K28" s="31"/>
      <c r="L28" s="31"/>
      <c r="M28" s="31"/>
      <c r="N28" s="35"/>
    </row>
    <row r="29" spans="2:36" x14ac:dyDescent="0.15">
      <c r="I29" s="31"/>
      <c r="J29" s="31"/>
      <c r="K29" s="31"/>
      <c r="L29" s="31"/>
      <c r="M29" s="31"/>
      <c r="N29" s="35"/>
    </row>
    <row r="30" spans="2:36" x14ac:dyDescent="0.15">
      <c r="I30" s="31"/>
      <c r="J30" s="31"/>
      <c r="K30" s="31"/>
      <c r="L30" s="31"/>
      <c r="M30" s="31"/>
      <c r="N30" s="35"/>
    </row>
    <row r="31" spans="2:36" x14ac:dyDescent="0.15">
      <c r="I31" s="31"/>
      <c r="J31" s="31"/>
      <c r="K31" s="31"/>
      <c r="L31" s="31"/>
      <c r="M31" s="31"/>
      <c r="N31" s="35"/>
    </row>
    <row r="32" spans="2:36" x14ac:dyDescent="0.15">
      <c r="I32" s="31"/>
      <c r="J32" s="31"/>
      <c r="K32" s="31"/>
      <c r="L32" s="31"/>
      <c r="M32" s="31"/>
      <c r="N32" s="35"/>
    </row>
    <row r="33" spans="9:14" x14ac:dyDescent="0.15">
      <c r="I33" s="31"/>
      <c r="J33" s="31"/>
      <c r="K33" s="31"/>
      <c r="L33" s="31"/>
      <c r="M33" s="31"/>
      <c r="N33" s="35"/>
    </row>
  </sheetData>
  <dataConsolidate/>
  <mergeCells count="13">
    <mergeCell ref="AF2:AF3"/>
    <mergeCell ref="AG2:AG3"/>
    <mergeCell ref="AH2:AI2"/>
    <mergeCell ref="AJ2:AJ3"/>
    <mergeCell ref="AC2:AC3"/>
    <mergeCell ref="AD2:AD3"/>
    <mergeCell ref="AD4:AD24"/>
    <mergeCell ref="AE2:AE3"/>
    <mergeCell ref="C4:C11"/>
    <mergeCell ref="C12:C16"/>
    <mergeCell ref="C17:C18"/>
    <mergeCell ref="C19:C20"/>
    <mergeCell ref="C23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2026-09-20T23:03:58Z</dcterms:created>
  <dcterms:modified xsi:type="dcterms:W3CDTF">2026-10-06T21:08:27Z</dcterms:modified>
</cp:coreProperties>
</file>